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30" windowWidth="19440" windowHeight="11025" firstSheet="1" activeTab="2"/>
  </bookViews>
  <sheets>
    <sheet name="H29年度出納帳" sheetId="8" r:id="rId1"/>
    <sheet name="平成29年度決算資料 " sheetId="7" r:id="rId2"/>
    <sheet name="平成30年度予算" sheetId="9" r:id="rId3"/>
    <sheet name="Sheet1" sheetId="2" r:id="rId4"/>
  </sheets>
  <definedNames>
    <definedName name="_xlnm._FilterDatabase" localSheetId="0" hidden="1">H29年度出納帳!$A$2:$L$16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8" l="1"/>
  <c r="P12" i="8"/>
  <c r="P13" i="8"/>
  <c r="P14" i="8"/>
  <c r="P15" i="8"/>
  <c r="P16" i="8"/>
  <c r="P17" i="8"/>
  <c r="P18" i="8"/>
  <c r="P19" i="8"/>
  <c r="P20" i="8"/>
  <c r="P21" i="8"/>
  <c r="P22" i="8"/>
  <c r="P23" i="8"/>
  <c r="P10" i="8"/>
  <c r="P4" i="8"/>
  <c r="P5" i="8"/>
  <c r="P6" i="8"/>
  <c r="P7" i="8"/>
  <c r="P8" i="8"/>
  <c r="P3" i="8"/>
  <c r="P9" i="8"/>
  <c r="M25" i="8"/>
  <c r="M9" i="8"/>
  <c r="M24" i="8"/>
  <c r="M3" i="8"/>
  <c r="L50" i="8"/>
  <c r="E103" i="8"/>
  <c r="E78" i="8"/>
  <c r="E105" i="8" s="1"/>
  <c r="L36" i="8"/>
  <c r="L45" i="8" s="1"/>
  <c r="M11" i="8" l="1"/>
  <c r="M19" i="8"/>
  <c r="M23" i="8"/>
  <c r="M8" i="8"/>
  <c r="M6" i="8"/>
  <c r="M14" i="8"/>
  <c r="M18" i="8"/>
  <c r="M22" i="8"/>
  <c r="M7" i="8"/>
  <c r="M4" i="8"/>
  <c r="M12" i="8"/>
  <c r="O8" i="8"/>
  <c r="M5" i="8"/>
  <c r="M17" i="8"/>
  <c r="L51" i="8" l="1"/>
  <c r="N43" i="8"/>
  <c r="N45" i="8" s="1"/>
  <c r="M37" i="8"/>
  <c r="M45" i="8" s="1"/>
  <c r="O36" i="8"/>
  <c r="O45" i="8" s="1"/>
  <c r="L13" i="8"/>
  <c r="L6" i="8"/>
  <c r="L5" i="8"/>
  <c r="L4" i="8"/>
  <c r="L8" i="8" l="1"/>
  <c r="L17" i="8"/>
  <c r="L21" i="8"/>
  <c r="L10" i="8"/>
  <c r="L14" i="8"/>
  <c r="L18" i="8"/>
  <c r="L22" i="8"/>
  <c r="L11" i="8"/>
  <c r="L15" i="8"/>
  <c r="L19" i="8"/>
  <c r="L23" i="8"/>
  <c r="L3" i="8"/>
  <c r="L7" i="8"/>
  <c r="L12" i="8"/>
  <c r="L16" i="8"/>
  <c r="L20" i="8"/>
  <c r="L9" i="8" l="1"/>
  <c r="L24" i="8"/>
  <c r="L25" i="8" l="1"/>
  <c r="H34" i="9" l="1"/>
  <c r="G34" i="9"/>
  <c r="F34" i="9"/>
  <c r="I33" i="9"/>
  <c r="I31" i="9"/>
  <c r="I30" i="9"/>
  <c r="B30" i="9" s="1"/>
  <c r="I29" i="9"/>
  <c r="B29" i="9" s="1"/>
  <c r="I28" i="9"/>
  <c r="B28" i="9" s="1"/>
  <c r="I27" i="9"/>
  <c r="B27" i="9" s="1"/>
  <c r="I26" i="9"/>
  <c r="B26" i="9" s="1"/>
  <c r="I25" i="9"/>
  <c r="B25" i="9" s="1"/>
  <c r="I23" i="9"/>
  <c r="I22" i="9"/>
  <c r="B22" i="9" s="1"/>
  <c r="I21" i="9"/>
  <c r="B21" i="9" s="1"/>
  <c r="I20" i="9"/>
  <c r="B20" i="9" s="1"/>
  <c r="I19" i="9"/>
  <c r="B19" i="9" s="1"/>
  <c r="I18" i="9"/>
  <c r="B18" i="9" s="1"/>
  <c r="I17" i="9"/>
  <c r="H13" i="9"/>
  <c r="G13" i="9"/>
  <c r="I12" i="9"/>
  <c r="I11" i="9"/>
  <c r="B11" i="9" s="1"/>
  <c r="I10" i="9"/>
  <c r="B10" i="9" s="1"/>
  <c r="I8" i="9"/>
  <c r="I7" i="9"/>
  <c r="B13" i="9" l="1"/>
  <c r="O23" i="8" l="1"/>
  <c r="O22" i="8"/>
  <c r="O19" i="8"/>
  <c r="O17" i="8"/>
  <c r="O16" i="8"/>
  <c r="O15" i="8"/>
  <c r="O14" i="8"/>
  <c r="O13" i="8"/>
  <c r="O11" i="8"/>
  <c r="O7" i="8"/>
  <c r="O6" i="8"/>
  <c r="O5" i="8"/>
  <c r="O3" i="8"/>
  <c r="N22" i="8"/>
  <c r="N20" i="8"/>
  <c r="N19" i="8"/>
  <c r="N18" i="8"/>
  <c r="N17" i="8"/>
  <c r="N16" i="8"/>
  <c r="N13" i="8"/>
  <c r="N12" i="8"/>
  <c r="N11" i="8"/>
  <c r="N8" i="8"/>
  <c r="N7" i="8"/>
  <c r="N6" i="8"/>
  <c r="N3" i="8"/>
  <c r="E11" i="7"/>
  <c r="E8" i="7"/>
  <c r="E7" i="7"/>
  <c r="N23" i="8"/>
  <c r="O10" i="8"/>
  <c r="P24" i="8" l="1"/>
  <c r="P25" i="8" s="1"/>
  <c r="O24" i="8"/>
  <c r="O9" i="8"/>
  <c r="F6" i="7"/>
  <c r="F6" i="9"/>
  <c r="E9" i="7"/>
  <c r="E9" i="9"/>
  <c r="E24" i="7"/>
  <c r="E24" i="9"/>
  <c r="E6" i="7"/>
  <c r="N24" i="8"/>
  <c r="O25" i="8" l="1"/>
  <c r="I9" i="9"/>
  <c r="E13" i="9"/>
  <c r="E34" i="9"/>
  <c r="I34" i="9" s="1"/>
  <c r="I24" i="9"/>
  <c r="B24" i="9" s="1"/>
  <c r="B34" i="9" s="1"/>
  <c r="F13" i="9"/>
  <c r="I6" i="9"/>
  <c r="H33" i="7"/>
  <c r="G33" i="7"/>
  <c r="F33" i="7"/>
  <c r="E33" i="7"/>
  <c r="I33" i="7" s="1"/>
  <c r="I32" i="7"/>
  <c r="B32" i="7" s="1"/>
  <c r="I31" i="7"/>
  <c r="B31" i="7" s="1"/>
  <c r="I30" i="7"/>
  <c r="B30" i="7" s="1"/>
  <c r="I29" i="7"/>
  <c r="B29" i="7" s="1"/>
  <c r="I28" i="7"/>
  <c r="B28" i="7" s="1"/>
  <c r="I27" i="7"/>
  <c r="B27" i="7" s="1"/>
  <c r="I26" i="7"/>
  <c r="B26" i="7" s="1"/>
  <c r="I25" i="7"/>
  <c r="B25" i="7" s="1"/>
  <c r="I24" i="7"/>
  <c r="B24" i="7" s="1"/>
  <c r="I23" i="7"/>
  <c r="B23" i="7" s="1"/>
  <c r="I22" i="7"/>
  <c r="B22" i="7" s="1"/>
  <c r="I21" i="7"/>
  <c r="B21" i="7" s="1"/>
  <c r="I20" i="7"/>
  <c r="B20" i="7" s="1"/>
  <c r="I19" i="7"/>
  <c r="B19" i="7" s="1"/>
  <c r="I18" i="7"/>
  <c r="B18" i="7" s="1"/>
  <c r="I17" i="7"/>
  <c r="H13" i="7"/>
  <c r="H35" i="7" s="1"/>
  <c r="G13" i="7"/>
  <c r="F13" i="7"/>
  <c r="E13" i="7"/>
  <c r="I12" i="7"/>
  <c r="I11" i="7"/>
  <c r="B11" i="7" s="1"/>
  <c r="I10" i="7"/>
  <c r="B10" i="7" s="1"/>
  <c r="I9" i="7"/>
  <c r="B9" i="7" s="1"/>
  <c r="I8" i="7"/>
  <c r="B8" i="7" s="1"/>
  <c r="I7" i="7"/>
  <c r="B7" i="7" s="1"/>
  <c r="I6" i="7"/>
  <c r="B6" i="7" s="1"/>
  <c r="I13" i="9" l="1"/>
  <c r="F35" i="7"/>
  <c r="E35" i="7"/>
  <c r="B33" i="7"/>
  <c r="G35" i="7"/>
  <c r="I13" i="7"/>
  <c r="B13" i="7"/>
  <c r="I35" i="7" l="1"/>
  <c r="B35" i="7"/>
</calcChain>
</file>

<file path=xl/sharedStrings.xml><?xml version="1.0" encoding="utf-8"?>
<sst xmlns="http://schemas.openxmlformats.org/spreadsheetml/2006/main" count="611" uniqueCount="190">
  <si>
    <t>収入の部</t>
    <rPh sb="0" eb="2">
      <t>シュウニュウ</t>
    </rPh>
    <rPh sb="3" eb="4">
      <t>ブ</t>
    </rPh>
    <phoneticPr fontId="7"/>
  </si>
  <si>
    <t>前年度繰越金</t>
    <rPh sb="0" eb="6">
      <t>ゼンネンドクリコシキン</t>
    </rPh>
    <phoneticPr fontId="7"/>
  </si>
  <si>
    <t>入会金</t>
    <rPh sb="0" eb="3">
      <t>ニュウカイキン</t>
    </rPh>
    <phoneticPr fontId="7"/>
  </si>
  <si>
    <t>年会費</t>
    <rPh sb="0" eb="3">
      <t>ネンカイヒ</t>
    </rPh>
    <phoneticPr fontId="7"/>
  </si>
  <si>
    <t>助成金</t>
    <rPh sb="0" eb="3">
      <t>ジョセイキン</t>
    </rPh>
    <phoneticPr fontId="7"/>
  </si>
  <si>
    <t>寄付金</t>
    <rPh sb="0" eb="3">
      <t>キフキン</t>
    </rPh>
    <phoneticPr fontId="7"/>
  </si>
  <si>
    <t>雑収入</t>
    <rPh sb="0" eb="3">
      <t>ザツシュウニュウ</t>
    </rPh>
    <phoneticPr fontId="7"/>
  </si>
  <si>
    <t>収入合計</t>
    <rPh sb="0" eb="2">
      <t>シュウニュウ</t>
    </rPh>
    <rPh sb="2" eb="4">
      <t>ゴウケイ</t>
    </rPh>
    <phoneticPr fontId="7"/>
  </si>
  <si>
    <t>支出の部</t>
    <rPh sb="0" eb="2">
      <t>シシュツ</t>
    </rPh>
    <rPh sb="3" eb="4">
      <t>ブ</t>
    </rPh>
    <phoneticPr fontId="7"/>
  </si>
  <si>
    <t>報酬費</t>
    <rPh sb="0" eb="2">
      <t>ホウシュウ</t>
    </rPh>
    <rPh sb="2" eb="3">
      <t>ヒ</t>
    </rPh>
    <phoneticPr fontId="7"/>
  </si>
  <si>
    <t>旅費</t>
    <rPh sb="0" eb="2">
      <t>リョヒ</t>
    </rPh>
    <phoneticPr fontId="7"/>
  </si>
  <si>
    <t>食糧費</t>
    <rPh sb="0" eb="3">
      <t>ショクリョウヒ</t>
    </rPh>
    <phoneticPr fontId="7"/>
  </si>
  <si>
    <t>印刷製本費</t>
    <rPh sb="0" eb="2">
      <t>インサツ</t>
    </rPh>
    <rPh sb="2" eb="4">
      <t>セイホン</t>
    </rPh>
    <rPh sb="4" eb="5">
      <t>ヒ</t>
    </rPh>
    <phoneticPr fontId="7"/>
  </si>
  <si>
    <t>資材費</t>
    <rPh sb="0" eb="2">
      <t>シザイ</t>
    </rPh>
    <rPh sb="2" eb="3">
      <t>ヒ</t>
    </rPh>
    <phoneticPr fontId="7"/>
  </si>
  <si>
    <t>工事・修繕費</t>
    <rPh sb="0" eb="2">
      <t>コウジ</t>
    </rPh>
    <rPh sb="3" eb="6">
      <t>シュウゼンヒ</t>
    </rPh>
    <phoneticPr fontId="7"/>
  </si>
  <si>
    <t>役務費</t>
    <rPh sb="0" eb="3">
      <t>エキムヒ</t>
    </rPh>
    <phoneticPr fontId="7"/>
  </si>
  <si>
    <t>通信費</t>
    <rPh sb="0" eb="3">
      <t>ツウシンヒ</t>
    </rPh>
    <phoneticPr fontId="7"/>
  </si>
  <si>
    <t>諸経費</t>
    <rPh sb="0" eb="1">
      <t>ショ</t>
    </rPh>
    <rPh sb="1" eb="3">
      <t>ケイヒ</t>
    </rPh>
    <phoneticPr fontId="7"/>
  </si>
  <si>
    <t>使用料及び賃借料</t>
    <rPh sb="0" eb="3">
      <t>シヨウリョウ</t>
    </rPh>
    <rPh sb="3" eb="4">
      <t>オヨ</t>
    </rPh>
    <rPh sb="5" eb="8">
      <t>チンシャクリョウ</t>
    </rPh>
    <phoneticPr fontId="7"/>
  </si>
  <si>
    <t>備品購入費</t>
    <rPh sb="0" eb="2">
      <t>ビヒン</t>
    </rPh>
    <rPh sb="2" eb="5">
      <t>コウニュウヒ</t>
    </rPh>
    <phoneticPr fontId="7"/>
  </si>
  <si>
    <t>燃料費</t>
    <rPh sb="0" eb="3">
      <t>ネンリョウヒ</t>
    </rPh>
    <phoneticPr fontId="7"/>
  </si>
  <si>
    <t>委託費</t>
    <rPh sb="0" eb="2">
      <t>イタク</t>
    </rPh>
    <rPh sb="2" eb="3">
      <t>ヒ</t>
    </rPh>
    <phoneticPr fontId="7"/>
  </si>
  <si>
    <t>支出合計</t>
    <rPh sb="0" eb="2">
      <t>シシュツ</t>
    </rPh>
    <rPh sb="2" eb="4">
      <t>ゴウケイ</t>
    </rPh>
    <phoneticPr fontId="7"/>
  </si>
  <si>
    <t>金額</t>
    <rPh sb="0" eb="2">
      <t>キンガク</t>
    </rPh>
    <phoneticPr fontId="7"/>
  </si>
  <si>
    <t>備考</t>
    <rPh sb="0" eb="2">
      <t>ビコウ</t>
    </rPh>
    <phoneticPr fontId="7"/>
  </si>
  <si>
    <t>次年度繰越金</t>
    <rPh sb="0" eb="3">
      <t>ジネンド</t>
    </rPh>
    <rPh sb="3" eb="6">
      <t>クリコシキン</t>
    </rPh>
    <phoneticPr fontId="7"/>
  </si>
  <si>
    <t>以上の決算内容に相違ありません。</t>
    <rPh sb="0" eb="2">
      <t>イジョウ</t>
    </rPh>
    <rPh sb="3" eb="5">
      <t>ケッサン</t>
    </rPh>
    <rPh sb="5" eb="7">
      <t>ナイヨウ</t>
    </rPh>
    <rPh sb="8" eb="10">
      <t>ソウイ</t>
    </rPh>
    <phoneticPr fontId="7"/>
  </si>
  <si>
    <t>監事　</t>
    <rPh sb="0" eb="2">
      <t>カンジ</t>
    </rPh>
    <phoneticPr fontId="7"/>
  </si>
  <si>
    <t>印</t>
    <rPh sb="0" eb="1">
      <t>イン</t>
    </rPh>
    <phoneticPr fontId="7"/>
  </si>
  <si>
    <t>その他</t>
    <rPh sb="2" eb="3">
      <t>タ</t>
    </rPh>
    <phoneticPr fontId="7"/>
  </si>
  <si>
    <t>森づくり</t>
    <rPh sb="0" eb="1">
      <t>モリ</t>
    </rPh>
    <phoneticPr fontId="7"/>
  </si>
  <si>
    <t>スイッチ交付金</t>
    <rPh sb="4" eb="7">
      <t>コウフキン</t>
    </rPh>
    <phoneticPr fontId="7"/>
  </si>
  <si>
    <t>本体会計</t>
    <rPh sb="0" eb="2">
      <t>ホンタイ</t>
    </rPh>
    <rPh sb="2" eb="4">
      <t>カイケイ</t>
    </rPh>
    <phoneticPr fontId="7"/>
  </si>
  <si>
    <t>合計</t>
    <rPh sb="0" eb="2">
      <t>ゴウケイ</t>
    </rPh>
    <phoneticPr fontId="7"/>
  </si>
  <si>
    <t>三里モンテ小屋造作費</t>
    <rPh sb="0" eb="2">
      <t>ミサト</t>
    </rPh>
    <rPh sb="5" eb="7">
      <t>コヤ</t>
    </rPh>
    <rPh sb="7" eb="9">
      <t>ゾウサ</t>
    </rPh>
    <rPh sb="9" eb="10">
      <t>ヒ</t>
    </rPh>
    <phoneticPr fontId="7"/>
  </si>
  <si>
    <t>セブン財団</t>
    <rPh sb="3" eb="5">
      <t>ザイダン</t>
    </rPh>
    <phoneticPr fontId="7"/>
  </si>
  <si>
    <t>支出の部</t>
    <rPh sb="0" eb="2">
      <t>シシュツ</t>
    </rPh>
    <rPh sb="3" eb="4">
      <t>ブ</t>
    </rPh>
    <phoneticPr fontId="7"/>
  </si>
  <si>
    <t>消耗品費</t>
    <rPh sb="0" eb="3">
      <t>ショウモウヒン</t>
    </rPh>
    <rPh sb="3" eb="4">
      <t>ヒ</t>
    </rPh>
    <phoneticPr fontId="7"/>
  </si>
  <si>
    <t>増減</t>
    <rPh sb="0" eb="2">
      <t>ゾウゲン</t>
    </rPh>
    <phoneticPr fontId="7"/>
  </si>
  <si>
    <t>事業別決算報告書</t>
    <rPh sb="0" eb="2">
      <t>ジギョウ</t>
    </rPh>
    <rPh sb="2" eb="3">
      <t>ベツ</t>
    </rPh>
    <rPh sb="3" eb="5">
      <t>ケッサン</t>
    </rPh>
    <rPh sb="5" eb="8">
      <t>ホウコクショ</t>
    </rPh>
    <phoneticPr fontId="7"/>
  </si>
  <si>
    <t>費目</t>
    <rPh sb="0" eb="2">
      <t>ヒモク</t>
    </rPh>
    <phoneticPr fontId="11"/>
  </si>
  <si>
    <t>区分</t>
    <rPh sb="0" eb="2">
      <t>クブン</t>
    </rPh>
    <phoneticPr fontId="11"/>
  </si>
  <si>
    <t>金　額</t>
    <rPh sb="0" eb="1">
      <t>キン</t>
    </rPh>
    <rPh sb="2" eb="3">
      <t>ガク</t>
    </rPh>
    <phoneticPr fontId="11"/>
  </si>
  <si>
    <t>取引先</t>
    <rPh sb="0" eb="2">
      <t>トリヒキ</t>
    </rPh>
    <rPh sb="2" eb="3">
      <t>サキ</t>
    </rPh>
    <phoneticPr fontId="11"/>
  </si>
  <si>
    <t>摘　要</t>
    <phoneticPr fontId="11"/>
  </si>
  <si>
    <t>繰越金</t>
    <rPh sb="0" eb="2">
      <t>クリコシ</t>
    </rPh>
    <rPh sb="2" eb="3">
      <t>キン</t>
    </rPh>
    <phoneticPr fontId="11"/>
  </si>
  <si>
    <t>前年度繰越金</t>
    <rPh sb="0" eb="6">
      <t>ゼンネンドクリコシキン</t>
    </rPh>
    <phoneticPr fontId="11"/>
  </si>
  <si>
    <t>費目(項目)別</t>
    <rPh sb="0" eb="2">
      <t>ヒモク</t>
    </rPh>
    <rPh sb="3" eb="5">
      <t>コウモク</t>
    </rPh>
    <rPh sb="6" eb="7">
      <t>ベツ</t>
    </rPh>
    <phoneticPr fontId="11"/>
  </si>
  <si>
    <t>雑収入</t>
    <rPh sb="0" eb="3">
      <t>ザッシュウニュウ</t>
    </rPh>
    <phoneticPr fontId="11"/>
  </si>
  <si>
    <t>繰越金</t>
    <rPh sb="0" eb="3">
      <t>クリコシキン</t>
    </rPh>
    <phoneticPr fontId="11"/>
  </si>
  <si>
    <t>光熱水費</t>
    <rPh sb="0" eb="4">
      <t>コウネツスイヒ</t>
    </rPh>
    <phoneticPr fontId="12"/>
  </si>
  <si>
    <t>入会金</t>
    <rPh sb="0" eb="3">
      <t>ニュウカイキン</t>
    </rPh>
    <phoneticPr fontId="12"/>
  </si>
  <si>
    <t>年会費</t>
    <rPh sb="0" eb="3">
      <t>ネンカイヒ</t>
    </rPh>
    <phoneticPr fontId="12"/>
  </si>
  <si>
    <t>消耗品費</t>
    <rPh sb="0" eb="2">
      <t>ショウモウ</t>
    </rPh>
    <rPh sb="2" eb="3">
      <t>ヒン</t>
    </rPh>
    <rPh sb="3" eb="4">
      <t>ヒ</t>
    </rPh>
    <phoneticPr fontId="12"/>
  </si>
  <si>
    <t>食糧費</t>
    <rPh sb="0" eb="3">
      <t>ショクリョウヒ</t>
    </rPh>
    <phoneticPr fontId="11"/>
  </si>
  <si>
    <t>印刷製本費</t>
    <rPh sb="0" eb="2">
      <t>インサツ</t>
    </rPh>
    <rPh sb="2" eb="4">
      <t>セイホン</t>
    </rPh>
    <rPh sb="4" eb="5">
      <t>ヒ</t>
    </rPh>
    <phoneticPr fontId="12"/>
  </si>
  <si>
    <t>燃料費</t>
    <rPh sb="0" eb="3">
      <t>ネンリョウヒ</t>
    </rPh>
    <phoneticPr fontId="11"/>
  </si>
  <si>
    <t>役務費</t>
    <rPh sb="0" eb="2">
      <t>エキム</t>
    </rPh>
    <rPh sb="2" eb="3">
      <t>ヒ</t>
    </rPh>
    <phoneticPr fontId="12"/>
  </si>
  <si>
    <t>使用料及び賃借料</t>
    <rPh sb="0" eb="3">
      <t>シヨウリョウ</t>
    </rPh>
    <rPh sb="3" eb="4">
      <t>オヨ</t>
    </rPh>
    <rPh sb="5" eb="8">
      <t>チンシャクリョウ</t>
    </rPh>
    <phoneticPr fontId="12"/>
  </si>
  <si>
    <t>通信費</t>
    <rPh sb="0" eb="3">
      <t>ツウシンヒ</t>
    </rPh>
    <phoneticPr fontId="11"/>
  </si>
  <si>
    <t>清算</t>
    <rPh sb="0" eb="2">
      <t>セイサン</t>
    </rPh>
    <phoneticPr fontId="11"/>
  </si>
  <si>
    <t>Ｎｏ</t>
    <phoneticPr fontId="7"/>
  </si>
  <si>
    <t>日</t>
    <rPh sb="0" eb="1">
      <t>ヒ</t>
    </rPh>
    <phoneticPr fontId="11"/>
  </si>
  <si>
    <t>ｽｲｯﾁ交付金</t>
    <rPh sb="4" eb="7">
      <t>コウフキン</t>
    </rPh>
    <phoneticPr fontId="7"/>
  </si>
  <si>
    <t>本体会計</t>
    <rPh sb="0" eb="2">
      <t>ホンタイ</t>
    </rPh>
    <rPh sb="2" eb="4">
      <t>カイケイ</t>
    </rPh>
    <phoneticPr fontId="7"/>
  </si>
  <si>
    <t>森づくり</t>
    <rPh sb="0" eb="1">
      <t>モリ</t>
    </rPh>
    <phoneticPr fontId="7"/>
  </si>
  <si>
    <t>セブン財団</t>
    <rPh sb="3" eb="5">
      <t>ザイダン</t>
    </rPh>
    <phoneticPr fontId="7"/>
  </si>
  <si>
    <t>助成金</t>
    <rPh sb="0" eb="2">
      <t>ジョセイ</t>
    </rPh>
    <rPh sb="2" eb="3">
      <t>キン</t>
    </rPh>
    <phoneticPr fontId="7"/>
  </si>
  <si>
    <t>諸経費</t>
    <rPh sb="0" eb="3">
      <t>ショケイヒ</t>
    </rPh>
    <phoneticPr fontId="7"/>
  </si>
  <si>
    <t>合計</t>
    <rPh sb="0" eb="2">
      <t>ゴウケイ</t>
    </rPh>
    <phoneticPr fontId="7"/>
  </si>
  <si>
    <t>済</t>
    <rPh sb="0" eb="1">
      <t>スミ</t>
    </rPh>
    <phoneticPr fontId="7"/>
  </si>
  <si>
    <t>未</t>
    <rPh sb="0" eb="1">
      <t>ミ</t>
    </rPh>
    <phoneticPr fontId="7"/>
  </si>
  <si>
    <t>ユートク牛津</t>
    <rPh sb="4" eb="6">
      <t>ウシヅ</t>
    </rPh>
    <phoneticPr fontId="7"/>
  </si>
  <si>
    <t>シュロ縄</t>
    <rPh sb="3" eb="4">
      <t>ナワ</t>
    </rPh>
    <phoneticPr fontId="7"/>
  </si>
  <si>
    <t>徳川機械</t>
    <rPh sb="0" eb="4">
      <t>トクガワキカイ</t>
    </rPh>
    <phoneticPr fontId="7"/>
  </si>
  <si>
    <t>スパイダー修理部品</t>
    <rPh sb="5" eb="7">
      <t>シュウリ</t>
    </rPh>
    <rPh sb="7" eb="9">
      <t>ブヒン</t>
    </rPh>
    <phoneticPr fontId="7"/>
  </si>
  <si>
    <t>（有）モロオカ</t>
    <rPh sb="0" eb="3">
      <t>ユウ</t>
    </rPh>
    <phoneticPr fontId="7"/>
  </si>
  <si>
    <t>ユンボレンタル費</t>
    <rPh sb="7" eb="8">
      <t>ヒ</t>
    </rPh>
    <phoneticPr fontId="7"/>
  </si>
  <si>
    <t>6月分電気代</t>
    <rPh sb="1" eb="3">
      <t>ガツブン</t>
    </rPh>
    <rPh sb="3" eb="6">
      <t>デンキダイ</t>
    </rPh>
    <phoneticPr fontId="7"/>
  </si>
  <si>
    <t>九州電力</t>
    <rPh sb="0" eb="4">
      <t>キュウシュウデンリョク</t>
    </rPh>
    <phoneticPr fontId="7"/>
  </si>
  <si>
    <t>デオデオ本店</t>
    <rPh sb="4" eb="6">
      <t>ホンテン</t>
    </rPh>
    <phoneticPr fontId="7"/>
  </si>
  <si>
    <t>USBメモリ</t>
    <phoneticPr fontId="7"/>
  </si>
  <si>
    <t>5月分電気代</t>
    <rPh sb="1" eb="3">
      <t>ガツブン</t>
    </rPh>
    <rPh sb="3" eb="6">
      <t>デンキダイ</t>
    </rPh>
    <phoneticPr fontId="7"/>
  </si>
  <si>
    <t>7月分電気代</t>
    <rPh sb="1" eb="3">
      <t>ガツブン</t>
    </rPh>
    <rPh sb="3" eb="6">
      <t>デンキダイ</t>
    </rPh>
    <phoneticPr fontId="7"/>
  </si>
  <si>
    <t>モンテ使用料</t>
    <rPh sb="3" eb="6">
      <t>シヨウリョウ</t>
    </rPh>
    <phoneticPr fontId="7"/>
  </si>
  <si>
    <t>ママンデイ</t>
    <phoneticPr fontId="7"/>
  </si>
  <si>
    <t>元浦　邦浩</t>
    <rPh sb="0" eb="2">
      <t>モトウラ</t>
    </rPh>
    <rPh sb="3" eb="5">
      <t>クニヒロ</t>
    </rPh>
    <phoneticPr fontId="7"/>
  </si>
  <si>
    <t>西岡　明楽</t>
    <rPh sb="0" eb="2">
      <t>ニシオカ</t>
    </rPh>
    <rPh sb="3" eb="5">
      <t>メイラク</t>
    </rPh>
    <phoneticPr fontId="7"/>
  </si>
  <si>
    <t>光石隆憲</t>
    <rPh sb="0" eb="4">
      <t>ミツイシタカノリ</t>
    </rPh>
    <phoneticPr fontId="7"/>
  </si>
  <si>
    <t>原田　紀代</t>
    <rPh sb="0" eb="2">
      <t>ハラダ</t>
    </rPh>
    <rPh sb="3" eb="5">
      <t>キヨ</t>
    </rPh>
    <phoneticPr fontId="7"/>
  </si>
  <si>
    <t>今泉　宏樹</t>
    <rPh sb="0" eb="2">
      <t>イマイズミ</t>
    </rPh>
    <rPh sb="3" eb="5">
      <t>ヒロキ</t>
    </rPh>
    <phoneticPr fontId="7"/>
  </si>
  <si>
    <t>丹下　雄大</t>
    <rPh sb="0" eb="2">
      <t>タンゲ</t>
    </rPh>
    <rPh sb="3" eb="5">
      <t>ユウダイ</t>
    </rPh>
    <phoneticPr fontId="7"/>
  </si>
  <si>
    <t>諸石　純一</t>
    <rPh sb="0" eb="2">
      <t>モロイシ</t>
    </rPh>
    <rPh sb="3" eb="5">
      <t>ジュンイチ</t>
    </rPh>
    <phoneticPr fontId="7"/>
  </si>
  <si>
    <t>生田　久美子</t>
    <rPh sb="0" eb="2">
      <t>イクタ</t>
    </rPh>
    <rPh sb="3" eb="6">
      <t>クミコ</t>
    </rPh>
    <phoneticPr fontId="7"/>
  </si>
  <si>
    <t>野口　直志</t>
    <rPh sb="0" eb="2">
      <t>ノグチ</t>
    </rPh>
    <rPh sb="3" eb="5">
      <t>ナオシ</t>
    </rPh>
    <phoneticPr fontId="7"/>
  </si>
  <si>
    <t>森永　健一</t>
    <rPh sb="0" eb="2">
      <t>モリナガ</t>
    </rPh>
    <rPh sb="3" eb="5">
      <t>ケンイチ</t>
    </rPh>
    <phoneticPr fontId="7"/>
  </si>
  <si>
    <t>深河　文雄</t>
    <rPh sb="0" eb="2">
      <t>フカガワ</t>
    </rPh>
    <rPh sb="3" eb="5">
      <t>フミオ</t>
    </rPh>
    <phoneticPr fontId="7"/>
  </si>
  <si>
    <t>富永　正樹</t>
    <rPh sb="0" eb="2">
      <t>トミナガ</t>
    </rPh>
    <rPh sb="3" eb="5">
      <t>マサキ</t>
    </rPh>
    <phoneticPr fontId="7"/>
  </si>
  <si>
    <t>3月分電気代</t>
    <rPh sb="1" eb="3">
      <t>ガツブン</t>
    </rPh>
    <rPh sb="3" eb="6">
      <t>デンキダイ</t>
    </rPh>
    <phoneticPr fontId="7"/>
  </si>
  <si>
    <t>2月分電気代</t>
    <rPh sb="1" eb="3">
      <t>ガツブン</t>
    </rPh>
    <rPh sb="3" eb="6">
      <t>デンキダイ</t>
    </rPh>
    <phoneticPr fontId="7"/>
  </si>
  <si>
    <t>4月分電気代</t>
    <rPh sb="1" eb="3">
      <t>ガツブン</t>
    </rPh>
    <rPh sb="3" eb="6">
      <t>デンキダイ</t>
    </rPh>
    <phoneticPr fontId="7"/>
  </si>
  <si>
    <t>吉田</t>
    <rPh sb="0" eb="2">
      <t>ヨシダ</t>
    </rPh>
    <phoneticPr fontId="7"/>
  </si>
  <si>
    <t>寄付</t>
    <rPh sb="0" eb="2">
      <t>キフ</t>
    </rPh>
    <phoneticPr fontId="7"/>
  </si>
  <si>
    <t>松並　陽一</t>
    <rPh sb="0" eb="2">
      <t>マツナミ</t>
    </rPh>
    <rPh sb="3" eb="5">
      <t>ヨウイチ</t>
    </rPh>
    <phoneticPr fontId="7"/>
  </si>
  <si>
    <t>平成29年度　ふるさと・夢つむぎネットワーク・決算報告書</t>
    <rPh sb="0" eb="2">
      <t>ヘイセイ</t>
    </rPh>
    <rPh sb="4" eb="6">
      <t>ネンド</t>
    </rPh>
    <rPh sb="12" eb="13">
      <t>ユメ</t>
    </rPh>
    <rPh sb="23" eb="25">
      <t>ケッサン</t>
    </rPh>
    <rPh sb="25" eb="27">
      <t>ホウコク</t>
    </rPh>
    <rPh sb="27" eb="28">
      <t>ショ</t>
    </rPh>
    <phoneticPr fontId="7"/>
  </si>
  <si>
    <t>平成29年度　ふるさと・夢つむぎネットワーク</t>
    <rPh sb="0" eb="2">
      <t>ヘイセイ</t>
    </rPh>
    <rPh sb="4" eb="6">
      <t>ネンド</t>
    </rPh>
    <rPh sb="12" eb="13">
      <t>ユメ</t>
    </rPh>
    <phoneticPr fontId="7"/>
  </si>
  <si>
    <t>小城市</t>
    <rPh sb="0" eb="2">
      <t>オギ</t>
    </rPh>
    <rPh sb="2" eb="3">
      <t>シ</t>
    </rPh>
    <phoneticPr fontId="7"/>
  </si>
  <si>
    <t>オリーブ研究会ロッカー使用料</t>
    <rPh sb="4" eb="7">
      <t>ケンキュウカイ</t>
    </rPh>
    <rPh sb="11" eb="14">
      <t>シヨウリョウ</t>
    </rPh>
    <phoneticPr fontId="7"/>
  </si>
  <si>
    <t>夢つむぎロッカー使用料</t>
    <rPh sb="0" eb="1">
      <t>ユメ</t>
    </rPh>
    <rPh sb="8" eb="11">
      <t>シヨウリョウ</t>
    </rPh>
    <phoneticPr fontId="7"/>
  </si>
  <si>
    <t>名刺代（生田・山口陽）</t>
    <rPh sb="0" eb="2">
      <t>メイシ</t>
    </rPh>
    <rPh sb="2" eb="3">
      <t>ダイ</t>
    </rPh>
    <rPh sb="4" eb="6">
      <t>イクタ</t>
    </rPh>
    <rPh sb="7" eb="9">
      <t>ヤマグチ</t>
    </rPh>
    <rPh sb="9" eb="10">
      <t>ヨウ</t>
    </rPh>
    <phoneticPr fontId="7"/>
  </si>
  <si>
    <t>音成印刷</t>
    <rPh sb="0" eb="1">
      <t>オト</t>
    </rPh>
    <rPh sb="1" eb="2">
      <t>ナリ</t>
    </rPh>
    <rPh sb="2" eb="4">
      <t>インサツ</t>
    </rPh>
    <phoneticPr fontId="7"/>
  </si>
  <si>
    <t>モンテ道具倉庫鍵</t>
    <rPh sb="3" eb="5">
      <t>ドウグ</t>
    </rPh>
    <rPh sb="5" eb="7">
      <t>ソウコ</t>
    </rPh>
    <rPh sb="7" eb="8">
      <t>カギ</t>
    </rPh>
    <phoneticPr fontId="7"/>
  </si>
  <si>
    <t>ＧＯＯＤＡＹ</t>
    <phoneticPr fontId="7"/>
  </si>
  <si>
    <t>モンテトイレスイッチ</t>
    <phoneticPr fontId="7"/>
  </si>
  <si>
    <t>8月分電気代</t>
    <rPh sb="1" eb="3">
      <t>ガツブン</t>
    </rPh>
    <rPh sb="3" eb="6">
      <t>デンキダイ</t>
    </rPh>
    <phoneticPr fontId="7"/>
  </si>
  <si>
    <t>九州電力</t>
    <rPh sb="0" eb="2">
      <t>キュウシュウ</t>
    </rPh>
    <rPh sb="2" eb="4">
      <t>デンリョク</t>
    </rPh>
    <phoneticPr fontId="7"/>
  </si>
  <si>
    <t>松並陽一</t>
    <rPh sb="0" eb="2">
      <t>マツナミ</t>
    </rPh>
    <rPh sb="2" eb="4">
      <t>ヨウイチ</t>
    </rPh>
    <phoneticPr fontId="7"/>
  </si>
  <si>
    <t>渕野紗代</t>
    <rPh sb="0" eb="2">
      <t>フチノ</t>
    </rPh>
    <rPh sb="2" eb="4">
      <t>サヨ</t>
    </rPh>
    <phoneticPr fontId="7"/>
  </si>
  <si>
    <t>西岡　明楽</t>
    <rPh sb="0" eb="2">
      <t>ニシオカ</t>
    </rPh>
    <rPh sb="3" eb="4">
      <t>メイ</t>
    </rPh>
    <rPh sb="4" eb="5">
      <t>ラク</t>
    </rPh>
    <phoneticPr fontId="7"/>
  </si>
  <si>
    <t>イベント経費（食品）</t>
    <rPh sb="4" eb="6">
      <t>ケイヒ</t>
    </rPh>
    <rPh sb="7" eb="9">
      <t>ショクヒン</t>
    </rPh>
    <phoneticPr fontId="7"/>
  </si>
  <si>
    <t>イベント経費（備品）</t>
    <rPh sb="4" eb="6">
      <t>ケイヒ</t>
    </rPh>
    <rPh sb="7" eb="9">
      <t>ビヒン</t>
    </rPh>
    <phoneticPr fontId="7"/>
  </si>
  <si>
    <t>イベント保険料</t>
    <rPh sb="4" eb="7">
      <t>ホケンリョウ</t>
    </rPh>
    <phoneticPr fontId="7"/>
  </si>
  <si>
    <t>損保ジャパン</t>
    <rPh sb="0" eb="2">
      <t>ソンポ</t>
    </rPh>
    <phoneticPr fontId="7"/>
  </si>
  <si>
    <t>11月分電気代</t>
    <rPh sb="2" eb="4">
      <t>ガツブン</t>
    </rPh>
    <rPh sb="4" eb="7">
      <t>デンキダイ</t>
    </rPh>
    <phoneticPr fontId="7"/>
  </si>
  <si>
    <t>10月分電気代</t>
    <rPh sb="2" eb="4">
      <t>ガツブン</t>
    </rPh>
    <rPh sb="4" eb="7">
      <t>デンキダイ</t>
    </rPh>
    <phoneticPr fontId="7"/>
  </si>
  <si>
    <t>9月分電気代</t>
    <rPh sb="1" eb="3">
      <t>ガツブン</t>
    </rPh>
    <rPh sb="3" eb="6">
      <t>デンキダイ</t>
    </rPh>
    <phoneticPr fontId="7"/>
  </si>
  <si>
    <t>イベント経費</t>
    <rPh sb="4" eb="6">
      <t>ケイヒ</t>
    </rPh>
    <phoneticPr fontId="7"/>
  </si>
  <si>
    <t>12月分電気代</t>
    <rPh sb="2" eb="4">
      <t>ガツブン</t>
    </rPh>
    <rPh sb="4" eb="7">
      <t>デンキダイ</t>
    </rPh>
    <phoneticPr fontId="7"/>
  </si>
  <si>
    <t>2月分電気代</t>
    <phoneticPr fontId="7"/>
  </si>
  <si>
    <t>九州電力</t>
    <phoneticPr fontId="7"/>
  </si>
  <si>
    <t>牛津高校：＠500円×38人</t>
    <rPh sb="0" eb="2">
      <t>ウシヅ</t>
    </rPh>
    <rPh sb="2" eb="4">
      <t>コウコウ</t>
    </rPh>
    <rPh sb="9" eb="10">
      <t>エン</t>
    </rPh>
    <rPh sb="13" eb="14">
      <t>ニン</t>
    </rPh>
    <phoneticPr fontId="7"/>
  </si>
  <si>
    <t>助成金・補助金</t>
    <rPh sb="0" eb="3">
      <t>ジョセイキン</t>
    </rPh>
    <rPh sb="4" eb="7">
      <t>ホジョキン</t>
    </rPh>
    <phoneticPr fontId="7"/>
  </si>
  <si>
    <t>自：平成29年4月 1日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7"/>
  </si>
  <si>
    <t>至：平成30年3月31日</t>
    <rPh sb="0" eb="1">
      <t>イタル</t>
    </rPh>
    <rPh sb="2" eb="4">
      <t>ヘイセイ</t>
    </rPh>
    <rPh sb="6" eb="7">
      <t>ネン</t>
    </rPh>
    <rPh sb="8" eb="9">
      <t>ガツ</t>
    </rPh>
    <rPh sb="11" eb="12">
      <t>ヒ</t>
    </rPh>
    <phoneticPr fontId="7"/>
  </si>
  <si>
    <t>収入計</t>
    <rPh sb="0" eb="2">
      <t>シュウニュウ</t>
    </rPh>
    <rPh sb="2" eb="3">
      <t>ケイ</t>
    </rPh>
    <phoneticPr fontId="7"/>
  </si>
  <si>
    <t>支出計</t>
    <rPh sb="0" eb="2">
      <t>シシュツ</t>
    </rPh>
    <rPh sb="2" eb="3">
      <t>ケイ</t>
    </rPh>
    <phoneticPr fontId="7"/>
  </si>
  <si>
    <t>差引計</t>
    <rPh sb="0" eb="2">
      <t>サシヒキ</t>
    </rPh>
    <rPh sb="2" eb="3">
      <t>ケイ</t>
    </rPh>
    <phoneticPr fontId="11"/>
  </si>
  <si>
    <t>光熱水費</t>
    <rPh sb="0" eb="2">
      <t>コウネツ</t>
    </rPh>
    <rPh sb="2" eb="3">
      <t>スイ</t>
    </rPh>
    <rPh sb="3" eb="4">
      <t>ヒ</t>
    </rPh>
    <phoneticPr fontId="7"/>
  </si>
  <si>
    <t>平成30年度　ふるさと・夢つむぎネットワーク</t>
    <rPh sb="0" eb="2">
      <t>ヘイセイ</t>
    </rPh>
    <rPh sb="4" eb="6">
      <t>ネンド</t>
    </rPh>
    <rPh sb="12" eb="13">
      <t>ユメ</t>
    </rPh>
    <phoneticPr fontId="7"/>
  </si>
  <si>
    <t>自：平成30年4月 1日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7"/>
  </si>
  <si>
    <t>至：平成31年3月31日</t>
    <rPh sb="0" eb="1">
      <t>イタル</t>
    </rPh>
    <rPh sb="2" eb="4">
      <t>ヘイセイ</t>
    </rPh>
    <rPh sb="6" eb="7">
      <t>ネン</t>
    </rPh>
    <rPh sb="8" eb="9">
      <t>ガツ</t>
    </rPh>
    <rPh sb="11" eb="12">
      <t>ヒ</t>
    </rPh>
    <phoneticPr fontId="7"/>
  </si>
  <si>
    <t>トリカイ</t>
    <phoneticPr fontId="7"/>
  </si>
  <si>
    <t>トリカイ</t>
    <phoneticPr fontId="7"/>
  </si>
  <si>
    <t>予備費</t>
    <rPh sb="0" eb="3">
      <t>ヨビヒ</t>
    </rPh>
    <phoneticPr fontId="7"/>
  </si>
  <si>
    <t>28年度ふるさと夢つむぎネットワーク出納帳</t>
    <rPh sb="8" eb="9">
      <t>ユメ</t>
    </rPh>
    <rPh sb="18" eb="21">
      <t>スイトウチョウ</t>
    </rPh>
    <phoneticPr fontId="7"/>
  </si>
  <si>
    <t>会議所使用料</t>
    <rPh sb="0" eb="6">
      <t>カイギショシヨウリョウ</t>
    </rPh>
    <phoneticPr fontId="7"/>
  </si>
  <si>
    <t>ゆめぷらっと</t>
    <phoneticPr fontId="7"/>
  </si>
  <si>
    <t>トライアル</t>
    <phoneticPr fontId="7"/>
  </si>
  <si>
    <t>ダイレックス</t>
    <phoneticPr fontId="7"/>
  </si>
  <si>
    <t>ダイソー</t>
    <phoneticPr fontId="7"/>
  </si>
  <si>
    <t>A-PRICE</t>
    <phoneticPr fontId="7"/>
  </si>
  <si>
    <t>イベント参加費</t>
    <phoneticPr fontId="7"/>
  </si>
  <si>
    <t>A-PRICE</t>
    <phoneticPr fontId="7"/>
  </si>
  <si>
    <t>小城市男女共同参画ネットワーク</t>
    <rPh sb="0" eb="3">
      <t>オギシ</t>
    </rPh>
    <rPh sb="3" eb="5">
      <t>ダンジョ</t>
    </rPh>
    <rPh sb="5" eb="9">
      <t>キョウドウサンカク</t>
    </rPh>
    <phoneticPr fontId="7"/>
  </si>
  <si>
    <t>イベント謝金</t>
    <rPh sb="4" eb="6">
      <t>シャキン</t>
    </rPh>
    <phoneticPr fontId="7"/>
  </si>
  <si>
    <t>内山恵美</t>
    <rPh sb="0" eb="2">
      <t>ウチヤマ</t>
    </rPh>
    <rPh sb="2" eb="4">
      <t>エミ</t>
    </rPh>
    <phoneticPr fontId="7"/>
  </si>
  <si>
    <t>御厨有起</t>
    <rPh sb="0" eb="2">
      <t>ミクリヤ</t>
    </rPh>
    <rPh sb="2" eb="4">
      <t>ユウキ</t>
    </rPh>
    <phoneticPr fontId="7"/>
  </si>
  <si>
    <t>平野佐知雄</t>
    <rPh sb="0" eb="2">
      <t>ヒラノ</t>
    </rPh>
    <rPh sb="2" eb="5">
      <t>サチオ</t>
    </rPh>
    <phoneticPr fontId="7"/>
  </si>
  <si>
    <t>野口直志</t>
    <rPh sb="0" eb="2">
      <t>ノグチ</t>
    </rPh>
    <rPh sb="2" eb="4">
      <t>ナオシ</t>
    </rPh>
    <phoneticPr fontId="7"/>
  </si>
  <si>
    <t>生田久美子</t>
    <rPh sb="0" eb="2">
      <t>イクタ</t>
    </rPh>
    <rPh sb="2" eb="5">
      <t>クミコ</t>
    </rPh>
    <phoneticPr fontId="7"/>
  </si>
  <si>
    <t>原田紀代</t>
    <rPh sb="0" eb="2">
      <t>ハラダ</t>
    </rPh>
    <rPh sb="2" eb="4">
      <t>キヨ</t>
    </rPh>
    <phoneticPr fontId="7"/>
  </si>
  <si>
    <t>今泉宏樹</t>
    <rPh sb="0" eb="2">
      <t>イマイズミ</t>
    </rPh>
    <rPh sb="2" eb="4">
      <t>ヒロキ</t>
    </rPh>
    <phoneticPr fontId="7"/>
  </si>
  <si>
    <t>1月分電気代</t>
    <phoneticPr fontId="7"/>
  </si>
  <si>
    <t>武下青果</t>
    <rPh sb="0" eb="2">
      <t>タケシタ</t>
    </rPh>
    <rPh sb="2" eb="4">
      <t>セイカ</t>
    </rPh>
    <phoneticPr fontId="7"/>
  </si>
  <si>
    <t>セブン財団・ままんでいイベント</t>
    <rPh sb="3" eb="5">
      <t>ザイダン</t>
    </rPh>
    <phoneticPr fontId="7"/>
  </si>
  <si>
    <t>ままんでい</t>
    <phoneticPr fontId="7"/>
  </si>
  <si>
    <t>29年度合計</t>
    <rPh sb="2" eb="4">
      <t>ネンド</t>
    </rPh>
    <rPh sb="4" eb="6">
      <t>ゴウケイ</t>
    </rPh>
    <phoneticPr fontId="7"/>
  </si>
  <si>
    <t>3月分電気代</t>
  </si>
  <si>
    <t>九州電力</t>
    <phoneticPr fontId="7"/>
  </si>
  <si>
    <t>4月分電気代</t>
  </si>
  <si>
    <t>①</t>
    <phoneticPr fontId="7"/>
  </si>
  <si>
    <t>工事・修繕費</t>
    <phoneticPr fontId="7"/>
  </si>
  <si>
    <t>イベント</t>
    <phoneticPr fontId="7"/>
  </si>
  <si>
    <t>10/13イベント</t>
    <phoneticPr fontId="7"/>
  </si>
  <si>
    <t>11/25イベント</t>
    <phoneticPr fontId="7"/>
  </si>
  <si>
    <t>2/23イベント</t>
    <phoneticPr fontId="7"/>
  </si>
  <si>
    <t>経費</t>
    <rPh sb="0" eb="2">
      <t>ケイヒ</t>
    </rPh>
    <phoneticPr fontId="7"/>
  </si>
  <si>
    <t>参加費</t>
    <rPh sb="0" eb="3">
      <t>サンカヒ</t>
    </rPh>
    <phoneticPr fontId="7"/>
  </si>
  <si>
    <t>収入</t>
    <rPh sb="0" eb="2">
      <t>シュウニュウ</t>
    </rPh>
    <phoneticPr fontId="7"/>
  </si>
  <si>
    <t>通帳残高</t>
    <rPh sb="0" eb="2">
      <t>ツウチョウ</t>
    </rPh>
    <rPh sb="2" eb="4">
      <t>ザンダカ</t>
    </rPh>
    <phoneticPr fontId="7"/>
  </si>
  <si>
    <t>現金残高</t>
    <rPh sb="0" eb="3">
      <t>ゲンキンザン</t>
    </rPh>
    <rPh sb="3" eb="4">
      <t>タカ</t>
    </rPh>
    <phoneticPr fontId="7"/>
  </si>
  <si>
    <t>（未清算金）</t>
    <rPh sb="1" eb="5">
      <t>ミセイサンキン</t>
    </rPh>
    <phoneticPr fontId="7"/>
  </si>
  <si>
    <t>現預金残高②</t>
    <rPh sb="0" eb="1">
      <t>ゲン</t>
    </rPh>
    <rPh sb="1" eb="3">
      <t>ヨキン</t>
    </rPh>
    <rPh sb="3" eb="5">
      <t>ザンダカ</t>
    </rPh>
    <phoneticPr fontId="7"/>
  </si>
  <si>
    <t>帳簿残高①-②</t>
    <rPh sb="0" eb="3">
      <t>チョウボザン</t>
    </rPh>
    <rPh sb="3" eb="4">
      <t>タカ</t>
    </rPh>
    <phoneticPr fontId="7"/>
  </si>
  <si>
    <t>モリナガ</t>
    <phoneticPr fontId="7"/>
  </si>
  <si>
    <t>セブンイレブン</t>
    <phoneticPr fontId="7"/>
  </si>
  <si>
    <t>7/30イベント</t>
    <phoneticPr fontId="7"/>
  </si>
  <si>
    <t>セブン財団イベント参加費</t>
    <rPh sb="3" eb="5">
      <t>ザイダン</t>
    </rPh>
    <rPh sb="9" eb="11">
      <t>サンカ</t>
    </rPh>
    <rPh sb="11" eb="12">
      <t>ヒ</t>
    </rPh>
    <phoneticPr fontId="7"/>
  </si>
  <si>
    <t>平成30年度　ふるさと・夢つむぎネットワーク・予算</t>
    <rPh sb="0" eb="2">
      <t>ヘイセイ</t>
    </rPh>
    <rPh sb="4" eb="6">
      <t>ネンド</t>
    </rPh>
    <rPh sb="12" eb="13">
      <t>ユメ</t>
    </rPh>
    <rPh sb="23" eb="25">
      <t>ヨサン</t>
    </rPh>
    <phoneticPr fontId="7"/>
  </si>
  <si>
    <t>事業別予算</t>
    <rPh sb="0" eb="2">
      <t>ジギョウ</t>
    </rPh>
    <rPh sb="2" eb="3">
      <t>ベツ</t>
    </rPh>
    <rPh sb="3" eb="5">
      <t>ヨサン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</si>
</sst>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5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8"/>
      <color theme="1"/>
      <name val="Yu Gothic"/>
      <family val="2"/>
      <scheme val="minor"/>
    </font>
    <font>
      <b/>
      <sz val="11"/>
      <color theme="1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theme="1"/>
      <name val="Yu Gothic"/>
      <family val="3"/>
      <charset val="128"/>
      <scheme val="minor"/>
    </font>
    <font>
      <sz val="11"/>
      <name val="Yu Gothic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38" fontId="6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</cellStyleXfs>
  <cellXfs count="195">
    <xf numFmtId="0" fontId="0" fillId="0" borderId="0" xfId="0"/>
    <xf numFmtId="38" fontId="0" fillId="0" borderId="0" xfId="1" applyFont="1" applyAlignment="1"/>
    <xf numFmtId="58" fontId="0" fillId="0" borderId="0" xfId="0" applyNumberFormat="1"/>
    <xf numFmtId="0" fontId="0" fillId="0" borderId="2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1" xfId="0" applyBorder="1" applyAlignment="1">
      <alignment horizontal="center"/>
    </xf>
    <xf numFmtId="38" fontId="0" fillId="0" borderId="1" xfId="1" applyFont="1" applyBorder="1" applyAlignment="1">
      <alignment horizontal="center"/>
    </xf>
    <xf numFmtId="0" fontId="0" fillId="0" borderId="6" xfId="0" applyBorder="1"/>
    <xf numFmtId="0" fontId="0" fillId="0" borderId="0" xfId="0" applyAlignment="1">
      <alignment horizontal="right"/>
    </xf>
    <xf numFmtId="6" fontId="0" fillId="0" borderId="5" xfId="2" applyFont="1" applyBorder="1" applyAlignment="1"/>
    <xf numFmtId="6" fontId="0" fillId="0" borderId="2" xfId="2" applyFont="1" applyBorder="1" applyAlignment="1"/>
    <xf numFmtId="6" fontId="0" fillId="0" borderId="1" xfId="2" applyFont="1" applyBorder="1" applyAlignment="1"/>
    <xf numFmtId="6" fontId="0" fillId="0" borderId="0" xfId="2" applyFont="1" applyAlignment="1"/>
    <xf numFmtId="6" fontId="0" fillId="0" borderId="7" xfId="2" applyFont="1" applyBorder="1" applyAlignment="1"/>
    <xf numFmtId="38" fontId="0" fillId="0" borderId="0" xfId="0" applyNumberFormat="1"/>
    <xf numFmtId="38" fontId="0" fillId="0" borderId="2" xfId="1" applyFont="1" applyBorder="1" applyAlignment="1"/>
    <xf numFmtId="38" fontId="0" fillId="0" borderId="2" xfId="0" applyNumberFormat="1" applyBorder="1"/>
    <xf numFmtId="38" fontId="0" fillId="0" borderId="3" xfId="0" applyNumberFormat="1" applyBorder="1"/>
    <xf numFmtId="38" fontId="0" fillId="0" borderId="9" xfId="1" applyFont="1" applyBorder="1" applyAlignment="1">
      <alignment horizontal="center"/>
    </xf>
    <xf numFmtId="38" fontId="0" fillId="0" borderId="9" xfId="1" applyFont="1" applyFill="1" applyBorder="1" applyAlignment="1">
      <alignment horizontal="center"/>
    </xf>
    <xf numFmtId="38" fontId="0" fillId="0" borderId="8" xfId="1" applyFont="1" applyBorder="1" applyAlignment="1"/>
    <xf numFmtId="38" fontId="0" fillId="0" borderId="8" xfId="0" applyNumberFormat="1" applyBorder="1"/>
    <xf numFmtId="0" fontId="9" fillId="0" borderId="2" xfId="0" applyFont="1" applyBorder="1"/>
    <xf numFmtId="38" fontId="0" fillId="0" borderId="1" xfId="1" applyFont="1" applyBorder="1" applyAlignment="1"/>
    <xf numFmtId="38" fontId="0" fillId="0" borderId="1" xfId="0" applyNumberFormat="1" applyBorder="1"/>
    <xf numFmtId="38" fontId="0" fillId="0" borderId="4" xfId="1" applyFont="1" applyBorder="1" applyAlignment="1"/>
    <xf numFmtId="38" fontId="0" fillId="0" borderId="4" xfId="0" applyNumberFormat="1" applyBorder="1"/>
    <xf numFmtId="38" fontId="0" fillId="0" borderId="1" xfId="1" applyFont="1" applyFill="1" applyBorder="1" applyAlignment="1">
      <alignment horizontal="center"/>
    </xf>
    <xf numFmtId="38" fontId="0" fillId="0" borderId="5" xfId="1" applyFont="1" applyBorder="1" applyAlignment="1"/>
    <xf numFmtId="38" fontId="0" fillId="0" borderId="5" xfId="0" applyNumberFormat="1" applyBorder="1"/>
    <xf numFmtId="0" fontId="0" fillId="0" borderId="0" xfId="0" applyAlignment="1">
      <alignment horizontal="center"/>
    </xf>
    <xf numFmtId="0" fontId="5" fillId="0" borderId="0" xfId="3">
      <alignment vertical="center"/>
    </xf>
    <xf numFmtId="0" fontId="5" fillId="0" borderId="0" xfId="3" applyFill="1">
      <alignment vertical="center"/>
    </xf>
    <xf numFmtId="0" fontId="5" fillId="0" borderId="0" xfId="3" applyAlignment="1">
      <alignment horizontal="left" vertical="top"/>
    </xf>
    <xf numFmtId="38" fontId="0" fillId="0" borderId="0" xfId="4" applyFont="1">
      <alignment vertical="center"/>
    </xf>
    <xf numFmtId="38" fontId="5" fillId="0" borderId="0" xfId="3" applyNumberFormat="1">
      <alignment vertical="center"/>
    </xf>
    <xf numFmtId="38" fontId="5" fillId="0" borderId="0" xfId="3" applyNumberFormat="1" applyFill="1">
      <alignment vertical="center"/>
    </xf>
    <xf numFmtId="38" fontId="0" fillId="0" borderId="0" xfId="4" applyFont="1" applyFill="1">
      <alignment vertical="center"/>
    </xf>
    <xf numFmtId="0" fontId="5" fillId="0" borderId="1" xfId="3" applyBorder="1" applyAlignment="1">
      <alignment horizontal="center" vertical="center"/>
    </xf>
    <xf numFmtId="0" fontId="5" fillId="0" borderId="10" xfId="3" applyFill="1" applyBorder="1">
      <alignment vertical="center"/>
    </xf>
    <xf numFmtId="0" fontId="5" fillId="0" borderId="2" xfId="3" applyFill="1" applyBorder="1">
      <alignment vertical="center"/>
    </xf>
    <xf numFmtId="38" fontId="0" fillId="0" borderId="2" xfId="4" applyFont="1" applyFill="1" applyBorder="1">
      <alignment vertical="center"/>
    </xf>
    <xf numFmtId="56" fontId="5" fillId="0" borderId="2" xfId="3" applyNumberFormat="1" applyFill="1" applyBorder="1">
      <alignment vertical="center"/>
    </xf>
    <xf numFmtId="0" fontId="5" fillId="0" borderId="11" xfId="3" applyFill="1" applyBorder="1">
      <alignment vertical="center"/>
    </xf>
    <xf numFmtId="0" fontId="5" fillId="0" borderId="13" xfId="3" applyFill="1" applyBorder="1">
      <alignment vertical="center"/>
    </xf>
    <xf numFmtId="0" fontId="5" fillId="0" borderId="14" xfId="3" applyBorder="1">
      <alignment vertical="center"/>
    </xf>
    <xf numFmtId="14" fontId="5" fillId="0" borderId="1" xfId="3" applyNumberFormat="1" applyBorder="1" applyAlignment="1">
      <alignment horizontal="center" vertical="center"/>
    </xf>
    <xf numFmtId="0" fontId="5" fillId="0" borderId="19" xfId="3" applyBorder="1" applyAlignment="1">
      <alignment horizontal="center" vertical="center"/>
    </xf>
    <xf numFmtId="0" fontId="5" fillId="0" borderId="18" xfId="3" applyBorder="1" applyAlignment="1">
      <alignment horizontal="center" vertical="center"/>
    </xf>
    <xf numFmtId="56" fontId="5" fillId="0" borderId="5" xfId="3" applyNumberFormat="1" applyFill="1" applyBorder="1">
      <alignment vertical="center"/>
    </xf>
    <xf numFmtId="0" fontId="5" fillId="0" borderId="5" xfId="3" applyFill="1" applyBorder="1" applyAlignment="1">
      <alignment horizontal="left" vertical="top"/>
    </xf>
    <xf numFmtId="0" fontId="5" fillId="0" borderId="5" xfId="3" applyFill="1" applyBorder="1">
      <alignment vertical="center"/>
    </xf>
    <xf numFmtId="38" fontId="0" fillId="0" borderId="5" xfId="4" applyFont="1" applyFill="1" applyBorder="1">
      <alignment vertical="center"/>
    </xf>
    <xf numFmtId="0" fontId="5" fillId="0" borderId="12" xfId="3" applyFill="1" applyBorder="1">
      <alignment vertical="center"/>
    </xf>
    <xf numFmtId="38" fontId="0" fillId="0" borderId="12" xfId="4" applyFont="1" applyFill="1" applyBorder="1">
      <alignment vertical="center"/>
    </xf>
    <xf numFmtId="0" fontId="5" fillId="0" borderId="6" xfId="3" applyBorder="1">
      <alignment vertical="center"/>
    </xf>
    <xf numFmtId="0" fontId="5" fillId="0" borderId="20" xfId="3" applyBorder="1">
      <alignment vertical="center"/>
    </xf>
    <xf numFmtId="0" fontId="5" fillId="0" borderId="20" xfId="3" applyBorder="1" applyAlignment="1">
      <alignment horizontal="left" vertical="top"/>
    </xf>
    <xf numFmtId="38" fontId="0" fillId="0" borderId="20" xfId="4" applyFont="1" applyBorder="1">
      <alignment vertical="center"/>
    </xf>
    <xf numFmtId="0" fontId="5" fillId="0" borderId="7" xfId="3" applyFill="1" applyBorder="1">
      <alignment vertical="center"/>
    </xf>
    <xf numFmtId="0" fontId="5" fillId="0" borderId="0" xfId="3" applyFill="1" applyBorder="1" applyAlignment="1">
      <alignment horizontal="center" vertical="center"/>
    </xf>
    <xf numFmtId="38" fontId="0" fillId="0" borderId="0" xfId="4" applyFont="1" applyBorder="1">
      <alignment vertical="center"/>
    </xf>
    <xf numFmtId="0" fontId="13" fillId="0" borderId="0" xfId="3" applyFont="1" applyBorder="1" applyAlignment="1">
      <alignment horizontal="center" vertical="center"/>
    </xf>
    <xf numFmtId="0" fontId="5" fillId="0" borderId="0" xfId="3" applyBorder="1" applyAlignment="1">
      <alignment horizontal="center" vertical="center"/>
    </xf>
    <xf numFmtId="0" fontId="5" fillId="0" borderId="0" xfId="3" applyBorder="1">
      <alignment vertical="center"/>
    </xf>
    <xf numFmtId="0" fontId="5" fillId="0" borderId="0" xfId="3" applyFill="1" applyBorder="1">
      <alignment vertical="center"/>
    </xf>
    <xf numFmtId="0" fontId="5" fillId="0" borderId="10" xfId="3" applyBorder="1">
      <alignment vertical="center"/>
    </xf>
    <xf numFmtId="0" fontId="5" fillId="0" borderId="22" xfId="3" applyBorder="1">
      <alignment vertical="center"/>
    </xf>
    <xf numFmtId="0" fontId="4" fillId="0" borderId="0" xfId="3" applyFont="1" applyFill="1" applyBorder="1" applyAlignment="1">
      <alignment horizontal="right" vertical="center"/>
    </xf>
    <xf numFmtId="38" fontId="5" fillId="0" borderId="2" xfId="1" applyFont="1" applyBorder="1">
      <alignment vertical="center"/>
    </xf>
    <xf numFmtId="38" fontId="5" fillId="0" borderId="4" xfId="1" applyFont="1" applyBorder="1">
      <alignment vertical="center"/>
    </xf>
    <xf numFmtId="38" fontId="0" fillId="0" borderId="20" xfId="1" applyFont="1" applyBorder="1">
      <alignment vertical="center"/>
    </xf>
    <xf numFmtId="38" fontId="5" fillId="0" borderId="20" xfId="1" applyFont="1" applyBorder="1">
      <alignment vertical="center"/>
    </xf>
    <xf numFmtId="0" fontId="5" fillId="0" borderId="13" xfId="3" applyBorder="1">
      <alignment vertical="center"/>
    </xf>
    <xf numFmtId="38" fontId="5" fillId="0" borderId="5" xfId="1" applyFont="1" applyBorder="1">
      <alignment vertical="center"/>
    </xf>
    <xf numFmtId="38" fontId="5" fillId="0" borderId="23" xfId="3" applyNumberFormat="1" applyBorder="1">
      <alignment vertical="center"/>
    </xf>
    <xf numFmtId="0" fontId="5" fillId="0" borderId="20" xfId="3" applyBorder="1" applyAlignment="1">
      <alignment horizontal="center" vertical="center"/>
    </xf>
    <xf numFmtId="0" fontId="4" fillId="0" borderId="20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0" fillId="0" borderId="24" xfId="0" applyBorder="1"/>
    <xf numFmtId="0" fontId="4" fillId="0" borderId="0" xfId="3" applyFont="1" applyBorder="1" applyAlignment="1">
      <alignment vertical="center"/>
    </xf>
    <xf numFmtId="0" fontId="5" fillId="0" borderId="0" xfId="3" applyBorder="1" applyAlignment="1">
      <alignment vertical="center"/>
    </xf>
    <xf numFmtId="38" fontId="0" fillId="0" borderId="0" xfId="4" applyFont="1" applyBorder="1" applyAlignment="1">
      <alignment vertical="center"/>
    </xf>
    <xf numFmtId="0" fontId="0" fillId="0" borderId="0" xfId="0" applyBorder="1" applyAlignment="1"/>
    <xf numFmtId="0" fontId="5" fillId="0" borderId="5" xfId="3" applyFill="1" applyBorder="1" applyAlignment="1">
      <alignment horizontal="center" vertical="center"/>
    </xf>
    <xf numFmtId="0" fontId="5" fillId="0" borderId="25" xfId="3" applyBorder="1">
      <alignment vertical="center"/>
    </xf>
    <xf numFmtId="38" fontId="5" fillId="0" borderId="3" xfId="1" applyFont="1" applyBorder="1">
      <alignment vertical="center"/>
    </xf>
    <xf numFmtId="0" fontId="5" fillId="0" borderId="8" xfId="3" applyBorder="1" applyAlignment="1">
      <alignment vertical="center"/>
    </xf>
    <xf numFmtId="0" fontId="4" fillId="0" borderId="2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Border="1"/>
    <xf numFmtId="0" fontId="5" fillId="0" borderId="27" xfId="3" applyBorder="1">
      <alignment vertical="center"/>
    </xf>
    <xf numFmtId="38" fontId="5" fillId="0" borderId="28" xfId="1" applyFont="1" applyBorder="1">
      <alignment vertical="center"/>
    </xf>
    <xf numFmtId="38" fontId="5" fillId="0" borderId="26" xfId="3" applyNumberFormat="1" applyBorder="1">
      <alignment vertical="center"/>
    </xf>
    <xf numFmtId="0" fontId="2" fillId="0" borderId="28" xfId="3" applyFont="1" applyFill="1" applyBorder="1" applyAlignment="1">
      <alignment horizontal="center" vertical="center"/>
    </xf>
    <xf numFmtId="0" fontId="2" fillId="0" borderId="20" xfId="3" applyFont="1" applyFill="1" applyBorder="1" applyAlignment="1">
      <alignment horizontal="center" vertical="center"/>
    </xf>
    <xf numFmtId="38" fontId="5" fillId="0" borderId="21" xfId="3" applyNumberFormat="1" applyBorder="1">
      <alignment vertical="center"/>
    </xf>
    <xf numFmtId="38" fontId="5" fillId="0" borderId="21" xfId="1" applyFont="1" applyBorder="1">
      <alignment vertical="center"/>
    </xf>
    <xf numFmtId="6" fontId="0" fillId="0" borderId="1" xfId="2" applyFont="1" applyBorder="1" applyAlignment="1">
      <alignment horizontal="center" vertical="center"/>
    </xf>
    <xf numFmtId="6" fontId="0" fillId="0" borderId="5" xfId="2" applyFont="1" applyFill="1" applyBorder="1">
      <alignment vertical="center"/>
    </xf>
    <xf numFmtId="0" fontId="5" fillId="0" borderId="14" xfId="3" applyBorder="1" applyAlignment="1">
      <alignment horizontal="center" vertical="center"/>
    </xf>
    <xf numFmtId="6" fontId="0" fillId="0" borderId="2" xfId="2" applyFont="1" applyFill="1" applyBorder="1">
      <alignment vertical="center"/>
    </xf>
    <xf numFmtId="0" fontId="1" fillId="0" borderId="2" xfId="3" applyFont="1" applyFill="1" applyBorder="1">
      <alignment vertical="center"/>
    </xf>
    <xf numFmtId="0" fontId="1" fillId="0" borderId="5" xfId="3" applyFont="1" applyFill="1" applyBorder="1" applyAlignment="1">
      <alignment horizontal="left" vertical="top"/>
    </xf>
    <xf numFmtId="0" fontId="5" fillId="2" borderId="10" xfId="3" applyFill="1" applyBorder="1">
      <alignment vertical="center"/>
    </xf>
    <xf numFmtId="56" fontId="5" fillId="2" borderId="2" xfId="3" applyNumberFormat="1" applyFill="1" applyBorder="1">
      <alignment vertical="center"/>
    </xf>
    <xf numFmtId="0" fontId="5" fillId="2" borderId="5" xfId="3" applyFill="1" applyBorder="1" applyAlignment="1">
      <alignment horizontal="left" vertical="top"/>
    </xf>
    <xf numFmtId="0" fontId="5" fillId="2" borderId="5" xfId="3" applyFill="1" applyBorder="1" applyAlignment="1">
      <alignment horizontal="center" vertical="center"/>
    </xf>
    <xf numFmtId="6" fontId="0" fillId="2" borderId="2" xfId="2" applyFont="1" applyFill="1" applyBorder="1">
      <alignment vertical="center"/>
    </xf>
    <xf numFmtId="0" fontId="1" fillId="2" borderId="2" xfId="3" applyFont="1" applyFill="1" applyBorder="1">
      <alignment vertical="center"/>
    </xf>
    <xf numFmtId="0" fontId="5" fillId="2" borderId="14" xfId="3" applyFill="1" applyBorder="1" applyAlignment="1">
      <alignment horizontal="center" vertical="center"/>
    </xf>
    <xf numFmtId="0" fontId="5" fillId="3" borderId="10" xfId="3" applyFill="1" applyBorder="1">
      <alignment vertical="center"/>
    </xf>
    <xf numFmtId="56" fontId="5" fillId="3" borderId="2" xfId="3" applyNumberFormat="1" applyFill="1" applyBorder="1">
      <alignment vertical="center"/>
    </xf>
    <xf numFmtId="0" fontId="5" fillId="3" borderId="5" xfId="3" applyFill="1" applyBorder="1" applyAlignment="1">
      <alignment horizontal="left" vertical="top"/>
    </xf>
    <xf numFmtId="0" fontId="5" fillId="3" borderId="5" xfId="3" applyFill="1" applyBorder="1" applyAlignment="1">
      <alignment horizontal="center" vertical="center"/>
    </xf>
    <xf numFmtId="6" fontId="0" fillId="3" borderId="2" xfId="2" applyFont="1" applyFill="1" applyBorder="1">
      <alignment vertical="center"/>
    </xf>
    <xf numFmtId="0" fontId="1" fillId="3" borderId="2" xfId="3" applyFont="1" applyFill="1" applyBorder="1">
      <alignment vertical="center"/>
    </xf>
    <xf numFmtId="0" fontId="5" fillId="3" borderId="14" xfId="3" applyFill="1" applyBorder="1" applyAlignment="1">
      <alignment horizontal="center" vertical="center"/>
    </xf>
    <xf numFmtId="0" fontId="5" fillId="0" borderId="22" xfId="3" applyFill="1" applyBorder="1">
      <alignment vertical="center"/>
    </xf>
    <xf numFmtId="56" fontId="5" fillId="0" borderId="4" xfId="3" applyNumberFormat="1" applyFill="1" applyBorder="1">
      <alignment vertical="center"/>
    </xf>
    <xf numFmtId="0" fontId="5" fillId="0" borderId="29" xfId="3" applyFill="1" applyBorder="1" applyAlignment="1">
      <alignment horizontal="left" vertical="top"/>
    </xf>
    <xf numFmtId="0" fontId="5" fillId="0" borderId="29" xfId="3" applyFill="1" applyBorder="1" applyAlignment="1">
      <alignment horizontal="center" vertical="center"/>
    </xf>
    <xf numFmtId="6" fontId="0" fillId="0" borderId="4" xfId="2" applyFont="1" applyFill="1" applyBorder="1">
      <alignment vertical="center"/>
    </xf>
    <xf numFmtId="0" fontId="1" fillId="0" borderId="4" xfId="3" applyFont="1" applyFill="1" applyBorder="1">
      <alignment vertical="center"/>
    </xf>
    <xf numFmtId="0" fontId="5" fillId="0" borderId="30" xfId="3" applyBorder="1" applyAlignment="1">
      <alignment horizontal="center" vertical="center"/>
    </xf>
    <xf numFmtId="0" fontId="5" fillId="0" borderId="31" xfId="3" applyFill="1" applyBorder="1">
      <alignment vertical="center"/>
    </xf>
    <xf numFmtId="6" fontId="0" fillId="0" borderId="35" xfId="2" applyFont="1" applyFill="1" applyBorder="1">
      <alignment vertical="center"/>
    </xf>
    <xf numFmtId="0" fontId="5" fillId="0" borderId="35" xfId="3" applyFill="1" applyBorder="1">
      <alignment vertical="center"/>
    </xf>
    <xf numFmtId="0" fontId="5" fillId="0" borderId="36" xfId="3" applyBorder="1" applyAlignment="1">
      <alignment horizontal="center" vertical="center"/>
    </xf>
    <xf numFmtId="0" fontId="1" fillId="0" borderId="5" xfId="3" applyFont="1" applyFill="1" applyBorder="1">
      <alignment vertical="center"/>
    </xf>
    <xf numFmtId="0" fontId="1" fillId="0" borderId="20" xfId="3" applyFont="1" applyBorder="1">
      <alignment vertical="center"/>
    </xf>
    <xf numFmtId="6" fontId="0" fillId="0" borderId="20" xfId="2" applyFont="1" applyBorder="1">
      <alignment vertical="center"/>
    </xf>
    <xf numFmtId="0" fontId="5" fillId="0" borderId="7" xfId="3" applyFill="1" applyBorder="1" applyAlignment="1">
      <alignment horizontal="center" vertical="center"/>
    </xf>
    <xf numFmtId="38" fontId="1" fillId="0" borderId="5" xfId="1" applyFont="1" applyBorder="1">
      <alignment vertical="center"/>
    </xf>
    <xf numFmtId="0" fontId="1" fillId="0" borderId="2" xfId="3" applyFont="1" applyFill="1" applyBorder="1" applyAlignment="1">
      <alignment horizontal="center" vertical="center"/>
    </xf>
    <xf numFmtId="38" fontId="1" fillId="0" borderId="2" xfId="1" applyFont="1" applyBorder="1">
      <alignment vertical="center"/>
    </xf>
    <xf numFmtId="0" fontId="1" fillId="0" borderId="3" xfId="3" applyFont="1" applyFill="1" applyBorder="1" applyAlignment="1">
      <alignment horizontal="center" vertical="center"/>
    </xf>
    <xf numFmtId="38" fontId="1" fillId="0" borderId="3" xfId="1" applyFont="1" applyBorder="1">
      <alignment vertical="center"/>
    </xf>
    <xf numFmtId="0" fontId="1" fillId="0" borderId="5" xfId="3" applyFont="1" applyFill="1" applyBorder="1" applyAlignment="1">
      <alignment horizontal="center" vertical="center"/>
    </xf>
    <xf numFmtId="0" fontId="1" fillId="0" borderId="4" xfId="3" applyFont="1" applyFill="1" applyBorder="1" applyAlignment="1">
      <alignment horizontal="center" vertical="center"/>
    </xf>
    <xf numFmtId="38" fontId="1" fillId="0" borderId="4" xfId="1" applyFont="1" applyBorder="1">
      <alignment vertical="center"/>
    </xf>
    <xf numFmtId="38" fontId="0" fillId="0" borderId="1" xfId="4" applyFont="1" applyBorder="1" applyAlignment="1">
      <alignment vertical="center"/>
    </xf>
    <xf numFmtId="0" fontId="1" fillId="0" borderId="1" xfId="3" applyFont="1" applyBorder="1" applyAlignment="1">
      <alignment vertical="center"/>
    </xf>
    <xf numFmtId="6" fontId="1" fillId="0" borderId="2" xfId="2" applyFont="1" applyFill="1" applyBorder="1">
      <alignment vertical="center"/>
    </xf>
    <xf numFmtId="0" fontId="5" fillId="0" borderId="4" xfId="3" applyFill="1" applyBorder="1">
      <alignment vertical="center"/>
    </xf>
    <xf numFmtId="6" fontId="1" fillId="0" borderId="4" xfId="2" applyFont="1" applyFill="1" applyBorder="1">
      <alignment vertical="center"/>
    </xf>
    <xf numFmtId="0" fontId="1" fillId="0" borderId="41" xfId="3" applyFont="1" applyFill="1" applyBorder="1">
      <alignment vertical="center"/>
    </xf>
    <xf numFmtId="6" fontId="1" fillId="0" borderId="41" xfId="2" applyFont="1" applyFill="1" applyBorder="1">
      <alignment vertical="center"/>
    </xf>
    <xf numFmtId="38" fontId="0" fillId="0" borderId="41" xfId="4" applyFont="1" applyFill="1" applyBorder="1">
      <alignment vertical="center"/>
    </xf>
    <xf numFmtId="0" fontId="1" fillId="0" borderId="35" xfId="3" applyFont="1" applyFill="1" applyBorder="1">
      <alignment vertical="center"/>
    </xf>
    <xf numFmtId="6" fontId="5" fillId="0" borderId="35" xfId="3" applyNumberFormat="1" applyFill="1" applyBorder="1">
      <alignment vertical="center"/>
    </xf>
    <xf numFmtId="38" fontId="5" fillId="0" borderId="35" xfId="3" applyNumberFormat="1" applyFill="1" applyBorder="1">
      <alignment vertical="center"/>
    </xf>
    <xf numFmtId="6" fontId="1" fillId="0" borderId="0" xfId="2" applyFont="1" applyFill="1">
      <alignment vertical="center"/>
    </xf>
    <xf numFmtId="0" fontId="1" fillId="0" borderId="15" xfId="3" applyFont="1" applyFill="1" applyBorder="1">
      <alignment vertical="center"/>
    </xf>
    <xf numFmtId="6" fontId="1" fillId="0" borderId="17" xfId="2" applyFont="1" applyFill="1" applyBorder="1">
      <alignment vertical="center"/>
    </xf>
    <xf numFmtId="0" fontId="1" fillId="0" borderId="18" xfId="3" applyFont="1" applyFill="1" applyBorder="1">
      <alignment vertical="center"/>
    </xf>
    <xf numFmtId="6" fontId="1" fillId="0" borderId="19" xfId="2" applyFont="1" applyFill="1" applyBorder="1">
      <alignment vertical="center"/>
    </xf>
    <xf numFmtId="0" fontId="1" fillId="0" borderId="42" xfId="3" applyFont="1" applyFill="1" applyBorder="1">
      <alignment vertical="center"/>
    </xf>
    <xf numFmtId="6" fontId="1" fillId="0" borderId="43" xfId="2" applyFont="1" applyFill="1" applyBorder="1">
      <alignment vertical="center"/>
    </xf>
    <xf numFmtId="0" fontId="1" fillId="0" borderId="44" xfId="3" applyFont="1" applyFill="1" applyBorder="1">
      <alignment vertical="center"/>
    </xf>
    <xf numFmtId="6" fontId="1" fillId="0" borderId="45" xfId="2" applyFont="1" applyFill="1" applyBorder="1">
      <alignment vertical="center"/>
    </xf>
    <xf numFmtId="0" fontId="1" fillId="0" borderId="46" xfId="3" applyFont="1" applyFill="1" applyBorder="1">
      <alignment vertical="center"/>
    </xf>
    <xf numFmtId="6" fontId="5" fillId="0" borderId="47" xfId="3" applyNumberFormat="1" applyFill="1" applyBorder="1">
      <alignment vertical="center"/>
    </xf>
    <xf numFmtId="56" fontId="1" fillId="0" borderId="2" xfId="3" applyNumberFormat="1" applyFont="1" applyFill="1" applyBorder="1">
      <alignment vertical="center"/>
    </xf>
    <xf numFmtId="0" fontId="1" fillId="0" borderId="37" xfId="3" applyFont="1" applyBorder="1" applyAlignment="1">
      <alignment horizontal="center" vertical="center"/>
    </xf>
    <xf numFmtId="0" fontId="14" fillId="0" borderId="10" xfId="3" applyFont="1" applyFill="1" applyBorder="1">
      <alignment vertical="center"/>
    </xf>
    <xf numFmtId="0" fontId="5" fillId="4" borderId="10" xfId="3" applyFill="1" applyBorder="1">
      <alignment vertical="center"/>
    </xf>
    <xf numFmtId="0" fontId="1" fillId="0" borderId="2" xfId="3" applyFont="1" applyBorder="1" applyAlignment="1">
      <alignment horizontal="center" vertical="center"/>
    </xf>
    <xf numFmtId="0" fontId="1" fillId="0" borderId="3" xfId="3" applyFont="1" applyBorder="1" applyAlignment="1">
      <alignment horizontal="center" vertical="center"/>
    </xf>
    <xf numFmtId="0" fontId="1" fillId="0" borderId="5" xfId="3" applyFont="1" applyBorder="1" applyAlignment="1">
      <alignment horizontal="center" vertical="center"/>
    </xf>
    <xf numFmtId="6" fontId="1" fillId="0" borderId="1" xfId="3" applyNumberFormat="1" applyFont="1" applyBorder="1" applyAlignment="1">
      <alignment horizontal="right" vertical="center"/>
    </xf>
    <xf numFmtId="6" fontId="1" fillId="0" borderId="1" xfId="2" applyFont="1" applyFill="1" applyBorder="1">
      <alignment vertical="center"/>
    </xf>
    <xf numFmtId="38" fontId="0" fillId="0" borderId="4" xfId="4" applyFont="1" applyFill="1" applyBorder="1">
      <alignment vertical="center"/>
    </xf>
    <xf numFmtId="38" fontId="5" fillId="0" borderId="1" xfId="3" applyNumberFormat="1" applyFill="1" applyBorder="1">
      <alignment vertical="center"/>
    </xf>
    <xf numFmtId="38" fontId="5" fillId="0" borderId="1" xfId="3" applyNumberFormat="1" applyBorder="1">
      <alignment vertical="center"/>
    </xf>
    <xf numFmtId="0" fontId="1" fillId="0" borderId="38" xfId="3" applyFont="1" applyBorder="1" applyAlignment="1">
      <alignment horizontal="center" vertical="center"/>
    </xf>
    <xf numFmtId="0" fontId="1" fillId="0" borderId="39" xfId="3" applyFont="1" applyBorder="1" applyAlignment="1">
      <alignment horizontal="center" vertical="center"/>
    </xf>
    <xf numFmtId="0" fontId="10" fillId="0" borderId="0" xfId="3" applyFont="1" applyFill="1" applyBorder="1">
      <alignment vertical="center"/>
    </xf>
    <xf numFmtId="6" fontId="0" fillId="0" borderId="0" xfId="2" applyFont="1" applyFill="1" applyBorder="1">
      <alignment vertical="center"/>
    </xf>
    <xf numFmtId="0" fontId="13" fillId="0" borderId="15" xfId="3" applyFont="1" applyBorder="1" applyAlignment="1">
      <alignment horizontal="center" vertical="center"/>
    </xf>
    <xf numFmtId="0" fontId="13" fillId="0" borderId="16" xfId="3" applyFont="1" applyBorder="1" applyAlignment="1">
      <alignment horizontal="center" vertical="center"/>
    </xf>
    <xf numFmtId="0" fontId="13" fillId="0" borderId="17" xfId="3" applyFont="1" applyBorder="1" applyAlignment="1">
      <alignment horizontal="center" vertical="center"/>
    </xf>
    <xf numFmtId="0" fontId="1" fillId="0" borderId="32" xfId="3" applyFont="1" applyFill="1" applyBorder="1" applyAlignment="1">
      <alignment horizontal="center" vertical="center"/>
    </xf>
    <xf numFmtId="0" fontId="5" fillId="0" borderId="33" xfId="3" applyFill="1" applyBorder="1" applyAlignment="1">
      <alignment horizontal="center" vertical="center"/>
    </xf>
    <xf numFmtId="0" fontId="5" fillId="0" borderId="34" xfId="3" applyFill="1" applyBorder="1" applyAlignment="1">
      <alignment horizontal="center" vertical="center"/>
    </xf>
    <xf numFmtId="0" fontId="1" fillId="0" borderId="29" xfId="3" applyFont="1" applyBorder="1" applyAlignment="1">
      <alignment horizontal="center" vertical="center"/>
    </xf>
    <xf numFmtId="0" fontId="1" fillId="0" borderId="40" xfId="3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38" fontId="10" fillId="0" borderId="0" xfId="1" applyFont="1" applyAlignment="1">
      <alignment horizontal="center"/>
    </xf>
  </cellXfs>
  <cellStyles count="6">
    <cellStyle name="桁区切り" xfId="1" builtinId="6"/>
    <cellStyle name="桁区切り 2" xfId="4"/>
    <cellStyle name="通貨" xfId="2" builtinId="7"/>
    <cellStyle name="通貨 2" xfId="5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8"/>
  <sheetViews>
    <sheetView topLeftCell="G1" workbookViewId="0">
      <selection activeCell="S8" sqref="S8"/>
    </sheetView>
  </sheetViews>
  <sheetFormatPr defaultRowHeight="13.5"/>
  <cols>
    <col min="1" max="1" width="3.75" style="33" customWidth="1"/>
    <col min="2" max="2" width="10.375" style="33" customWidth="1"/>
    <col min="3" max="3" width="16.25" style="35" customWidth="1"/>
    <col min="4" max="4" width="12.625" style="33" customWidth="1"/>
    <col min="5" max="5" width="12.625" style="36" customWidth="1"/>
    <col min="6" max="6" width="27.5" style="33" bestFit="1" customWidth="1"/>
    <col min="7" max="7" width="22.625" style="33" customWidth="1"/>
    <col min="8" max="8" width="6.875" style="33" customWidth="1"/>
    <col min="9" max="9" width="3.125" style="33" customWidth="1"/>
    <col min="10" max="10" width="3.375" style="33" customWidth="1"/>
    <col min="11" max="16" width="15.625" style="33" customWidth="1"/>
    <col min="17" max="17" width="5.625" style="33" customWidth="1"/>
    <col min="18" max="16384" width="9" style="33"/>
  </cols>
  <sheetData>
    <row r="1" spans="1:23" ht="21.75" thickBot="1">
      <c r="A1" s="184" t="s">
        <v>144</v>
      </c>
      <c r="B1" s="185"/>
      <c r="C1" s="185"/>
      <c r="D1" s="185"/>
      <c r="E1" s="185"/>
      <c r="F1" s="185"/>
      <c r="G1" s="185"/>
      <c r="H1" s="186"/>
      <c r="W1" s="6" t="s">
        <v>1</v>
      </c>
    </row>
    <row r="2" spans="1:23" ht="18.75" customHeight="1" thickBot="1">
      <c r="A2" s="50" t="s">
        <v>61</v>
      </c>
      <c r="B2" s="48" t="s">
        <v>62</v>
      </c>
      <c r="C2" s="40" t="s">
        <v>40</v>
      </c>
      <c r="D2" s="40" t="s">
        <v>41</v>
      </c>
      <c r="E2" s="103" t="s">
        <v>42</v>
      </c>
      <c r="F2" s="40" t="s">
        <v>43</v>
      </c>
      <c r="G2" s="40" t="s">
        <v>44</v>
      </c>
      <c r="H2" s="49" t="s">
        <v>60</v>
      </c>
      <c r="I2" s="64"/>
      <c r="J2" s="57"/>
      <c r="K2" s="78" t="s">
        <v>47</v>
      </c>
      <c r="L2" s="79" t="s">
        <v>64</v>
      </c>
      <c r="M2" s="79" t="s">
        <v>32</v>
      </c>
      <c r="N2" s="79" t="s">
        <v>65</v>
      </c>
      <c r="O2" s="79" t="s">
        <v>66</v>
      </c>
      <c r="P2" s="80" t="s">
        <v>69</v>
      </c>
      <c r="W2" s="3" t="s">
        <v>2</v>
      </c>
    </row>
    <row r="3" spans="1:23">
      <c r="A3" s="46">
        <v>1</v>
      </c>
      <c r="B3" s="51">
        <v>42826</v>
      </c>
      <c r="C3" s="52" t="s">
        <v>45</v>
      </c>
      <c r="D3" s="86" t="s">
        <v>32</v>
      </c>
      <c r="E3" s="104">
        <v>75996</v>
      </c>
      <c r="F3" s="53" t="s">
        <v>46</v>
      </c>
      <c r="G3" s="53"/>
      <c r="H3" s="105" t="s">
        <v>70</v>
      </c>
      <c r="I3" s="65"/>
      <c r="J3" s="75">
        <v>1</v>
      </c>
      <c r="K3" s="86" t="s">
        <v>49</v>
      </c>
      <c r="L3" s="138">
        <f>SUMPRODUCT(($D$3:$D$102="本体会計")*($C$3:$C$102="繰越金")*($E$3:$E$102))</f>
        <v>75996</v>
      </c>
      <c r="M3" s="138">
        <f>SUMPRODUCT(($D$3:$D$102="本体会計")*($C$3:$C$102="繰越金")*($E$3:$E$102))</f>
        <v>75996</v>
      </c>
      <c r="N3" s="76">
        <f>SUMPRODUCT(($D$3:$D$104="森づくり")*($C$3:$C$104="繰越金")*($E$3:$E$104))</f>
        <v>0</v>
      </c>
      <c r="O3" s="76">
        <f>SUMPRODUCT(($D$3:$D$104="セブン財団")*($C$3:$C$104="繰越金")*($E$3:$E$104))</f>
        <v>0</v>
      </c>
      <c r="P3" s="77">
        <f>SUM(M3:O3)</f>
        <v>75996</v>
      </c>
      <c r="W3" s="3" t="s">
        <v>3</v>
      </c>
    </row>
    <row r="4" spans="1:23">
      <c r="A4" s="41">
        <v>2</v>
      </c>
      <c r="B4" s="44">
        <v>42828</v>
      </c>
      <c r="C4" s="52" t="s">
        <v>48</v>
      </c>
      <c r="D4" s="86" t="s">
        <v>32</v>
      </c>
      <c r="E4" s="106">
        <v>2900</v>
      </c>
      <c r="F4" s="107" t="s">
        <v>84</v>
      </c>
      <c r="G4" s="107" t="s">
        <v>85</v>
      </c>
      <c r="H4" s="105" t="s">
        <v>70</v>
      </c>
      <c r="I4" s="66"/>
      <c r="J4" s="68">
        <v>2</v>
      </c>
      <c r="K4" s="139" t="s">
        <v>67</v>
      </c>
      <c r="L4" s="140">
        <f>SUMPRODUCT(($D$3:$D$102="本体会計")*($C$3:$C$102="助成金")*($E$3:$E$102))</f>
        <v>0</v>
      </c>
      <c r="M4" s="140">
        <f>SUMPRODUCT(($D$3:$D$102="本体会計")*($C$3:$C$102="助成金")*($E$3:$E$102))</f>
        <v>0</v>
      </c>
      <c r="N4" s="71">
        <v>227000</v>
      </c>
      <c r="O4" s="71">
        <v>495415</v>
      </c>
      <c r="P4" s="77">
        <f t="shared" ref="P4:P8" si="0">SUM(M4:O4)</f>
        <v>722415</v>
      </c>
      <c r="W4" s="3" t="s">
        <v>4</v>
      </c>
    </row>
    <row r="5" spans="1:23">
      <c r="A5" s="41">
        <v>3</v>
      </c>
      <c r="B5" s="44">
        <v>42834</v>
      </c>
      <c r="C5" s="52" t="s">
        <v>53</v>
      </c>
      <c r="D5" s="86" t="s">
        <v>32</v>
      </c>
      <c r="E5" s="106">
        <v>-698</v>
      </c>
      <c r="F5" s="107" t="s">
        <v>72</v>
      </c>
      <c r="G5" s="107" t="s">
        <v>73</v>
      </c>
      <c r="H5" s="105" t="s">
        <v>70</v>
      </c>
      <c r="I5" s="66"/>
      <c r="J5" s="68">
        <v>3</v>
      </c>
      <c r="K5" s="139" t="s">
        <v>5</v>
      </c>
      <c r="L5" s="140">
        <f>SUMPRODUCT(($D$3:$D$102="本体会計")*($C$3:$C$102="寄付金")*($E$3:$E$102))</f>
        <v>11360</v>
      </c>
      <c r="M5" s="140">
        <f>SUMPRODUCT(($D$3:$D$102="本体会計")*($C$3:$C$102="寄付金")*($E$3:$E$102))</f>
        <v>11360</v>
      </c>
      <c r="N5" s="71">
        <v>1049</v>
      </c>
      <c r="O5" s="71">
        <f>SUMPRODUCT(($D$3:$D$104="セブン財団")*($C$3:$C$104="寄付金")*($E$3:$E$104))</f>
        <v>0</v>
      </c>
      <c r="P5" s="77">
        <f t="shared" si="0"/>
        <v>12409</v>
      </c>
      <c r="W5" s="3" t="s">
        <v>5</v>
      </c>
    </row>
    <row r="6" spans="1:23">
      <c r="A6" s="41">
        <v>4</v>
      </c>
      <c r="B6" s="44">
        <v>42839</v>
      </c>
      <c r="C6" s="52" t="s">
        <v>50</v>
      </c>
      <c r="D6" s="86" t="s">
        <v>32</v>
      </c>
      <c r="E6" s="106">
        <v>-891</v>
      </c>
      <c r="F6" s="107" t="s">
        <v>98</v>
      </c>
      <c r="G6" s="107" t="s">
        <v>79</v>
      </c>
      <c r="H6" s="105" t="s">
        <v>70</v>
      </c>
      <c r="I6" s="66"/>
      <c r="J6" s="68">
        <v>4</v>
      </c>
      <c r="K6" s="139" t="s">
        <v>51</v>
      </c>
      <c r="L6" s="140">
        <f>SUMPRODUCT(($D$3:$D$102="本体会計")*($C$3:$C$102="入会金")*($E$3:$E$102))</f>
        <v>4000</v>
      </c>
      <c r="M6" s="140">
        <f>SUMPRODUCT(($D$3:$D$102="本体会計")*($C$3:$C$102="入会金")*($E$3:$E$102))</f>
        <v>4000</v>
      </c>
      <c r="N6" s="71">
        <f>SUMPRODUCT(($D$3:$D$104="森づくり")*($C$3:$C$104="入会金")*($E$3:$E$104))</f>
        <v>0</v>
      </c>
      <c r="O6" s="71">
        <f>SUMPRODUCT(($D$3:$D$104="セブン財団")*($C$3:$C$104="入会金")*($E$3:$E$104))</f>
        <v>0</v>
      </c>
      <c r="P6" s="77">
        <f t="shared" si="0"/>
        <v>4000</v>
      </c>
      <c r="W6" s="3" t="s">
        <v>6</v>
      </c>
    </row>
    <row r="7" spans="1:23">
      <c r="A7" s="41">
        <v>5</v>
      </c>
      <c r="B7" s="44">
        <v>42839</v>
      </c>
      <c r="C7" s="52" t="s">
        <v>50</v>
      </c>
      <c r="D7" s="86" t="s">
        <v>32</v>
      </c>
      <c r="E7" s="106">
        <v>-447</v>
      </c>
      <c r="F7" s="107" t="s">
        <v>99</v>
      </c>
      <c r="G7" s="107" t="s">
        <v>79</v>
      </c>
      <c r="H7" s="105" t="s">
        <v>70</v>
      </c>
      <c r="I7" s="66"/>
      <c r="J7" s="68">
        <v>5</v>
      </c>
      <c r="K7" s="139" t="s">
        <v>52</v>
      </c>
      <c r="L7" s="140">
        <f>SUMPRODUCT(($D$3:$D$102="本体会計")*($C$3:$C$102="年会費")*($E$3:$E$102))</f>
        <v>15000</v>
      </c>
      <c r="M7" s="140">
        <f>SUMPRODUCT(($D$3:$D$102="本体会計")*($C$3:$C$102="年会費")*($E$3:$E$102))</f>
        <v>15000</v>
      </c>
      <c r="N7" s="71">
        <f>SUMPRODUCT(($D$3:$D$104="森づくり")*($C$3:$C$104="年会費")*($E$3:$E$104))</f>
        <v>0</v>
      </c>
      <c r="O7" s="71">
        <f>SUMPRODUCT(($D$3:$D$104="セブン財団")*($C$3:$C$104="年会費")*($E$3:$E$104))</f>
        <v>0</v>
      </c>
      <c r="P7" s="77">
        <f t="shared" si="0"/>
        <v>15000</v>
      </c>
      <c r="W7" s="4"/>
    </row>
    <row r="8" spans="1:23">
      <c r="A8" s="41">
        <v>6</v>
      </c>
      <c r="B8" s="44">
        <v>42839</v>
      </c>
      <c r="C8" s="52" t="s">
        <v>50</v>
      </c>
      <c r="D8" s="86" t="s">
        <v>32</v>
      </c>
      <c r="E8" s="106">
        <v>-437</v>
      </c>
      <c r="F8" s="107" t="s">
        <v>100</v>
      </c>
      <c r="G8" s="107" t="s">
        <v>79</v>
      </c>
      <c r="H8" s="105" t="s">
        <v>70</v>
      </c>
      <c r="I8" s="66"/>
      <c r="J8" s="87">
        <v>6</v>
      </c>
      <c r="K8" s="141" t="s">
        <v>48</v>
      </c>
      <c r="L8" s="142">
        <f>SUMPRODUCT(($D$3:$D$102="本体会計")*($C$3:$C$102="雑収入")*($E$3:$E$102))</f>
        <v>81400</v>
      </c>
      <c r="M8" s="142">
        <f>SUMPRODUCT(($D$3:$D$102="本体会計")*($C$3:$C$102="雑収入")*($E$3:$E$102))</f>
        <v>81400</v>
      </c>
      <c r="N8" s="88">
        <f>SUMPRODUCT(($D$3:$D$104="森づくり")*($C$3:$C$104="雑収入")*($E$3:$E$104))</f>
        <v>0</v>
      </c>
      <c r="O8" s="88">
        <f>SUMPRODUCT(($D$3:$D$104="セブン財団")*($C$3:$C$104="雑収入")*($E$3:$E$104))</f>
        <v>0</v>
      </c>
      <c r="P8" s="77">
        <f t="shared" si="0"/>
        <v>81400</v>
      </c>
      <c r="W8" s="5" t="s">
        <v>7</v>
      </c>
    </row>
    <row r="9" spans="1:23" ht="14.25" thickBot="1">
      <c r="A9" s="41">
        <v>7</v>
      </c>
      <c r="B9" s="44">
        <v>42843</v>
      </c>
      <c r="C9" s="52" t="s">
        <v>53</v>
      </c>
      <c r="D9" s="86" t="s">
        <v>32</v>
      </c>
      <c r="E9" s="106">
        <v>-4082</v>
      </c>
      <c r="F9" s="107" t="s">
        <v>74</v>
      </c>
      <c r="G9" s="107" t="s">
        <v>75</v>
      </c>
      <c r="H9" s="105" t="s">
        <v>70</v>
      </c>
      <c r="I9" s="66"/>
      <c r="J9" s="96"/>
      <c r="K9" s="99" t="s">
        <v>134</v>
      </c>
      <c r="L9" s="97">
        <f>SUM(L3:L8)</f>
        <v>187756</v>
      </c>
      <c r="M9" s="97">
        <f>SUM(M3:M8)</f>
        <v>187756</v>
      </c>
      <c r="N9" s="97">
        <v>228049</v>
      </c>
      <c r="O9" s="97">
        <f>SUM(O3:O8)</f>
        <v>495415</v>
      </c>
      <c r="P9" s="98">
        <f>SUM(M9:O9)</f>
        <v>911220</v>
      </c>
      <c r="W9" s="95"/>
    </row>
    <row r="10" spans="1:23" ht="14.25" thickTop="1">
      <c r="A10" s="41">
        <v>8</v>
      </c>
      <c r="B10" s="44">
        <v>42846</v>
      </c>
      <c r="C10" s="108" t="s">
        <v>53</v>
      </c>
      <c r="D10" s="86" t="s">
        <v>32</v>
      </c>
      <c r="E10" s="106">
        <v>-5940</v>
      </c>
      <c r="F10" s="107" t="s">
        <v>74</v>
      </c>
      <c r="G10" s="107" t="s">
        <v>75</v>
      </c>
      <c r="H10" s="105" t="s">
        <v>70</v>
      </c>
      <c r="I10" s="66"/>
      <c r="J10" s="75">
        <v>7</v>
      </c>
      <c r="K10" s="143" t="s">
        <v>53</v>
      </c>
      <c r="L10" s="138">
        <f>SUMPRODUCT(($D$3:$D$102="本体会計")*($C$3:$C$102="消耗品費")*($E$3:$E$102))</f>
        <v>-10720</v>
      </c>
      <c r="M10" s="138">
        <v>10720</v>
      </c>
      <c r="N10" s="76">
        <v>40812</v>
      </c>
      <c r="O10" s="76">
        <f>SUMPRODUCT(($D$3:$D$104="セブン財団")*($C$3:$C$104="消耗品費")*($E$3:$E$104))</f>
        <v>0</v>
      </c>
      <c r="P10" s="77">
        <f>SUM(M10:O10)</f>
        <v>51532</v>
      </c>
      <c r="W10"/>
    </row>
    <row r="11" spans="1:23">
      <c r="A11" s="41">
        <v>9</v>
      </c>
      <c r="B11" s="44">
        <v>42874</v>
      </c>
      <c r="C11" s="52" t="s">
        <v>58</v>
      </c>
      <c r="D11" s="86" t="s">
        <v>32</v>
      </c>
      <c r="E11" s="106">
        <v>-1512</v>
      </c>
      <c r="F11" s="107" t="s">
        <v>106</v>
      </c>
      <c r="G11" s="107" t="s">
        <v>107</v>
      </c>
      <c r="H11" s="105" t="s">
        <v>70</v>
      </c>
      <c r="I11" s="66"/>
      <c r="J11" s="68">
        <v>8</v>
      </c>
      <c r="K11" s="139" t="s">
        <v>54</v>
      </c>
      <c r="L11" s="140">
        <f>SUMPRODUCT(($D$3:$D$102="本体会計")*($C$3:$C$102="食糧費")*($E$3:$E$102))</f>
        <v>0</v>
      </c>
      <c r="M11" s="140">
        <f>SUMPRODUCT(($D$3:$D$102="本体会計")*($C$3:$C$102="食糧費")*($E$3:$E$102))</f>
        <v>0</v>
      </c>
      <c r="N11" s="71">
        <f>SUMPRODUCT(($D$3:$D$104="森づくり")*($C$3:$C$104="食糧費")*($E$3:$E$104))</f>
        <v>0</v>
      </c>
      <c r="O11" s="71">
        <f>SUMPRODUCT(($D$3:$D$104="セブン財団")*($C$3:$C$104="食糧費")*($E$3:$E$104))</f>
        <v>0</v>
      </c>
      <c r="P11" s="77">
        <f t="shared" ref="P11:P23" si="1">SUM(M11:O11)</f>
        <v>0</v>
      </c>
      <c r="W11"/>
    </row>
    <row r="12" spans="1:23">
      <c r="A12" s="41">
        <v>10</v>
      </c>
      <c r="B12" s="44">
        <v>42874</v>
      </c>
      <c r="C12" s="52" t="s">
        <v>58</v>
      </c>
      <c r="D12" s="86" t="s">
        <v>32</v>
      </c>
      <c r="E12" s="106">
        <v>-1512</v>
      </c>
      <c r="F12" s="107" t="s">
        <v>106</v>
      </c>
      <c r="G12" s="107" t="s">
        <v>108</v>
      </c>
      <c r="H12" s="105" t="s">
        <v>70</v>
      </c>
      <c r="I12" s="66"/>
      <c r="J12" s="68">
        <v>9</v>
      </c>
      <c r="K12" s="139" t="s">
        <v>55</v>
      </c>
      <c r="L12" s="140">
        <f>SUMPRODUCT(($D$3:$D$102="本体会計")*($C$3:$C$102="印刷製本費")*($E$3:$E$102))</f>
        <v>0</v>
      </c>
      <c r="M12" s="140">
        <f>SUMPRODUCT(($D$3:$D$102="本体会計")*($C$3:$C$102="印刷製本費")*($E$3:$E$102))</f>
        <v>0</v>
      </c>
      <c r="N12" s="71">
        <f>SUMPRODUCT(($D$3:$D$104="森づくり")*($C$3:$C$104="印刷製本費")*($E$3:$E$104))</f>
        <v>0</v>
      </c>
      <c r="O12" s="71">
        <v>30000</v>
      </c>
      <c r="P12" s="77">
        <f t="shared" si="1"/>
        <v>30000</v>
      </c>
      <c r="W12" s="7" t="s">
        <v>8</v>
      </c>
    </row>
    <row r="13" spans="1:23">
      <c r="A13" s="41">
        <v>11</v>
      </c>
      <c r="B13" s="44">
        <v>42895</v>
      </c>
      <c r="C13" s="52" t="s">
        <v>68</v>
      </c>
      <c r="D13" s="86" t="s">
        <v>32</v>
      </c>
      <c r="E13" s="106">
        <v>-2560</v>
      </c>
      <c r="F13" s="107" t="s">
        <v>109</v>
      </c>
      <c r="G13" s="107" t="s">
        <v>110</v>
      </c>
      <c r="H13" s="105" t="s">
        <v>70</v>
      </c>
      <c r="I13" s="66"/>
      <c r="J13" s="68">
        <v>10</v>
      </c>
      <c r="K13" s="139" t="s">
        <v>50</v>
      </c>
      <c r="L13" s="140">
        <f>SUMPRODUCT(($D$3:$D$102="本体会計")*($C$3:$C$102="光熱水費")*($E$3:$E$102))</f>
        <v>-10007</v>
      </c>
      <c r="M13" s="140">
        <v>10007</v>
      </c>
      <c r="N13" s="71">
        <f>SUMPRODUCT(($D$3:$D$104="森づくり")*($C$3:$C$104="光熱水費")*($E$3:$E$104))</f>
        <v>0</v>
      </c>
      <c r="O13" s="71">
        <f>SUMPRODUCT(($D$3:$D$104="セブン財団")*($C$3:$C$104="光熱水費")*($E$3:$E$104))</f>
        <v>0</v>
      </c>
      <c r="P13" s="77">
        <f t="shared" si="1"/>
        <v>10007</v>
      </c>
      <c r="W13" s="6" t="s">
        <v>9</v>
      </c>
    </row>
    <row r="14" spans="1:23">
      <c r="A14" s="41">
        <v>12</v>
      </c>
      <c r="B14" s="44">
        <v>42909</v>
      </c>
      <c r="C14" s="52" t="s">
        <v>50</v>
      </c>
      <c r="D14" s="86" t="s">
        <v>32</v>
      </c>
      <c r="E14" s="106">
        <v>-437</v>
      </c>
      <c r="F14" s="107" t="s">
        <v>78</v>
      </c>
      <c r="G14" s="107" t="s">
        <v>79</v>
      </c>
      <c r="H14" s="105" t="s">
        <v>70</v>
      </c>
      <c r="I14" s="66"/>
      <c r="J14" s="68">
        <v>11</v>
      </c>
      <c r="K14" s="139" t="s">
        <v>56</v>
      </c>
      <c r="L14" s="140">
        <f>SUMPRODUCT(($D$3:$D$102="本体会計")*($C$3:$C$102="燃料費")*($E$3:$E$102))</f>
        <v>0</v>
      </c>
      <c r="M14" s="140">
        <f>SUMPRODUCT(($D$3:$D$102="本体会計")*($C$3:$C$102="燃料費")*($E$3:$E$102))</f>
        <v>0</v>
      </c>
      <c r="N14" s="71">
        <v>13884</v>
      </c>
      <c r="O14" s="71">
        <f>SUMPRODUCT(($D$3:$D$104="セブン財団")*($C$3:$C$104="燃料費")*($E$3:$E$104))</f>
        <v>0</v>
      </c>
      <c r="P14" s="77">
        <f t="shared" si="1"/>
        <v>13884</v>
      </c>
      <c r="W14" s="3" t="s">
        <v>10</v>
      </c>
    </row>
    <row r="15" spans="1:23">
      <c r="A15" s="41">
        <v>13</v>
      </c>
      <c r="B15" s="44">
        <v>42916</v>
      </c>
      <c r="C15" s="52" t="s">
        <v>51</v>
      </c>
      <c r="D15" s="86" t="s">
        <v>32</v>
      </c>
      <c r="E15" s="106">
        <v>1000</v>
      </c>
      <c r="F15" s="107" t="s">
        <v>86</v>
      </c>
      <c r="G15" s="107" t="s">
        <v>2</v>
      </c>
      <c r="H15" s="105" t="s">
        <v>70</v>
      </c>
      <c r="I15" s="66"/>
      <c r="J15" s="68">
        <v>12</v>
      </c>
      <c r="K15" s="139" t="s">
        <v>57</v>
      </c>
      <c r="L15" s="140">
        <f>SUMPRODUCT(($D$3:$D$102="本体会計")*($C$3:$C$102="役務費")*($E$3:$E$102))</f>
        <v>-17500</v>
      </c>
      <c r="M15" s="140">
        <v>17500</v>
      </c>
      <c r="N15" s="71">
        <v>28480</v>
      </c>
      <c r="O15" s="71">
        <f>SUMPRODUCT(($D$3:$D$104="セブン財団")*($C$3:$C$104="繰越金")*($E$3:$E$104))</f>
        <v>0</v>
      </c>
      <c r="P15" s="77">
        <f t="shared" si="1"/>
        <v>45980</v>
      </c>
      <c r="W15" s="3" t="s">
        <v>11</v>
      </c>
    </row>
    <row r="16" spans="1:23">
      <c r="A16" s="41">
        <v>14</v>
      </c>
      <c r="B16" s="44">
        <v>42916</v>
      </c>
      <c r="C16" s="108" t="s">
        <v>3</v>
      </c>
      <c r="D16" s="86" t="s">
        <v>32</v>
      </c>
      <c r="E16" s="106">
        <v>1000</v>
      </c>
      <c r="F16" s="107" t="s">
        <v>86</v>
      </c>
      <c r="G16" s="107" t="s">
        <v>3</v>
      </c>
      <c r="H16" s="105" t="s">
        <v>70</v>
      </c>
      <c r="I16" s="66"/>
      <c r="J16" s="68">
        <v>13</v>
      </c>
      <c r="K16" s="139" t="s">
        <v>58</v>
      </c>
      <c r="L16" s="140">
        <f>SUMPRODUCT(($D$3:$D$102="本体会計")*($C$3:$C$102="使用料及び賃借料")*($E$3:$E$102))</f>
        <v>-35953</v>
      </c>
      <c r="M16" s="140">
        <v>35953</v>
      </c>
      <c r="N16" s="71">
        <f>SUMPRODUCT(($D$3:$D$104="森づくり")*($C$3:$C$104="使用料及び賃借料")*($E$3:$E$104))</f>
        <v>0</v>
      </c>
      <c r="O16" s="71">
        <f>SUMPRODUCT(($D$3:$D$104="セブン財団")*($C$3:$C$104="使用料及び賃借料")*($E$3:$E$104))</f>
        <v>0</v>
      </c>
      <c r="P16" s="77">
        <f t="shared" si="1"/>
        <v>35953</v>
      </c>
      <c r="W16" s="3" t="s">
        <v>12</v>
      </c>
    </row>
    <row r="17" spans="1:23">
      <c r="A17" s="41">
        <v>15</v>
      </c>
      <c r="B17" s="44">
        <v>42916</v>
      </c>
      <c r="C17" s="108" t="s">
        <v>3</v>
      </c>
      <c r="D17" s="86" t="s">
        <v>32</v>
      </c>
      <c r="E17" s="106">
        <v>1000</v>
      </c>
      <c r="F17" s="107" t="s">
        <v>87</v>
      </c>
      <c r="G17" s="107" t="s">
        <v>3</v>
      </c>
      <c r="H17" s="105" t="s">
        <v>70</v>
      </c>
      <c r="I17" s="66"/>
      <c r="J17" s="68">
        <v>14</v>
      </c>
      <c r="K17" s="139" t="s">
        <v>59</v>
      </c>
      <c r="L17" s="140">
        <f>SUMPRODUCT(($D$3:$D$102="本体会計")*($C$3:$C$102="通信費")*($E$3:$E$102))</f>
        <v>0</v>
      </c>
      <c r="M17" s="140">
        <f>SUMPRODUCT(($D$3:$D$102="本体会計")*($C$3:$C$102="通信費")*($E$3:$E$102))</f>
        <v>0</v>
      </c>
      <c r="N17" s="71">
        <f>SUMPRODUCT(($D$3:$D$104="森づくり")*($C$3:$C$104="通信費")*($E$3:$E$104))</f>
        <v>0</v>
      </c>
      <c r="O17" s="71">
        <f>SUMPRODUCT(($D$3:$D$104="セブン財団")*($C$3:$C$104="通信費")*($E$3:$E$104))</f>
        <v>0</v>
      </c>
      <c r="P17" s="77">
        <f t="shared" si="1"/>
        <v>0</v>
      </c>
      <c r="W17" s="3" t="s">
        <v>13</v>
      </c>
    </row>
    <row r="18" spans="1:23">
      <c r="A18" s="41">
        <v>16</v>
      </c>
      <c r="B18" s="44">
        <v>42916</v>
      </c>
      <c r="C18" s="108" t="s">
        <v>3</v>
      </c>
      <c r="D18" s="86" t="s">
        <v>32</v>
      </c>
      <c r="E18" s="106">
        <v>1000</v>
      </c>
      <c r="F18" s="107" t="s">
        <v>88</v>
      </c>
      <c r="G18" s="107" t="s">
        <v>3</v>
      </c>
      <c r="H18" s="105" t="s">
        <v>70</v>
      </c>
      <c r="I18" s="66"/>
      <c r="J18" s="68">
        <v>15</v>
      </c>
      <c r="K18" s="139" t="s">
        <v>10</v>
      </c>
      <c r="L18" s="140">
        <f>SUMPRODUCT(($D$3:$D$102="本体会計")*($C$3:$C$102="旅費")*($E$3:$E$102))</f>
        <v>0</v>
      </c>
      <c r="M18" s="140">
        <f>SUMPRODUCT(($D$3:$D$102="本体会計")*($C$3:$C$102="旅費")*($E$3:$E$102))</f>
        <v>0</v>
      </c>
      <c r="N18" s="71">
        <f>SUMPRODUCT(($D$3:$D$104="森づくり")*($C$3:$C$104="旅費")*($E$3:$E$104))</f>
        <v>0</v>
      </c>
      <c r="O18" s="71">
        <v>128520</v>
      </c>
      <c r="P18" s="77">
        <f t="shared" si="1"/>
        <v>128520</v>
      </c>
      <c r="W18" s="3" t="s">
        <v>14</v>
      </c>
    </row>
    <row r="19" spans="1:23">
      <c r="A19" s="41">
        <v>17</v>
      </c>
      <c r="B19" s="44">
        <v>42916</v>
      </c>
      <c r="C19" s="108" t="s">
        <v>3</v>
      </c>
      <c r="D19" s="86" t="s">
        <v>32</v>
      </c>
      <c r="E19" s="106">
        <v>1000</v>
      </c>
      <c r="F19" s="107" t="s">
        <v>89</v>
      </c>
      <c r="G19" s="107" t="s">
        <v>3</v>
      </c>
      <c r="H19" s="105" t="s">
        <v>70</v>
      </c>
      <c r="I19" s="66"/>
      <c r="J19" s="68">
        <v>16</v>
      </c>
      <c r="K19" s="139" t="s">
        <v>13</v>
      </c>
      <c r="L19" s="140">
        <f>SUMPRODUCT(($D$3:$D$102="本体会計")*($C$3:$C$102="資材費")*($E$3:$E$102))</f>
        <v>0</v>
      </c>
      <c r="M19" s="140">
        <f>SUMPRODUCT(($D$3:$D$102="本体会計")*($C$3:$C$102="資材費")*($E$3:$E$102))</f>
        <v>0</v>
      </c>
      <c r="N19" s="71">
        <f>SUMPRODUCT(($D$3:$D$104="森づくり")*($C$3:$C$104="資材費")*($E$3:$E$104))</f>
        <v>0</v>
      </c>
      <c r="O19" s="71">
        <f>SUMPRODUCT(($D$3:$D$104="セブン財団")*($C$3:$C$104="資材費")*($E$3:$E$104))</f>
        <v>0</v>
      </c>
      <c r="P19" s="77">
        <f t="shared" si="1"/>
        <v>0</v>
      </c>
      <c r="W19" s="3" t="s">
        <v>15</v>
      </c>
    </row>
    <row r="20" spans="1:23">
      <c r="A20" s="41">
        <v>18</v>
      </c>
      <c r="B20" s="44">
        <v>42916</v>
      </c>
      <c r="C20" s="108" t="s">
        <v>3</v>
      </c>
      <c r="D20" s="86" t="s">
        <v>32</v>
      </c>
      <c r="E20" s="106">
        <v>1000</v>
      </c>
      <c r="F20" s="107" t="s">
        <v>90</v>
      </c>
      <c r="G20" s="107" t="s">
        <v>3</v>
      </c>
      <c r="H20" s="105" t="s">
        <v>70</v>
      </c>
      <c r="I20" s="66"/>
      <c r="J20" s="68">
        <v>17</v>
      </c>
      <c r="K20" s="139" t="s">
        <v>68</v>
      </c>
      <c r="L20" s="140">
        <f>SUMPRODUCT(($D$3:$D$102="本体会計")*($C$3:$C$102="諸経費")*($E$3:$E$102))</f>
        <v>-53119</v>
      </c>
      <c r="M20" s="140">
        <v>53119</v>
      </c>
      <c r="N20" s="71">
        <f>SUMPRODUCT(($D$3:$D$104="森づくり")*($C$3:$C$104="諸経費")*($E$3:$E$104))</f>
        <v>0</v>
      </c>
      <c r="O20" s="71"/>
      <c r="P20" s="77">
        <f t="shared" si="1"/>
        <v>53119</v>
      </c>
      <c r="W20" s="3" t="s">
        <v>16</v>
      </c>
    </row>
    <row r="21" spans="1:23">
      <c r="A21" s="41">
        <v>19</v>
      </c>
      <c r="B21" s="44">
        <v>42916</v>
      </c>
      <c r="C21" s="108" t="s">
        <v>51</v>
      </c>
      <c r="D21" s="86" t="s">
        <v>32</v>
      </c>
      <c r="E21" s="106">
        <v>1000</v>
      </c>
      <c r="F21" s="107" t="s">
        <v>91</v>
      </c>
      <c r="G21" s="107" t="s">
        <v>2</v>
      </c>
      <c r="H21" s="105" t="s">
        <v>70</v>
      </c>
      <c r="I21" s="66"/>
      <c r="J21" s="68">
        <v>18</v>
      </c>
      <c r="K21" s="139" t="s">
        <v>19</v>
      </c>
      <c r="L21" s="140">
        <f>SUMPRODUCT(($D$3:$D$102="本体会計")*($C$3:$C$102="備品購入費")*($E$3:$E$102))</f>
        <v>-4386</v>
      </c>
      <c r="M21" s="140">
        <v>4386</v>
      </c>
      <c r="N21" s="71">
        <v>144873</v>
      </c>
      <c r="O21" s="71">
        <v>336895</v>
      </c>
      <c r="P21" s="77">
        <f t="shared" si="1"/>
        <v>486154</v>
      </c>
      <c r="W21" s="3" t="s">
        <v>37</v>
      </c>
    </row>
    <row r="22" spans="1:23">
      <c r="A22" s="41">
        <v>20</v>
      </c>
      <c r="B22" s="44">
        <v>42916</v>
      </c>
      <c r="C22" s="108" t="s">
        <v>3</v>
      </c>
      <c r="D22" s="86" t="s">
        <v>32</v>
      </c>
      <c r="E22" s="106">
        <v>1000</v>
      </c>
      <c r="F22" s="107" t="s">
        <v>91</v>
      </c>
      <c r="G22" s="107" t="s">
        <v>3</v>
      </c>
      <c r="H22" s="105" t="s">
        <v>70</v>
      </c>
      <c r="I22" s="66"/>
      <c r="J22" s="68">
        <v>19</v>
      </c>
      <c r="K22" s="139" t="s">
        <v>171</v>
      </c>
      <c r="L22" s="140">
        <f>SUMPRODUCT(($D$3:$D$102="本体会計")*($C$3:$C$102="工事・修繕費")*($E$3:$E$102))</f>
        <v>0</v>
      </c>
      <c r="M22" s="140">
        <f>SUMPRODUCT(($D$3:$D$102="本体会計")*($C$3:$C$102="工事・修繕費")*($E$3:$E$102))</f>
        <v>0</v>
      </c>
      <c r="N22" s="71">
        <f>SUMPRODUCT(($D$3:$D$104="森づくり")*($C$3:$C$104="工事・修繕費")*($E$3:$E$104))</f>
        <v>0</v>
      </c>
      <c r="O22" s="71">
        <f>SUMPRODUCT(($D$3:$D$104="セブン財団")*($C$3:$C$104="工事・修繕費")*($E$3:$E$104))</f>
        <v>0</v>
      </c>
      <c r="P22" s="77">
        <f t="shared" si="1"/>
        <v>0</v>
      </c>
      <c r="W22" s="3" t="s">
        <v>17</v>
      </c>
    </row>
    <row r="23" spans="1:23" ht="14.25" thickBot="1">
      <c r="A23" s="41">
        <v>21</v>
      </c>
      <c r="B23" s="44">
        <v>42916</v>
      </c>
      <c r="C23" s="108" t="s">
        <v>3</v>
      </c>
      <c r="D23" s="86" t="s">
        <v>32</v>
      </c>
      <c r="E23" s="106">
        <v>1000</v>
      </c>
      <c r="F23" s="107" t="s">
        <v>92</v>
      </c>
      <c r="G23" s="107" t="s">
        <v>3</v>
      </c>
      <c r="H23" s="105" t="s">
        <v>70</v>
      </c>
      <c r="I23" s="66"/>
      <c r="J23" s="69">
        <v>20</v>
      </c>
      <c r="K23" s="144" t="s">
        <v>21</v>
      </c>
      <c r="L23" s="145">
        <f>SUMPRODUCT(($D$3:$D$102="本体会計")*($C$3:$C$102="委託費")*($E$3:$E$102))</f>
        <v>0</v>
      </c>
      <c r="M23" s="145">
        <f>SUMPRODUCT(($D$3:$D$102="本体会計")*($C$3:$C$102="委託費")*($E$3:$E$102))</f>
        <v>0</v>
      </c>
      <c r="N23" s="72">
        <f>SUMPRODUCT(($D$3:$D$104="森づくり")*($C$3:$C$104="委託費")*($E$3:$E$104))</f>
        <v>0</v>
      </c>
      <c r="O23" s="72">
        <f>SUMPRODUCT(($D$3:$D$104="セブン財団")*($C$3:$C$104="委託費")*($E$3:$E$104))</f>
        <v>0</v>
      </c>
      <c r="P23" s="77">
        <f t="shared" si="1"/>
        <v>0</v>
      </c>
      <c r="W23" s="3" t="s">
        <v>18</v>
      </c>
    </row>
    <row r="24" spans="1:23" ht="14.25" thickBot="1">
      <c r="A24" s="41">
        <v>22</v>
      </c>
      <c r="B24" s="44">
        <v>42916</v>
      </c>
      <c r="C24" s="108" t="s">
        <v>51</v>
      </c>
      <c r="D24" s="86" t="s">
        <v>32</v>
      </c>
      <c r="E24" s="106">
        <v>1000</v>
      </c>
      <c r="F24" s="107" t="s">
        <v>93</v>
      </c>
      <c r="G24" s="107" t="s">
        <v>2</v>
      </c>
      <c r="H24" s="105" t="s">
        <v>70</v>
      </c>
      <c r="I24" s="66"/>
      <c r="J24" s="57"/>
      <c r="K24" s="100" t="s">
        <v>135</v>
      </c>
      <c r="L24" s="74">
        <f>SUM(L10:L23)</f>
        <v>-131685</v>
      </c>
      <c r="M24" s="74">
        <f>SUM(M10:M23)</f>
        <v>131685</v>
      </c>
      <c r="N24" s="74">
        <f>SUM(N10:N23)</f>
        <v>228049</v>
      </c>
      <c r="O24" s="74">
        <f>SUM(O10:O23)</f>
        <v>495415</v>
      </c>
      <c r="P24" s="101">
        <f>SUM(P10:P23)</f>
        <v>855149</v>
      </c>
      <c r="W24" s="3"/>
    </row>
    <row r="25" spans="1:23" ht="14.25" thickBot="1">
      <c r="A25" s="41">
        <v>23</v>
      </c>
      <c r="B25" s="44">
        <v>42916</v>
      </c>
      <c r="C25" s="108" t="s">
        <v>3</v>
      </c>
      <c r="D25" s="86" t="s">
        <v>32</v>
      </c>
      <c r="E25" s="106">
        <v>1000</v>
      </c>
      <c r="F25" s="107" t="s">
        <v>93</v>
      </c>
      <c r="G25" s="107" t="s">
        <v>3</v>
      </c>
      <c r="H25" s="105" t="s">
        <v>70</v>
      </c>
      <c r="I25" s="66"/>
      <c r="J25" s="57"/>
      <c r="K25" s="100" t="s">
        <v>136</v>
      </c>
      <c r="L25" s="73">
        <f>L9+(L24)</f>
        <v>56071</v>
      </c>
      <c r="M25" s="73">
        <f>M9-M24</f>
        <v>56071</v>
      </c>
      <c r="N25" s="74">
        <v>0</v>
      </c>
      <c r="O25" s="74">
        <f>O9-O24</f>
        <v>0</v>
      </c>
      <c r="P25" s="102">
        <f>P9-P24</f>
        <v>56071</v>
      </c>
      <c r="W25" s="3" t="s">
        <v>19</v>
      </c>
    </row>
    <row r="26" spans="1:23">
      <c r="A26" s="41">
        <v>24</v>
      </c>
      <c r="B26" s="44">
        <v>42916</v>
      </c>
      <c r="C26" s="108" t="s">
        <v>3</v>
      </c>
      <c r="D26" s="86" t="s">
        <v>32</v>
      </c>
      <c r="E26" s="106">
        <v>1000</v>
      </c>
      <c r="F26" s="107" t="s">
        <v>94</v>
      </c>
      <c r="G26" s="107" t="s">
        <v>3</v>
      </c>
      <c r="H26" s="105" t="s">
        <v>70</v>
      </c>
      <c r="I26" s="66"/>
      <c r="J26" s="66"/>
      <c r="K26" s="62"/>
      <c r="L26" s="63"/>
      <c r="M26" s="63"/>
      <c r="N26" s="66"/>
      <c r="O26" s="66"/>
      <c r="R26" s="83"/>
      <c r="S26" s="83"/>
      <c r="T26" s="83"/>
      <c r="U26" s="83"/>
      <c r="V26" s="85"/>
    </row>
    <row r="27" spans="1:23">
      <c r="A27" s="41">
        <v>25</v>
      </c>
      <c r="B27" s="44">
        <v>42916</v>
      </c>
      <c r="C27" s="52" t="s">
        <v>5</v>
      </c>
      <c r="D27" s="86" t="s">
        <v>32</v>
      </c>
      <c r="E27" s="106">
        <v>1000</v>
      </c>
      <c r="F27" s="107" t="s">
        <v>101</v>
      </c>
      <c r="G27" s="107" t="s">
        <v>102</v>
      </c>
      <c r="H27" s="105" t="s">
        <v>70</v>
      </c>
      <c r="I27" s="66"/>
      <c r="J27" s="89"/>
      <c r="K27" s="70"/>
      <c r="L27" s="84"/>
      <c r="M27" s="84"/>
      <c r="N27" s="83"/>
      <c r="O27" s="83"/>
      <c r="P27" s="83"/>
      <c r="Q27" s="83"/>
      <c r="R27" s="65"/>
      <c r="S27" s="65"/>
      <c r="T27" s="65"/>
      <c r="U27" s="65"/>
      <c r="V27" s="85"/>
    </row>
    <row r="28" spans="1:23">
      <c r="A28" s="41">
        <v>26</v>
      </c>
      <c r="B28" s="44">
        <v>43281</v>
      </c>
      <c r="C28" s="52" t="s">
        <v>58</v>
      </c>
      <c r="D28" s="86" t="s">
        <v>32</v>
      </c>
      <c r="E28" s="106">
        <v>-529</v>
      </c>
      <c r="F28" s="107" t="s">
        <v>145</v>
      </c>
      <c r="G28" s="107" t="s">
        <v>146</v>
      </c>
      <c r="H28" s="105" t="s">
        <v>70</v>
      </c>
      <c r="I28" s="66"/>
      <c r="J28" s="90" t="s">
        <v>70</v>
      </c>
      <c r="K28" s="92"/>
      <c r="L28" s="93"/>
      <c r="M28" s="93"/>
      <c r="N28" s="65"/>
      <c r="O28" s="65"/>
      <c r="P28" s="65"/>
      <c r="Q28" s="65"/>
      <c r="R28" s="84"/>
      <c r="S28" s="84"/>
      <c r="T28" s="84"/>
      <c r="U28" s="84"/>
      <c r="V28" s="84"/>
      <c r="W28" s="81" t="s">
        <v>34</v>
      </c>
    </row>
    <row r="29" spans="1:23">
      <c r="A29" s="41">
        <v>27</v>
      </c>
      <c r="B29" s="44">
        <v>42922</v>
      </c>
      <c r="C29" s="108" t="s">
        <v>3</v>
      </c>
      <c r="D29" s="86" t="s">
        <v>32</v>
      </c>
      <c r="E29" s="106">
        <v>1000</v>
      </c>
      <c r="F29" s="107" t="s">
        <v>95</v>
      </c>
      <c r="G29" s="107" t="s">
        <v>3</v>
      </c>
      <c r="H29" s="105" t="s">
        <v>70</v>
      </c>
      <c r="I29" s="66"/>
      <c r="J29" s="91" t="s">
        <v>71</v>
      </c>
      <c r="K29" s="92"/>
      <c r="L29" s="93"/>
      <c r="M29" s="93"/>
      <c r="N29" s="84"/>
      <c r="O29" s="84"/>
      <c r="P29" s="84"/>
      <c r="Q29" s="84"/>
      <c r="R29" s="84"/>
      <c r="S29" s="84"/>
      <c r="T29" s="84"/>
      <c r="U29" s="84"/>
      <c r="V29" s="84"/>
      <c r="W29" s="81" t="s">
        <v>29</v>
      </c>
    </row>
    <row r="30" spans="1:23">
      <c r="A30" s="41">
        <v>28</v>
      </c>
      <c r="B30" s="44">
        <v>42925</v>
      </c>
      <c r="C30" s="108" t="s">
        <v>3</v>
      </c>
      <c r="D30" s="86" t="s">
        <v>32</v>
      </c>
      <c r="E30" s="106">
        <v>1000</v>
      </c>
      <c r="F30" s="107" t="s">
        <v>96</v>
      </c>
      <c r="G30" s="107" t="s">
        <v>3</v>
      </c>
      <c r="H30" s="105" t="s">
        <v>70</v>
      </c>
      <c r="I30" s="66"/>
      <c r="J30" s="65"/>
      <c r="K30" s="65"/>
      <c r="L30" s="93"/>
      <c r="M30" s="93"/>
      <c r="N30" s="84"/>
      <c r="O30" s="84"/>
      <c r="P30" s="84"/>
      <c r="Q30" s="84"/>
      <c r="R30" s="84"/>
      <c r="S30" s="84"/>
      <c r="T30" s="84"/>
      <c r="U30" s="84"/>
      <c r="V30" s="84"/>
    </row>
    <row r="31" spans="1:23">
      <c r="A31" s="41">
        <v>29</v>
      </c>
      <c r="B31" s="44">
        <v>42926</v>
      </c>
      <c r="C31" s="52" t="s">
        <v>58</v>
      </c>
      <c r="D31" s="86" t="s">
        <v>32</v>
      </c>
      <c r="E31" s="106">
        <v>-32400</v>
      </c>
      <c r="F31" s="107" t="s">
        <v>76</v>
      </c>
      <c r="G31" s="107" t="s">
        <v>77</v>
      </c>
      <c r="H31" s="105" t="s">
        <v>70</v>
      </c>
      <c r="I31" s="66"/>
      <c r="J31" s="65"/>
      <c r="K31" s="146" t="s">
        <v>172</v>
      </c>
      <c r="L31" s="146" t="s">
        <v>186</v>
      </c>
      <c r="M31" s="147" t="s">
        <v>173</v>
      </c>
      <c r="N31" s="146" t="s">
        <v>174</v>
      </c>
      <c r="O31" s="146" t="s">
        <v>175</v>
      </c>
      <c r="P31" s="84"/>
      <c r="Q31" s="84"/>
      <c r="R31" s="84"/>
      <c r="S31" s="84"/>
      <c r="T31" s="84"/>
      <c r="U31" s="84"/>
      <c r="V31" s="84"/>
      <c r="W31" s="84"/>
    </row>
    <row r="32" spans="1:23">
      <c r="A32" s="41">
        <v>30</v>
      </c>
      <c r="B32" s="44">
        <v>42927</v>
      </c>
      <c r="C32" s="108" t="s">
        <v>3</v>
      </c>
      <c r="D32" s="86" t="s">
        <v>32</v>
      </c>
      <c r="E32" s="106">
        <v>1000</v>
      </c>
      <c r="F32" s="107" t="s">
        <v>97</v>
      </c>
      <c r="G32" s="107" t="s">
        <v>3</v>
      </c>
      <c r="H32" s="105" t="s">
        <v>70</v>
      </c>
      <c r="I32" s="66"/>
      <c r="J32" s="65"/>
      <c r="K32" s="190" t="s">
        <v>176</v>
      </c>
      <c r="L32" s="106">
        <v>-1250</v>
      </c>
      <c r="M32" s="104">
        <v>-1858</v>
      </c>
      <c r="N32" s="54">
        <v>-1000</v>
      </c>
      <c r="O32" s="54">
        <v>-6788</v>
      </c>
      <c r="P32" s="84"/>
      <c r="Q32" s="84"/>
      <c r="R32" s="84"/>
      <c r="S32" s="84"/>
      <c r="T32" s="84"/>
      <c r="U32" s="84"/>
      <c r="V32" s="84"/>
      <c r="W32" s="84"/>
    </row>
    <row r="33" spans="1:23">
      <c r="A33" s="41">
        <v>31</v>
      </c>
      <c r="B33" s="44">
        <v>42936</v>
      </c>
      <c r="C33" s="52" t="s">
        <v>19</v>
      </c>
      <c r="D33" s="86" t="s">
        <v>32</v>
      </c>
      <c r="E33" s="106">
        <v>-2116</v>
      </c>
      <c r="F33" s="107" t="s">
        <v>80</v>
      </c>
      <c r="G33" s="107" t="s">
        <v>81</v>
      </c>
      <c r="H33" s="105" t="s">
        <v>70</v>
      </c>
      <c r="I33" s="66"/>
      <c r="J33" s="65"/>
      <c r="K33" s="190"/>
      <c r="L33" s="106">
        <v>-6874</v>
      </c>
      <c r="M33" s="106">
        <v>-2830</v>
      </c>
      <c r="N33" s="43">
        <v>-7210</v>
      </c>
      <c r="O33" s="43">
        <v>-1497</v>
      </c>
      <c r="P33" s="84"/>
      <c r="Q33" s="84"/>
      <c r="R33" s="84"/>
      <c r="S33" s="84"/>
      <c r="T33" s="84"/>
      <c r="U33" s="84"/>
      <c r="V33" s="84"/>
      <c r="W33" s="84"/>
    </row>
    <row r="34" spans="1:23">
      <c r="A34" s="41">
        <v>32</v>
      </c>
      <c r="B34" s="44">
        <v>42936</v>
      </c>
      <c r="C34" s="52" t="s">
        <v>50</v>
      </c>
      <c r="D34" s="86" t="s">
        <v>32</v>
      </c>
      <c r="E34" s="106">
        <v>-441</v>
      </c>
      <c r="F34" s="107" t="s">
        <v>82</v>
      </c>
      <c r="G34" s="107" t="s">
        <v>79</v>
      </c>
      <c r="H34" s="105" t="s">
        <v>70</v>
      </c>
      <c r="I34" s="66"/>
      <c r="J34" s="65"/>
      <c r="K34" s="190"/>
      <c r="L34" s="106">
        <v>-2963</v>
      </c>
      <c r="M34" s="106">
        <v>-2052</v>
      </c>
      <c r="N34" s="43">
        <v>-1909</v>
      </c>
      <c r="O34" s="43">
        <v>-1050</v>
      </c>
      <c r="P34" s="84"/>
      <c r="Q34" s="84"/>
      <c r="R34" s="84"/>
      <c r="S34" s="84"/>
      <c r="T34" s="84"/>
      <c r="U34" s="84"/>
      <c r="V34" s="84"/>
      <c r="W34" s="84"/>
    </row>
    <row r="35" spans="1:23">
      <c r="A35" s="41">
        <v>33</v>
      </c>
      <c r="B35" s="44">
        <v>42936</v>
      </c>
      <c r="C35" s="52" t="s">
        <v>50</v>
      </c>
      <c r="D35" s="86" t="s">
        <v>32</v>
      </c>
      <c r="E35" s="106">
        <v>-437</v>
      </c>
      <c r="F35" s="107" t="s">
        <v>83</v>
      </c>
      <c r="G35" s="107" t="s">
        <v>79</v>
      </c>
      <c r="H35" s="105" t="s">
        <v>70</v>
      </c>
      <c r="I35" s="66"/>
      <c r="J35" s="65"/>
      <c r="K35" s="190"/>
      <c r="L35" s="127">
        <v>-204</v>
      </c>
      <c r="M35" s="106">
        <v>-6994</v>
      </c>
      <c r="N35" s="43">
        <v>-3180</v>
      </c>
      <c r="O35" s="177">
        <v>-1000</v>
      </c>
      <c r="P35" s="84"/>
      <c r="Q35" s="84"/>
      <c r="R35" s="84"/>
      <c r="S35" s="84"/>
      <c r="T35" s="84"/>
      <c r="U35" s="84"/>
      <c r="V35" s="84"/>
      <c r="W35" s="84"/>
    </row>
    <row r="36" spans="1:23">
      <c r="A36" s="109">
        <v>34</v>
      </c>
      <c r="B36" s="110">
        <v>42939</v>
      </c>
      <c r="C36" s="111" t="s">
        <v>52</v>
      </c>
      <c r="D36" s="112" t="s">
        <v>32</v>
      </c>
      <c r="E36" s="113">
        <v>1000</v>
      </c>
      <c r="F36" s="114" t="s">
        <v>103</v>
      </c>
      <c r="G36" s="114" t="s">
        <v>3</v>
      </c>
      <c r="H36" s="115" t="s">
        <v>70</v>
      </c>
      <c r="I36" s="66"/>
      <c r="J36" s="65"/>
      <c r="K36" s="190"/>
      <c r="L36" s="175">
        <f>SUM(L32:L35)</f>
        <v>-11291</v>
      </c>
      <c r="M36" s="127">
        <v>-1900</v>
      </c>
      <c r="N36" s="43">
        <v>-3000</v>
      </c>
      <c r="O36" s="179">
        <f>SUM(O32:O35)</f>
        <v>-10335</v>
      </c>
      <c r="P36" s="84"/>
      <c r="Q36" s="84"/>
      <c r="R36" s="84"/>
      <c r="S36" s="84"/>
      <c r="T36" s="84"/>
      <c r="U36" s="84"/>
      <c r="V36" s="84"/>
      <c r="W36" s="84"/>
    </row>
    <row r="37" spans="1:23">
      <c r="A37" s="41">
        <v>35</v>
      </c>
      <c r="B37" s="44">
        <v>43309</v>
      </c>
      <c r="C37" s="52" t="s">
        <v>68</v>
      </c>
      <c r="D37" s="86" t="s">
        <v>32</v>
      </c>
      <c r="E37" s="106">
        <v>-1250</v>
      </c>
      <c r="F37" s="107" t="s">
        <v>126</v>
      </c>
      <c r="G37" s="107" t="s">
        <v>122</v>
      </c>
      <c r="H37" s="105" t="s">
        <v>70</v>
      </c>
      <c r="I37" s="66"/>
      <c r="J37" s="65"/>
      <c r="K37" s="190"/>
      <c r="L37" s="174"/>
      <c r="M37" s="176">
        <f>SUM(M32:M36)</f>
        <v>-15634</v>
      </c>
      <c r="N37" s="43">
        <v>-3000</v>
      </c>
      <c r="O37" s="53"/>
      <c r="P37" s="84"/>
      <c r="Q37" s="84"/>
      <c r="R37" s="84"/>
      <c r="S37" s="84"/>
      <c r="T37" s="84"/>
      <c r="U37" s="84"/>
      <c r="V37" s="84"/>
      <c r="W37" s="84"/>
    </row>
    <row r="38" spans="1:23">
      <c r="A38" s="41">
        <v>36</v>
      </c>
      <c r="B38" s="44">
        <v>43310</v>
      </c>
      <c r="C38" s="52" t="s">
        <v>68</v>
      </c>
      <c r="D38" s="86" t="s">
        <v>32</v>
      </c>
      <c r="E38" s="106">
        <v>-6874</v>
      </c>
      <c r="F38" s="107" t="s">
        <v>126</v>
      </c>
      <c r="G38" s="107" t="s">
        <v>150</v>
      </c>
      <c r="H38" s="105" t="s">
        <v>70</v>
      </c>
      <c r="I38" s="66"/>
      <c r="J38" s="82"/>
      <c r="K38" s="190"/>
      <c r="L38" s="172"/>
      <c r="M38" s="53"/>
      <c r="N38" s="43">
        <v>-3000</v>
      </c>
      <c r="O38" s="42"/>
      <c r="P38" s="84"/>
      <c r="Q38" s="84"/>
      <c r="R38" s="84"/>
      <c r="S38" s="84"/>
      <c r="T38" s="84"/>
      <c r="U38" s="84"/>
      <c r="V38" s="84"/>
      <c r="W38" s="84"/>
    </row>
    <row r="39" spans="1:23">
      <c r="A39" s="41">
        <v>37</v>
      </c>
      <c r="B39" s="44">
        <v>43310</v>
      </c>
      <c r="C39" s="52" t="s">
        <v>68</v>
      </c>
      <c r="D39" s="86" t="s">
        <v>32</v>
      </c>
      <c r="E39" s="106">
        <v>-2963</v>
      </c>
      <c r="F39" s="107" t="s">
        <v>126</v>
      </c>
      <c r="G39" s="107" t="s">
        <v>184</v>
      </c>
      <c r="H39" s="105" t="s">
        <v>70</v>
      </c>
      <c r="I39" s="66"/>
      <c r="J39" s="65"/>
      <c r="K39" s="190"/>
      <c r="L39" s="172"/>
      <c r="M39" s="42"/>
      <c r="N39" s="43">
        <v>-2000</v>
      </c>
      <c r="O39" s="42"/>
      <c r="P39" s="84"/>
      <c r="Q39" s="84"/>
      <c r="R39" s="84"/>
      <c r="S39" s="84"/>
      <c r="T39" s="84"/>
      <c r="U39" s="84"/>
      <c r="V39" s="84"/>
      <c r="W39" s="84"/>
    </row>
    <row r="40" spans="1:23">
      <c r="A40" s="41">
        <v>38</v>
      </c>
      <c r="B40" s="168">
        <v>43311</v>
      </c>
      <c r="C40" s="52" t="s">
        <v>68</v>
      </c>
      <c r="D40" s="86" t="s">
        <v>32</v>
      </c>
      <c r="E40" s="106">
        <v>-204</v>
      </c>
      <c r="F40" s="107" t="s">
        <v>126</v>
      </c>
      <c r="G40" s="107" t="s">
        <v>185</v>
      </c>
      <c r="H40" s="105" t="s">
        <v>70</v>
      </c>
      <c r="I40" s="66"/>
      <c r="J40" s="65"/>
      <c r="K40" s="190"/>
      <c r="L40" s="172"/>
      <c r="M40" s="42"/>
      <c r="N40" s="43">
        <v>-2000</v>
      </c>
      <c r="O40" s="42"/>
      <c r="P40" s="84"/>
      <c r="Q40" s="84"/>
      <c r="R40" s="84"/>
      <c r="S40" s="84"/>
      <c r="T40" s="84"/>
      <c r="U40" s="84"/>
      <c r="V40" s="84"/>
      <c r="W40" s="84"/>
    </row>
    <row r="41" spans="1:23">
      <c r="A41" s="41">
        <v>39</v>
      </c>
      <c r="B41" s="44">
        <v>43311</v>
      </c>
      <c r="C41" s="108" t="s">
        <v>48</v>
      </c>
      <c r="D41" s="86" t="s">
        <v>32</v>
      </c>
      <c r="E41" s="106">
        <v>11500</v>
      </c>
      <c r="F41" s="107" t="s">
        <v>187</v>
      </c>
      <c r="G41" s="107" t="s">
        <v>187</v>
      </c>
      <c r="H41" s="105" t="s">
        <v>70</v>
      </c>
      <c r="I41" s="66"/>
      <c r="J41" s="65"/>
      <c r="K41" s="190"/>
      <c r="L41" s="172"/>
      <c r="M41" s="42"/>
      <c r="N41" s="43">
        <v>-2000</v>
      </c>
      <c r="O41" s="42"/>
      <c r="P41" s="84"/>
      <c r="Q41" s="84"/>
      <c r="R41" s="84"/>
      <c r="S41" s="84"/>
      <c r="T41" s="84"/>
      <c r="U41" s="84"/>
      <c r="V41" s="84"/>
      <c r="W41" s="84"/>
    </row>
    <row r="42" spans="1:23">
      <c r="A42" s="41">
        <v>40</v>
      </c>
      <c r="B42" s="44">
        <v>42973</v>
      </c>
      <c r="C42" s="52" t="s">
        <v>19</v>
      </c>
      <c r="D42" s="86" t="s">
        <v>32</v>
      </c>
      <c r="E42" s="106">
        <v>-1861</v>
      </c>
      <c r="F42" s="107" t="s">
        <v>111</v>
      </c>
      <c r="G42" s="107" t="s">
        <v>112</v>
      </c>
      <c r="H42" s="105" t="s">
        <v>70</v>
      </c>
      <c r="I42" s="66"/>
      <c r="J42" s="84"/>
      <c r="K42" s="190"/>
      <c r="L42" s="172"/>
      <c r="M42" s="42"/>
      <c r="N42" s="177">
        <v>-2500</v>
      </c>
      <c r="O42" s="148"/>
      <c r="P42" s="84"/>
      <c r="Q42" s="84"/>
      <c r="R42" s="84"/>
      <c r="U42" s="37"/>
    </row>
    <row r="43" spans="1:23">
      <c r="A43" s="41">
        <v>41</v>
      </c>
      <c r="B43" s="44">
        <v>42987</v>
      </c>
      <c r="C43" s="52" t="s">
        <v>19</v>
      </c>
      <c r="D43" s="86" t="s">
        <v>32</v>
      </c>
      <c r="E43" s="106">
        <v>-409</v>
      </c>
      <c r="F43" s="107" t="s">
        <v>113</v>
      </c>
      <c r="G43" s="107" t="s">
        <v>112</v>
      </c>
      <c r="H43" s="105" t="s">
        <v>70</v>
      </c>
      <c r="I43" s="66"/>
      <c r="K43" s="191"/>
      <c r="L43" s="173"/>
      <c r="M43" s="149"/>
      <c r="N43" s="178">
        <f>SUM(N32:N42)</f>
        <v>-30799</v>
      </c>
      <c r="O43" s="150"/>
    </row>
    <row r="44" spans="1:23" ht="14.25" thickBot="1">
      <c r="A44" s="41">
        <v>42</v>
      </c>
      <c r="B44" s="44">
        <v>42999</v>
      </c>
      <c r="C44" s="52" t="s">
        <v>50</v>
      </c>
      <c r="D44" s="86" t="s">
        <v>32</v>
      </c>
      <c r="E44" s="106">
        <v>-441</v>
      </c>
      <c r="F44" s="107" t="s">
        <v>114</v>
      </c>
      <c r="G44" s="107" t="s">
        <v>115</v>
      </c>
      <c r="H44" s="105" t="s">
        <v>70</v>
      </c>
      <c r="I44" s="67"/>
      <c r="K44" s="151" t="s">
        <v>177</v>
      </c>
      <c r="L44" s="152">
        <v>11500</v>
      </c>
      <c r="M44" s="152">
        <v>19000</v>
      </c>
      <c r="N44" s="153">
        <v>31000</v>
      </c>
      <c r="O44" s="153">
        <v>17000</v>
      </c>
    </row>
    <row r="45" spans="1:23" ht="14.25" thickTop="1">
      <c r="A45" s="41">
        <v>43</v>
      </c>
      <c r="B45" s="44">
        <v>43021</v>
      </c>
      <c r="C45" s="52" t="s">
        <v>68</v>
      </c>
      <c r="D45" s="86" t="s">
        <v>32</v>
      </c>
      <c r="E45" s="106">
        <v>-1858</v>
      </c>
      <c r="F45" s="107" t="s">
        <v>119</v>
      </c>
      <c r="G45" s="107" t="s">
        <v>147</v>
      </c>
      <c r="H45" s="105" t="s">
        <v>70</v>
      </c>
      <c r="I45" s="67"/>
      <c r="J45" s="34"/>
      <c r="K45" s="154" t="s">
        <v>178</v>
      </c>
      <c r="L45" s="155">
        <f>L36+L44</f>
        <v>209</v>
      </c>
      <c r="M45" s="155">
        <f>M37+M44</f>
        <v>3366</v>
      </c>
      <c r="N45" s="156">
        <f>N43+N44</f>
        <v>201</v>
      </c>
      <c r="O45" s="156">
        <f>O36+O44</f>
        <v>6665</v>
      </c>
    </row>
    <row r="46" spans="1:23" ht="14.25" thickBot="1">
      <c r="A46" s="41">
        <v>44</v>
      </c>
      <c r="B46" s="44">
        <v>43021</v>
      </c>
      <c r="C46" s="52" t="s">
        <v>68</v>
      </c>
      <c r="D46" s="86" t="s">
        <v>32</v>
      </c>
      <c r="E46" s="106">
        <v>-2830</v>
      </c>
      <c r="F46" s="107" t="s">
        <v>119</v>
      </c>
      <c r="G46" s="107" t="s">
        <v>148</v>
      </c>
      <c r="H46" s="105" t="s">
        <v>70</v>
      </c>
      <c r="I46" s="67"/>
      <c r="J46" s="34"/>
      <c r="K46" s="34"/>
      <c r="L46" s="34"/>
      <c r="M46" s="157"/>
      <c r="N46" s="38"/>
    </row>
    <row r="47" spans="1:23">
      <c r="A47" s="171">
        <v>45</v>
      </c>
      <c r="B47" s="44">
        <v>43021</v>
      </c>
      <c r="C47" s="52" t="s">
        <v>68</v>
      </c>
      <c r="D47" s="86" t="s">
        <v>32</v>
      </c>
      <c r="E47" s="106">
        <v>-2052</v>
      </c>
      <c r="F47" s="107" t="s">
        <v>120</v>
      </c>
      <c r="G47" s="107" t="s">
        <v>149</v>
      </c>
      <c r="H47" s="105" t="s">
        <v>70</v>
      </c>
      <c r="I47" s="67"/>
      <c r="J47" s="34"/>
      <c r="K47" s="158" t="s">
        <v>179</v>
      </c>
      <c r="L47" s="159">
        <v>38723</v>
      </c>
      <c r="M47" s="34"/>
      <c r="N47" s="39"/>
    </row>
    <row r="48" spans="1:23">
      <c r="A48" s="41">
        <v>46</v>
      </c>
      <c r="B48" s="44">
        <v>43021</v>
      </c>
      <c r="C48" s="52" t="s">
        <v>68</v>
      </c>
      <c r="D48" s="86" t="s">
        <v>32</v>
      </c>
      <c r="E48" s="106">
        <v>-6994</v>
      </c>
      <c r="F48" s="107" t="s">
        <v>119</v>
      </c>
      <c r="G48" s="107" t="s">
        <v>150</v>
      </c>
      <c r="H48" s="105" t="s">
        <v>70</v>
      </c>
      <c r="I48" s="67"/>
      <c r="J48" s="34"/>
      <c r="K48" s="160" t="s">
        <v>180</v>
      </c>
      <c r="L48" s="161">
        <v>23848</v>
      </c>
      <c r="M48" s="34"/>
      <c r="N48" s="38"/>
      <c r="O48" s="34"/>
      <c r="P48" s="34"/>
      <c r="Q48" s="34"/>
    </row>
    <row r="49" spans="1:17" ht="14.25" thickBot="1">
      <c r="A49" s="41">
        <v>47</v>
      </c>
      <c r="B49" s="44">
        <v>43021</v>
      </c>
      <c r="C49" s="52" t="s">
        <v>48</v>
      </c>
      <c r="D49" s="86" t="s">
        <v>32</v>
      </c>
      <c r="E49" s="106">
        <v>19000</v>
      </c>
      <c r="F49" s="107" t="s">
        <v>151</v>
      </c>
      <c r="G49" s="107" t="s">
        <v>130</v>
      </c>
      <c r="H49" s="105" t="s">
        <v>70</v>
      </c>
      <c r="I49" s="67"/>
      <c r="J49" s="34"/>
      <c r="K49" s="162" t="s">
        <v>181</v>
      </c>
      <c r="L49" s="163">
        <v>-6500</v>
      </c>
      <c r="M49" s="34"/>
      <c r="N49" s="38"/>
      <c r="O49" s="38"/>
      <c r="P49" s="34"/>
      <c r="Q49" s="34"/>
    </row>
    <row r="50" spans="1:17" ht="15" thickTop="1" thickBot="1">
      <c r="A50" s="41">
        <v>48</v>
      </c>
      <c r="B50" s="44">
        <v>43021</v>
      </c>
      <c r="C50" s="52" t="s">
        <v>68</v>
      </c>
      <c r="D50" s="86" t="s">
        <v>32</v>
      </c>
      <c r="E50" s="106">
        <v>-1900</v>
      </c>
      <c r="F50" s="107" t="s">
        <v>121</v>
      </c>
      <c r="G50" s="107" t="s">
        <v>122</v>
      </c>
      <c r="H50" s="105" t="s">
        <v>70</v>
      </c>
      <c r="I50" s="67"/>
      <c r="J50" s="34"/>
      <c r="K50" s="164" t="s">
        <v>182</v>
      </c>
      <c r="L50" s="165">
        <f>SUM(L47:L49)</f>
        <v>56071</v>
      </c>
      <c r="M50" s="34"/>
      <c r="N50" s="38"/>
      <c r="O50" s="38"/>
      <c r="P50" s="34"/>
      <c r="Q50" s="34"/>
    </row>
    <row r="51" spans="1:17" ht="15" thickTop="1" thickBot="1">
      <c r="A51" s="109">
        <v>49</v>
      </c>
      <c r="B51" s="110">
        <v>43049</v>
      </c>
      <c r="C51" s="111" t="s">
        <v>52</v>
      </c>
      <c r="D51" s="112" t="s">
        <v>32</v>
      </c>
      <c r="E51" s="113">
        <v>1000</v>
      </c>
      <c r="F51" s="114" t="s">
        <v>116</v>
      </c>
      <c r="G51" s="114" t="s">
        <v>3</v>
      </c>
      <c r="H51" s="115" t="s">
        <v>70</v>
      </c>
      <c r="I51" s="67"/>
      <c r="J51" s="34"/>
      <c r="K51" s="166" t="s">
        <v>183</v>
      </c>
      <c r="L51" s="167">
        <f>E93-L50</f>
        <v>-56071</v>
      </c>
      <c r="M51" s="34"/>
      <c r="N51" s="38"/>
      <c r="O51" s="34"/>
      <c r="P51" s="34"/>
      <c r="Q51" s="34"/>
    </row>
    <row r="52" spans="1:17">
      <c r="A52" s="41">
        <v>50</v>
      </c>
      <c r="B52" s="44">
        <v>43049</v>
      </c>
      <c r="C52" s="52" t="s">
        <v>51</v>
      </c>
      <c r="D52" s="86" t="s">
        <v>32</v>
      </c>
      <c r="E52" s="106">
        <v>1000</v>
      </c>
      <c r="F52" s="107" t="s">
        <v>117</v>
      </c>
      <c r="G52" s="107" t="s">
        <v>2</v>
      </c>
      <c r="H52" s="105" t="s">
        <v>70</v>
      </c>
      <c r="I52" s="67"/>
      <c r="J52" s="34"/>
      <c r="K52" s="34"/>
      <c r="L52" s="34"/>
      <c r="M52" s="34"/>
      <c r="N52" s="34"/>
      <c r="O52" s="34"/>
      <c r="P52" s="34"/>
      <c r="Q52" s="34"/>
    </row>
    <row r="53" spans="1:17">
      <c r="A53" s="41">
        <v>51</v>
      </c>
      <c r="B53" s="44">
        <v>43049</v>
      </c>
      <c r="C53" s="52" t="s">
        <v>52</v>
      </c>
      <c r="D53" s="86" t="s">
        <v>32</v>
      </c>
      <c r="E53" s="106">
        <v>1000</v>
      </c>
      <c r="F53" s="107" t="s">
        <v>117</v>
      </c>
      <c r="G53" s="107" t="s">
        <v>3</v>
      </c>
      <c r="H53" s="105" t="s">
        <v>70</v>
      </c>
      <c r="I53" s="67"/>
      <c r="J53" s="34"/>
      <c r="K53" s="34"/>
      <c r="L53" s="34"/>
      <c r="M53" s="34"/>
      <c r="N53" s="34"/>
      <c r="O53" s="34"/>
      <c r="P53" s="34"/>
      <c r="Q53" s="34"/>
    </row>
    <row r="54" spans="1:17">
      <c r="A54" s="41">
        <v>52</v>
      </c>
      <c r="B54" s="44">
        <v>43049</v>
      </c>
      <c r="C54" s="52" t="s">
        <v>5</v>
      </c>
      <c r="D54" s="86" t="s">
        <v>32</v>
      </c>
      <c r="E54" s="106">
        <v>10360</v>
      </c>
      <c r="F54" s="107" t="s">
        <v>118</v>
      </c>
      <c r="G54" s="107" t="s">
        <v>5</v>
      </c>
      <c r="H54" s="105" t="s">
        <v>70</v>
      </c>
      <c r="I54" s="67"/>
      <c r="J54" s="34"/>
      <c r="K54" s="34"/>
      <c r="L54" s="34"/>
      <c r="M54" s="34"/>
      <c r="N54" s="34"/>
      <c r="O54" s="39"/>
      <c r="P54" s="34"/>
      <c r="Q54" s="34"/>
    </row>
    <row r="55" spans="1:17">
      <c r="A55" s="41">
        <v>53</v>
      </c>
      <c r="B55" s="44">
        <v>43049</v>
      </c>
      <c r="C55" s="52" t="s">
        <v>50</v>
      </c>
      <c r="D55" s="86" t="s">
        <v>32</v>
      </c>
      <c r="E55" s="106">
        <v>-892</v>
      </c>
      <c r="F55" s="107" t="s">
        <v>125</v>
      </c>
      <c r="G55" s="107" t="s">
        <v>79</v>
      </c>
      <c r="H55" s="105" t="s">
        <v>70</v>
      </c>
      <c r="I55" s="67"/>
      <c r="J55" s="34"/>
      <c r="K55" s="34"/>
      <c r="L55" s="34"/>
      <c r="M55" s="34"/>
      <c r="N55" s="34"/>
      <c r="O55" s="38"/>
      <c r="P55" s="34"/>
      <c r="Q55" s="34"/>
    </row>
    <row r="56" spans="1:17">
      <c r="A56" s="41">
        <v>54</v>
      </c>
      <c r="B56" s="44">
        <v>43049</v>
      </c>
      <c r="C56" s="52" t="s">
        <v>50</v>
      </c>
      <c r="D56" s="86" t="s">
        <v>32</v>
      </c>
      <c r="E56" s="106">
        <v>-1133</v>
      </c>
      <c r="F56" s="107" t="s">
        <v>124</v>
      </c>
      <c r="G56" s="107" t="s">
        <v>79</v>
      </c>
      <c r="H56" s="105" t="s">
        <v>70</v>
      </c>
      <c r="I56" s="67"/>
      <c r="J56" s="34"/>
      <c r="K56" s="67"/>
      <c r="L56" s="183"/>
      <c r="M56" s="34"/>
      <c r="N56" s="34"/>
      <c r="O56" s="38"/>
      <c r="P56" s="34"/>
      <c r="Q56" s="34"/>
    </row>
    <row r="57" spans="1:17">
      <c r="A57" s="41">
        <v>55</v>
      </c>
      <c r="B57" s="44">
        <v>43420</v>
      </c>
      <c r="C57" s="52" t="s">
        <v>50</v>
      </c>
      <c r="D57" s="86" t="s">
        <v>32</v>
      </c>
      <c r="E57" s="106">
        <v>-892</v>
      </c>
      <c r="F57" s="107" t="s">
        <v>123</v>
      </c>
      <c r="G57" s="107" t="s">
        <v>115</v>
      </c>
      <c r="H57" s="105" t="s">
        <v>70</v>
      </c>
      <c r="I57" s="67"/>
      <c r="J57" s="34"/>
      <c r="K57" s="67"/>
      <c r="L57" s="183"/>
      <c r="M57" s="34"/>
      <c r="N57" s="34"/>
      <c r="O57" s="38"/>
      <c r="P57" s="34"/>
      <c r="Q57" s="34"/>
    </row>
    <row r="58" spans="1:17">
      <c r="A58" s="41">
        <v>56</v>
      </c>
      <c r="B58" s="44">
        <v>43428</v>
      </c>
      <c r="C58" s="52" t="s">
        <v>68</v>
      </c>
      <c r="D58" s="86" t="s">
        <v>32</v>
      </c>
      <c r="E58" s="106">
        <v>-1000</v>
      </c>
      <c r="F58" s="107" t="s">
        <v>121</v>
      </c>
      <c r="G58" s="107" t="s">
        <v>122</v>
      </c>
      <c r="H58" s="105" t="s">
        <v>70</v>
      </c>
      <c r="I58" s="67"/>
      <c r="J58" s="34"/>
      <c r="K58" s="67"/>
      <c r="L58" s="183"/>
      <c r="M58" s="34"/>
      <c r="N58" s="34"/>
      <c r="O58" s="39"/>
      <c r="P58" s="34"/>
      <c r="Q58" s="34"/>
    </row>
    <row r="59" spans="1:17">
      <c r="A59" s="41">
        <v>57</v>
      </c>
      <c r="B59" s="44">
        <v>43429</v>
      </c>
      <c r="C59" s="52" t="s">
        <v>68</v>
      </c>
      <c r="D59" s="86" t="s">
        <v>32</v>
      </c>
      <c r="E59" s="106">
        <v>-7210</v>
      </c>
      <c r="F59" s="107" t="s">
        <v>126</v>
      </c>
      <c r="G59" s="107" t="s">
        <v>152</v>
      </c>
      <c r="H59" s="105" t="s">
        <v>70</v>
      </c>
      <c r="I59" s="67"/>
      <c r="J59" s="34"/>
      <c r="K59" s="67"/>
      <c r="L59" s="183"/>
      <c r="M59" s="34"/>
      <c r="N59" s="34"/>
      <c r="O59" s="38"/>
      <c r="P59" s="34"/>
      <c r="Q59" s="34"/>
    </row>
    <row r="60" spans="1:17">
      <c r="A60" s="41">
        <v>58</v>
      </c>
      <c r="B60" s="44">
        <v>43429</v>
      </c>
      <c r="C60" s="52" t="s">
        <v>68</v>
      </c>
      <c r="D60" s="86" t="s">
        <v>32</v>
      </c>
      <c r="E60" s="106">
        <v>-1909</v>
      </c>
      <c r="F60" s="107" t="s">
        <v>126</v>
      </c>
      <c r="G60" s="107" t="s">
        <v>147</v>
      </c>
      <c r="H60" s="105" t="s">
        <v>70</v>
      </c>
      <c r="I60" s="67"/>
      <c r="J60" s="34"/>
      <c r="K60" s="67"/>
      <c r="L60" s="67"/>
      <c r="M60" s="34"/>
      <c r="N60" s="34"/>
      <c r="O60" s="38"/>
      <c r="P60" s="34"/>
      <c r="Q60" s="34"/>
    </row>
    <row r="61" spans="1:17">
      <c r="A61" s="41">
        <v>59</v>
      </c>
      <c r="B61" s="44">
        <v>43429</v>
      </c>
      <c r="C61" s="52" t="s">
        <v>68</v>
      </c>
      <c r="D61" s="86" t="s">
        <v>32</v>
      </c>
      <c r="E61" s="106">
        <v>-3180</v>
      </c>
      <c r="F61" s="107" t="s">
        <v>126</v>
      </c>
      <c r="G61" s="107" t="s">
        <v>147</v>
      </c>
      <c r="H61" s="105" t="s">
        <v>70</v>
      </c>
      <c r="I61" s="67"/>
      <c r="J61" s="34"/>
      <c r="K61" s="67"/>
      <c r="L61" s="67"/>
      <c r="M61" s="34"/>
      <c r="N61" s="34"/>
      <c r="O61" s="38"/>
      <c r="P61" s="34"/>
      <c r="Q61" s="34"/>
    </row>
    <row r="62" spans="1:17">
      <c r="A62" s="41">
        <v>60</v>
      </c>
      <c r="B62" s="44">
        <v>43430</v>
      </c>
      <c r="C62" s="52" t="s">
        <v>48</v>
      </c>
      <c r="D62" s="86" t="s">
        <v>32</v>
      </c>
      <c r="E62" s="106">
        <v>31000</v>
      </c>
      <c r="F62" s="107" t="s">
        <v>151</v>
      </c>
      <c r="G62" s="107" t="s">
        <v>153</v>
      </c>
      <c r="H62" s="105" t="s">
        <v>70</v>
      </c>
      <c r="I62" s="67"/>
      <c r="J62" s="34"/>
      <c r="K62" s="67"/>
      <c r="L62" s="67"/>
      <c r="M62" s="34"/>
      <c r="N62" s="34"/>
      <c r="O62" s="38"/>
      <c r="P62" s="34"/>
      <c r="Q62" s="34"/>
    </row>
    <row r="63" spans="1:17">
      <c r="A63" s="170">
        <v>61</v>
      </c>
      <c r="B63" s="44">
        <v>43435</v>
      </c>
      <c r="C63" s="52" t="s">
        <v>57</v>
      </c>
      <c r="D63" s="86" t="s">
        <v>32</v>
      </c>
      <c r="E63" s="106">
        <v>-3000</v>
      </c>
      <c r="F63" s="107" t="s">
        <v>154</v>
      </c>
      <c r="G63" s="107" t="s">
        <v>155</v>
      </c>
      <c r="H63" s="105" t="s">
        <v>70</v>
      </c>
      <c r="I63" s="67"/>
      <c r="J63" s="39"/>
      <c r="K63" s="182"/>
      <c r="L63" s="67"/>
      <c r="M63" s="34"/>
      <c r="N63" s="34"/>
      <c r="O63" s="39"/>
      <c r="P63" s="34"/>
      <c r="Q63" s="34"/>
    </row>
    <row r="64" spans="1:17">
      <c r="A64" s="170">
        <v>62</v>
      </c>
      <c r="B64" s="44">
        <v>43435</v>
      </c>
      <c r="C64" s="52" t="s">
        <v>57</v>
      </c>
      <c r="D64" s="86" t="s">
        <v>32</v>
      </c>
      <c r="E64" s="106">
        <v>-3000</v>
      </c>
      <c r="F64" s="107" t="s">
        <v>154</v>
      </c>
      <c r="G64" s="107" t="s">
        <v>156</v>
      </c>
      <c r="H64" s="105" t="s">
        <v>70</v>
      </c>
      <c r="I64" s="67"/>
      <c r="J64" s="34"/>
      <c r="K64" s="34"/>
      <c r="L64" s="34"/>
      <c r="M64" s="34"/>
      <c r="N64" s="34"/>
      <c r="O64" s="38"/>
      <c r="P64" s="34"/>
      <c r="Q64" s="34"/>
    </row>
    <row r="65" spans="1:17">
      <c r="A65" s="170">
        <v>63</v>
      </c>
      <c r="B65" s="44">
        <v>43435</v>
      </c>
      <c r="C65" s="52" t="s">
        <v>57</v>
      </c>
      <c r="D65" s="86" t="s">
        <v>32</v>
      </c>
      <c r="E65" s="106">
        <v>-3000</v>
      </c>
      <c r="F65" s="107" t="s">
        <v>154</v>
      </c>
      <c r="G65" s="107" t="s">
        <v>157</v>
      </c>
      <c r="H65" s="105" t="s">
        <v>70</v>
      </c>
      <c r="I65" s="67"/>
      <c r="J65" s="34"/>
      <c r="K65" s="34"/>
      <c r="L65" s="34"/>
      <c r="M65" s="34"/>
      <c r="N65" s="39"/>
      <c r="O65" s="34"/>
      <c r="P65" s="34"/>
      <c r="Q65" s="34"/>
    </row>
    <row r="66" spans="1:17">
      <c r="A66" s="41">
        <v>64</v>
      </c>
      <c r="B66" s="44">
        <v>43435</v>
      </c>
      <c r="C66" s="52" t="s">
        <v>57</v>
      </c>
      <c r="D66" s="86" t="s">
        <v>32</v>
      </c>
      <c r="E66" s="106">
        <v>-2000</v>
      </c>
      <c r="F66" s="107" t="s">
        <v>154</v>
      </c>
      <c r="G66" s="107" t="s">
        <v>158</v>
      </c>
      <c r="H66" s="105" t="s">
        <v>70</v>
      </c>
      <c r="I66" s="67"/>
      <c r="J66" s="34"/>
      <c r="K66" s="34"/>
      <c r="L66" s="34"/>
      <c r="M66" s="34"/>
      <c r="N66" s="39"/>
      <c r="O66" s="34"/>
      <c r="P66" s="34"/>
      <c r="Q66" s="34"/>
    </row>
    <row r="67" spans="1:17">
      <c r="A67" s="116">
        <v>65</v>
      </c>
      <c r="B67" s="117">
        <v>43435</v>
      </c>
      <c r="C67" s="118" t="s">
        <v>57</v>
      </c>
      <c r="D67" s="119" t="s">
        <v>32</v>
      </c>
      <c r="E67" s="120">
        <v>-2000</v>
      </c>
      <c r="F67" s="121" t="s">
        <v>154</v>
      </c>
      <c r="G67" s="121" t="s">
        <v>159</v>
      </c>
      <c r="H67" s="122" t="s">
        <v>71</v>
      </c>
      <c r="I67" s="67"/>
      <c r="J67" s="34"/>
      <c r="K67" s="38"/>
      <c r="L67" s="34"/>
      <c r="M67" s="34"/>
      <c r="N67" s="39"/>
      <c r="O67" s="34"/>
      <c r="P67" s="34"/>
      <c r="Q67" s="34"/>
    </row>
    <row r="68" spans="1:17">
      <c r="A68" s="116">
        <v>66</v>
      </c>
      <c r="B68" s="117">
        <v>43435</v>
      </c>
      <c r="C68" s="118" t="s">
        <v>57</v>
      </c>
      <c r="D68" s="119" t="s">
        <v>32</v>
      </c>
      <c r="E68" s="120">
        <v>-2000</v>
      </c>
      <c r="F68" s="121" t="s">
        <v>154</v>
      </c>
      <c r="G68" s="121" t="s">
        <v>160</v>
      </c>
      <c r="H68" s="122" t="s">
        <v>71</v>
      </c>
      <c r="I68" s="67"/>
      <c r="J68" s="34"/>
      <c r="K68" s="34"/>
      <c r="L68" s="34"/>
      <c r="M68" s="34"/>
      <c r="N68" s="39"/>
      <c r="O68" s="34"/>
      <c r="P68" s="34"/>
      <c r="Q68" s="34"/>
    </row>
    <row r="69" spans="1:17">
      <c r="A69" s="116">
        <v>67</v>
      </c>
      <c r="B69" s="117">
        <v>43435</v>
      </c>
      <c r="C69" s="118" t="s">
        <v>57</v>
      </c>
      <c r="D69" s="119" t="s">
        <v>32</v>
      </c>
      <c r="E69" s="120">
        <v>-2500</v>
      </c>
      <c r="F69" s="121" t="s">
        <v>154</v>
      </c>
      <c r="G69" s="121" t="s">
        <v>161</v>
      </c>
      <c r="H69" s="122" t="s">
        <v>71</v>
      </c>
      <c r="I69" s="67"/>
      <c r="J69" s="34"/>
      <c r="K69" s="34"/>
      <c r="L69" s="34"/>
      <c r="M69" s="34"/>
      <c r="N69" s="38"/>
      <c r="O69" s="34"/>
      <c r="P69" s="34"/>
      <c r="Q69" s="34"/>
    </row>
    <row r="70" spans="1:17">
      <c r="A70" s="41">
        <v>68</v>
      </c>
      <c r="B70" s="44">
        <v>43455</v>
      </c>
      <c r="C70" s="52" t="s">
        <v>50</v>
      </c>
      <c r="D70" s="86" t="s">
        <v>32</v>
      </c>
      <c r="E70" s="106">
        <v>-900</v>
      </c>
      <c r="F70" s="107" t="s">
        <v>127</v>
      </c>
      <c r="G70" s="107" t="s">
        <v>115</v>
      </c>
      <c r="H70" s="105" t="s">
        <v>70</v>
      </c>
      <c r="I70" s="67"/>
      <c r="J70" s="34"/>
      <c r="K70" s="34"/>
      <c r="L70" s="34"/>
      <c r="M70" s="34"/>
      <c r="N70" s="39"/>
      <c r="O70" s="34"/>
      <c r="P70" s="34"/>
      <c r="Q70" s="34"/>
    </row>
    <row r="71" spans="1:17">
      <c r="A71" s="41">
        <v>69</v>
      </c>
      <c r="B71" s="44">
        <v>43131</v>
      </c>
      <c r="C71" s="52" t="s">
        <v>50</v>
      </c>
      <c r="D71" s="86" t="s">
        <v>32</v>
      </c>
      <c r="E71" s="106">
        <v>-437</v>
      </c>
      <c r="F71" s="107" t="s">
        <v>162</v>
      </c>
      <c r="G71" s="107" t="s">
        <v>79</v>
      </c>
      <c r="H71" s="105" t="s">
        <v>70</v>
      </c>
      <c r="I71" s="67"/>
      <c r="J71" s="34"/>
      <c r="K71" s="34"/>
      <c r="L71" s="34"/>
      <c r="M71" s="34"/>
      <c r="N71" s="38"/>
      <c r="O71" s="34"/>
      <c r="P71" s="34"/>
      <c r="Q71" s="34"/>
    </row>
    <row r="72" spans="1:17">
      <c r="A72" s="41">
        <v>70</v>
      </c>
      <c r="B72" s="44">
        <v>43154</v>
      </c>
      <c r="C72" s="52" t="s">
        <v>68</v>
      </c>
      <c r="D72" s="86" t="s">
        <v>32</v>
      </c>
      <c r="E72" s="106">
        <v>-6788</v>
      </c>
      <c r="F72" s="107" t="s">
        <v>126</v>
      </c>
      <c r="G72" s="107" t="s">
        <v>150</v>
      </c>
      <c r="H72" s="105" t="s">
        <v>70</v>
      </c>
      <c r="I72" s="67"/>
      <c r="J72" s="34"/>
      <c r="K72" s="34"/>
      <c r="L72" s="34"/>
      <c r="M72" s="34"/>
      <c r="N72" s="38"/>
      <c r="O72" s="34"/>
      <c r="P72" s="34"/>
      <c r="Q72" s="34"/>
    </row>
    <row r="73" spans="1:17" ht="14.25" thickBot="1">
      <c r="A73" s="123">
        <v>71</v>
      </c>
      <c r="B73" s="44">
        <v>43154</v>
      </c>
      <c r="C73" s="52" t="s">
        <v>68</v>
      </c>
      <c r="D73" s="86" t="s">
        <v>32</v>
      </c>
      <c r="E73" s="106">
        <v>-1497</v>
      </c>
      <c r="F73" s="107" t="s">
        <v>126</v>
      </c>
      <c r="G73" s="107" t="s">
        <v>147</v>
      </c>
      <c r="H73" s="105" t="s">
        <v>70</v>
      </c>
      <c r="I73" s="67"/>
      <c r="J73" s="34"/>
      <c r="K73" s="34"/>
      <c r="L73" s="34"/>
      <c r="M73" s="34"/>
      <c r="N73" s="34"/>
      <c r="O73" s="38"/>
      <c r="P73" s="34"/>
      <c r="Q73" s="34"/>
    </row>
    <row r="74" spans="1:17" ht="14.25" thickTop="1">
      <c r="A74" s="130">
        <v>72</v>
      </c>
      <c r="B74" s="44">
        <v>43154</v>
      </c>
      <c r="C74" s="52" t="s">
        <v>68</v>
      </c>
      <c r="D74" s="86" t="s">
        <v>32</v>
      </c>
      <c r="E74" s="106">
        <v>-1050</v>
      </c>
      <c r="F74" s="107" t="s">
        <v>126</v>
      </c>
      <c r="G74" s="107" t="s">
        <v>163</v>
      </c>
      <c r="H74" s="105" t="s">
        <v>70</v>
      </c>
      <c r="I74" s="67"/>
      <c r="J74" s="34"/>
      <c r="K74" s="34"/>
      <c r="L74" s="34"/>
      <c r="M74" s="34"/>
      <c r="N74" s="34"/>
      <c r="O74" s="39"/>
      <c r="P74" s="34"/>
      <c r="Q74" s="34"/>
    </row>
    <row r="75" spans="1:17">
      <c r="A75" s="46">
        <v>73</v>
      </c>
      <c r="B75" s="44">
        <v>43154</v>
      </c>
      <c r="C75" s="52" t="s">
        <v>68</v>
      </c>
      <c r="D75" s="86" t="s">
        <v>32</v>
      </c>
      <c r="E75" s="106">
        <v>-1000</v>
      </c>
      <c r="F75" s="107" t="s">
        <v>121</v>
      </c>
      <c r="G75" s="107" t="s">
        <v>122</v>
      </c>
      <c r="H75" s="105" t="s">
        <v>70</v>
      </c>
      <c r="I75" s="67"/>
      <c r="J75" s="34"/>
      <c r="K75" s="34"/>
      <c r="L75" s="34"/>
      <c r="M75" s="34"/>
      <c r="N75" s="34"/>
      <c r="O75" s="38"/>
      <c r="P75" s="34"/>
      <c r="Q75" s="34"/>
    </row>
    <row r="76" spans="1:17">
      <c r="A76" s="41">
        <v>74</v>
      </c>
      <c r="B76" s="44">
        <v>43155</v>
      </c>
      <c r="C76" s="108" t="s">
        <v>48</v>
      </c>
      <c r="D76" s="86" t="s">
        <v>32</v>
      </c>
      <c r="E76" s="106">
        <v>17000</v>
      </c>
      <c r="F76" s="107" t="s">
        <v>164</v>
      </c>
      <c r="G76" s="107" t="s">
        <v>165</v>
      </c>
      <c r="H76" s="105" t="s">
        <v>70</v>
      </c>
      <c r="I76" s="67"/>
      <c r="J76" s="34"/>
      <c r="K76" s="34"/>
      <c r="L76" s="34"/>
      <c r="M76" s="34"/>
      <c r="N76" s="34"/>
      <c r="O76" s="38"/>
      <c r="P76" s="34"/>
      <c r="Q76" s="34"/>
    </row>
    <row r="77" spans="1:17" ht="14.25" thickBot="1">
      <c r="A77" s="41">
        <v>75</v>
      </c>
      <c r="B77" s="124">
        <v>43182</v>
      </c>
      <c r="C77" s="125" t="s">
        <v>50</v>
      </c>
      <c r="D77" s="126" t="s">
        <v>32</v>
      </c>
      <c r="E77" s="127">
        <v>-437</v>
      </c>
      <c r="F77" s="128" t="s">
        <v>128</v>
      </c>
      <c r="G77" s="128" t="s">
        <v>129</v>
      </c>
      <c r="H77" s="129" t="s">
        <v>70</v>
      </c>
      <c r="I77" s="67"/>
      <c r="J77" s="34"/>
      <c r="K77" s="34"/>
      <c r="L77" s="34"/>
      <c r="M77" s="34"/>
      <c r="N77" s="34"/>
      <c r="O77" s="38"/>
      <c r="P77" s="34"/>
      <c r="Q77" s="34"/>
    </row>
    <row r="78" spans="1:17" ht="14.25" thickTop="1">
      <c r="A78" s="41">
        <v>76</v>
      </c>
      <c r="B78" s="187" t="s">
        <v>166</v>
      </c>
      <c r="C78" s="188"/>
      <c r="D78" s="189"/>
      <c r="E78" s="131">
        <f>SUM(E3:E77)</f>
        <v>57856</v>
      </c>
      <c r="F78" s="132"/>
      <c r="G78" s="132"/>
      <c r="H78" s="133"/>
      <c r="I78" s="67"/>
      <c r="J78" s="34"/>
      <c r="K78" s="34"/>
      <c r="L78" s="34"/>
      <c r="M78" s="34"/>
      <c r="N78" s="34"/>
      <c r="O78" s="38"/>
      <c r="P78" s="34"/>
      <c r="Q78" s="34"/>
    </row>
    <row r="79" spans="1:17">
      <c r="A79" s="41">
        <v>77</v>
      </c>
      <c r="B79" s="51">
        <v>43213</v>
      </c>
      <c r="C79" s="52" t="s">
        <v>50</v>
      </c>
      <c r="D79" s="86" t="s">
        <v>32</v>
      </c>
      <c r="E79" s="104">
        <v>-892</v>
      </c>
      <c r="F79" s="134" t="s">
        <v>167</v>
      </c>
      <c r="G79" s="134" t="s">
        <v>168</v>
      </c>
      <c r="H79" s="105" t="s">
        <v>70</v>
      </c>
      <c r="I79" s="67"/>
      <c r="J79" s="34"/>
      <c r="K79" s="34"/>
      <c r="L79" s="34"/>
      <c r="M79" s="34"/>
      <c r="N79" s="34"/>
      <c r="O79" s="38"/>
      <c r="P79" s="34"/>
      <c r="Q79" s="34"/>
    </row>
    <row r="80" spans="1:17">
      <c r="A80" s="41">
        <v>78</v>
      </c>
      <c r="B80" s="44">
        <v>43213</v>
      </c>
      <c r="C80" s="52" t="s">
        <v>50</v>
      </c>
      <c r="D80" s="86" t="s">
        <v>32</v>
      </c>
      <c r="E80" s="106">
        <v>-893</v>
      </c>
      <c r="F80" s="107" t="s">
        <v>169</v>
      </c>
      <c r="G80" s="107" t="s">
        <v>168</v>
      </c>
      <c r="H80" s="105" t="s">
        <v>70</v>
      </c>
      <c r="I80" s="67"/>
      <c r="J80" s="34"/>
      <c r="K80" s="34"/>
      <c r="L80" s="34"/>
      <c r="M80" s="34"/>
      <c r="N80" s="34"/>
      <c r="O80" s="38"/>
      <c r="P80" s="34"/>
      <c r="Q80" s="34"/>
    </row>
    <row r="81" spans="1:17">
      <c r="A81" s="41">
        <v>79</v>
      </c>
      <c r="B81" s="42"/>
      <c r="C81" s="52"/>
      <c r="D81" s="86"/>
      <c r="E81" s="106"/>
      <c r="F81" s="42"/>
      <c r="G81" s="42"/>
      <c r="H81" s="105"/>
      <c r="I81" s="67"/>
      <c r="J81" s="34"/>
      <c r="K81" s="34"/>
      <c r="L81" s="34"/>
      <c r="M81" s="34"/>
      <c r="N81" s="34"/>
      <c r="O81" s="38"/>
      <c r="P81" s="34"/>
      <c r="Q81" s="34"/>
    </row>
    <row r="82" spans="1:17">
      <c r="A82" s="41">
        <v>80</v>
      </c>
      <c r="B82" s="42"/>
      <c r="C82" s="52"/>
      <c r="D82" s="86"/>
      <c r="E82" s="106"/>
      <c r="F82" s="42"/>
      <c r="G82" s="42"/>
      <c r="H82" s="105"/>
      <c r="I82" s="67"/>
      <c r="J82" s="34"/>
      <c r="K82" s="34"/>
      <c r="L82" s="34"/>
      <c r="M82" s="34"/>
      <c r="N82" s="34"/>
      <c r="O82" s="38"/>
      <c r="P82" s="34"/>
      <c r="Q82" s="34"/>
    </row>
    <row r="83" spans="1:17">
      <c r="A83" s="41">
        <v>81</v>
      </c>
      <c r="B83" s="42"/>
      <c r="C83" s="52"/>
      <c r="D83" s="86"/>
      <c r="E83" s="106"/>
      <c r="F83" s="42"/>
      <c r="G83" s="42"/>
      <c r="H83" s="105"/>
      <c r="I83" s="67"/>
      <c r="J83" s="34"/>
      <c r="K83" s="34"/>
      <c r="L83" s="34"/>
      <c r="M83" s="34"/>
      <c r="N83" s="34"/>
      <c r="O83" s="38"/>
      <c r="P83" s="34"/>
      <c r="Q83" s="34"/>
    </row>
    <row r="84" spans="1:17">
      <c r="A84" s="41">
        <v>82</v>
      </c>
      <c r="B84" s="42"/>
      <c r="C84" s="52"/>
      <c r="D84" s="86"/>
      <c r="E84" s="106"/>
      <c r="F84" s="42"/>
      <c r="G84" s="42"/>
      <c r="H84" s="105"/>
      <c r="I84" s="67"/>
      <c r="J84" s="34"/>
      <c r="K84" s="34"/>
      <c r="L84" s="34"/>
      <c r="M84" s="34"/>
      <c r="N84" s="34"/>
      <c r="O84" s="38"/>
      <c r="P84" s="34"/>
      <c r="Q84" s="34"/>
    </row>
    <row r="85" spans="1:17">
      <c r="A85" s="41">
        <v>83</v>
      </c>
      <c r="B85" s="42"/>
      <c r="C85" s="52"/>
      <c r="D85" s="86"/>
      <c r="E85" s="106"/>
      <c r="F85" s="42"/>
      <c r="G85" s="42"/>
      <c r="H85" s="105"/>
      <c r="I85" s="67"/>
      <c r="J85" s="34"/>
      <c r="K85" s="34"/>
      <c r="L85" s="34"/>
      <c r="M85" s="34"/>
      <c r="N85" s="34"/>
      <c r="O85" s="38"/>
      <c r="P85" s="34"/>
      <c r="Q85" s="34"/>
    </row>
    <row r="86" spans="1:17">
      <c r="A86" s="41">
        <v>84</v>
      </c>
      <c r="B86" s="42"/>
      <c r="C86" s="52"/>
      <c r="D86" s="86"/>
      <c r="E86" s="106"/>
      <c r="F86" s="42"/>
      <c r="G86" s="42"/>
      <c r="H86" s="105"/>
      <c r="I86" s="67"/>
      <c r="J86" s="34"/>
      <c r="K86" s="34"/>
      <c r="L86" s="34"/>
      <c r="M86" s="34"/>
      <c r="N86" s="34"/>
      <c r="O86" s="38"/>
      <c r="P86" s="38"/>
      <c r="Q86" s="34"/>
    </row>
    <row r="87" spans="1:17">
      <c r="A87" s="41">
        <v>85</v>
      </c>
      <c r="B87" s="42"/>
      <c r="C87" s="52"/>
      <c r="D87" s="86"/>
      <c r="E87" s="106"/>
      <c r="F87" s="42"/>
      <c r="G87" s="42"/>
      <c r="H87" s="105"/>
      <c r="I87" s="67"/>
      <c r="J87" s="34"/>
      <c r="K87" s="34"/>
      <c r="L87" s="34"/>
      <c r="M87" s="34"/>
      <c r="N87" s="34"/>
      <c r="O87" s="34"/>
      <c r="P87" s="34"/>
      <c r="Q87" s="34"/>
    </row>
    <row r="88" spans="1:17">
      <c r="A88" s="41">
        <v>86</v>
      </c>
      <c r="B88" s="42"/>
      <c r="C88" s="52"/>
      <c r="D88" s="86"/>
      <c r="E88" s="106"/>
      <c r="F88" s="42"/>
      <c r="G88" s="42"/>
      <c r="H88" s="105"/>
      <c r="I88" s="67"/>
      <c r="J88" s="34"/>
      <c r="K88" s="34"/>
      <c r="L88" s="34"/>
      <c r="M88" s="34"/>
      <c r="N88" s="34"/>
      <c r="O88" s="34"/>
      <c r="P88" s="34"/>
      <c r="Q88" s="34"/>
    </row>
    <row r="89" spans="1:17">
      <c r="A89" s="41">
        <v>87</v>
      </c>
      <c r="B89" s="42"/>
      <c r="C89" s="52"/>
      <c r="D89" s="86"/>
      <c r="E89" s="106"/>
      <c r="F89" s="42"/>
      <c r="G89" s="42"/>
      <c r="H89" s="105"/>
      <c r="I89" s="67"/>
      <c r="J89" s="34"/>
      <c r="K89" s="34"/>
      <c r="L89" s="34"/>
      <c r="M89" s="34"/>
      <c r="N89" s="34"/>
      <c r="O89" s="34"/>
      <c r="P89" s="34"/>
      <c r="Q89" s="34"/>
    </row>
    <row r="90" spans="1:17">
      <c r="A90" s="41">
        <v>88</v>
      </c>
      <c r="B90" s="42"/>
      <c r="C90" s="52"/>
      <c r="D90" s="86"/>
      <c r="E90" s="106"/>
      <c r="F90" s="42"/>
      <c r="G90" s="42"/>
      <c r="H90" s="105"/>
      <c r="I90" s="67"/>
      <c r="J90" s="34"/>
      <c r="K90" s="34"/>
      <c r="L90" s="34"/>
      <c r="M90" s="34"/>
      <c r="N90" s="34"/>
      <c r="O90" s="34"/>
      <c r="P90" s="34"/>
      <c r="Q90" s="34"/>
    </row>
    <row r="91" spans="1:17">
      <c r="A91" s="41">
        <v>89</v>
      </c>
      <c r="B91" s="42"/>
      <c r="C91" s="52"/>
      <c r="D91" s="86"/>
      <c r="E91" s="106"/>
      <c r="F91" s="42"/>
      <c r="G91" s="42"/>
      <c r="H91" s="105"/>
      <c r="I91" s="67"/>
      <c r="J91" s="34"/>
      <c r="K91" s="34"/>
      <c r="L91" s="34"/>
      <c r="M91" s="34"/>
      <c r="N91" s="34"/>
      <c r="O91" s="34"/>
      <c r="P91" s="34"/>
      <c r="Q91" s="34"/>
    </row>
    <row r="92" spans="1:17">
      <c r="A92" s="41">
        <v>90</v>
      </c>
      <c r="B92" s="42"/>
      <c r="C92" s="52"/>
      <c r="D92" s="86"/>
      <c r="E92" s="106"/>
      <c r="F92" s="42"/>
      <c r="G92" s="42"/>
      <c r="H92" s="105"/>
      <c r="I92" s="67"/>
      <c r="J92" s="34"/>
      <c r="K92" s="34"/>
      <c r="L92" s="34"/>
      <c r="M92" s="34"/>
      <c r="N92" s="34"/>
      <c r="O92" s="34"/>
      <c r="P92" s="34"/>
      <c r="Q92" s="34"/>
    </row>
    <row r="93" spans="1:17">
      <c r="A93" s="41">
        <v>91</v>
      </c>
      <c r="B93" s="42"/>
      <c r="C93" s="52"/>
      <c r="D93" s="86"/>
      <c r="E93" s="106"/>
      <c r="F93" s="42"/>
      <c r="G93" s="42"/>
      <c r="H93" s="105"/>
      <c r="I93" s="67"/>
      <c r="J93" s="34"/>
    </row>
    <row r="94" spans="1:17">
      <c r="A94" s="41">
        <v>92</v>
      </c>
      <c r="B94" s="42"/>
      <c r="C94" s="52"/>
      <c r="D94" s="86"/>
      <c r="E94" s="106"/>
      <c r="F94" s="42"/>
      <c r="G94" s="42"/>
      <c r="H94" s="105"/>
      <c r="I94" s="67"/>
      <c r="J94" s="34"/>
    </row>
    <row r="95" spans="1:17">
      <c r="A95" s="41">
        <v>93</v>
      </c>
      <c r="B95" s="42"/>
      <c r="C95" s="52"/>
      <c r="D95" s="86"/>
      <c r="E95" s="106"/>
      <c r="F95" s="42"/>
      <c r="G95" s="42"/>
      <c r="H95" s="105"/>
      <c r="I95" s="67"/>
      <c r="J95" s="34"/>
    </row>
    <row r="96" spans="1:17">
      <c r="A96" s="41">
        <v>94</v>
      </c>
      <c r="B96" s="42"/>
      <c r="C96" s="52"/>
      <c r="D96" s="86"/>
      <c r="E96" s="106"/>
      <c r="F96" s="42"/>
      <c r="G96" s="42"/>
      <c r="H96" s="105"/>
      <c r="I96" s="67"/>
      <c r="J96" s="34"/>
    </row>
    <row r="97" spans="1:10">
      <c r="A97" s="41">
        <v>95</v>
      </c>
      <c r="B97" s="42"/>
      <c r="C97" s="52"/>
      <c r="D97" s="86"/>
      <c r="E97" s="106"/>
      <c r="F97" s="42"/>
      <c r="G97" s="42"/>
      <c r="H97" s="105"/>
      <c r="I97" s="67"/>
      <c r="J97" s="34"/>
    </row>
    <row r="98" spans="1:10">
      <c r="A98" s="41">
        <v>96</v>
      </c>
      <c r="B98" s="42"/>
      <c r="C98" s="52"/>
      <c r="D98" s="86"/>
      <c r="E98" s="106"/>
      <c r="F98" s="42"/>
      <c r="G98" s="42"/>
      <c r="H98" s="105"/>
      <c r="I98" s="67"/>
      <c r="J98" s="34"/>
    </row>
    <row r="99" spans="1:10">
      <c r="A99" s="41">
        <v>97</v>
      </c>
      <c r="B99" s="42"/>
      <c r="C99" s="52"/>
      <c r="D99" s="86"/>
      <c r="E99" s="106"/>
      <c r="F99" s="42"/>
      <c r="G99" s="42"/>
      <c r="H99" s="105"/>
      <c r="I99" s="67"/>
      <c r="J99" s="34"/>
    </row>
    <row r="100" spans="1:10">
      <c r="A100" s="41">
        <v>98</v>
      </c>
      <c r="B100" s="42"/>
      <c r="C100" s="52"/>
      <c r="D100" s="86"/>
      <c r="E100" s="106"/>
      <c r="F100" s="42"/>
      <c r="G100" s="42"/>
      <c r="H100" s="105"/>
      <c r="I100" s="67"/>
      <c r="J100" s="34"/>
    </row>
    <row r="101" spans="1:10">
      <c r="A101" s="41">
        <v>99</v>
      </c>
      <c r="B101" s="42"/>
      <c r="C101" s="52"/>
      <c r="D101" s="86"/>
      <c r="E101" s="106"/>
      <c r="F101" s="42"/>
      <c r="G101" s="42"/>
      <c r="H101" s="105"/>
      <c r="I101" s="67"/>
      <c r="J101" s="34"/>
    </row>
    <row r="102" spans="1:10" ht="14.25" thickBot="1">
      <c r="A102" s="45">
        <v>100</v>
      </c>
      <c r="B102" s="42"/>
      <c r="C102" s="52"/>
      <c r="D102" s="86"/>
      <c r="E102" s="106"/>
      <c r="F102" s="42"/>
      <c r="G102" s="42"/>
      <c r="H102" s="105"/>
      <c r="I102" s="67"/>
      <c r="J102" s="34"/>
    </row>
    <row r="103" spans="1:10" ht="14.25" thickBot="1">
      <c r="A103" s="169" t="s">
        <v>33</v>
      </c>
      <c r="B103" s="180"/>
      <c r="C103" s="181"/>
      <c r="D103" s="135" t="s">
        <v>170</v>
      </c>
      <c r="E103" s="136">
        <f>SUM(E79:E80)</f>
        <v>-1785</v>
      </c>
      <c r="F103" s="58"/>
      <c r="G103" s="58"/>
      <c r="H103" s="137"/>
      <c r="I103" s="67"/>
      <c r="J103" s="34"/>
    </row>
    <row r="104" spans="1:10" ht="14.25" thickBot="1">
      <c r="A104" s="45">
        <v>100</v>
      </c>
      <c r="B104" s="55"/>
      <c r="C104" s="52"/>
      <c r="D104" s="86"/>
      <c r="E104" s="56"/>
      <c r="F104" s="55"/>
      <c r="G104" s="55"/>
      <c r="H104" s="47"/>
      <c r="I104" s="67"/>
      <c r="J104" s="34"/>
    </row>
    <row r="105" spans="1:10" ht="14.25" thickBot="1">
      <c r="A105" s="57"/>
      <c r="B105" s="58"/>
      <c r="C105" s="59"/>
      <c r="D105" s="58"/>
      <c r="E105" s="60">
        <f>E78+E103</f>
        <v>56071</v>
      </c>
      <c r="F105" s="58"/>
      <c r="G105" s="58"/>
      <c r="H105" s="61"/>
      <c r="I105" s="67"/>
      <c r="J105" s="34"/>
    </row>
    <row r="106" spans="1:10">
      <c r="H106" s="34"/>
      <c r="I106" s="67"/>
      <c r="J106" s="34"/>
    </row>
    <row r="107" spans="1:10">
      <c r="I107" s="34"/>
      <c r="J107" s="34"/>
    </row>
    <row r="108" spans="1:10">
      <c r="J108" s="34"/>
    </row>
  </sheetData>
  <mergeCells count="3">
    <mergeCell ref="A1:H1"/>
    <mergeCell ref="B78:D78"/>
    <mergeCell ref="K32:K43"/>
  </mergeCells>
  <phoneticPr fontId="7"/>
  <dataValidations count="6">
    <dataValidation type="list" allowBlank="1" showInputMessage="1" showErrorMessage="1" sqref="C104">
      <formula1>$K$3:$K$23</formula1>
    </dataValidation>
    <dataValidation type="list" allowBlank="1" showInputMessage="1" showErrorMessage="1" sqref="H104">
      <formula1>$J$27:$J$29</formula1>
    </dataValidation>
    <dataValidation type="list" allowBlank="1" showInputMessage="1" showErrorMessage="1" sqref="C3:C77 C79:C102">
      <formula1>$K$3:$K$22</formula1>
    </dataValidation>
    <dataValidation type="list" allowBlank="1" showInputMessage="1" showErrorMessage="1" sqref="C2">
      <formula1>#REF!</formula1>
    </dataValidation>
    <dataValidation type="list" allowBlank="1" showInputMessage="1" showErrorMessage="1" sqref="H3:H102">
      <formula1>$J$25:$J$27</formula1>
    </dataValidation>
    <dataValidation type="list" allowBlank="1" showInputMessage="1" showErrorMessage="1" sqref="D104 D79:D102 D3:D77">
      <formula1>$L$2:$O$2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A38" sqref="A38:C38"/>
    </sheetView>
  </sheetViews>
  <sheetFormatPr defaultRowHeight="13.5"/>
  <cols>
    <col min="1" max="1" width="35.625" customWidth="1"/>
    <col min="2" max="2" width="22.625" style="1" customWidth="1"/>
    <col min="3" max="3" width="22.625" customWidth="1"/>
    <col min="4" max="4" width="16.125" customWidth="1"/>
    <col min="5" max="8" width="14.625" style="1" customWidth="1"/>
    <col min="9" max="9" width="14.625" customWidth="1"/>
  </cols>
  <sheetData>
    <row r="1" spans="1:9" ht="30" customHeight="1">
      <c r="A1" s="193" t="s">
        <v>104</v>
      </c>
      <c r="B1" s="193"/>
      <c r="C1" s="193"/>
      <c r="D1" s="193" t="s">
        <v>105</v>
      </c>
      <c r="E1" s="192"/>
      <c r="F1" s="192"/>
      <c r="G1" s="192"/>
      <c r="H1" s="192"/>
      <c r="I1" s="192"/>
    </row>
    <row r="2" spans="1:9" ht="20.100000000000001" customHeight="1">
      <c r="A2" s="192" t="s">
        <v>132</v>
      </c>
      <c r="B2" s="192"/>
      <c r="C2" s="192"/>
      <c r="D2" s="194" t="s">
        <v>39</v>
      </c>
      <c r="E2" s="192"/>
      <c r="F2" s="192"/>
      <c r="G2" s="192"/>
      <c r="H2" s="192"/>
      <c r="I2" s="192"/>
    </row>
    <row r="3" spans="1:9" ht="20.100000000000001" customHeight="1">
      <c r="A3" s="192" t="s">
        <v>133</v>
      </c>
      <c r="B3" s="192"/>
      <c r="C3" s="192"/>
      <c r="D3" s="32"/>
    </row>
    <row r="4" spans="1:9" ht="20.100000000000001" customHeight="1">
      <c r="D4" s="1"/>
    </row>
    <row r="5" spans="1:9" ht="20.100000000000001" customHeight="1">
      <c r="A5" s="7" t="s">
        <v>0</v>
      </c>
      <c r="B5" s="8" t="s">
        <v>23</v>
      </c>
      <c r="C5" s="7" t="s">
        <v>24</v>
      </c>
      <c r="D5" s="7" t="s">
        <v>0</v>
      </c>
      <c r="E5" s="8" t="s">
        <v>32</v>
      </c>
      <c r="F5" s="8" t="s">
        <v>30</v>
      </c>
      <c r="G5" s="8" t="s">
        <v>31</v>
      </c>
      <c r="H5" s="8" t="s">
        <v>35</v>
      </c>
      <c r="I5" s="29" t="s">
        <v>33</v>
      </c>
    </row>
    <row r="6" spans="1:9" ht="20.100000000000001" customHeight="1">
      <c r="A6" s="6" t="s">
        <v>1</v>
      </c>
      <c r="B6" s="11">
        <f>I6</f>
        <v>75996</v>
      </c>
      <c r="C6" s="6"/>
      <c r="D6" s="6" t="s">
        <v>1</v>
      </c>
      <c r="E6" s="30">
        <f>H29年度出納帳!L3</f>
        <v>75996</v>
      </c>
      <c r="F6" s="30">
        <f>H29年度出納帳!N3</f>
        <v>0</v>
      </c>
      <c r="G6" s="30">
        <v>0</v>
      </c>
      <c r="H6" s="30">
        <v>0</v>
      </c>
      <c r="I6" s="31">
        <f>SUM(E6:H6)</f>
        <v>75996</v>
      </c>
    </row>
    <row r="7" spans="1:9" ht="20.100000000000001" customHeight="1">
      <c r="A7" s="3" t="s">
        <v>2</v>
      </c>
      <c r="B7" s="12">
        <f>I7</f>
        <v>4000</v>
      </c>
      <c r="C7" s="3"/>
      <c r="D7" s="3" t="s">
        <v>2</v>
      </c>
      <c r="E7" s="30">
        <f>H29年度出納帳!L6</f>
        <v>4000</v>
      </c>
      <c r="F7" s="17">
        <v>0</v>
      </c>
      <c r="G7" s="17">
        <v>0</v>
      </c>
      <c r="H7" s="17">
        <v>0</v>
      </c>
      <c r="I7" s="18">
        <f t="shared" ref="I7:I12" si="0">SUM(E7:H7)</f>
        <v>4000</v>
      </c>
    </row>
    <row r="8" spans="1:9" ht="20.100000000000001" customHeight="1">
      <c r="A8" s="3" t="s">
        <v>3</v>
      </c>
      <c r="B8" s="12">
        <f t="shared" ref="B8:B11" si="1">I8</f>
        <v>15000</v>
      </c>
      <c r="C8" s="3"/>
      <c r="D8" s="3" t="s">
        <v>3</v>
      </c>
      <c r="E8" s="17">
        <f>H29年度出納帳!L7</f>
        <v>15000</v>
      </c>
      <c r="F8" s="17">
        <v>0</v>
      </c>
      <c r="G8" s="17">
        <v>0</v>
      </c>
      <c r="H8" s="17">
        <v>0</v>
      </c>
      <c r="I8" s="18">
        <f t="shared" si="0"/>
        <v>15000</v>
      </c>
    </row>
    <row r="9" spans="1:9" ht="20.100000000000001" customHeight="1">
      <c r="A9" s="3" t="s">
        <v>4</v>
      </c>
      <c r="B9" s="12">
        <f t="shared" si="1"/>
        <v>722415</v>
      </c>
      <c r="C9" s="3"/>
      <c r="D9" s="3" t="s">
        <v>131</v>
      </c>
      <c r="E9" s="17">
        <f>H29年度出納帳!L4</f>
        <v>0</v>
      </c>
      <c r="F9" s="17">
        <v>227000</v>
      </c>
      <c r="G9" s="17"/>
      <c r="H9" s="17">
        <v>495415</v>
      </c>
      <c r="I9" s="18">
        <f t="shared" si="0"/>
        <v>722415</v>
      </c>
    </row>
    <row r="10" spans="1:9" ht="20.100000000000001" customHeight="1">
      <c r="A10" s="3" t="s">
        <v>5</v>
      </c>
      <c r="B10" s="12">
        <f t="shared" si="1"/>
        <v>12409</v>
      </c>
      <c r="C10" s="24"/>
      <c r="D10" s="3" t="s">
        <v>5</v>
      </c>
      <c r="E10" s="17">
        <v>11360</v>
      </c>
      <c r="F10" s="17">
        <v>1049</v>
      </c>
      <c r="G10" s="17">
        <v>0</v>
      </c>
      <c r="H10" s="17">
        <v>0</v>
      </c>
      <c r="I10" s="18">
        <f t="shared" si="0"/>
        <v>12409</v>
      </c>
    </row>
    <row r="11" spans="1:9" ht="20.100000000000001" customHeight="1">
      <c r="A11" s="3" t="s">
        <v>6</v>
      </c>
      <c r="B11" s="12">
        <f t="shared" si="1"/>
        <v>81400</v>
      </c>
      <c r="C11" s="3"/>
      <c r="D11" s="3" t="s">
        <v>6</v>
      </c>
      <c r="E11" s="17">
        <f>H29年度出納帳!L8</f>
        <v>81400</v>
      </c>
      <c r="F11" s="17">
        <v>0</v>
      </c>
      <c r="G11" s="17"/>
      <c r="H11" s="17">
        <v>0</v>
      </c>
      <c r="I11" s="18">
        <f t="shared" si="0"/>
        <v>81400</v>
      </c>
    </row>
    <row r="12" spans="1:9" ht="20.100000000000001" customHeight="1">
      <c r="A12" s="4"/>
      <c r="B12" s="12"/>
      <c r="C12" s="4"/>
      <c r="D12" s="4"/>
      <c r="E12" s="27"/>
      <c r="F12" s="27">
        <v>0</v>
      </c>
      <c r="G12" s="27">
        <v>0</v>
      </c>
      <c r="H12" s="27">
        <v>0</v>
      </c>
      <c r="I12" s="28">
        <f t="shared" si="0"/>
        <v>0</v>
      </c>
    </row>
    <row r="13" spans="1:9" ht="20.100000000000001" customHeight="1">
      <c r="A13" s="5" t="s">
        <v>7</v>
      </c>
      <c r="B13" s="13">
        <f>SUM(B6:B12)</f>
        <v>911220</v>
      </c>
      <c r="C13" s="5"/>
      <c r="D13" s="5" t="s">
        <v>7</v>
      </c>
      <c r="E13" s="25">
        <f>SUM(E6:E12)</f>
        <v>187756</v>
      </c>
      <c r="F13" s="25">
        <f>SUM(F6:F12)</f>
        <v>228049</v>
      </c>
      <c r="G13" s="25">
        <f>SUM(G6:G12)</f>
        <v>0</v>
      </c>
      <c r="H13" s="25">
        <f>SUM(H6:H12)</f>
        <v>495415</v>
      </c>
      <c r="I13" s="26">
        <f>SUM(E13:H13)</f>
        <v>911220</v>
      </c>
    </row>
    <row r="14" spans="1:9" ht="20.100000000000001" customHeight="1">
      <c r="I14" s="16"/>
    </row>
    <row r="15" spans="1:9" ht="20.100000000000001" customHeight="1">
      <c r="E15" s="1" t="s">
        <v>36</v>
      </c>
      <c r="I15" s="16"/>
    </row>
    <row r="16" spans="1:9" ht="20.100000000000001" customHeight="1">
      <c r="A16" s="7" t="s">
        <v>8</v>
      </c>
      <c r="B16" s="8" t="s">
        <v>23</v>
      </c>
      <c r="C16" s="7" t="s">
        <v>24</v>
      </c>
      <c r="D16" s="7" t="s">
        <v>8</v>
      </c>
      <c r="E16" s="20" t="s">
        <v>32</v>
      </c>
      <c r="F16" s="20" t="s">
        <v>30</v>
      </c>
      <c r="G16" s="20" t="s">
        <v>63</v>
      </c>
      <c r="H16" s="20" t="s">
        <v>35</v>
      </c>
      <c r="I16" s="21" t="s">
        <v>33</v>
      </c>
    </row>
    <row r="17" spans="1:11" ht="20.100000000000001" customHeight="1">
      <c r="A17" s="6" t="s">
        <v>9</v>
      </c>
      <c r="B17" s="11">
        <v>0</v>
      </c>
      <c r="C17" s="6"/>
      <c r="D17" s="6" t="s">
        <v>9</v>
      </c>
      <c r="E17" s="22">
        <v>0</v>
      </c>
      <c r="F17" s="22">
        <v>0</v>
      </c>
      <c r="G17" s="22"/>
      <c r="H17" s="22">
        <v>0</v>
      </c>
      <c r="I17" s="23">
        <f>SUM(E17:H17)</f>
        <v>0</v>
      </c>
    </row>
    <row r="18" spans="1:11" ht="20.100000000000001" customHeight="1">
      <c r="A18" s="3" t="s">
        <v>10</v>
      </c>
      <c r="B18" s="12">
        <f>I18</f>
        <v>128520</v>
      </c>
      <c r="C18" s="3"/>
      <c r="D18" s="3" t="s">
        <v>10</v>
      </c>
      <c r="E18" s="17">
        <v>0</v>
      </c>
      <c r="F18" s="17">
        <v>0</v>
      </c>
      <c r="G18" s="17"/>
      <c r="H18" s="17">
        <v>128520</v>
      </c>
      <c r="I18" s="18">
        <f t="shared" ref="I18:I32" si="2">SUM(E18:H18)</f>
        <v>128520</v>
      </c>
    </row>
    <row r="19" spans="1:11" ht="20.100000000000001" customHeight="1">
      <c r="A19" s="3" t="s">
        <v>11</v>
      </c>
      <c r="B19" s="12">
        <f t="shared" ref="B19:B32" si="3">I19</f>
        <v>0</v>
      </c>
      <c r="C19" s="3"/>
      <c r="D19" s="3" t="s">
        <v>11</v>
      </c>
      <c r="E19" s="17">
        <v>0</v>
      </c>
      <c r="F19" s="17">
        <v>0</v>
      </c>
      <c r="G19" s="17"/>
      <c r="H19" s="17">
        <v>0</v>
      </c>
      <c r="I19" s="18">
        <f t="shared" si="2"/>
        <v>0</v>
      </c>
    </row>
    <row r="20" spans="1:11" ht="20.100000000000001" customHeight="1">
      <c r="A20" s="3" t="s">
        <v>12</v>
      </c>
      <c r="B20" s="12">
        <f t="shared" si="3"/>
        <v>30000</v>
      </c>
      <c r="C20" s="3"/>
      <c r="D20" s="3" t="s">
        <v>12</v>
      </c>
      <c r="E20" s="17">
        <v>0</v>
      </c>
      <c r="F20" s="17">
        <v>0</v>
      </c>
      <c r="G20" s="17"/>
      <c r="H20" s="17">
        <v>30000</v>
      </c>
      <c r="I20" s="18">
        <f t="shared" si="2"/>
        <v>30000</v>
      </c>
    </row>
    <row r="21" spans="1:11" ht="20.100000000000001" customHeight="1">
      <c r="A21" s="3" t="s">
        <v>13</v>
      </c>
      <c r="B21" s="12">
        <f t="shared" si="3"/>
        <v>0</v>
      </c>
      <c r="C21" s="3"/>
      <c r="D21" s="3" t="s">
        <v>13</v>
      </c>
      <c r="E21" s="17">
        <v>0</v>
      </c>
      <c r="F21" s="17">
        <v>0</v>
      </c>
      <c r="G21" s="17"/>
      <c r="H21" s="17">
        <v>0</v>
      </c>
      <c r="I21" s="18">
        <f t="shared" si="2"/>
        <v>0</v>
      </c>
    </row>
    <row r="22" spans="1:11" ht="20.100000000000001" customHeight="1">
      <c r="A22" s="3" t="s">
        <v>14</v>
      </c>
      <c r="B22" s="12">
        <f t="shared" si="3"/>
        <v>0</v>
      </c>
      <c r="C22" s="3"/>
      <c r="D22" s="3" t="s">
        <v>14</v>
      </c>
      <c r="E22" s="17">
        <v>0</v>
      </c>
      <c r="F22" s="17">
        <v>0</v>
      </c>
      <c r="G22" s="17"/>
      <c r="H22" s="17">
        <v>0</v>
      </c>
      <c r="I22" s="18">
        <f t="shared" si="2"/>
        <v>0</v>
      </c>
    </row>
    <row r="23" spans="1:11" ht="20.100000000000001" customHeight="1">
      <c r="A23" s="3" t="s">
        <v>15</v>
      </c>
      <c r="B23" s="12">
        <f t="shared" si="3"/>
        <v>45980</v>
      </c>
      <c r="C23" s="3"/>
      <c r="D23" s="3" t="s">
        <v>15</v>
      </c>
      <c r="E23" s="17">
        <v>17500</v>
      </c>
      <c r="F23" s="17">
        <v>28480</v>
      </c>
      <c r="G23" s="17"/>
      <c r="H23" s="17">
        <v>0</v>
      </c>
      <c r="I23" s="18">
        <f t="shared" si="2"/>
        <v>45980</v>
      </c>
    </row>
    <row r="24" spans="1:11" ht="20.100000000000001" customHeight="1">
      <c r="A24" s="3" t="s">
        <v>16</v>
      </c>
      <c r="B24" s="12">
        <f t="shared" si="3"/>
        <v>0</v>
      </c>
      <c r="C24" s="3"/>
      <c r="D24" s="3" t="s">
        <v>16</v>
      </c>
      <c r="E24" s="17">
        <f>H29年度出納帳!L17</f>
        <v>0</v>
      </c>
      <c r="F24" s="17">
        <v>0</v>
      </c>
      <c r="G24" s="17"/>
      <c r="H24" s="17">
        <v>0</v>
      </c>
      <c r="I24" s="18">
        <f t="shared" si="2"/>
        <v>0</v>
      </c>
    </row>
    <row r="25" spans="1:11" ht="20.100000000000001" customHeight="1">
      <c r="A25" s="3" t="s">
        <v>37</v>
      </c>
      <c r="B25" s="12">
        <f t="shared" si="3"/>
        <v>51532</v>
      </c>
      <c r="C25" s="3"/>
      <c r="D25" s="3" t="s">
        <v>37</v>
      </c>
      <c r="E25" s="17">
        <v>10720</v>
      </c>
      <c r="F25" s="17">
        <v>40812</v>
      </c>
      <c r="G25" s="17"/>
      <c r="H25" s="17"/>
      <c r="I25" s="18">
        <f t="shared" si="2"/>
        <v>51532</v>
      </c>
    </row>
    <row r="26" spans="1:11" ht="20.100000000000001" customHeight="1">
      <c r="A26" s="3" t="s">
        <v>17</v>
      </c>
      <c r="B26" s="12">
        <f t="shared" si="3"/>
        <v>53119</v>
      </c>
      <c r="C26" s="3"/>
      <c r="D26" s="3" t="s">
        <v>17</v>
      </c>
      <c r="E26" s="17">
        <v>53119</v>
      </c>
      <c r="F26" s="17">
        <v>0</v>
      </c>
      <c r="G26" s="17"/>
      <c r="H26" s="17">
        <v>0</v>
      </c>
      <c r="I26" s="18">
        <f t="shared" si="2"/>
        <v>53119</v>
      </c>
    </row>
    <row r="27" spans="1:11" ht="20.100000000000001" customHeight="1">
      <c r="A27" s="3" t="s">
        <v>18</v>
      </c>
      <c r="B27" s="12">
        <f t="shared" si="3"/>
        <v>35953</v>
      </c>
      <c r="C27" s="3"/>
      <c r="D27" s="3" t="s">
        <v>18</v>
      </c>
      <c r="E27" s="17">
        <v>35953</v>
      </c>
      <c r="F27" s="17">
        <v>0</v>
      </c>
      <c r="G27" s="17"/>
      <c r="H27" s="17">
        <v>0</v>
      </c>
      <c r="I27" s="18">
        <f t="shared" si="2"/>
        <v>35953</v>
      </c>
    </row>
    <row r="28" spans="1:11" ht="20.100000000000001" customHeight="1">
      <c r="A28" s="3" t="s">
        <v>19</v>
      </c>
      <c r="B28" s="12">
        <f t="shared" si="3"/>
        <v>486154</v>
      </c>
      <c r="C28" s="3"/>
      <c r="D28" s="3" t="s">
        <v>19</v>
      </c>
      <c r="E28" s="17">
        <v>4386</v>
      </c>
      <c r="F28" s="17">
        <v>144873</v>
      </c>
      <c r="G28" s="17"/>
      <c r="H28" s="17">
        <v>336895</v>
      </c>
      <c r="I28" s="18">
        <f t="shared" si="2"/>
        <v>486154</v>
      </c>
    </row>
    <row r="29" spans="1:11" ht="20.100000000000001" customHeight="1">
      <c r="A29" s="3" t="s">
        <v>20</v>
      </c>
      <c r="B29" s="12">
        <f t="shared" si="3"/>
        <v>13884</v>
      </c>
      <c r="C29" s="3"/>
      <c r="D29" s="3" t="s">
        <v>20</v>
      </c>
      <c r="E29" s="17"/>
      <c r="F29" s="17">
        <v>13884</v>
      </c>
      <c r="G29" s="17"/>
      <c r="H29" s="17"/>
      <c r="I29" s="18">
        <f t="shared" si="2"/>
        <v>13884</v>
      </c>
    </row>
    <row r="30" spans="1:11" ht="20.100000000000001" customHeight="1">
      <c r="A30" s="3" t="s">
        <v>21</v>
      </c>
      <c r="B30" s="12">
        <f t="shared" si="3"/>
        <v>0</v>
      </c>
      <c r="C30" s="3"/>
      <c r="D30" s="3" t="s">
        <v>21</v>
      </c>
      <c r="E30" s="17">
        <v>0</v>
      </c>
      <c r="F30" s="17">
        <v>0</v>
      </c>
      <c r="G30" s="17"/>
      <c r="H30" s="17">
        <v>0</v>
      </c>
      <c r="I30" s="18">
        <f t="shared" si="2"/>
        <v>0</v>
      </c>
    </row>
    <row r="31" spans="1:11" ht="20.100000000000001" customHeight="1">
      <c r="A31" s="4" t="s">
        <v>34</v>
      </c>
      <c r="B31" s="12">
        <f t="shared" si="3"/>
        <v>0</v>
      </c>
      <c r="C31" s="4"/>
      <c r="D31" s="4" t="s">
        <v>14</v>
      </c>
      <c r="E31" s="17">
        <v>0</v>
      </c>
      <c r="F31" s="17">
        <v>0</v>
      </c>
      <c r="G31" s="17"/>
      <c r="H31" s="17">
        <v>0</v>
      </c>
      <c r="I31" s="18">
        <f t="shared" si="2"/>
        <v>0</v>
      </c>
    </row>
    <row r="32" spans="1:11" ht="20.100000000000001" customHeight="1">
      <c r="A32" s="4" t="s">
        <v>29</v>
      </c>
      <c r="B32" s="12">
        <f t="shared" si="3"/>
        <v>10007</v>
      </c>
      <c r="C32" s="4"/>
      <c r="D32" s="4" t="s">
        <v>137</v>
      </c>
      <c r="E32" s="27">
        <v>10007</v>
      </c>
      <c r="F32" s="27">
        <v>0</v>
      </c>
      <c r="G32" s="27"/>
      <c r="H32" s="27">
        <v>0</v>
      </c>
      <c r="I32" s="19">
        <f t="shared" si="2"/>
        <v>10007</v>
      </c>
      <c r="K32" s="16"/>
    </row>
    <row r="33" spans="1:9" ht="20.100000000000001" customHeight="1">
      <c r="A33" s="5" t="s">
        <v>22</v>
      </c>
      <c r="B33" s="13">
        <f>SUM(B17:B32)</f>
        <v>855149</v>
      </c>
      <c r="C33" s="5"/>
      <c r="D33" s="5"/>
      <c r="E33" s="25">
        <f>SUM(E17:E32)</f>
        <v>131685</v>
      </c>
      <c r="F33" s="25">
        <f>SUM(F17:F32)</f>
        <v>228049</v>
      </c>
      <c r="G33" s="25">
        <f>SUM(G17:G32)</f>
        <v>0</v>
      </c>
      <c r="H33" s="25">
        <f>SUM(H17:H32)</f>
        <v>495415</v>
      </c>
      <c r="I33" s="26">
        <f>SUM(E33:H33)</f>
        <v>855149</v>
      </c>
    </row>
    <row r="34" spans="1:9" ht="20.100000000000001" customHeight="1" thickBot="1">
      <c r="B34" s="14"/>
      <c r="E34" s="1" t="s">
        <v>38</v>
      </c>
    </row>
    <row r="35" spans="1:9" ht="20.100000000000001" customHeight="1" thickBot="1">
      <c r="A35" s="9" t="s">
        <v>25</v>
      </c>
      <c r="B35" s="15">
        <f>B13-B33</f>
        <v>56071</v>
      </c>
      <c r="E35" s="25">
        <f>E13-E33</f>
        <v>56071</v>
      </c>
      <c r="F35" s="25">
        <f>F13-F33</f>
        <v>0</v>
      </c>
      <c r="G35" s="25">
        <f>G13-G33</f>
        <v>0</v>
      </c>
      <c r="H35" s="25">
        <f>H13-H33</f>
        <v>0</v>
      </c>
      <c r="I35" s="26">
        <f>SUM(E35:H35)</f>
        <v>56071</v>
      </c>
    </row>
    <row r="36" spans="1:9" ht="20.100000000000001" customHeight="1"/>
    <row r="37" spans="1:9" ht="20.100000000000001" customHeight="1">
      <c r="A37" s="2">
        <v>43216</v>
      </c>
    </row>
    <row r="38" spans="1:9" ht="20.100000000000001" customHeight="1">
      <c r="A38" s="192" t="s">
        <v>26</v>
      </c>
      <c r="B38" s="192"/>
      <c r="C38" s="192"/>
      <c r="D38" s="32"/>
    </row>
    <row r="39" spans="1:9" ht="20.100000000000001" customHeight="1">
      <c r="A39" s="10" t="s">
        <v>27</v>
      </c>
      <c r="C39" t="s">
        <v>28</v>
      </c>
    </row>
    <row r="40" spans="1:9" ht="20.100000000000001" customHeight="1"/>
    <row r="41" spans="1:9" ht="20.100000000000001" customHeight="1"/>
    <row r="42" spans="1:9" ht="20.100000000000001" customHeight="1"/>
    <row r="43" spans="1:9" ht="20.100000000000001" customHeight="1"/>
    <row r="44" spans="1:9" ht="20.100000000000001" customHeight="1"/>
    <row r="45" spans="1:9" ht="18" customHeight="1"/>
  </sheetData>
  <mergeCells count="6">
    <mergeCell ref="A38:C38"/>
    <mergeCell ref="A1:C1"/>
    <mergeCell ref="A2:C2"/>
    <mergeCell ref="A3:C3"/>
    <mergeCell ref="D1:I1"/>
    <mergeCell ref="D2:I2"/>
  </mergeCells>
  <phoneticPr fontId="7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I34" sqref="I34"/>
    </sheetView>
  </sheetViews>
  <sheetFormatPr defaultRowHeight="13.5"/>
  <cols>
    <col min="1" max="1" width="35.625" customWidth="1"/>
    <col min="2" max="2" width="22.625" style="1" customWidth="1"/>
    <col min="3" max="3" width="22.625" customWidth="1"/>
    <col min="4" max="4" width="16.125" customWidth="1"/>
    <col min="5" max="8" width="14.625" style="1" customWidth="1"/>
    <col min="9" max="9" width="14.625" customWidth="1"/>
  </cols>
  <sheetData>
    <row r="1" spans="1:9" ht="30" customHeight="1">
      <c r="A1" s="193" t="s">
        <v>188</v>
      </c>
      <c r="B1" s="193"/>
      <c r="C1" s="193"/>
      <c r="D1" s="193" t="s">
        <v>138</v>
      </c>
      <c r="E1" s="192"/>
      <c r="F1" s="192"/>
      <c r="G1" s="192"/>
      <c r="H1" s="192"/>
      <c r="I1" s="192"/>
    </row>
    <row r="2" spans="1:9" ht="20.100000000000001" customHeight="1">
      <c r="A2" s="192" t="s">
        <v>139</v>
      </c>
      <c r="B2" s="192"/>
      <c r="C2" s="192"/>
      <c r="D2" s="194" t="s">
        <v>189</v>
      </c>
      <c r="E2" s="192"/>
      <c r="F2" s="192"/>
      <c r="G2" s="192"/>
      <c r="H2" s="192"/>
      <c r="I2" s="192"/>
    </row>
    <row r="3" spans="1:9" ht="20.100000000000001" customHeight="1">
      <c r="A3" s="192" t="s">
        <v>140</v>
      </c>
      <c r="B3" s="192"/>
      <c r="C3" s="192"/>
      <c r="D3" s="94"/>
    </row>
    <row r="4" spans="1:9" ht="20.100000000000001" customHeight="1">
      <c r="D4" s="1"/>
    </row>
    <row r="5" spans="1:9" ht="20.100000000000001" customHeight="1">
      <c r="A5" s="7" t="s">
        <v>0</v>
      </c>
      <c r="B5" s="8" t="s">
        <v>23</v>
      </c>
      <c r="C5" s="7" t="s">
        <v>24</v>
      </c>
      <c r="D5" s="7" t="s">
        <v>0</v>
      </c>
      <c r="E5" s="8" t="s">
        <v>32</v>
      </c>
      <c r="F5" s="8" t="s">
        <v>30</v>
      </c>
      <c r="G5" s="8" t="s">
        <v>141</v>
      </c>
      <c r="H5" s="8" t="s">
        <v>35</v>
      </c>
      <c r="I5" s="29" t="s">
        <v>33</v>
      </c>
    </row>
    <row r="6" spans="1:9" ht="20.100000000000001" customHeight="1">
      <c r="A6" s="6" t="s">
        <v>1</v>
      </c>
      <c r="B6" s="11">
        <v>56071</v>
      </c>
      <c r="C6" s="6"/>
      <c r="D6" s="6" t="s">
        <v>1</v>
      </c>
      <c r="E6" s="30">
        <v>56071</v>
      </c>
      <c r="F6" s="30">
        <f>H29年度出納帳!N3</f>
        <v>0</v>
      </c>
      <c r="G6" s="30">
        <v>0</v>
      </c>
      <c r="H6" s="30">
        <v>0</v>
      </c>
      <c r="I6" s="31">
        <f>SUM(E6:H6)</f>
        <v>56071</v>
      </c>
    </row>
    <row r="7" spans="1:9" ht="20.100000000000001" customHeight="1">
      <c r="A7" s="3" t="s">
        <v>2</v>
      </c>
      <c r="B7" s="12">
        <v>5000</v>
      </c>
      <c r="C7" s="3"/>
      <c r="D7" s="3" t="s">
        <v>2</v>
      </c>
      <c r="E7" s="30">
        <v>5000</v>
      </c>
      <c r="F7" s="17">
        <v>0</v>
      </c>
      <c r="G7" s="17">
        <v>0</v>
      </c>
      <c r="H7" s="17">
        <v>0</v>
      </c>
      <c r="I7" s="18">
        <f t="shared" ref="I7:I12" si="0">SUM(E7:H7)</f>
        <v>5000</v>
      </c>
    </row>
    <row r="8" spans="1:9" ht="20.100000000000001" customHeight="1">
      <c r="A8" s="3" t="s">
        <v>3</v>
      </c>
      <c r="B8" s="12">
        <v>20000</v>
      </c>
      <c r="C8" s="3"/>
      <c r="D8" s="3" t="s">
        <v>3</v>
      </c>
      <c r="E8" s="17">
        <v>20000</v>
      </c>
      <c r="F8" s="17">
        <v>0</v>
      </c>
      <c r="G8" s="17">
        <v>0</v>
      </c>
      <c r="H8" s="17">
        <v>0</v>
      </c>
      <c r="I8" s="18">
        <f t="shared" si="0"/>
        <v>20000</v>
      </c>
    </row>
    <row r="9" spans="1:9" ht="20.100000000000001" customHeight="1">
      <c r="A9" s="3" t="s">
        <v>4</v>
      </c>
      <c r="B9" s="12">
        <v>150000</v>
      </c>
      <c r="C9" s="3"/>
      <c r="D9" s="3" t="s">
        <v>131</v>
      </c>
      <c r="E9" s="17">
        <f>H29年度出納帳!L4</f>
        <v>0</v>
      </c>
      <c r="F9" s="17">
        <v>50000</v>
      </c>
      <c r="G9" s="17">
        <v>100000</v>
      </c>
      <c r="H9" s="17"/>
      <c r="I9" s="18">
        <f t="shared" si="0"/>
        <v>150000</v>
      </c>
    </row>
    <row r="10" spans="1:9" ht="20.100000000000001" customHeight="1">
      <c r="A10" s="3" t="s">
        <v>5</v>
      </c>
      <c r="B10" s="12">
        <f t="shared" ref="B10:B11" si="1">I10</f>
        <v>11000</v>
      </c>
      <c r="C10" s="24"/>
      <c r="D10" s="3" t="s">
        <v>5</v>
      </c>
      <c r="E10" s="17">
        <v>10000</v>
      </c>
      <c r="F10" s="17">
        <v>1000</v>
      </c>
      <c r="G10" s="17">
        <v>0</v>
      </c>
      <c r="H10" s="17">
        <v>0</v>
      </c>
      <c r="I10" s="18">
        <f t="shared" si="0"/>
        <v>11000</v>
      </c>
    </row>
    <row r="11" spans="1:9" ht="20.100000000000001" customHeight="1">
      <c r="A11" s="3" t="s">
        <v>6</v>
      </c>
      <c r="B11" s="12">
        <f t="shared" si="1"/>
        <v>40000</v>
      </c>
      <c r="C11" s="3"/>
      <c r="D11" s="3" t="s">
        <v>6</v>
      </c>
      <c r="E11" s="17">
        <v>40000</v>
      </c>
      <c r="F11" s="17">
        <v>0</v>
      </c>
      <c r="G11" s="17"/>
      <c r="H11" s="17">
        <v>0</v>
      </c>
      <c r="I11" s="18">
        <f t="shared" si="0"/>
        <v>40000</v>
      </c>
    </row>
    <row r="12" spans="1:9" ht="20.100000000000001" customHeight="1">
      <c r="A12" s="4"/>
      <c r="B12" s="12"/>
      <c r="C12" s="4"/>
      <c r="D12" s="4"/>
      <c r="E12" s="27"/>
      <c r="F12" s="27">
        <v>0</v>
      </c>
      <c r="G12" s="27">
        <v>0</v>
      </c>
      <c r="H12" s="27">
        <v>0</v>
      </c>
      <c r="I12" s="28">
        <f t="shared" si="0"/>
        <v>0</v>
      </c>
    </row>
    <row r="13" spans="1:9" ht="20.100000000000001" customHeight="1">
      <c r="A13" s="5" t="s">
        <v>7</v>
      </c>
      <c r="B13" s="13">
        <f>SUM(B6:B12)</f>
        <v>282071</v>
      </c>
      <c r="C13" s="5"/>
      <c r="D13" s="5" t="s">
        <v>7</v>
      </c>
      <c r="E13" s="25">
        <f>SUM(E6:E12)</f>
        <v>131071</v>
      </c>
      <c r="F13" s="25">
        <f>SUM(F6:F12)</f>
        <v>51000</v>
      </c>
      <c r="G13" s="25">
        <f>SUM(G6:G12)</f>
        <v>100000</v>
      </c>
      <c r="H13" s="25">
        <f>SUM(H6:H12)</f>
        <v>0</v>
      </c>
      <c r="I13" s="26">
        <f>SUM(E13:H13)</f>
        <v>282071</v>
      </c>
    </row>
    <row r="14" spans="1:9" ht="20.100000000000001" customHeight="1">
      <c r="I14" s="16"/>
    </row>
    <row r="15" spans="1:9" ht="20.100000000000001" customHeight="1">
      <c r="E15" s="1" t="s">
        <v>8</v>
      </c>
      <c r="I15" s="16"/>
    </row>
    <row r="16" spans="1:9" ht="20.100000000000001" customHeight="1">
      <c r="A16" s="7" t="s">
        <v>8</v>
      </c>
      <c r="B16" s="8" t="s">
        <v>23</v>
      </c>
      <c r="C16" s="7" t="s">
        <v>24</v>
      </c>
      <c r="D16" s="7" t="s">
        <v>8</v>
      </c>
      <c r="E16" s="20" t="s">
        <v>32</v>
      </c>
      <c r="F16" s="20" t="s">
        <v>30</v>
      </c>
      <c r="G16" s="20" t="s">
        <v>142</v>
      </c>
      <c r="H16" s="20" t="s">
        <v>35</v>
      </c>
      <c r="I16" s="21" t="s">
        <v>33</v>
      </c>
    </row>
    <row r="17" spans="1:9" ht="20.100000000000001" customHeight="1">
      <c r="A17" s="6" t="s">
        <v>9</v>
      </c>
      <c r="B17" s="11">
        <v>25000</v>
      </c>
      <c r="C17" s="6"/>
      <c r="D17" s="6" t="s">
        <v>9</v>
      </c>
      <c r="E17" s="22">
        <v>0</v>
      </c>
      <c r="F17" s="22">
        <v>0</v>
      </c>
      <c r="G17" s="22">
        <v>25000</v>
      </c>
      <c r="H17" s="22">
        <v>0</v>
      </c>
      <c r="I17" s="23">
        <f>SUM(E17:H17)</f>
        <v>25000</v>
      </c>
    </row>
    <row r="18" spans="1:9" ht="20.100000000000001" customHeight="1">
      <c r="A18" s="3" t="s">
        <v>10</v>
      </c>
      <c r="B18" s="12">
        <f>I18</f>
        <v>0</v>
      </c>
      <c r="C18" s="3"/>
      <c r="D18" s="3" t="s">
        <v>10</v>
      </c>
      <c r="E18" s="17">
        <v>0</v>
      </c>
      <c r="F18" s="17">
        <v>0</v>
      </c>
      <c r="G18" s="17"/>
      <c r="H18" s="17"/>
      <c r="I18" s="18">
        <f t="shared" ref="I18:I33" si="2">SUM(E18:H18)</f>
        <v>0</v>
      </c>
    </row>
    <row r="19" spans="1:9" ht="20.100000000000001" customHeight="1">
      <c r="A19" s="3" t="s">
        <v>11</v>
      </c>
      <c r="B19" s="12">
        <f t="shared" ref="B19:B30" si="3">I19</f>
        <v>0</v>
      </c>
      <c r="C19" s="3"/>
      <c r="D19" s="3" t="s">
        <v>11</v>
      </c>
      <c r="E19" s="17">
        <v>0</v>
      </c>
      <c r="F19" s="17">
        <v>0</v>
      </c>
      <c r="G19" s="17"/>
      <c r="H19" s="17"/>
      <c r="I19" s="18">
        <f t="shared" si="2"/>
        <v>0</v>
      </c>
    </row>
    <row r="20" spans="1:9" ht="20.100000000000001" customHeight="1">
      <c r="A20" s="3" t="s">
        <v>12</v>
      </c>
      <c r="B20" s="12">
        <f t="shared" si="3"/>
        <v>0</v>
      </c>
      <c r="C20" s="3"/>
      <c r="D20" s="3" t="s">
        <v>12</v>
      </c>
      <c r="E20" s="17">
        <v>0</v>
      </c>
      <c r="F20" s="17">
        <v>0</v>
      </c>
      <c r="G20" s="17"/>
      <c r="H20" s="17"/>
      <c r="I20" s="18">
        <f t="shared" si="2"/>
        <v>0</v>
      </c>
    </row>
    <row r="21" spans="1:9" ht="20.100000000000001" customHeight="1">
      <c r="A21" s="3" t="s">
        <v>13</v>
      </c>
      <c r="B21" s="12">
        <f t="shared" si="3"/>
        <v>0</v>
      </c>
      <c r="C21" s="3"/>
      <c r="D21" s="3" t="s">
        <v>13</v>
      </c>
      <c r="E21" s="17">
        <v>0</v>
      </c>
      <c r="F21" s="17">
        <v>0</v>
      </c>
      <c r="G21" s="17"/>
      <c r="H21" s="17"/>
      <c r="I21" s="18">
        <f t="shared" si="2"/>
        <v>0</v>
      </c>
    </row>
    <row r="22" spans="1:9" ht="20.100000000000001" customHeight="1">
      <c r="A22" s="3" t="s">
        <v>14</v>
      </c>
      <c r="B22" s="12">
        <f t="shared" si="3"/>
        <v>0</v>
      </c>
      <c r="C22" s="3"/>
      <c r="D22" s="3" t="s">
        <v>14</v>
      </c>
      <c r="E22" s="17">
        <v>0</v>
      </c>
      <c r="F22" s="17">
        <v>0</v>
      </c>
      <c r="G22" s="17"/>
      <c r="H22" s="17"/>
      <c r="I22" s="18">
        <f t="shared" si="2"/>
        <v>0</v>
      </c>
    </row>
    <row r="23" spans="1:9" ht="20.100000000000001" customHeight="1">
      <c r="A23" s="3" t="s">
        <v>15</v>
      </c>
      <c r="B23" s="12">
        <v>75000</v>
      </c>
      <c r="C23" s="3"/>
      <c r="D23" s="3" t="s">
        <v>15</v>
      </c>
      <c r="E23" s="17">
        <v>0</v>
      </c>
      <c r="F23" s="17"/>
      <c r="G23" s="17">
        <v>75000</v>
      </c>
      <c r="H23" s="17"/>
      <c r="I23" s="18">
        <f t="shared" si="2"/>
        <v>75000</v>
      </c>
    </row>
    <row r="24" spans="1:9" ht="20.100000000000001" customHeight="1">
      <c r="A24" s="3" t="s">
        <v>16</v>
      </c>
      <c r="B24" s="12">
        <f t="shared" si="3"/>
        <v>0</v>
      </c>
      <c r="C24" s="3"/>
      <c r="D24" s="3" t="s">
        <v>16</v>
      </c>
      <c r="E24" s="17">
        <f>H29年度出納帳!L17</f>
        <v>0</v>
      </c>
      <c r="F24" s="17">
        <v>0</v>
      </c>
      <c r="G24" s="17"/>
      <c r="H24" s="17"/>
      <c r="I24" s="18">
        <f t="shared" si="2"/>
        <v>0</v>
      </c>
    </row>
    <row r="25" spans="1:9" ht="20.100000000000001" customHeight="1">
      <c r="A25" s="3" t="s">
        <v>37</v>
      </c>
      <c r="B25" s="12">
        <f t="shared" si="3"/>
        <v>35000</v>
      </c>
      <c r="C25" s="3"/>
      <c r="D25" s="3" t="s">
        <v>37</v>
      </c>
      <c r="E25" s="17">
        <v>10000</v>
      </c>
      <c r="F25" s="17">
        <v>25000</v>
      </c>
      <c r="G25" s="17"/>
      <c r="H25" s="17"/>
      <c r="I25" s="18">
        <f t="shared" si="2"/>
        <v>35000</v>
      </c>
    </row>
    <row r="26" spans="1:9" ht="20.100000000000001" customHeight="1">
      <c r="A26" s="3" t="s">
        <v>17</v>
      </c>
      <c r="B26" s="12">
        <f t="shared" si="3"/>
        <v>30000</v>
      </c>
      <c r="C26" s="3"/>
      <c r="D26" s="3" t="s">
        <v>17</v>
      </c>
      <c r="E26" s="17">
        <v>30000</v>
      </c>
      <c r="F26" s="17">
        <v>0</v>
      </c>
      <c r="G26" s="17"/>
      <c r="H26" s="17"/>
      <c r="I26" s="18">
        <f t="shared" si="2"/>
        <v>30000</v>
      </c>
    </row>
    <row r="27" spans="1:9" ht="20.100000000000001" customHeight="1">
      <c r="A27" s="3" t="s">
        <v>18</v>
      </c>
      <c r="B27" s="12">
        <f t="shared" si="3"/>
        <v>30000</v>
      </c>
      <c r="C27" s="3"/>
      <c r="D27" s="3" t="s">
        <v>18</v>
      </c>
      <c r="E27" s="17">
        <v>30000</v>
      </c>
      <c r="F27" s="17">
        <v>0</v>
      </c>
      <c r="G27" s="17"/>
      <c r="H27" s="17"/>
      <c r="I27" s="18">
        <f t="shared" si="2"/>
        <v>30000</v>
      </c>
    </row>
    <row r="28" spans="1:9" ht="20.100000000000001" customHeight="1">
      <c r="A28" s="3" t="s">
        <v>19</v>
      </c>
      <c r="B28" s="12">
        <f t="shared" si="3"/>
        <v>5000</v>
      </c>
      <c r="C28" s="3"/>
      <c r="D28" s="3" t="s">
        <v>19</v>
      </c>
      <c r="E28" s="17">
        <v>5000</v>
      </c>
      <c r="F28" s="17"/>
      <c r="G28" s="17"/>
      <c r="H28" s="17"/>
      <c r="I28" s="18">
        <f t="shared" si="2"/>
        <v>5000</v>
      </c>
    </row>
    <row r="29" spans="1:9" ht="20.100000000000001" customHeight="1">
      <c r="A29" s="3" t="s">
        <v>20</v>
      </c>
      <c r="B29" s="12">
        <f t="shared" si="3"/>
        <v>45000</v>
      </c>
      <c r="C29" s="3"/>
      <c r="D29" s="3" t="s">
        <v>20</v>
      </c>
      <c r="E29" s="17">
        <v>20000</v>
      </c>
      <c r="F29" s="17">
        <v>25000</v>
      </c>
      <c r="G29" s="17"/>
      <c r="H29" s="17"/>
      <c r="I29" s="18">
        <f t="shared" si="2"/>
        <v>45000</v>
      </c>
    </row>
    <row r="30" spans="1:9" ht="20.100000000000001" customHeight="1">
      <c r="A30" s="3" t="s">
        <v>21</v>
      </c>
      <c r="B30" s="12">
        <f t="shared" si="3"/>
        <v>0</v>
      </c>
      <c r="C30" s="3"/>
      <c r="D30" s="3" t="s">
        <v>21</v>
      </c>
      <c r="E30" s="17">
        <v>0</v>
      </c>
      <c r="F30" s="17">
        <v>0</v>
      </c>
      <c r="G30" s="17"/>
      <c r="H30" s="17"/>
      <c r="I30" s="18">
        <f t="shared" si="2"/>
        <v>0</v>
      </c>
    </row>
    <row r="31" spans="1:9" ht="20.100000000000001" customHeight="1">
      <c r="A31" s="4" t="s">
        <v>14</v>
      </c>
      <c r="B31" s="12"/>
      <c r="C31" s="4"/>
      <c r="D31" s="4" t="s">
        <v>14</v>
      </c>
      <c r="E31" s="17"/>
      <c r="F31" s="17">
        <v>0</v>
      </c>
      <c r="G31" s="17"/>
      <c r="H31" s="17"/>
      <c r="I31" s="18">
        <f t="shared" si="2"/>
        <v>0</v>
      </c>
    </row>
    <row r="32" spans="1:9" ht="20.100000000000001" customHeight="1">
      <c r="A32" s="4" t="s">
        <v>137</v>
      </c>
      <c r="B32" s="12">
        <v>10000</v>
      </c>
      <c r="C32" s="4"/>
      <c r="D32" s="4" t="s">
        <v>137</v>
      </c>
      <c r="E32" s="27">
        <v>10000</v>
      </c>
      <c r="F32" s="27"/>
      <c r="G32" s="27"/>
      <c r="H32" s="27"/>
      <c r="I32" s="28">
        <v>10000</v>
      </c>
    </row>
    <row r="33" spans="1:11" ht="20.100000000000001" customHeight="1">
      <c r="A33" s="4" t="s">
        <v>143</v>
      </c>
      <c r="B33" s="12">
        <v>27071</v>
      </c>
      <c r="C33" s="4"/>
      <c r="D33" s="4" t="s">
        <v>143</v>
      </c>
      <c r="E33" s="27">
        <v>26071</v>
      </c>
      <c r="F33" s="27">
        <v>1000</v>
      </c>
      <c r="G33" s="27"/>
      <c r="H33" s="27"/>
      <c r="I33" s="19">
        <f t="shared" si="2"/>
        <v>27071</v>
      </c>
      <c r="K33" s="16"/>
    </row>
    <row r="34" spans="1:11" ht="20.100000000000001" customHeight="1">
      <c r="A34" s="5" t="s">
        <v>22</v>
      </c>
      <c r="B34" s="13">
        <f>SUM(B17:B33)</f>
        <v>282071</v>
      </c>
      <c r="C34" s="5"/>
      <c r="D34" s="5"/>
      <c r="E34" s="25">
        <f>SUM(E17:E33)</f>
        <v>131071</v>
      </c>
      <c r="F34" s="25">
        <f>SUM(F17:F33)</f>
        <v>51000</v>
      </c>
      <c r="G34" s="25">
        <f>SUM(G17:G33)</f>
        <v>100000</v>
      </c>
      <c r="H34" s="25">
        <f>SUM(H17:H33)</f>
        <v>0</v>
      </c>
      <c r="I34" s="26">
        <f>SUM(E34:H34)</f>
        <v>282071</v>
      </c>
    </row>
    <row r="35" spans="1:11" ht="20.100000000000001" customHeight="1">
      <c r="B35" s="14"/>
    </row>
    <row r="36" spans="1:11" ht="20.100000000000001" customHeight="1"/>
    <row r="37" spans="1:11" ht="20.100000000000001" customHeight="1"/>
    <row r="38" spans="1:11" ht="20.100000000000001" customHeight="1"/>
    <row r="39" spans="1:11" ht="20.100000000000001" customHeight="1"/>
    <row r="40" spans="1:11" ht="20.100000000000001" customHeight="1"/>
    <row r="41" spans="1:11" ht="20.100000000000001" customHeight="1"/>
    <row r="42" spans="1:11" ht="18" customHeight="1"/>
  </sheetData>
  <mergeCells count="5">
    <mergeCell ref="A1:C1"/>
    <mergeCell ref="D1:I1"/>
    <mergeCell ref="A2:C2"/>
    <mergeCell ref="D2:I2"/>
    <mergeCell ref="A3:C3"/>
  </mergeCells>
  <phoneticPr fontId="7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3" sqref="F13"/>
    </sheetView>
  </sheetViews>
  <sheetFormatPr defaultRowHeight="13.5"/>
  <sheetData/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H29年度出納帳</vt:lpstr>
      <vt:lpstr>平成29年度決算資料 </vt:lpstr>
      <vt:lpstr>平成30年度予算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2018-05-08T03:42:12Z</dcterms:modified>
</cp:coreProperties>
</file>