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5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charts/chart21.xml" ContentType="application/vnd.openxmlformats-officedocument.drawingml.chart+xml"/>
  <Override PartName="/xl/drawings/drawing7.xml" ContentType="application/vnd.openxmlformats-officedocument.drawing+xml"/>
  <Override PartName="/xl/charts/chart22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harts/chart2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570" yWindow="495" windowWidth="20610" windowHeight="11640" tabRatio="773" firstSheet="5" activeTab="5"/>
  </bookViews>
  <sheets>
    <sheet name="ふれあい給食" sheetId="47" state="hidden" r:id="rId1"/>
    <sheet name="障がい訪問" sheetId="39" state="hidden" r:id="rId2"/>
    <sheet name="障がい就労" sheetId="40" state="hidden" r:id="rId3"/>
    <sheet name="グッドシーズン" sheetId="36" state="hidden" r:id="rId4"/>
    <sheet name="法人全体" sheetId="48" state="hidden" r:id="rId5"/>
    <sheet name="①ベース事業別内訳" sheetId="4" r:id="rId6"/>
    <sheet name="②事業別損益表（事業別）" sheetId="53" r:id="rId7"/>
    <sheet name="事業別損益表（決算）" sheetId="25" state="hidden" r:id="rId8"/>
    <sheet name="③事業別損益表（拠点別）" sheetId="49" r:id="rId9"/>
    <sheet name="事業別損益表（予算拠点別）" sheetId="50" state="hidden" r:id="rId10"/>
    <sheet name="賞与支給按分資料" sheetId="29" state="hidden" r:id="rId11"/>
    <sheet name="14決算15予算" sheetId="1" state="hidden" r:id="rId12"/>
    <sheet name="按分表" sheetId="14" state="hidden" r:id="rId13"/>
    <sheet name="Sheet3" sheetId="24" state="hidden" r:id="rId14"/>
    <sheet name="Sheet1" sheetId="12" state="hidden" r:id="rId15"/>
    <sheet name="部門別収支グラフ" sheetId="19" state="hidden" r:id="rId16"/>
    <sheet name="総収入割合" sheetId="20" state="hidden" r:id="rId17"/>
    <sheet name="グラフデータ" sheetId="18" state="hidden" r:id="rId18"/>
    <sheet name="2013予算案（管理費按分）" sheetId="10" state="hidden" r:id="rId19"/>
    <sheet name="車両関係経費試算資料" sheetId="17" state="hidden" r:id="rId20"/>
    <sheet name="Sheet2" sheetId="23" state="hidden" r:id="rId21"/>
    <sheet name="予算書" sheetId="26" r:id="rId22"/>
    <sheet name="事業別損益表（予算書_行動援護抜き) (2)" sheetId="61" r:id="rId23"/>
    <sheet name="事業別損益表（予算書)" sheetId="60" r:id="rId24"/>
    <sheet name="事業別損益表（予算事業別）" sheetId="52" state="hidden" r:id="rId25"/>
    <sheet name="わかちあい就労　収支計算書" sheetId="51" state="hidden" r:id="rId26"/>
    <sheet name="決算書(予算比較）" sheetId="2" r:id="rId27"/>
    <sheet name="Sheet4" sheetId="55" r:id="rId28"/>
    <sheet name="Sheet5" sheetId="56" r:id="rId29"/>
  </sheets>
  <definedNames>
    <definedName name="_xlnm._FilterDatabase" localSheetId="5" hidden="1">①ベース事業別内訳!#REF!</definedName>
    <definedName name="_xlnm.Print_Area" localSheetId="5">①ベース事業別内訳!$A$1:$L$497</definedName>
    <definedName name="_xlnm.Print_Area" localSheetId="3">グッドシーズン!$A$17:$R$77</definedName>
    <definedName name="_xlnm.Print_Area" localSheetId="0">ふれあい給食!$A$17:$U$77</definedName>
    <definedName name="_xlnm.Print_Area" localSheetId="23">'事業別損益表（予算書)'!$A$1:$P$33</definedName>
    <definedName name="_xlnm.Print_Area" localSheetId="22">'事業別損益表（予算書_行動援護抜き) (2)'!$A$1:$P$33</definedName>
    <definedName name="_xlnm.Print_Area" localSheetId="2">障がい就労!$A$17:$U$77</definedName>
    <definedName name="_xlnm.Print_Area" localSheetId="1">障がい訪問!$A$17:$U$77</definedName>
    <definedName name="_xlnm.Print_Area" localSheetId="4">法人全体!$A$17:$U$77</definedName>
    <definedName name="_xlnm.Print_Area" localSheetId="21">予算書!$A$1:$E$108</definedName>
    <definedName name="_xlnm.Print_Titles" localSheetId="11">'14決算15予算'!$1:$2</definedName>
    <definedName name="_xlnm.Print_Titles" localSheetId="5">①ベース事業別内訳!$1:$3</definedName>
    <definedName name="_xlnm.Print_Titles" localSheetId="12">按分表!$1:$1</definedName>
    <definedName name="_xlnm.Print_Titles" localSheetId="26">'決算書(予算比較）'!$1:$4</definedName>
    <definedName name="_xlnm.Print_Titles" localSheetId="21">予算書!$1:$4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9" i="49" l="1"/>
  <c r="B87" i="26"/>
  <c r="B86" i="26"/>
  <c r="I439" i="4"/>
  <c r="D469" i="4"/>
  <c r="I469" i="4"/>
  <c r="F469" i="4"/>
  <c r="D439" i="4"/>
  <c r="E352" i="4" l="1"/>
  <c r="E341" i="4"/>
  <c r="E337" i="4"/>
  <c r="E333" i="4"/>
  <c r="N19" i="61" l="1"/>
  <c r="N18" i="61"/>
  <c r="I30" i="61"/>
  <c r="H30" i="61"/>
  <c r="G30" i="61"/>
  <c r="F30" i="61"/>
  <c r="J29" i="61"/>
  <c r="V29" i="61" s="1"/>
  <c r="G29" i="61"/>
  <c r="F29" i="61"/>
  <c r="I29" i="61" s="1"/>
  <c r="D29" i="61"/>
  <c r="R29" i="61" s="1"/>
  <c r="T27" i="61"/>
  <c r="R27" i="61"/>
  <c r="G27" i="61"/>
  <c r="F27" i="61"/>
  <c r="D27" i="61"/>
  <c r="J27" i="61" s="1"/>
  <c r="T26" i="61"/>
  <c r="J26" i="61"/>
  <c r="G26" i="61"/>
  <c r="F26" i="61"/>
  <c r="I26" i="61" s="1"/>
  <c r="D26" i="61"/>
  <c r="R25" i="61"/>
  <c r="F25" i="61"/>
  <c r="F24" i="61" s="1"/>
  <c r="D25" i="61"/>
  <c r="T21" i="61"/>
  <c r="H21" i="61"/>
  <c r="G21" i="61"/>
  <c r="I21" i="61" s="1"/>
  <c r="F21" i="61"/>
  <c r="D21" i="61"/>
  <c r="J20" i="61"/>
  <c r="K20" i="61" s="1"/>
  <c r="G20" i="61"/>
  <c r="H20" i="61" s="1"/>
  <c r="F20" i="61"/>
  <c r="D20" i="61"/>
  <c r="J19" i="61"/>
  <c r="K19" i="61" s="1"/>
  <c r="G19" i="61"/>
  <c r="H19" i="61" s="1"/>
  <c r="F19" i="61"/>
  <c r="T19" i="61" s="1"/>
  <c r="D19" i="61"/>
  <c r="R19" i="61" s="1"/>
  <c r="T18" i="61"/>
  <c r="I18" i="61"/>
  <c r="G18" i="61"/>
  <c r="F18" i="61"/>
  <c r="D18" i="61"/>
  <c r="G17" i="61"/>
  <c r="J16" i="61"/>
  <c r="V16" i="61" s="1"/>
  <c r="G16" i="61"/>
  <c r="H16" i="61" s="1"/>
  <c r="F16" i="61"/>
  <c r="D16" i="61"/>
  <c r="T15" i="61"/>
  <c r="J15" i="61"/>
  <c r="K15" i="61" s="1"/>
  <c r="I15" i="61"/>
  <c r="G15" i="61"/>
  <c r="H15" i="61" s="1"/>
  <c r="F15" i="61"/>
  <c r="D15" i="61"/>
  <c r="R15" i="61" s="1"/>
  <c r="T14" i="61"/>
  <c r="I14" i="61"/>
  <c r="G14" i="61"/>
  <c r="F14" i="61"/>
  <c r="D14" i="61"/>
  <c r="T13" i="61"/>
  <c r="R13" i="61"/>
  <c r="G13" i="61"/>
  <c r="I13" i="61" s="1"/>
  <c r="F13" i="61"/>
  <c r="D13" i="61"/>
  <c r="J12" i="61"/>
  <c r="V12" i="61" s="1"/>
  <c r="G12" i="61"/>
  <c r="H12" i="61" s="1"/>
  <c r="F12" i="61"/>
  <c r="D12" i="61"/>
  <c r="G11" i="61"/>
  <c r="H11" i="61" s="1"/>
  <c r="D11" i="61"/>
  <c r="R11" i="61" s="1"/>
  <c r="D10" i="61"/>
  <c r="T9" i="61"/>
  <c r="G9" i="61"/>
  <c r="I9" i="61" s="1"/>
  <c r="F9" i="61"/>
  <c r="D9" i="61"/>
  <c r="G8" i="61"/>
  <c r="H8" i="61" s="1"/>
  <c r="F8" i="61"/>
  <c r="D8" i="61"/>
  <c r="G7" i="61"/>
  <c r="F7" i="61"/>
  <c r="D7" i="61"/>
  <c r="R7" i="61" s="1"/>
  <c r="N18" i="49"/>
  <c r="N19" i="49"/>
  <c r="N22" i="49"/>
  <c r="F27" i="49"/>
  <c r="D27" i="49"/>
  <c r="J30" i="61" l="1"/>
  <c r="K30" i="61" s="1"/>
  <c r="T24" i="61"/>
  <c r="O24" i="61"/>
  <c r="J9" i="61"/>
  <c r="V19" i="61"/>
  <c r="V20" i="61"/>
  <c r="V27" i="61"/>
  <c r="K27" i="61"/>
  <c r="K12" i="61"/>
  <c r="V15" i="61"/>
  <c r="J18" i="61"/>
  <c r="R18" i="61"/>
  <c r="Y21" i="61"/>
  <c r="T12" i="61"/>
  <c r="I12" i="61"/>
  <c r="H13" i="61"/>
  <c r="J14" i="61"/>
  <c r="H14" i="61"/>
  <c r="R14" i="61"/>
  <c r="K16" i="61"/>
  <c r="D17" i="61"/>
  <c r="T20" i="61"/>
  <c r="I20" i="61"/>
  <c r="K26" i="61"/>
  <c r="O26" i="61"/>
  <c r="V26" i="61"/>
  <c r="G24" i="61"/>
  <c r="I27" i="61"/>
  <c r="I25" i="61"/>
  <c r="T25" i="61"/>
  <c r="J25" i="61"/>
  <c r="T8" i="61"/>
  <c r="I8" i="61"/>
  <c r="H18" i="61"/>
  <c r="J21" i="61"/>
  <c r="R21" i="61"/>
  <c r="I7" i="61"/>
  <c r="T7" i="61"/>
  <c r="J7" i="61"/>
  <c r="J8" i="61"/>
  <c r="H9" i="61"/>
  <c r="R9" i="61"/>
  <c r="R10" i="61"/>
  <c r="F11" i="61"/>
  <c r="J13" i="61"/>
  <c r="T16" i="61"/>
  <c r="I16" i="61"/>
  <c r="F17" i="61"/>
  <c r="I19" i="61"/>
  <c r="I17" i="61" s="1"/>
  <c r="R26" i="61"/>
  <c r="D24" i="61"/>
  <c r="O27" i="61"/>
  <c r="R12" i="61"/>
  <c r="R20" i="61"/>
  <c r="T29" i="61"/>
  <c r="R8" i="61"/>
  <c r="R16" i="61"/>
  <c r="H7" i="61"/>
  <c r="G10" i="61"/>
  <c r="H10" i="61" s="1"/>
  <c r="N22" i="60"/>
  <c r="N21" i="60"/>
  <c r="N20" i="60"/>
  <c r="N19" i="60"/>
  <c r="N18" i="60"/>
  <c r="N17" i="60"/>
  <c r="N16" i="60"/>
  <c r="N15" i="60"/>
  <c r="N14" i="60"/>
  <c r="N10" i="60"/>
  <c r="N9" i="60"/>
  <c r="N8" i="60"/>
  <c r="N7" i="60"/>
  <c r="N23" i="60" s="1"/>
  <c r="I22" i="61" l="1"/>
  <c r="I24" i="61"/>
  <c r="V13" i="61"/>
  <c r="K13" i="61"/>
  <c r="G22" i="61"/>
  <c r="P24" i="61"/>
  <c r="R24" i="61"/>
  <c r="T17" i="61"/>
  <c r="K7" i="61"/>
  <c r="V7" i="61"/>
  <c r="R17" i="61"/>
  <c r="H17" i="61"/>
  <c r="K18" i="61"/>
  <c r="J17" i="61"/>
  <c r="V18" i="61"/>
  <c r="V9" i="61"/>
  <c r="K9" i="61"/>
  <c r="H24" i="61"/>
  <c r="K14" i="61"/>
  <c r="V14" i="61"/>
  <c r="F10" i="61"/>
  <c r="T11" i="61"/>
  <c r="J11" i="61"/>
  <c r="I11" i="61"/>
  <c r="I10" i="61" s="1"/>
  <c r="V8" i="61"/>
  <c r="K8" i="61"/>
  <c r="V21" i="61"/>
  <c r="K21" i="61"/>
  <c r="V25" i="61"/>
  <c r="K25" i="61"/>
  <c r="J24" i="61"/>
  <c r="O25" i="61"/>
  <c r="D22" i="61"/>
  <c r="E17" i="61" s="1"/>
  <c r="N17" i="61" s="1"/>
  <c r="M17" i="61" s="1"/>
  <c r="O17" i="61" s="1"/>
  <c r="P17" i="61" s="1"/>
  <c r="U13" i="53"/>
  <c r="G29" i="49"/>
  <c r="G26" i="49"/>
  <c r="V17" i="61" l="1"/>
  <c r="K17" i="61"/>
  <c r="T10" i="61"/>
  <c r="F22" i="61"/>
  <c r="F28" i="61" s="1"/>
  <c r="G28" i="61"/>
  <c r="H22" i="61"/>
  <c r="E7" i="61"/>
  <c r="N7" i="61" s="1"/>
  <c r="E11" i="61"/>
  <c r="D28" i="61"/>
  <c r="E15" i="61"/>
  <c r="N15" i="61" s="1"/>
  <c r="M15" i="61" s="1"/>
  <c r="O15" i="61" s="1"/>
  <c r="P15" i="61" s="1"/>
  <c r="E19" i="61"/>
  <c r="E18" i="61"/>
  <c r="E8" i="61"/>
  <c r="N8" i="61" s="1"/>
  <c r="M8" i="61" s="1"/>
  <c r="O8" i="61" s="1"/>
  <c r="P8" i="61" s="1"/>
  <c r="E12" i="61"/>
  <c r="E20" i="61"/>
  <c r="N20" i="61" s="1"/>
  <c r="M20" i="61" s="1"/>
  <c r="O20" i="61" s="1"/>
  <c r="P20" i="61" s="1"/>
  <c r="E9" i="61"/>
  <c r="N9" i="61" s="1"/>
  <c r="M9" i="61" s="1"/>
  <c r="O9" i="61" s="1"/>
  <c r="P9" i="61" s="1"/>
  <c r="E16" i="61"/>
  <c r="N16" i="61" s="1"/>
  <c r="M16" i="61" s="1"/>
  <c r="O16" i="61" s="1"/>
  <c r="P16" i="61" s="1"/>
  <c r="E21" i="61"/>
  <c r="N21" i="61" s="1"/>
  <c r="M21" i="61" s="1"/>
  <c r="O21" i="61" s="1"/>
  <c r="P21" i="61" s="1"/>
  <c r="E10" i="61"/>
  <c r="N10" i="61" s="1"/>
  <c r="M10" i="61" s="1"/>
  <c r="O10" i="61" s="1"/>
  <c r="P10" i="61" s="1"/>
  <c r="E13" i="61"/>
  <c r="E14" i="61"/>
  <c r="N14" i="61" s="1"/>
  <c r="M14" i="61" s="1"/>
  <c r="O14" i="61" s="1"/>
  <c r="P14" i="61" s="1"/>
  <c r="I28" i="61"/>
  <c r="K24" i="61"/>
  <c r="V24" i="61"/>
  <c r="K11" i="61"/>
  <c r="J10" i="61"/>
  <c r="V11" i="61"/>
  <c r="P13" i="53"/>
  <c r="T30" i="61" l="1"/>
  <c r="T28" i="61"/>
  <c r="N22" i="61"/>
  <c r="M7" i="61"/>
  <c r="R28" i="61"/>
  <c r="D30" i="61"/>
  <c r="R30" i="61" s="1"/>
  <c r="K10" i="61"/>
  <c r="V10" i="61"/>
  <c r="J22" i="61"/>
  <c r="J28" i="61" s="1"/>
  <c r="AP6" i="53"/>
  <c r="AP7" i="53"/>
  <c r="AP5" i="53" s="1"/>
  <c r="AP13" i="53"/>
  <c r="C490" i="4"/>
  <c r="C487" i="4"/>
  <c r="C486" i="4"/>
  <c r="C481" i="4"/>
  <c r="C480" i="4"/>
  <c r="C479" i="4"/>
  <c r="C477" i="4"/>
  <c r="C476" i="4"/>
  <c r="C475" i="4"/>
  <c r="C474" i="4"/>
  <c r="D8" i="4"/>
  <c r="C8" i="4"/>
  <c r="D7" i="4"/>
  <c r="C6" i="4"/>
  <c r="D5" i="4"/>
  <c r="I33" i="4"/>
  <c r="C4" i="4"/>
  <c r="C468" i="4"/>
  <c r="D467" i="4"/>
  <c r="C467" i="4"/>
  <c r="D466" i="4"/>
  <c r="C466" i="4"/>
  <c r="D465" i="4"/>
  <c r="C465" i="4"/>
  <c r="D464" i="4"/>
  <c r="C464" i="4"/>
  <c r="D463" i="4"/>
  <c r="C463" i="4"/>
  <c r="D462" i="4"/>
  <c r="C462" i="4"/>
  <c r="D461" i="4"/>
  <c r="C461" i="4"/>
  <c r="D460" i="4"/>
  <c r="C460" i="4"/>
  <c r="D459" i="4"/>
  <c r="C459" i="4"/>
  <c r="D458" i="4"/>
  <c r="C458" i="4"/>
  <c r="D457" i="4"/>
  <c r="C457" i="4"/>
  <c r="D456" i="4"/>
  <c r="C456" i="4"/>
  <c r="D455" i="4"/>
  <c r="C455" i="4"/>
  <c r="C454" i="4"/>
  <c r="D453" i="4"/>
  <c r="C453" i="4"/>
  <c r="D452" i="4"/>
  <c r="C452" i="4"/>
  <c r="D451" i="4"/>
  <c r="C451" i="4"/>
  <c r="D450" i="4"/>
  <c r="C450" i="4"/>
  <c r="D449" i="4"/>
  <c r="C449" i="4"/>
  <c r="D448" i="4"/>
  <c r="C448" i="4"/>
  <c r="D447" i="4"/>
  <c r="C447" i="4"/>
  <c r="D446" i="4"/>
  <c r="C446" i="4"/>
  <c r="D445" i="4"/>
  <c r="C445" i="4"/>
  <c r="D444" i="4"/>
  <c r="C444" i="4"/>
  <c r="D443" i="4"/>
  <c r="C443" i="4"/>
  <c r="D442" i="4"/>
  <c r="C442" i="4"/>
  <c r="C441" i="4"/>
  <c r="C440" i="4"/>
  <c r="C438" i="4"/>
  <c r="D437" i="4"/>
  <c r="D436" i="4"/>
  <c r="C436" i="4"/>
  <c r="U8" i="53" s="1"/>
  <c r="D434" i="4"/>
  <c r="C434" i="4"/>
  <c r="D433" i="4"/>
  <c r="C433" i="4"/>
  <c r="D432" i="4"/>
  <c r="C432" i="4"/>
  <c r="D431" i="4"/>
  <c r="C431" i="4"/>
  <c r="D430" i="4"/>
  <c r="C430" i="4"/>
  <c r="D429" i="4"/>
  <c r="C429" i="4"/>
  <c r="D428" i="4"/>
  <c r="C428" i="4"/>
  <c r="D427" i="4"/>
  <c r="C427" i="4"/>
  <c r="D426" i="4"/>
  <c r="C426" i="4"/>
  <c r="D425" i="4"/>
  <c r="C425" i="4"/>
  <c r="D424" i="4"/>
  <c r="C424" i="4"/>
  <c r="D423" i="4"/>
  <c r="C423" i="4"/>
  <c r="D422" i="4"/>
  <c r="C422" i="4"/>
  <c r="D421" i="4"/>
  <c r="C421" i="4"/>
  <c r="D420" i="4"/>
  <c r="C420" i="4"/>
  <c r="D419" i="4"/>
  <c r="C419" i="4"/>
  <c r="D418" i="4"/>
  <c r="C418" i="4"/>
  <c r="D417" i="4"/>
  <c r="C417" i="4"/>
  <c r="D416" i="4"/>
  <c r="C416" i="4"/>
  <c r="D415" i="4"/>
  <c r="C415" i="4"/>
  <c r="D414" i="4"/>
  <c r="C414" i="4"/>
  <c r="D413" i="4"/>
  <c r="C413" i="4"/>
  <c r="D412" i="4"/>
  <c r="C412" i="4"/>
  <c r="D411" i="4"/>
  <c r="C411" i="4"/>
  <c r="D410" i="4"/>
  <c r="C410" i="4"/>
  <c r="D409" i="4"/>
  <c r="C409" i="4"/>
  <c r="D408" i="4"/>
  <c r="C408" i="4"/>
  <c r="D407" i="4"/>
  <c r="C407" i="4"/>
  <c r="D405" i="4"/>
  <c r="C405" i="4"/>
  <c r="D404" i="4"/>
  <c r="C404" i="4"/>
  <c r="D403" i="4"/>
  <c r="C403" i="4"/>
  <c r="D402" i="4"/>
  <c r="C402" i="4"/>
  <c r="D401" i="4"/>
  <c r="C401" i="4"/>
  <c r="D400" i="4"/>
  <c r="C400" i="4"/>
  <c r="D399" i="4"/>
  <c r="C399" i="4"/>
  <c r="D398" i="4"/>
  <c r="C398" i="4"/>
  <c r="D397" i="4"/>
  <c r="C397" i="4"/>
  <c r="D396" i="4"/>
  <c r="C396" i="4"/>
  <c r="D395" i="4"/>
  <c r="C395" i="4"/>
  <c r="D394" i="4"/>
  <c r="C394" i="4"/>
  <c r="D393" i="4"/>
  <c r="C393" i="4"/>
  <c r="D392" i="4"/>
  <c r="C392" i="4"/>
  <c r="D391" i="4"/>
  <c r="C391" i="4"/>
  <c r="D390" i="4"/>
  <c r="C390" i="4"/>
  <c r="D389" i="4"/>
  <c r="C389" i="4"/>
  <c r="D388" i="4"/>
  <c r="C388" i="4"/>
  <c r="D387" i="4"/>
  <c r="C387" i="4"/>
  <c r="D386" i="4"/>
  <c r="C386" i="4"/>
  <c r="D385" i="4"/>
  <c r="C385" i="4"/>
  <c r="D384" i="4"/>
  <c r="C384" i="4"/>
  <c r="D383" i="4"/>
  <c r="C383" i="4"/>
  <c r="D382" i="4"/>
  <c r="C382" i="4"/>
  <c r="D381" i="4"/>
  <c r="C381" i="4"/>
  <c r="D380" i="4"/>
  <c r="C380" i="4"/>
  <c r="D379" i="4"/>
  <c r="C379" i="4"/>
  <c r="D378" i="4"/>
  <c r="C378" i="4"/>
  <c r="D376" i="4"/>
  <c r="C376" i="4"/>
  <c r="D375" i="4"/>
  <c r="C375" i="4"/>
  <c r="D374" i="4"/>
  <c r="C374" i="4"/>
  <c r="D373" i="4"/>
  <c r="C373" i="4"/>
  <c r="D372" i="4"/>
  <c r="C372" i="4"/>
  <c r="C371" i="4"/>
  <c r="D370" i="4"/>
  <c r="C370" i="4"/>
  <c r="D369" i="4"/>
  <c r="C369" i="4"/>
  <c r="C368" i="4"/>
  <c r="D367" i="4"/>
  <c r="C367" i="4"/>
  <c r="D366" i="4"/>
  <c r="C366" i="4"/>
  <c r="D365" i="4"/>
  <c r="C365" i="4"/>
  <c r="D364" i="4"/>
  <c r="C364" i="4"/>
  <c r="D363" i="4"/>
  <c r="C363" i="4"/>
  <c r="D362" i="4"/>
  <c r="C362" i="4"/>
  <c r="D361" i="4"/>
  <c r="C361" i="4"/>
  <c r="D360" i="4"/>
  <c r="C360" i="4"/>
  <c r="D359" i="4"/>
  <c r="C359" i="4"/>
  <c r="D357" i="4"/>
  <c r="C357" i="4"/>
  <c r="D356" i="4"/>
  <c r="C356" i="4"/>
  <c r="D355" i="4"/>
  <c r="C355" i="4"/>
  <c r="D354" i="4"/>
  <c r="C354" i="4"/>
  <c r="D353" i="4"/>
  <c r="C353" i="4"/>
  <c r="D352" i="4"/>
  <c r="C352" i="4"/>
  <c r="D351" i="4"/>
  <c r="C351" i="4"/>
  <c r="D350" i="4"/>
  <c r="C350" i="4"/>
  <c r="D349" i="4"/>
  <c r="C349" i="4"/>
  <c r="D348" i="4"/>
  <c r="C348" i="4"/>
  <c r="D347" i="4"/>
  <c r="C347" i="4"/>
  <c r="D346" i="4"/>
  <c r="C346" i="4"/>
  <c r="D345" i="4"/>
  <c r="C345" i="4"/>
  <c r="D344" i="4"/>
  <c r="C344" i="4"/>
  <c r="D343" i="4"/>
  <c r="C343" i="4"/>
  <c r="D342" i="4"/>
  <c r="C342" i="4"/>
  <c r="D341" i="4"/>
  <c r="C341" i="4"/>
  <c r="D340" i="4"/>
  <c r="C340" i="4"/>
  <c r="D339" i="4"/>
  <c r="C339" i="4"/>
  <c r="D338" i="4"/>
  <c r="C338" i="4"/>
  <c r="D337" i="4"/>
  <c r="C337" i="4"/>
  <c r="D336" i="4"/>
  <c r="C336" i="4"/>
  <c r="D335" i="4"/>
  <c r="C335" i="4"/>
  <c r="D334" i="4"/>
  <c r="C334" i="4"/>
  <c r="D332" i="4"/>
  <c r="C332" i="4"/>
  <c r="D331" i="4"/>
  <c r="C331" i="4"/>
  <c r="D329" i="4"/>
  <c r="C329" i="4"/>
  <c r="D328" i="4"/>
  <c r="C328" i="4"/>
  <c r="D327" i="4"/>
  <c r="C327" i="4"/>
  <c r="D326" i="4"/>
  <c r="C326" i="4"/>
  <c r="D325" i="4"/>
  <c r="C325" i="4"/>
  <c r="D324" i="4"/>
  <c r="C324" i="4"/>
  <c r="D323" i="4"/>
  <c r="C323" i="4"/>
  <c r="D322" i="4"/>
  <c r="C322" i="4"/>
  <c r="D321" i="4"/>
  <c r="C321" i="4"/>
  <c r="D320" i="4"/>
  <c r="C320" i="4"/>
  <c r="D318" i="4"/>
  <c r="C318" i="4"/>
  <c r="D317" i="4"/>
  <c r="C317" i="4"/>
  <c r="D316" i="4"/>
  <c r="C316" i="4"/>
  <c r="D315" i="4"/>
  <c r="C315" i="4"/>
  <c r="D314" i="4"/>
  <c r="C314" i="4"/>
  <c r="D313" i="4"/>
  <c r="C313" i="4"/>
  <c r="D312" i="4"/>
  <c r="C312" i="4"/>
  <c r="D311" i="4"/>
  <c r="C311" i="4"/>
  <c r="D310" i="4"/>
  <c r="C310" i="4"/>
  <c r="D309" i="4"/>
  <c r="C309" i="4"/>
  <c r="D308" i="4"/>
  <c r="C308" i="4"/>
  <c r="D307" i="4"/>
  <c r="C307" i="4"/>
  <c r="D306" i="4"/>
  <c r="C306" i="4"/>
  <c r="D305" i="4"/>
  <c r="C305" i="4"/>
  <c r="D304" i="4"/>
  <c r="C304" i="4"/>
  <c r="D303" i="4"/>
  <c r="C303" i="4"/>
  <c r="D302" i="4"/>
  <c r="C302" i="4"/>
  <c r="D301" i="4"/>
  <c r="C301" i="4"/>
  <c r="D300" i="4"/>
  <c r="C300" i="4"/>
  <c r="D299" i="4"/>
  <c r="C299" i="4"/>
  <c r="D298" i="4"/>
  <c r="C298" i="4"/>
  <c r="D297" i="4"/>
  <c r="C297" i="4"/>
  <c r="D296" i="4"/>
  <c r="C296" i="4"/>
  <c r="D295" i="4"/>
  <c r="C295" i="4"/>
  <c r="D294" i="4"/>
  <c r="C294" i="4"/>
  <c r="D293" i="4"/>
  <c r="C293" i="4"/>
  <c r="D292" i="4"/>
  <c r="C292" i="4"/>
  <c r="D290" i="4"/>
  <c r="C290" i="4"/>
  <c r="D289" i="4"/>
  <c r="C289" i="4"/>
  <c r="D288" i="4"/>
  <c r="C288" i="4"/>
  <c r="D287" i="4"/>
  <c r="C287" i="4"/>
  <c r="D286" i="4"/>
  <c r="C286" i="4"/>
  <c r="D285" i="4"/>
  <c r="C285" i="4"/>
  <c r="D284" i="4"/>
  <c r="C284" i="4"/>
  <c r="D283" i="4"/>
  <c r="C283" i="4"/>
  <c r="D282" i="4"/>
  <c r="C282" i="4"/>
  <c r="D281" i="4"/>
  <c r="C281" i="4"/>
  <c r="D280" i="4"/>
  <c r="C280" i="4"/>
  <c r="D279" i="4"/>
  <c r="C279" i="4"/>
  <c r="D278" i="4"/>
  <c r="C278" i="4"/>
  <c r="D277" i="4"/>
  <c r="C277" i="4"/>
  <c r="D276" i="4"/>
  <c r="C276" i="4"/>
  <c r="D275" i="4"/>
  <c r="C275" i="4"/>
  <c r="D274" i="4"/>
  <c r="C274" i="4"/>
  <c r="D273" i="4"/>
  <c r="C273" i="4"/>
  <c r="D272" i="4"/>
  <c r="C272" i="4"/>
  <c r="D271" i="4"/>
  <c r="C271" i="4"/>
  <c r="D270" i="4"/>
  <c r="C270" i="4"/>
  <c r="D269" i="4"/>
  <c r="C269" i="4"/>
  <c r="D268" i="4"/>
  <c r="C268" i="4"/>
  <c r="D267" i="4"/>
  <c r="C267" i="4"/>
  <c r="D266" i="4"/>
  <c r="C266" i="4"/>
  <c r="D265" i="4"/>
  <c r="C265" i="4"/>
  <c r="D264" i="4"/>
  <c r="C264" i="4"/>
  <c r="D263" i="4"/>
  <c r="C263" i="4"/>
  <c r="D262" i="4"/>
  <c r="C262" i="4"/>
  <c r="D261" i="4"/>
  <c r="C261" i="4"/>
  <c r="D259" i="4"/>
  <c r="C259" i="4"/>
  <c r="D258" i="4"/>
  <c r="C258" i="4"/>
  <c r="D257" i="4"/>
  <c r="C257" i="4"/>
  <c r="D256" i="4"/>
  <c r="C256" i="4"/>
  <c r="D255" i="4"/>
  <c r="C255" i="4"/>
  <c r="D254" i="4"/>
  <c r="C254" i="4"/>
  <c r="D253" i="4"/>
  <c r="C253" i="4"/>
  <c r="D252" i="4"/>
  <c r="C252" i="4"/>
  <c r="D251" i="4"/>
  <c r="C251" i="4"/>
  <c r="D250" i="4"/>
  <c r="C250" i="4"/>
  <c r="D249" i="4"/>
  <c r="C249" i="4"/>
  <c r="D248" i="4"/>
  <c r="C248" i="4"/>
  <c r="D247" i="4"/>
  <c r="C247" i="4"/>
  <c r="D246" i="4"/>
  <c r="C246" i="4"/>
  <c r="D245" i="4"/>
  <c r="C245" i="4"/>
  <c r="D244" i="4"/>
  <c r="C244" i="4"/>
  <c r="D243" i="4"/>
  <c r="C243" i="4"/>
  <c r="D242" i="4"/>
  <c r="C242" i="4"/>
  <c r="D241" i="4"/>
  <c r="C241" i="4"/>
  <c r="D240" i="4"/>
  <c r="C240" i="4"/>
  <c r="D239" i="4"/>
  <c r="C239" i="4"/>
  <c r="D238" i="4"/>
  <c r="C238" i="4"/>
  <c r="D237" i="4"/>
  <c r="C237" i="4"/>
  <c r="D236" i="4"/>
  <c r="C236" i="4"/>
  <c r="D235" i="4"/>
  <c r="C235" i="4"/>
  <c r="D234" i="4"/>
  <c r="C234" i="4"/>
  <c r="D233" i="4"/>
  <c r="C233" i="4"/>
  <c r="D231" i="4"/>
  <c r="C231" i="4"/>
  <c r="D230" i="4"/>
  <c r="C230" i="4"/>
  <c r="D229" i="4"/>
  <c r="C229" i="4"/>
  <c r="D228" i="4"/>
  <c r="C228" i="4"/>
  <c r="D227" i="4"/>
  <c r="C227" i="4"/>
  <c r="D226" i="4"/>
  <c r="C226" i="4"/>
  <c r="D225" i="4"/>
  <c r="C225" i="4"/>
  <c r="D224" i="4"/>
  <c r="C224" i="4"/>
  <c r="D223" i="4"/>
  <c r="C223" i="4"/>
  <c r="D222" i="4"/>
  <c r="C222" i="4"/>
  <c r="D221" i="4"/>
  <c r="C221" i="4"/>
  <c r="D220" i="4"/>
  <c r="C220" i="4"/>
  <c r="D219" i="4"/>
  <c r="C219" i="4"/>
  <c r="D218" i="4"/>
  <c r="C218" i="4"/>
  <c r="D217" i="4"/>
  <c r="C217" i="4"/>
  <c r="D216" i="4"/>
  <c r="C216" i="4"/>
  <c r="D215" i="4"/>
  <c r="C215" i="4"/>
  <c r="D214" i="4"/>
  <c r="C214" i="4"/>
  <c r="D213" i="4"/>
  <c r="C213" i="4"/>
  <c r="D212" i="4"/>
  <c r="C212" i="4"/>
  <c r="D211" i="4"/>
  <c r="C211" i="4"/>
  <c r="D210" i="4"/>
  <c r="C210" i="4"/>
  <c r="D209" i="4"/>
  <c r="C209" i="4"/>
  <c r="D208" i="4"/>
  <c r="C208" i="4"/>
  <c r="D207" i="4"/>
  <c r="C207" i="4"/>
  <c r="D206" i="4"/>
  <c r="C206" i="4"/>
  <c r="D204" i="4"/>
  <c r="C204" i="4"/>
  <c r="D203" i="4"/>
  <c r="C203" i="4"/>
  <c r="D202" i="4"/>
  <c r="C202" i="4"/>
  <c r="D201" i="4"/>
  <c r="C201" i="4"/>
  <c r="D200" i="4"/>
  <c r="C200" i="4"/>
  <c r="D199" i="4"/>
  <c r="C199" i="4"/>
  <c r="D198" i="4"/>
  <c r="C198" i="4"/>
  <c r="D197" i="4"/>
  <c r="C197" i="4"/>
  <c r="D196" i="4"/>
  <c r="C196" i="4"/>
  <c r="D195" i="4"/>
  <c r="C195" i="4"/>
  <c r="D194" i="4"/>
  <c r="C194" i="4"/>
  <c r="D193" i="4"/>
  <c r="C193" i="4"/>
  <c r="D192" i="4"/>
  <c r="C192" i="4"/>
  <c r="D191" i="4"/>
  <c r="C191" i="4"/>
  <c r="D190" i="4"/>
  <c r="C190" i="4"/>
  <c r="D189" i="4"/>
  <c r="C189" i="4"/>
  <c r="D188" i="4"/>
  <c r="C188" i="4"/>
  <c r="D187" i="4"/>
  <c r="C187" i="4"/>
  <c r="D186" i="4"/>
  <c r="C186" i="4"/>
  <c r="D185" i="4"/>
  <c r="C185" i="4"/>
  <c r="D184" i="4"/>
  <c r="C184" i="4"/>
  <c r="D183" i="4"/>
  <c r="C183" i="4"/>
  <c r="D182" i="4"/>
  <c r="C182" i="4"/>
  <c r="D181" i="4"/>
  <c r="C181" i="4"/>
  <c r="D180" i="4"/>
  <c r="C180" i="4"/>
  <c r="D179" i="4"/>
  <c r="C179" i="4"/>
  <c r="D177" i="4"/>
  <c r="C177" i="4"/>
  <c r="D176" i="4"/>
  <c r="C176" i="4"/>
  <c r="D175" i="4"/>
  <c r="C175" i="4"/>
  <c r="D174" i="4"/>
  <c r="C174" i="4"/>
  <c r="D173" i="4"/>
  <c r="C173" i="4"/>
  <c r="D172" i="4"/>
  <c r="C172" i="4"/>
  <c r="D171" i="4"/>
  <c r="C171" i="4"/>
  <c r="D170" i="4"/>
  <c r="C170" i="4"/>
  <c r="D169" i="4"/>
  <c r="C169" i="4"/>
  <c r="D168" i="4"/>
  <c r="C168" i="4"/>
  <c r="D167" i="4"/>
  <c r="C167" i="4"/>
  <c r="D166" i="4"/>
  <c r="C166" i="4"/>
  <c r="D165" i="4"/>
  <c r="C165" i="4"/>
  <c r="D164" i="4"/>
  <c r="C164" i="4"/>
  <c r="D163" i="4"/>
  <c r="C163" i="4"/>
  <c r="D162" i="4"/>
  <c r="C162" i="4"/>
  <c r="D161" i="4"/>
  <c r="C161" i="4"/>
  <c r="D160" i="4"/>
  <c r="C160" i="4"/>
  <c r="D159" i="4"/>
  <c r="C159" i="4"/>
  <c r="D158" i="4"/>
  <c r="C158" i="4"/>
  <c r="D157" i="4"/>
  <c r="C157" i="4"/>
  <c r="D156" i="4"/>
  <c r="C156" i="4"/>
  <c r="D155" i="4"/>
  <c r="C155" i="4"/>
  <c r="D154" i="4"/>
  <c r="C154" i="4"/>
  <c r="D153" i="4"/>
  <c r="C153" i="4"/>
  <c r="D152" i="4"/>
  <c r="C152" i="4"/>
  <c r="D151" i="4"/>
  <c r="C151" i="4"/>
  <c r="D150" i="4"/>
  <c r="C150" i="4"/>
  <c r="D149" i="4"/>
  <c r="C149" i="4"/>
  <c r="D148" i="4"/>
  <c r="C148" i="4"/>
  <c r="D146" i="4"/>
  <c r="C146" i="4"/>
  <c r="D145" i="4"/>
  <c r="C145" i="4"/>
  <c r="D144" i="4"/>
  <c r="C144" i="4"/>
  <c r="D143" i="4"/>
  <c r="C143" i="4"/>
  <c r="D142" i="4"/>
  <c r="C142" i="4"/>
  <c r="D141" i="4"/>
  <c r="C141" i="4"/>
  <c r="D140" i="4"/>
  <c r="C140" i="4"/>
  <c r="D139" i="4"/>
  <c r="C139" i="4"/>
  <c r="D138" i="4"/>
  <c r="C138" i="4"/>
  <c r="D137" i="4"/>
  <c r="C137" i="4"/>
  <c r="D136" i="4"/>
  <c r="C136" i="4"/>
  <c r="D135" i="4"/>
  <c r="C135" i="4"/>
  <c r="D134" i="4"/>
  <c r="C134" i="4"/>
  <c r="D133" i="4"/>
  <c r="C133" i="4"/>
  <c r="D132" i="4"/>
  <c r="C132" i="4"/>
  <c r="D131" i="4"/>
  <c r="C131" i="4"/>
  <c r="D130" i="4"/>
  <c r="C130" i="4"/>
  <c r="D129" i="4"/>
  <c r="C129" i="4"/>
  <c r="D128" i="4"/>
  <c r="C128" i="4"/>
  <c r="D127" i="4"/>
  <c r="C127" i="4"/>
  <c r="D126" i="4"/>
  <c r="C126" i="4"/>
  <c r="D125" i="4"/>
  <c r="C125" i="4"/>
  <c r="D124" i="4"/>
  <c r="C124" i="4"/>
  <c r="D123" i="4"/>
  <c r="C123" i="4"/>
  <c r="D122" i="4"/>
  <c r="C122" i="4"/>
  <c r="D121" i="4"/>
  <c r="C121" i="4"/>
  <c r="D120" i="4"/>
  <c r="C120" i="4"/>
  <c r="D119" i="4"/>
  <c r="C119" i="4"/>
  <c r="D118" i="4"/>
  <c r="C118" i="4"/>
  <c r="D117" i="4"/>
  <c r="C117" i="4"/>
  <c r="D115" i="4"/>
  <c r="C115" i="4"/>
  <c r="D114" i="4"/>
  <c r="C114" i="4"/>
  <c r="D113" i="4"/>
  <c r="C113" i="4"/>
  <c r="D112" i="4"/>
  <c r="C112" i="4"/>
  <c r="D111" i="4"/>
  <c r="C111" i="4"/>
  <c r="D110" i="4"/>
  <c r="C110" i="4"/>
  <c r="D109" i="4"/>
  <c r="C109" i="4"/>
  <c r="D108" i="4"/>
  <c r="C108" i="4"/>
  <c r="D107" i="4"/>
  <c r="C107" i="4"/>
  <c r="D106" i="4"/>
  <c r="C106" i="4"/>
  <c r="D105" i="4"/>
  <c r="C105" i="4"/>
  <c r="D104" i="4"/>
  <c r="C104" i="4"/>
  <c r="D103" i="4"/>
  <c r="C103" i="4"/>
  <c r="D102" i="4"/>
  <c r="C102" i="4"/>
  <c r="D101" i="4"/>
  <c r="C101" i="4"/>
  <c r="D100" i="4"/>
  <c r="C100" i="4"/>
  <c r="D99" i="4"/>
  <c r="C99" i="4"/>
  <c r="D98" i="4"/>
  <c r="C98" i="4"/>
  <c r="D97" i="4"/>
  <c r="C97" i="4"/>
  <c r="D96" i="4"/>
  <c r="C96" i="4"/>
  <c r="D95" i="4"/>
  <c r="C95" i="4"/>
  <c r="D94" i="4"/>
  <c r="C94" i="4"/>
  <c r="D93" i="4"/>
  <c r="C93" i="4"/>
  <c r="D92" i="4"/>
  <c r="C92" i="4"/>
  <c r="D91" i="4"/>
  <c r="C91" i="4"/>
  <c r="D89" i="4"/>
  <c r="C89" i="4"/>
  <c r="D88" i="4"/>
  <c r="C88" i="4"/>
  <c r="D87" i="4"/>
  <c r="C87" i="4"/>
  <c r="D86" i="4"/>
  <c r="C86" i="4"/>
  <c r="D85" i="4"/>
  <c r="C85" i="4"/>
  <c r="D84" i="4"/>
  <c r="C84" i="4"/>
  <c r="D83" i="4"/>
  <c r="C83" i="4"/>
  <c r="D82" i="4"/>
  <c r="C82" i="4"/>
  <c r="D81" i="4"/>
  <c r="C81" i="4"/>
  <c r="D80" i="4"/>
  <c r="C80" i="4"/>
  <c r="D79" i="4"/>
  <c r="C79" i="4"/>
  <c r="D78" i="4"/>
  <c r="C78" i="4"/>
  <c r="D77" i="4"/>
  <c r="C77" i="4"/>
  <c r="D76" i="4"/>
  <c r="C76" i="4"/>
  <c r="D75" i="4"/>
  <c r="C75" i="4"/>
  <c r="D74" i="4"/>
  <c r="C74" i="4"/>
  <c r="D73" i="4"/>
  <c r="C73" i="4"/>
  <c r="D72" i="4"/>
  <c r="C72" i="4"/>
  <c r="D71" i="4"/>
  <c r="C71" i="4"/>
  <c r="D70" i="4"/>
  <c r="C70" i="4"/>
  <c r="D69" i="4"/>
  <c r="C69" i="4"/>
  <c r="D68" i="4"/>
  <c r="C68" i="4"/>
  <c r="D67" i="4"/>
  <c r="C67" i="4"/>
  <c r="D66" i="4"/>
  <c r="C66" i="4"/>
  <c r="D65" i="4"/>
  <c r="C65" i="4"/>
  <c r="D64" i="4"/>
  <c r="C64" i="4"/>
  <c r="D63" i="4"/>
  <c r="C63" i="4"/>
  <c r="D61" i="4"/>
  <c r="C61" i="4"/>
  <c r="D60" i="4"/>
  <c r="C60" i="4"/>
  <c r="D59" i="4"/>
  <c r="C59" i="4"/>
  <c r="D58" i="4"/>
  <c r="C58" i="4"/>
  <c r="D57" i="4"/>
  <c r="C57" i="4"/>
  <c r="D56" i="4"/>
  <c r="C56" i="4"/>
  <c r="D55" i="4"/>
  <c r="C55" i="4"/>
  <c r="D54" i="4"/>
  <c r="C54" i="4"/>
  <c r="D53" i="4"/>
  <c r="C53" i="4"/>
  <c r="D52" i="4"/>
  <c r="C52" i="4"/>
  <c r="D51" i="4"/>
  <c r="C51" i="4"/>
  <c r="D50" i="4"/>
  <c r="C50" i="4"/>
  <c r="D49" i="4"/>
  <c r="C49" i="4"/>
  <c r="D48" i="4"/>
  <c r="C48" i="4"/>
  <c r="D47" i="4"/>
  <c r="C47" i="4"/>
  <c r="D46" i="4"/>
  <c r="C46" i="4"/>
  <c r="D45" i="4"/>
  <c r="C45" i="4"/>
  <c r="D44" i="4"/>
  <c r="C44" i="4"/>
  <c r="D43" i="4"/>
  <c r="C43" i="4"/>
  <c r="D42" i="4"/>
  <c r="C42" i="4"/>
  <c r="D41" i="4"/>
  <c r="C41" i="4"/>
  <c r="D40" i="4"/>
  <c r="C40" i="4"/>
  <c r="D39" i="4"/>
  <c r="C39" i="4"/>
  <c r="D38" i="4"/>
  <c r="C38" i="4"/>
  <c r="D37" i="4"/>
  <c r="C37" i="4"/>
  <c r="D36" i="4"/>
  <c r="C36" i="4"/>
  <c r="D35" i="4"/>
  <c r="C35" i="4"/>
  <c r="D34" i="4"/>
  <c r="C34" i="4"/>
  <c r="D32" i="4"/>
  <c r="C32" i="4"/>
  <c r="D31" i="4"/>
  <c r="C31" i="4"/>
  <c r="D30" i="4"/>
  <c r="C30" i="4"/>
  <c r="D29" i="4"/>
  <c r="C29" i="4"/>
  <c r="D28" i="4"/>
  <c r="C28" i="4"/>
  <c r="D27" i="4"/>
  <c r="C27" i="4"/>
  <c r="D26" i="4"/>
  <c r="C26" i="4"/>
  <c r="D25" i="4"/>
  <c r="C25" i="4"/>
  <c r="D24" i="4"/>
  <c r="C24" i="4"/>
  <c r="D23" i="4"/>
  <c r="C23" i="4"/>
  <c r="D22" i="4"/>
  <c r="C22" i="4"/>
  <c r="D21" i="4"/>
  <c r="C21" i="4"/>
  <c r="D20" i="4"/>
  <c r="C20" i="4"/>
  <c r="D19" i="4"/>
  <c r="C19" i="4"/>
  <c r="D18" i="4"/>
  <c r="C18" i="4"/>
  <c r="D17" i="4"/>
  <c r="C17" i="4"/>
  <c r="D16" i="4"/>
  <c r="C16" i="4"/>
  <c r="D15" i="4"/>
  <c r="C15" i="4"/>
  <c r="D14" i="4"/>
  <c r="C14" i="4"/>
  <c r="D13" i="4"/>
  <c r="C13" i="4"/>
  <c r="D12" i="4"/>
  <c r="C12" i="4"/>
  <c r="D11" i="4"/>
  <c r="C11" i="4"/>
  <c r="D10" i="4"/>
  <c r="C10" i="4"/>
  <c r="D9" i="4"/>
  <c r="C9" i="4"/>
  <c r="C7" i="4"/>
  <c r="D6" i="4"/>
  <c r="C5" i="4"/>
  <c r="D4" i="4"/>
  <c r="H488" i="4"/>
  <c r="H482" i="4"/>
  <c r="H478" i="4"/>
  <c r="H473" i="4"/>
  <c r="C473" i="4" s="1"/>
  <c r="I454" i="4"/>
  <c r="D454" i="4" s="1"/>
  <c r="I446" i="4"/>
  <c r="I442" i="4"/>
  <c r="I441" i="4"/>
  <c r="D441" i="4" s="1"/>
  <c r="I440" i="4"/>
  <c r="L438" i="4"/>
  <c r="I438" i="4"/>
  <c r="D438" i="4" s="1"/>
  <c r="H469" i="4"/>
  <c r="I435" i="4"/>
  <c r="H435" i="4"/>
  <c r="H406" i="4"/>
  <c r="I406" i="4"/>
  <c r="H377" i="4"/>
  <c r="I376" i="4"/>
  <c r="I372" i="4"/>
  <c r="I371" i="4"/>
  <c r="D371" i="4" s="1"/>
  <c r="I368" i="4"/>
  <c r="I377" i="4" s="1"/>
  <c r="I358" i="4"/>
  <c r="H358" i="4"/>
  <c r="K358" i="4" s="1"/>
  <c r="K330" i="4"/>
  <c r="L330" i="4" s="1"/>
  <c r="I330" i="4"/>
  <c r="J330" i="4" s="1"/>
  <c r="H330" i="4"/>
  <c r="J328" i="4" s="1"/>
  <c r="J329" i="4"/>
  <c r="H319" i="4"/>
  <c r="I319" i="4"/>
  <c r="H291" i="4"/>
  <c r="I291" i="4"/>
  <c r="H260" i="4"/>
  <c r="I236" i="4"/>
  <c r="I260" i="4" s="1"/>
  <c r="H232" i="4"/>
  <c r="I232" i="4"/>
  <c r="H205" i="4"/>
  <c r="I205" i="4"/>
  <c r="I178" i="4"/>
  <c r="H178" i="4"/>
  <c r="H147" i="4"/>
  <c r="I116" i="4"/>
  <c r="H116" i="4"/>
  <c r="K116" i="4" s="1"/>
  <c r="L116" i="4" s="1"/>
  <c r="H90" i="4"/>
  <c r="I90" i="4"/>
  <c r="I62" i="4"/>
  <c r="H62" i="4"/>
  <c r="L358" i="4" l="1"/>
  <c r="M22" i="61"/>
  <c r="M28" i="61" s="1"/>
  <c r="O7" i="61"/>
  <c r="V28" i="61"/>
  <c r="K28" i="61"/>
  <c r="K260" i="4"/>
  <c r="L260" i="4" s="1"/>
  <c r="D368" i="4"/>
  <c r="D440" i="4"/>
  <c r="K178" i="4"/>
  <c r="L178" i="4" s="1"/>
  <c r="K435" i="4"/>
  <c r="L435" i="4" s="1"/>
  <c r="C437" i="4"/>
  <c r="K291" i="4"/>
  <c r="L291" i="4" s="1"/>
  <c r="K62" i="4"/>
  <c r="L62" i="4" s="1"/>
  <c r="H33" i="4"/>
  <c r="K33" i="4" s="1"/>
  <c r="L33" i="4" s="1"/>
  <c r="K205" i="4"/>
  <c r="L205" i="4" s="1"/>
  <c r="K406" i="4"/>
  <c r="L406" i="4" s="1"/>
  <c r="K232" i="4"/>
  <c r="L232" i="4" s="1"/>
  <c r="K469" i="4"/>
  <c r="K470" i="4" s="1"/>
  <c r="H484" i="4" s="1"/>
  <c r="K90" i="4"/>
  <c r="L90" i="4" s="1"/>
  <c r="K319" i="4"/>
  <c r="L319" i="4" s="1"/>
  <c r="K377" i="4"/>
  <c r="L377" i="4" s="1"/>
  <c r="I147" i="4"/>
  <c r="K147" i="4" s="1"/>
  <c r="L147" i="4" s="1"/>
  <c r="G22" i="60"/>
  <c r="V30" i="61" l="1"/>
  <c r="P7" i="61"/>
  <c r="P22" i="61" s="1"/>
  <c r="P28" i="61" s="1"/>
  <c r="P30" i="61" s="1"/>
  <c r="O22" i="61"/>
  <c r="O28" i="61" s="1"/>
  <c r="O30" i="61" s="1"/>
  <c r="H470" i="4"/>
  <c r="H492" i="4"/>
  <c r="I470" i="4"/>
  <c r="C492" i="4" l="1"/>
  <c r="H494" i="4"/>
  <c r="C494" i="4" s="1"/>
  <c r="D33" i="61" s="1"/>
  <c r="R9" i="53"/>
  <c r="P8" i="53"/>
  <c r="H496" i="4" l="1"/>
  <c r="R16" i="53"/>
  <c r="R41" i="53"/>
  <c r="R5" i="53"/>
  <c r="R29" i="53"/>
  <c r="R22" i="53"/>
  <c r="R21" i="53"/>
  <c r="D435" i="4"/>
  <c r="C435" i="4"/>
  <c r="AP50" i="53"/>
  <c r="D22" i="60" l="1"/>
  <c r="F22" i="60"/>
  <c r="I22" i="60" s="1"/>
  <c r="R43" i="53"/>
  <c r="R12" i="53" s="1"/>
  <c r="F435" i="4"/>
  <c r="G435" i="4" s="1"/>
  <c r="K33" i="53"/>
  <c r="K34" i="53"/>
  <c r="K35" i="53"/>
  <c r="K36" i="53"/>
  <c r="K37" i="53"/>
  <c r="K39" i="53"/>
  <c r="C469" i="4"/>
  <c r="P18" i="53"/>
  <c r="W73" i="53"/>
  <c r="AQ73" i="53" s="1"/>
  <c r="W68" i="53"/>
  <c r="W65" i="53"/>
  <c r="AQ65" i="53" s="1"/>
  <c r="W64" i="53"/>
  <c r="AQ64" i="53" s="1"/>
  <c r="W59" i="53"/>
  <c r="W58" i="53"/>
  <c r="W57" i="53"/>
  <c r="AQ57" i="53" s="1"/>
  <c r="W54" i="53"/>
  <c r="AQ54" i="53" s="1"/>
  <c r="W53" i="53"/>
  <c r="AQ53" i="53" s="1"/>
  <c r="W52" i="53"/>
  <c r="AQ52" i="53" s="1"/>
  <c r="W51" i="53"/>
  <c r="AQ51" i="53" s="1"/>
  <c r="W50" i="53"/>
  <c r="AQ50" i="53" s="1"/>
  <c r="AQ45" i="53"/>
  <c r="AQ46" i="53"/>
  <c r="AQ47" i="53"/>
  <c r="AQ49" i="53"/>
  <c r="AQ56" i="53"/>
  <c r="AQ61" i="53"/>
  <c r="AQ63" i="53"/>
  <c r="AQ67" i="53"/>
  <c r="AQ68" i="53"/>
  <c r="AQ70" i="53"/>
  <c r="AQ72" i="53"/>
  <c r="AQ74" i="53"/>
  <c r="AP69" i="53"/>
  <c r="AP66" i="53"/>
  <c r="AP60" i="53"/>
  <c r="AP55" i="53"/>
  <c r="AP43" i="53"/>
  <c r="AP16" i="53"/>
  <c r="D358" i="4"/>
  <c r="F26" i="49" s="1"/>
  <c r="D406" i="4"/>
  <c r="C406" i="4"/>
  <c r="AP12" i="53" l="1"/>
  <c r="J466" i="4"/>
  <c r="J462" i="4"/>
  <c r="J458" i="4"/>
  <c r="J454" i="4"/>
  <c r="J451" i="4"/>
  <c r="J447" i="4"/>
  <c r="J444" i="4"/>
  <c r="J463" i="4"/>
  <c r="J455" i="4"/>
  <c r="J448" i="4"/>
  <c r="J441" i="4"/>
  <c r="J465" i="4"/>
  <c r="J461" i="4"/>
  <c r="J457" i="4"/>
  <c r="J450" i="4"/>
  <c r="J446" i="4"/>
  <c r="J443" i="4"/>
  <c r="J459" i="4"/>
  <c r="J445" i="4"/>
  <c r="J438" i="4"/>
  <c r="J468" i="4"/>
  <c r="J464" i="4"/>
  <c r="J460" i="4"/>
  <c r="J456" i="4"/>
  <c r="J453" i="4"/>
  <c r="J449" i="4"/>
  <c r="J467" i="4"/>
  <c r="J452" i="4"/>
  <c r="J442" i="4"/>
  <c r="J440" i="4"/>
  <c r="J469" i="4"/>
  <c r="AQ59" i="53"/>
  <c r="C100" i="26"/>
  <c r="AQ58" i="53"/>
  <c r="C99" i="26"/>
  <c r="J22" i="60"/>
  <c r="K22" i="60" s="1"/>
  <c r="H22" i="60"/>
  <c r="R44" i="53"/>
  <c r="AP44" i="53"/>
  <c r="AP48" i="53" s="1"/>
  <c r="AP62" i="53" s="1"/>
  <c r="AP71" i="53" s="1"/>
  <c r="AP75" i="53" s="1"/>
  <c r="D33" i="60" l="1"/>
  <c r="G28" i="60"/>
  <c r="G25" i="60" s="1"/>
  <c r="G13" i="60"/>
  <c r="G12" i="60"/>
  <c r="D12" i="60"/>
  <c r="R12" i="60" s="1"/>
  <c r="G9" i="60"/>
  <c r="H12" i="60" l="1"/>
  <c r="F12" i="60"/>
  <c r="J12" i="60" s="1"/>
  <c r="V12" i="60" l="1"/>
  <c r="K12" i="60"/>
  <c r="T12" i="60"/>
  <c r="I12" i="60"/>
  <c r="D105" i="26"/>
  <c r="C7" i="26"/>
  <c r="C9" i="26"/>
  <c r="C101" i="26"/>
  <c r="C98" i="26"/>
  <c r="C94" i="26"/>
  <c r="C93" i="26"/>
  <c r="B20" i="26"/>
  <c r="C11" i="26"/>
  <c r="W69" i="53"/>
  <c r="AQ69" i="53" s="1"/>
  <c r="W66" i="53"/>
  <c r="AQ66" i="53" s="1"/>
  <c r="W60" i="53"/>
  <c r="AQ60" i="53" s="1"/>
  <c r="W55" i="53"/>
  <c r="AQ55" i="53" s="1"/>
  <c r="E22" i="53"/>
  <c r="O33" i="49"/>
  <c r="G27" i="49"/>
  <c r="G11" i="60"/>
  <c r="G10" i="60" l="1"/>
  <c r="B21" i="26"/>
  <c r="C21" i="26" s="1"/>
  <c r="D95" i="26"/>
  <c r="D102" i="26"/>
  <c r="U42" i="53"/>
  <c r="W42" i="53" s="1"/>
  <c r="AQ42" i="53" s="1"/>
  <c r="U38" i="53"/>
  <c r="B82" i="26" s="1"/>
  <c r="U39" i="53"/>
  <c r="B83" i="26" s="1"/>
  <c r="U40" i="53"/>
  <c r="U41" i="53"/>
  <c r="B85" i="26" s="1"/>
  <c r="U32" i="53"/>
  <c r="B77" i="26" s="1"/>
  <c r="U33" i="53"/>
  <c r="U34" i="53"/>
  <c r="B78" i="26" s="1"/>
  <c r="U35" i="53"/>
  <c r="B79" i="26" s="1"/>
  <c r="U36" i="53"/>
  <c r="B80" i="26" s="1"/>
  <c r="U37" i="53"/>
  <c r="B81" i="26" s="1"/>
  <c r="U31" i="53"/>
  <c r="B76" i="26" s="1"/>
  <c r="U30" i="53"/>
  <c r="B75" i="26" s="1"/>
  <c r="O20" i="53"/>
  <c r="O15" i="53"/>
  <c r="O14" i="53"/>
  <c r="G24" i="49"/>
  <c r="C488" i="4"/>
  <c r="M10" i="53"/>
  <c r="U10" i="53"/>
  <c r="M9" i="53"/>
  <c r="M8" i="53"/>
  <c r="E10" i="53"/>
  <c r="P10" i="53"/>
  <c r="N10" i="53"/>
  <c r="F10" i="53"/>
  <c r="Q10" i="53"/>
  <c r="C10" i="53"/>
  <c r="C9" i="53"/>
  <c r="D10" i="53"/>
  <c r="D9" i="53"/>
  <c r="I10" i="53"/>
  <c r="J10" i="53"/>
  <c r="K9" i="53"/>
  <c r="K18" i="53"/>
  <c r="G30" i="60"/>
  <c r="G20" i="60"/>
  <c r="G21" i="60"/>
  <c r="S18" i="53" l="1"/>
  <c r="B33" i="26" s="1"/>
  <c r="D11" i="49"/>
  <c r="D11" i="60"/>
  <c r="C178" i="4"/>
  <c r="W40" i="53"/>
  <c r="AQ40" i="53" s="1"/>
  <c r="B84" i="26"/>
  <c r="O27" i="53"/>
  <c r="C377" i="4"/>
  <c r="G7" i="60"/>
  <c r="G8" i="60"/>
  <c r="G15" i="60"/>
  <c r="G16" i="60"/>
  <c r="G14" i="60"/>
  <c r="G19" i="60"/>
  <c r="J434" i="4" l="1"/>
  <c r="J430" i="4"/>
  <c r="J426" i="4"/>
  <c r="J422" i="4"/>
  <c r="J418" i="4"/>
  <c r="J414" i="4"/>
  <c r="J376" i="4"/>
  <c r="J373" i="4"/>
  <c r="J370" i="4"/>
  <c r="J366" i="4"/>
  <c r="J362" i="4"/>
  <c r="J433" i="4"/>
  <c r="J429" i="4"/>
  <c r="J425" i="4"/>
  <c r="J421" i="4"/>
  <c r="J417" i="4"/>
  <c r="J413" i="4"/>
  <c r="J372" i="4"/>
  <c r="J369" i="4"/>
  <c r="J365" i="4"/>
  <c r="J431" i="4"/>
  <c r="J423" i="4"/>
  <c r="J415" i="4"/>
  <c r="J411" i="4"/>
  <c r="J363" i="4"/>
  <c r="J432" i="4"/>
  <c r="J428" i="4"/>
  <c r="J424" i="4"/>
  <c r="J420" i="4"/>
  <c r="J416" i="4"/>
  <c r="J412" i="4"/>
  <c r="J375" i="4"/>
  <c r="J364" i="4"/>
  <c r="J427" i="4"/>
  <c r="J419" i="4"/>
  <c r="J374" i="4"/>
  <c r="J367" i="4"/>
  <c r="J371" i="4"/>
  <c r="J368" i="4"/>
  <c r="J377" i="4"/>
  <c r="J172" i="4"/>
  <c r="J167" i="4"/>
  <c r="J161" i="4"/>
  <c r="J157" i="4"/>
  <c r="J177" i="4"/>
  <c r="J170" i="4"/>
  <c r="J166" i="4"/>
  <c r="J160" i="4"/>
  <c r="J156" i="4"/>
  <c r="J175" i="4"/>
  <c r="J169" i="4"/>
  <c r="J163" i="4"/>
  <c r="J159" i="4"/>
  <c r="J155" i="4"/>
  <c r="J174" i="4"/>
  <c r="J168" i="4"/>
  <c r="J162" i="4"/>
  <c r="J158" i="4"/>
  <c r="J154" i="4"/>
  <c r="J178" i="4"/>
  <c r="J153" i="4"/>
  <c r="E413" i="4"/>
  <c r="E417" i="4"/>
  <c r="E421" i="4"/>
  <c r="E425" i="4"/>
  <c r="E429" i="4"/>
  <c r="E433" i="4"/>
  <c r="E414" i="4"/>
  <c r="E418" i="4"/>
  <c r="E422" i="4"/>
  <c r="E426" i="4"/>
  <c r="E430" i="4"/>
  <c r="E434" i="4"/>
  <c r="E411" i="4"/>
  <c r="E415" i="4"/>
  <c r="E419" i="4"/>
  <c r="E423" i="4"/>
  <c r="E427" i="4"/>
  <c r="E431" i="4"/>
  <c r="E412" i="4"/>
  <c r="E416" i="4"/>
  <c r="E420" i="4"/>
  <c r="E424" i="4"/>
  <c r="E428" i="4"/>
  <c r="E432" i="4"/>
  <c r="R11" i="60"/>
  <c r="H11" i="60"/>
  <c r="D291" i="4"/>
  <c r="F18" i="60" s="1"/>
  <c r="G18" i="60"/>
  <c r="E364" i="4"/>
  <c r="D28" i="60"/>
  <c r="E367" i="4"/>
  <c r="D377" i="4"/>
  <c r="F28" i="60" s="1"/>
  <c r="E363" i="4"/>
  <c r="L2" i="55"/>
  <c r="M2" i="55"/>
  <c r="M8" i="55" s="1"/>
  <c r="N13" i="55"/>
  <c r="N12" i="55"/>
  <c r="N7" i="55"/>
  <c r="N6" i="55"/>
  <c r="N5" i="55"/>
  <c r="L11" i="55"/>
  <c r="M11" i="55"/>
  <c r="C11" i="55"/>
  <c r="D11" i="55"/>
  <c r="E11" i="55"/>
  <c r="F11" i="55"/>
  <c r="G11" i="55"/>
  <c r="H11" i="55"/>
  <c r="I11" i="55"/>
  <c r="J11" i="55"/>
  <c r="K11" i="55"/>
  <c r="B11" i="55"/>
  <c r="J28" i="60" l="1"/>
  <c r="R28" i="60"/>
  <c r="T28" i="60"/>
  <c r="I28" i="60"/>
  <c r="G17" i="60"/>
  <c r="G23" i="60" s="1"/>
  <c r="N2" i="55"/>
  <c r="I18" i="60"/>
  <c r="T18" i="60"/>
  <c r="L8" i="55"/>
  <c r="L17" i="55" s="1"/>
  <c r="N11" i="55"/>
  <c r="M17" i="55"/>
  <c r="G29" i="60" l="1"/>
  <c r="G31" i="60" s="1"/>
  <c r="O28" i="60"/>
  <c r="V28" i="60"/>
  <c r="K28" i="60"/>
  <c r="B30" i="55"/>
  <c r="E30" i="55"/>
  <c r="H30" i="55"/>
  <c r="K30" i="55"/>
  <c r="B31" i="55"/>
  <c r="E31" i="55"/>
  <c r="H31" i="55"/>
  <c r="K31" i="55"/>
  <c r="B32" i="55"/>
  <c r="E32" i="55"/>
  <c r="H32" i="55"/>
  <c r="K32" i="55"/>
  <c r="C4" i="55"/>
  <c r="C8" i="55" s="1"/>
  <c r="D4" i="55"/>
  <c r="D8" i="55" s="1"/>
  <c r="D17" i="55" s="1"/>
  <c r="E4" i="55"/>
  <c r="E8" i="55" s="1"/>
  <c r="E17" i="55" s="1"/>
  <c r="F4" i="55"/>
  <c r="F8" i="55" s="1"/>
  <c r="F17" i="55" s="1"/>
  <c r="G4" i="55"/>
  <c r="G8" i="55" s="1"/>
  <c r="G17" i="55" s="1"/>
  <c r="H4" i="55"/>
  <c r="H8" i="55" s="1"/>
  <c r="H17" i="55" s="1"/>
  <c r="I4" i="55"/>
  <c r="I8" i="55" s="1"/>
  <c r="I17" i="55" s="1"/>
  <c r="J4" i="55"/>
  <c r="J8" i="55" s="1"/>
  <c r="J17" i="55" s="1"/>
  <c r="K4" i="55"/>
  <c r="K8" i="55" s="1"/>
  <c r="B4" i="55"/>
  <c r="B8" i="55" l="1"/>
  <c r="N8" i="55" s="1"/>
  <c r="N4" i="55"/>
  <c r="K33" i="55"/>
  <c r="K17" i="55"/>
  <c r="C17" i="55"/>
  <c r="B29" i="55"/>
  <c r="E33" i="55"/>
  <c r="H33" i="55"/>
  <c r="E29" i="55"/>
  <c r="H29" i="55"/>
  <c r="K29" i="55"/>
  <c r="E28" i="55"/>
  <c r="H28" i="55"/>
  <c r="K28" i="55"/>
  <c r="B28" i="55"/>
  <c r="B17" i="55" l="1"/>
  <c r="B33" i="55"/>
  <c r="B9" i="55"/>
  <c r="C9" i="55" l="1"/>
  <c r="D9" i="55" s="1"/>
  <c r="E9" i="55" s="1"/>
  <c r="F9" i="55" s="1"/>
  <c r="G9" i="55" s="1"/>
  <c r="H9" i="55" s="1"/>
  <c r="I9" i="55" s="1"/>
  <c r="J9" i="55" s="1"/>
  <c r="K9" i="55" s="1"/>
  <c r="L9" i="55" s="1"/>
  <c r="M9" i="55" s="1"/>
  <c r="B18" i="55"/>
  <c r="C18" i="55" s="1"/>
  <c r="D18" i="55" s="1"/>
  <c r="E18" i="55" s="1"/>
  <c r="F18" i="55" s="1"/>
  <c r="G18" i="55" s="1"/>
  <c r="H18" i="55" s="1"/>
  <c r="I18" i="55" s="1"/>
  <c r="J18" i="55" s="1"/>
  <c r="K18" i="55" s="1"/>
  <c r="L18" i="55" s="1"/>
  <c r="M18" i="55" s="1"/>
  <c r="N17" i="55"/>
  <c r="E26" i="53"/>
  <c r="E27" i="53"/>
  <c r="E28" i="53"/>
  <c r="E30" i="53"/>
  <c r="E32" i="53"/>
  <c r="E35" i="53"/>
  <c r="E41" i="53"/>
  <c r="G12" i="49"/>
  <c r="F12" i="49" s="1"/>
  <c r="T12" i="49" s="1"/>
  <c r="E33" i="53"/>
  <c r="E34" i="53"/>
  <c r="E36" i="53"/>
  <c r="E39" i="53"/>
  <c r="E29" i="53"/>
  <c r="M6" i="53"/>
  <c r="D12" i="49"/>
  <c r="R12" i="49" l="1"/>
  <c r="R11" i="49"/>
  <c r="G9" i="49"/>
  <c r="G20" i="49"/>
  <c r="G7" i="49"/>
  <c r="G18" i="49"/>
  <c r="J12" i="49"/>
  <c r="I12" i="49"/>
  <c r="U18" i="53"/>
  <c r="B63" i="26" s="1"/>
  <c r="U19" i="53"/>
  <c r="B64" i="26" s="1"/>
  <c r="U20" i="53"/>
  <c r="B65" i="26" s="1"/>
  <c r="U21" i="53"/>
  <c r="B66" i="26" s="1"/>
  <c r="U22" i="53"/>
  <c r="B67" i="26" s="1"/>
  <c r="U23" i="53"/>
  <c r="B68" i="26" s="1"/>
  <c r="U24" i="53"/>
  <c r="B69" i="26" s="1"/>
  <c r="U25" i="53"/>
  <c r="B70" i="26" s="1"/>
  <c r="U26" i="53"/>
  <c r="B71" i="26" s="1"/>
  <c r="U27" i="53"/>
  <c r="B72" i="26" s="1"/>
  <c r="U28" i="53"/>
  <c r="B73" i="26" s="1"/>
  <c r="U29" i="53"/>
  <c r="B74" i="26" s="1"/>
  <c r="G16" i="49"/>
  <c r="G19" i="49"/>
  <c r="E9" i="53"/>
  <c r="E11" i="53"/>
  <c r="E7" i="53"/>
  <c r="E13" i="53"/>
  <c r="E25" i="53"/>
  <c r="E24" i="53"/>
  <c r="E23" i="53"/>
  <c r="E21" i="53"/>
  <c r="E20" i="53"/>
  <c r="E19" i="53"/>
  <c r="E17" i="53"/>
  <c r="E15" i="53"/>
  <c r="E14" i="53"/>
  <c r="G11" i="49"/>
  <c r="E5" i="53" l="1"/>
  <c r="K12" i="49"/>
  <c r="V12" i="49"/>
  <c r="G14" i="49"/>
  <c r="G13" i="49"/>
  <c r="G10" i="49" s="1"/>
  <c r="E43" i="53"/>
  <c r="E16" i="53"/>
  <c r="E12" i="53" l="1"/>
  <c r="E44" i="53"/>
  <c r="G8" i="49" l="1"/>
  <c r="U11" i="53" l="1"/>
  <c r="L11" i="53"/>
  <c r="K11" i="53"/>
  <c r="F11" i="53"/>
  <c r="M11" i="53"/>
  <c r="I11" i="53"/>
  <c r="D11" i="53"/>
  <c r="C11" i="53"/>
  <c r="S11" i="53" l="1"/>
  <c r="W11" i="53" s="1"/>
  <c r="B16" i="26" l="1"/>
  <c r="AQ11" i="53"/>
  <c r="AA11" i="53"/>
  <c r="AB11" i="53" s="1"/>
  <c r="F8" i="53"/>
  <c r="C147" i="4"/>
  <c r="D20" i="60" l="1"/>
  <c r="H20" i="60" s="1"/>
  <c r="J143" i="4"/>
  <c r="J137" i="4"/>
  <c r="J131" i="4"/>
  <c r="J127" i="4"/>
  <c r="J139" i="4"/>
  <c r="J135" i="4"/>
  <c r="J124" i="4"/>
  <c r="J138" i="4"/>
  <c r="J132" i="4"/>
  <c r="J141" i="4"/>
  <c r="J136" i="4"/>
  <c r="J130" i="4"/>
  <c r="J125" i="4"/>
  <c r="J146" i="4"/>
  <c r="J129" i="4"/>
  <c r="J144" i="4"/>
  <c r="J128" i="4"/>
  <c r="J123" i="4"/>
  <c r="J147" i="4"/>
  <c r="D20" i="49"/>
  <c r="F18" i="49"/>
  <c r="T18" i="49" s="1"/>
  <c r="AC11" i="53"/>
  <c r="AD11" i="53" s="1"/>
  <c r="AE11" i="53" s="1"/>
  <c r="AF11" i="53" s="1"/>
  <c r="AG11" i="53" s="1"/>
  <c r="AH11" i="53" s="1"/>
  <c r="AI11" i="53" s="1"/>
  <c r="AJ11" i="53" s="1"/>
  <c r="AK11" i="53" s="1"/>
  <c r="AL11" i="53" s="1"/>
  <c r="AM11" i="53" s="1"/>
  <c r="R20" i="60" l="1"/>
  <c r="R20" i="49"/>
  <c r="AN11" i="53"/>
  <c r="G21" i="49" l="1"/>
  <c r="G15" i="49"/>
  <c r="T27" i="49" l="1"/>
  <c r="AA42" i="53"/>
  <c r="AB42" i="53" s="1"/>
  <c r="AC42" i="53" l="1"/>
  <c r="AD42" i="53" s="1"/>
  <c r="AE42" i="53" s="1"/>
  <c r="AF42" i="53" s="1"/>
  <c r="AG42" i="53" s="1"/>
  <c r="AH42" i="53" s="1"/>
  <c r="AI42" i="53" s="1"/>
  <c r="AJ42" i="53" s="1"/>
  <c r="AK42" i="53" s="1"/>
  <c r="AL42" i="53" s="1"/>
  <c r="AM42" i="53" s="1"/>
  <c r="AN42" i="53" l="1"/>
  <c r="U9" i="53" l="1"/>
  <c r="U5" i="53" s="1"/>
  <c r="C482" i="4" l="1"/>
  <c r="C478" i="4"/>
  <c r="N34" i="53" l="1"/>
  <c r="D22" i="53"/>
  <c r="F17" i="53"/>
  <c r="AA46" i="53" l="1"/>
  <c r="Q36" i="53"/>
  <c r="G438" i="4"/>
  <c r="F13" i="53" l="1"/>
  <c r="I24" i="53" l="1"/>
  <c r="I23" i="53"/>
  <c r="U17" i="53" l="1"/>
  <c r="B62" i="26" s="1"/>
  <c r="Q41" i="53" l="1"/>
  <c r="Q32" i="53"/>
  <c r="Q29" i="53"/>
  <c r="Q26" i="53"/>
  <c r="Q17" i="53"/>
  <c r="O32" i="53"/>
  <c r="L25" i="53"/>
  <c r="L26" i="53"/>
  <c r="L27" i="53"/>
  <c r="F15" i="53"/>
  <c r="F14" i="53"/>
  <c r="C15" i="53"/>
  <c r="C14" i="53"/>
  <c r="H14" i="53"/>
  <c r="D14" i="53"/>
  <c r="M14" i="53"/>
  <c r="N14" i="53"/>
  <c r="K14" i="53"/>
  <c r="L14" i="53"/>
  <c r="J14" i="53"/>
  <c r="I14" i="53"/>
  <c r="G14" i="53"/>
  <c r="H15" i="53"/>
  <c r="D15" i="53"/>
  <c r="M15" i="53"/>
  <c r="N15" i="53"/>
  <c r="K15" i="53"/>
  <c r="L15" i="53"/>
  <c r="J15" i="53"/>
  <c r="I15" i="53"/>
  <c r="G15" i="53"/>
  <c r="C26" i="53"/>
  <c r="H26" i="53"/>
  <c r="D26" i="53"/>
  <c r="M26" i="53"/>
  <c r="N26" i="53"/>
  <c r="K26" i="53"/>
  <c r="J26" i="53"/>
  <c r="I26" i="53"/>
  <c r="G26" i="53"/>
  <c r="P26" i="53"/>
  <c r="F26" i="53"/>
  <c r="S26" i="53" l="1"/>
  <c r="S15" i="53"/>
  <c r="S14" i="53"/>
  <c r="B28" i="26" s="1"/>
  <c r="Q43" i="53"/>
  <c r="W18" i="53"/>
  <c r="W31" i="53"/>
  <c r="AA31" i="53" l="1"/>
  <c r="AB31" i="53" s="1"/>
  <c r="AC31" i="53" s="1"/>
  <c r="AD31" i="53" s="1"/>
  <c r="AE31" i="53" s="1"/>
  <c r="AF31" i="53" s="1"/>
  <c r="AG31" i="53" s="1"/>
  <c r="AH31" i="53" s="1"/>
  <c r="AI31" i="53" s="1"/>
  <c r="AJ31" i="53" s="1"/>
  <c r="AK31" i="53" s="1"/>
  <c r="AL31" i="53" s="1"/>
  <c r="AM31" i="53" s="1"/>
  <c r="AQ31" i="53"/>
  <c r="AA18" i="53"/>
  <c r="AB18" i="53" s="1"/>
  <c r="AC18" i="53" s="1"/>
  <c r="AD18" i="53" s="1"/>
  <c r="AE18" i="53" s="1"/>
  <c r="AF18" i="53" s="1"/>
  <c r="AG18" i="53" s="1"/>
  <c r="AH18" i="53" s="1"/>
  <c r="AI18" i="53" s="1"/>
  <c r="AJ18" i="53" s="1"/>
  <c r="AK18" i="53" s="1"/>
  <c r="AL18" i="53" s="1"/>
  <c r="AM18" i="53" s="1"/>
  <c r="AQ18" i="53"/>
  <c r="Q16" i="53"/>
  <c r="Q12" i="53" s="1"/>
  <c r="P16" i="53"/>
  <c r="U15" i="53"/>
  <c r="B59" i="26" s="1"/>
  <c r="AN31" i="53" l="1"/>
  <c r="AN18" i="53"/>
  <c r="AA40" i="53"/>
  <c r="AB40" i="53" s="1"/>
  <c r="W26" i="53"/>
  <c r="AA26" i="53" l="1"/>
  <c r="AB26" i="53" s="1"/>
  <c r="AC26" i="53" s="1"/>
  <c r="AD26" i="53" s="1"/>
  <c r="AE26" i="53" s="1"/>
  <c r="AF26" i="53" s="1"/>
  <c r="AG26" i="53" s="1"/>
  <c r="AH26" i="53" s="1"/>
  <c r="AI26" i="53" s="1"/>
  <c r="AJ26" i="53" s="1"/>
  <c r="AK26" i="53" s="1"/>
  <c r="AL26" i="53" s="1"/>
  <c r="AM26" i="53" s="1"/>
  <c r="AQ26" i="53"/>
  <c r="AC40" i="53"/>
  <c r="AD40" i="53" s="1"/>
  <c r="AE40" i="53" s="1"/>
  <c r="AF40" i="53" s="1"/>
  <c r="AG40" i="53" s="1"/>
  <c r="AH40" i="53" s="1"/>
  <c r="AI40" i="53" s="1"/>
  <c r="AJ40" i="53" s="1"/>
  <c r="AK40" i="53" s="1"/>
  <c r="AL40" i="53" s="1"/>
  <c r="AM40" i="53" s="1"/>
  <c r="P19" i="53"/>
  <c r="P20" i="53"/>
  <c r="P21" i="53"/>
  <c r="P22" i="53"/>
  <c r="P23" i="53"/>
  <c r="P25" i="53"/>
  <c r="P27" i="53"/>
  <c r="P28" i="53"/>
  <c r="P29" i="53"/>
  <c r="P33" i="53"/>
  <c r="P34" i="53"/>
  <c r="P39" i="53"/>
  <c r="P38" i="53"/>
  <c r="P41" i="53"/>
  <c r="P17" i="53"/>
  <c r="P5" i="53"/>
  <c r="C13" i="53"/>
  <c r="U14" i="53"/>
  <c r="B58" i="26" s="1"/>
  <c r="B57" i="26"/>
  <c r="C16" i="53" l="1"/>
  <c r="AN40" i="53"/>
  <c r="AN26" i="53"/>
  <c r="U16" i="53"/>
  <c r="O22" i="53" l="1"/>
  <c r="O21" i="53"/>
  <c r="O17" i="53"/>
  <c r="G38" i="53"/>
  <c r="I38" i="53"/>
  <c r="J38" i="53"/>
  <c r="L38" i="53"/>
  <c r="N38" i="53"/>
  <c r="F38" i="53"/>
  <c r="M38" i="53"/>
  <c r="D38" i="53"/>
  <c r="H38" i="53"/>
  <c r="C38" i="53"/>
  <c r="N39" i="53"/>
  <c r="F37" i="53"/>
  <c r="S37" i="53" s="1"/>
  <c r="H39" i="53"/>
  <c r="I36" i="53"/>
  <c r="N36" i="53"/>
  <c r="H36" i="53"/>
  <c r="C36" i="53"/>
  <c r="I35" i="53"/>
  <c r="L35" i="53"/>
  <c r="N35" i="53"/>
  <c r="F35" i="53"/>
  <c r="M35" i="53"/>
  <c r="D35" i="53"/>
  <c r="G34" i="53"/>
  <c r="J34" i="53"/>
  <c r="L34" i="53"/>
  <c r="G33" i="53"/>
  <c r="I33" i="53"/>
  <c r="J33" i="53"/>
  <c r="L33" i="53"/>
  <c r="N33" i="53"/>
  <c r="F33" i="53"/>
  <c r="M33" i="53"/>
  <c r="D33" i="53"/>
  <c r="H33" i="53"/>
  <c r="C33" i="53"/>
  <c r="G32" i="53"/>
  <c r="J32" i="53"/>
  <c r="I30" i="53"/>
  <c r="N30" i="53"/>
  <c r="D30" i="53"/>
  <c r="N28" i="53"/>
  <c r="G25" i="53"/>
  <c r="J25" i="53"/>
  <c r="K25" i="53"/>
  <c r="F25" i="53"/>
  <c r="M25" i="53"/>
  <c r="N24" i="53"/>
  <c r="H24" i="53"/>
  <c r="N23" i="53"/>
  <c r="H23" i="53"/>
  <c r="G22" i="53"/>
  <c r="J22" i="53"/>
  <c r="L22" i="53"/>
  <c r="K22" i="53"/>
  <c r="N22" i="53"/>
  <c r="H22" i="53"/>
  <c r="C22" i="53"/>
  <c r="G20" i="53"/>
  <c r="J20" i="53"/>
  <c r="L20" i="53"/>
  <c r="K20" i="53"/>
  <c r="H20" i="53"/>
  <c r="H19" i="53"/>
  <c r="M17" i="53"/>
  <c r="H17" i="53"/>
  <c r="C17" i="53"/>
  <c r="L8" i="53"/>
  <c r="K8" i="53"/>
  <c r="S33" i="53" l="1"/>
  <c r="W33" i="53" s="1"/>
  <c r="AQ33" i="53" s="1"/>
  <c r="S38" i="53"/>
  <c r="B50" i="26" s="1"/>
  <c r="P35" i="53"/>
  <c r="F17" i="52"/>
  <c r="I19" i="53"/>
  <c r="K14" i="52"/>
  <c r="I14" i="52"/>
  <c r="J18" i="52"/>
  <c r="J6" i="52"/>
  <c r="I18" i="52"/>
  <c r="I15" i="52"/>
  <c r="D4" i="52"/>
  <c r="D3" i="52" s="1"/>
  <c r="W38" i="53" l="1"/>
  <c r="AQ38" i="53" s="1"/>
  <c r="F34" i="50"/>
  <c r="F36" i="50"/>
  <c r="M12" i="52" l="1"/>
  <c r="M11" i="52" s="1"/>
  <c r="I19" i="52"/>
  <c r="G12" i="52"/>
  <c r="I12" i="52"/>
  <c r="I11" i="52" s="1"/>
  <c r="G19" i="52"/>
  <c r="E20" i="52"/>
  <c r="L12" i="52" l="1"/>
  <c r="L11" i="52" s="1"/>
  <c r="C12" i="52"/>
  <c r="E4" i="52" l="1"/>
  <c r="E3" i="52" s="1"/>
  <c r="C4" i="52" l="1"/>
  <c r="C3" i="52" s="1"/>
  <c r="F12" i="52"/>
  <c r="F11" i="52" s="1"/>
  <c r="H12" i="52"/>
  <c r="H11" i="52" s="1"/>
  <c r="L4" i="52"/>
  <c r="L3" i="52" s="1"/>
  <c r="D12" i="52"/>
  <c r="D11" i="52" s="1"/>
  <c r="J12" i="52"/>
  <c r="J11" i="52" s="1"/>
  <c r="E12" i="52"/>
  <c r="E11" i="52" s="1"/>
  <c r="D16" i="52"/>
  <c r="K12" i="52"/>
  <c r="K11" i="52" s="1"/>
  <c r="G5" i="52"/>
  <c r="G7" i="52"/>
  <c r="D15" i="50"/>
  <c r="F19" i="52" l="1"/>
  <c r="F5" i="52"/>
  <c r="F3" i="52" s="1"/>
  <c r="F16" i="52"/>
  <c r="G29" i="50" l="1"/>
  <c r="I7" i="52" l="1"/>
  <c r="I6" i="52"/>
  <c r="J7" i="52"/>
  <c r="J3" i="52" s="1"/>
  <c r="I3" i="52" l="1"/>
  <c r="C20" i="52"/>
  <c r="K7" i="52"/>
  <c r="K3" i="52" s="1"/>
  <c r="K15" i="52"/>
  <c r="G17" i="50"/>
  <c r="G14" i="50"/>
  <c r="G12" i="50"/>
  <c r="G11" i="50"/>
  <c r="K27" i="50"/>
  <c r="G8" i="50"/>
  <c r="G18" i="50"/>
  <c r="G19" i="50"/>
  <c r="G10" i="50"/>
  <c r="K19" i="52" l="1"/>
  <c r="G9" i="50"/>
  <c r="G7" i="50" s="1"/>
  <c r="C13" i="52"/>
  <c r="C11" i="52" s="1"/>
  <c r="G15" i="50"/>
  <c r="G13" i="50" s="1"/>
  <c r="G13" i="52"/>
  <c r="G11" i="52" s="1"/>
  <c r="G16" i="50"/>
  <c r="F14" i="51" l="1"/>
  <c r="D14" i="51"/>
  <c r="F9" i="51"/>
  <c r="D9" i="51"/>
  <c r="F3" i="51"/>
  <c r="G31" i="51" s="1"/>
  <c r="D3" i="51"/>
  <c r="E11" i="51" s="1"/>
  <c r="F8" i="51" l="1"/>
  <c r="G8" i="51" s="1"/>
  <c r="G23" i="51"/>
  <c r="E14" i="51"/>
  <c r="D8" i="51"/>
  <c r="E8" i="51" s="1"/>
  <c r="G4" i="51"/>
  <c r="G15" i="51"/>
  <c r="G11" i="51"/>
  <c r="G19" i="51"/>
  <c r="G27" i="51"/>
  <c r="D33" i="51"/>
  <c r="E33" i="51" s="1"/>
  <c r="E9" i="51"/>
  <c r="G9" i="51"/>
  <c r="G14" i="51"/>
  <c r="G6" i="51"/>
  <c r="G13" i="51"/>
  <c r="G17" i="51"/>
  <c r="G21" i="51"/>
  <c r="G25" i="51"/>
  <c r="E6" i="51"/>
  <c r="E31" i="51"/>
  <c r="E27" i="51"/>
  <c r="E23" i="51"/>
  <c r="E19" i="51"/>
  <c r="E17" i="51"/>
  <c r="E13" i="51"/>
  <c r="E3" i="51"/>
  <c r="E5" i="51"/>
  <c r="E30" i="51"/>
  <c r="E28" i="51"/>
  <c r="E26" i="51"/>
  <c r="E24" i="51"/>
  <c r="E22" i="51"/>
  <c r="E20" i="51"/>
  <c r="E18" i="51"/>
  <c r="E16" i="51"/>
  <c r="E12" i="51"/>
  <c r="E10" i="51"/>
  <c r="G5" i="51"/>
  <c r="G3" i="51"/>
  <c r="G10" i="51"/>
  <c r="G12" i="51"/>
  <c r="G16" i="51"/>
  <c r="G18" i="51"/>
  <c r="G20" i="51"/>
  <c r="G22" i="51"/>
  <c r="G24" i="51"/>
  <c r="G26" i="51"/>
  <c r="G28" i="51"/>
  <c r="G30" i="51"/>
  <c r="E4" i="51"/>
  <c r="E29" i="51"/>
  <c r="E25" i="51"/>
  <c r="E21" i="51"/>
  <c r="E15" i="51"/>
  <c r="G29" i="51"/>
  <c r="F33" i="51"/>
  <c r="G33" i="51" s="1"/>
  <c r="F28" i="50" l="1"/>
  <c r="K28" i="50" s="1"/>
  <c r="C35" i="53" l="1"/>
  <c r="C19" i="52"/>
  <c r="C39" i="53"/>
  <c r="M21" i="53"/>
  <c r="C6" i="53"/>
  <c r="N21" i="53"/>
  <c r="N20" i="53"/>
  <c r="G36" i="53"/>
  <c r="G30" i="53"/>
  <c r="G29" i="53"/>
  <c r="G41" i="53"/>
  <c r="G39" i="53"/>
  <c r="G35" i="53"/>
  <c r="G27" i="53"/>
  <c r="G24" i="53"/>
  <c r="G21" i="53"/>
  <c r="G19" i="53"/>
  <c r="J39" i="53"/>
  <c r="J29" i="53"/>
  <c r="J19" i="53"/>
  <c r="I22" i="53"/>
  <c r="I17" i="53"/>
  <c r="K21" i="53"/>
  <c r="K19" i="53"/>
  <c r="D9" i="49" l="1"/>
  <c r="H9" i="49" s="1"/>
  <c r="D9" i="60"/>
  <c r="F9" i="49"/>
  <c r="T9" i="49" s="1"/>
  <c r="F9" i="60"/>
  <c r="C5" i="53"/>
  <c r="R15" i="50"/>
  <c r="F9" i="53"/>
  <c r="C205" i="4"/>
  <c r="J9" i="53"/>
  <c r="J5" i="53" s="1"/>
  <c r="M18" i="52"/>
  <c r="G28" i="53"/>
  <c r="G13" i="53"/>
  <c r="G16" i="53" s="1"/>
  <c r="C62" i="4"/>
  <c r="D6" i="53"/>
  <c r="D5" i="53" s="1"/>
  <c r="F7" i="53"/>
  <c r="M7" i="53"/>
  <c r="M5" i="53" s="1"/>
  <c r="C291" i="4"/>
  <c r="K10" i="53"/>
  <c r="M14" i="52"/>
  <c r="G17" i="53"/>
  <c r="H13" i="53"/>
  <c r="H16" i="53" s="1"/>
  <c r="C90" i="4"/>
  <c r="I6" i="53"/>
  <c r="I5" i="53" s="1"/>
  <c r="J13" i="53"/>
  <c r="J16" i="53" s="1"/>
  <c r="C232" i="4"/>
  <c r="G9" i="53"/>
  <c r="G5" i="53" s="1"/>
  <c r="C116" i="4"/>
  <c r="H6" i="53"/>
  <c r="H5" i="53" s="1"/>
  <c r="C33" i="4"/>
  <c r="F41" i="53"/>
  <c r="R9" i="49" l="1"/>
  <c r="D18" i="60"/>
  <c r="J18" i="60" s="1"/>
  <c r="J288" i="4"/>
  <c r="J280" i="4"/>
  <c r="J274" i="4"/>
  <c r="J269" i="4"/>
  <c r="J286" i="4"/>
  <c r="J279" i="4"/>
  <c r="J273" i="4"/>
  <c r="J268" i="4"/>
  <c r="J266" i="4"/>
  <c r="J282" i="4"/>
  <c r="J278" i="4"/>
  <c r="J272" i="4"/>
  <c r="J267" i="4"/>
  <c r="J290" i="4"/>
  <c r="J281" i="4"/>
  <c r="J275" i="4"/>
  <c r="J270" i="4"/>
  <c r="J291" i="4"/>
  <c r="J265" i="4"/>
  <c r="J231" i="4"/>
  <c r="J223" i="4"/>
  <c r="J217" i="4"/>
  <c r="J212" i="4"/>
  <c r="J208" i="4"/>
  <c r="J229" i="4"/>
  <c r="J222" i="4"/>
  <c r="J216" i="4"/>
  <c r="J211" i="4"/>
  <c r="J227" i="4"/>
  <c r="J213" i="4"/>
  <c r="J209" i="4"/>
  <c r="J228" i="4"/>
  <c r="J221" i="4"/>
  <c r="J214" i="4"/>
  <c r="J210" i="4"/>
  <c r="J220" i="4"/>
  <c r="J232" i="4"/>
  <c r="J202" i="4"/>
  <c r="J195" i="4"/>
  <c r="J189" i="4"/>
  <c r="J184" i="4"/>
  <c r="J187" i="4"/>
  <c r="J200" i="4"/>
  <c r="J193" i="4"/>
  <c r="J186" i="4"/>
  <c r="J182" i="4"/>
  <c r="J201" i="4"/>
  <c r="J183" i="4"/>
  <c r="J204" i="4"/>
  <c r="J196" i="4"/>
  <c r="J190" i="4"/>
  <c r="J185" i="4"/>
  <c r="J181" i="4"/>
  <c r="J194" i="4"/>
  <c r="J205" i="4"/>
  <c r="J110" i="4"/>
  <c r="J105" i="4"/>
  <c r="J97" i="4"/>
  <c r="J108" i="4"/>
  <c r="J94" i="4"/>
  <c r="J107" i="4"/>
  <c r="J102" i="4"/>
  <c r="J111" i="4"/>
  <c r="J106" i="4"/>
  <c r="J98" i="4"/>
  <c r="J92" i="4"/>
  <c r="J104" i="4"/>
  <c r="J115" i="4"/>
  <c r="J93" i="4"/>
  <c r="J116" i="4"/>
  <c r="J82" i="4"/>
  <c r="J77" i="4"/>
  <c r="J73" i="4"/>
  <c r="J69" i="4"/>
  <c r="J79" i="4"/>
  <c r="J75" i="4"/>
  <c r="J67" i="4"/>
  <c r="J84" i="4"/>
  <c r="J74" i="4"/>
  <c r="J70" i="4"/>
  <c r="J89" i="4"/>
  <c r="J80" i="4"/>
  <c r="J76" i="4"/>
  <c r="J72" i="4"/>
  <c r="J68" i="4"/>
  <c r="J87" i="4"/>
  <c r="J71" i="4"/>
  <c r="J78" i="4"/>
  <c r="J90" i="4"/>
  <c r="J66" i="4"/>
  <c r="J61" i="4"/>
  <c r="J54" i="4"/>
  <c r="J49" i="4"/>
  <c r="J45" i="4"/>
  <c r="J41" i="4"/>
  <c r="J58" i="4"/>
  <c r="J47" i="4"/>
  <c r="J39" i="4"/>
  <c r="J50" i="4"/>
  <c r="J46" i="4"/>
  <c r="J38" i="4"/>
  <c r="J59" i="4"/>
  <c r="J52" i="4"/>
  <c r="J48" i="4"/>
  <c r="J44" i="4"/>
  <c r="J40" i="4"/>
  <c r="J62" i="4"/>
  <c r="J51" i="4"/>
  <c r="J43" i="4"/>
  <c r="J56" i="4"/>
  <c r="J42" i="4"/>
  <c r="J30" i="4"/>
  <c r="J11" i="4"/>
  <c r="J28" i="4"/>
  <c r="J19" i="4"/>
  <c r="J10" i="4"/>
  <c r="J27" i="4"/>
  <c r="J22" i="4"/>
  <c r="J18" i="4"/>
  <c r="J14" i="4"/>
  <c r="J32" i="4"/>
  <c r="J25" i="4"/>
  <c r="J21" i="4"/>
  <c r="J17" i="4"/>
  <c r="J13" i="4"/>
  <c r="J8" i="4"/>
  <c r="J24" i="4"/>
  <c r="J20" i="4"/>
  <c r="J16" i="4"/>
  <c r="J23" i="4"/>
  <c r="J15" i="4"/>
  <c r="J33" i="4"/>
  <c r="F5" i="53"/>
  <c r="S7" i="53"/>
  <c r="K5" i="53"/>
  <c r="S6" i="53"/>
  <c r="I9" i="49"/>
  <c r="J9" i="49"/>
  <c r="V9" i="49" s="1"/>
  <c r="D14" i="49"/>
  <c r="H14" i="49" s="1"/>
  <c r="D14" i="60"/>
  <c r="T9" i="60"/>
  <c r="I9" i="60"/>
  <c r="D15" i="49"/>
  <c r="R15" i="49" s="1"/>
  <c r="D15" i="60"/>
  <c r="D16" i="49"/>
  <c r="R16" i="49" s="1"/>
  <c r="D16" i="60"/>
  <c r="R9" i="60"/>
  <c r="J9" i="60"/>
  <c r="H9" i="60"/>
  <c r="D7" i="49"/>
  <c r="D7" i="60"/>
  <c r="D13" i="49"/>
  <c r="R13" i="49" s="1"/>
  <c r="D13" i="60"/>
  <c r="D8" i="49"/>
  <c r="R8" i="49" s="1"/>
  <c r="D8" i="60"/>
  <c r="D18" i="49"/>
  <c r="E269" i="4"/>
  <c r="E49" i="4"/>
  <c r="E213" i="4"/>
  <c r="E186" i="4"/>
  <c r="E273" i="4"/>
  <c r="E20" i="4"/>
  <c r="R14" i="50"/>
  <c r="H11" i="49"/>
  <c r="E77" i="4"/>
  <c r="E74" i="4"/>
  <c r="E30" i="4"/>
  <c r="E16" i="4"/>
  <c r="E28" i="4"/>
  <c r="R18" i="60" l="1"/>
  <c r="H18" i="60"/>
  <c r="R14" i="49"/>
  <c r="R7" i="49"/>
  <c r="K9" i="49"/>
  <c r="D10" i="49"/>
  <c r="R10" i="49" s="1"/>
  <c r="R13" i="60"/>
  <c r="H13" i="60"/>
  <c r="D10" i="60"/>
  <c r="R16" i="60"/>
  <c r="H16" i="60"/>
  <c r="R8" i="60"/>
  <c r="H8" i="60"/>
  <c r="V18" i="60"/>
  <c r="K18" i="60"/>
  <c r="R7" i="60"/>
  <c r="H7" i="60"/>
  <c r="V9" i="60"/>
  <c r="K9" i="60"/>
  <c r="R15" i="60"/>
  <c r="H15" i="60"/>
  <c r="R14" i="60"/>
  <c r="H14" i="60"/>
  <c r="R18" i="49"/>
  <c r="W7" i="53"/>
  <c r="AQ7" i="53" s="1"/>
  <c r="W6" i="53"/>
  <c r="M7" i="52"/>
  <c r="M3" i="52" s="1"/>
  <c r="D24" i="50"/>
  <c r="F406" i="4"/>
  <c r="G406" i="4" s="1"/>
  <c r="B14" i="26" l="1"/>
  <c r="AQ6" i="53"/>
  <c r="R10" i="60"/>
  <c r="H10" i="60"/>
  <c r="AA7" i="53"/>
  <c r="AB7" i="53" s="1"/>
  <c r="AC7" i="53" s="1"/>
  <c r="AD7" i="53" s="1"/>
  <c r="AE7" i="53" s="1"/>
  <c r="AF7" i="53" s="1"/>
  <c r="AG7" i="53" s="1"/>
  <c r="AH7" i="53" s="1"/>
  <c r="AI7" i="53" s="1"/>
  <c r="AJ7" i="53" s="1"/>
  <c r="AK7" i="53" s="1"/>
  <c r="AL7" i="53" s="1"/>
  <c r="AM7" i="53" s="1"/>
  <c r="B15" i="26"/>
  <c r="AA6" i="53"/>
  <c r="AB6" i="53" s="1"/>
  <c r="G24" i="50"/>
  <c r="H24" i="50" s="1"/>
  <c r="AN7" i="53" l="1"/>
  <c r="AC6" i="53"/>
  <c r="F24" i="50"/>
  <c r="K24" i="50" s="1"/>
  <c r="AD6" i="53" l="1"/>
  <c r="L24" i="50"/>
  <c r="AE6" i="53" l="1"/>
  <c r="D34" i="53"/>
  <c r="D20" i="53"/>
  <c r="L41" i="53"/>
  <c r="L39" i="53"/>
  <c r="L36" i="53"/>
  <c r="L32" i="53"/>
  <c r="L29" i="53"/>
  <c r="L28" i="53"/>
  <c r="L24" i="53"/>
  <c r="L21" i="53"/>
  <c r="AF6" i="53" l="1"/>
  <c r="L19" i="53"/>
  <c r="J14" i="52"/>
  <c r="L17" i="53"/>
  <c r="J15" i="52"/>
  <c r="L10" i="53"/>
  <c r="S10" i="53" s="1"/>
  <c r="P32" i="53"/>
  <c r="P30" i="53"/>
  <c r="O34" i="53"/>
  <c r="O29" i="53"/>
  <c r="O28" i="53"/>
  <c r="O13" i="53"/>
  <c r="O41" i="53"/>
  <c r="N13" i="53"/>
  <c r="N16" i="53" s="1"/>
  <c r="K30" i="53"/>
  <c r="F24" i="53"/>
  <c r="F23" i="53"/>
  <c r="W15" i="53" l="1"/>
  <c r="B29" i="26"/>
  <c r="W10" i="53"/>
  <c r="L5" i="53"/>
  <c r="O43" i="53"/>
  <c r="AG6" i="53"/>
  <c r="O16" i="53"/>
  <c r="K13" i="53"/>
  <c r="M13" i="53"/>
  <c r="M16" i="53" s="1"/>
  <c r="L13" i="53"/>
  <c r="L16" i="53" s="1"/>
  <c r="I13" i="53"/>
  <c r="I16" i="53" s="1"/>
  <c r="D13" i="53"/>
  <c r="K23" i="53"/>
  <c r="C319" i="4"/>
  <c r="M30" i="53"/>
  <c r="M23" i="53"/>
  <c r="H30" i="53"/>
  <c r="H21" i="53"/>
  <c r="I39" i="53"/>
  <c r="I32" i="53"/>
  <c r="I28" i="53"/>
  <c r="D24" i="53"/>
  <c r="D23" i="53"/>
  <c r="C32" i="53"/>
  <c r="C30" i="53"/>
  <c r="C23" i="53"/>
  <c r="L30" i="53"/>
  <c r="L23" i="53"/>
  <c r="K41" i="53"/>
  <c r="B49" i="26"/>
  <c r="K32" i="53"/>
  <c r="K29" i="53"/>
  <c r="K28" i="53"/>
  <c r="K27" i="53"/>
  <c r="K24" i="53"/>
  <c r="K17" i="53"/>
  <c r="N32" i="53"/>
  <c r="N29" i="53"/>
  <c r="N25" i="53"/>
  <c r="J35" i="53"/>
  <c r="J36" i="53"/>
  <c r="J30" i="53"/>
  <c r="J27" i="53"/>
  <c r="J24" i="53"/>
  <c r="J23" i="53"/>
  <c r="J17" i="53"/>
  <c r="P36" i="53"/>
  <c r="P24" i="53"/>
  <c r="F36" i="53"/>
  <c r="F34" i="53"/>
  <c r="F32" i="53"/>
  <c r="F30" i="53"/>
  <c r="F29" i="53"/>
  <c r="F28" i="53"/>
  <c r="F27" i="53"/>
  <c r="F22" i="53"/>
  <c r="F21" i="53"/>
  <c r="F20" i="53"/>
  <c r="F19" i="53"/>
  <c r="D178" i="4"/>
  <c r="F11" i="60" s="1"/>
  <c r="M41" i="53"/>
  <c r="M39" i="53"/>
  <c r="M36" i="53"/>
  <c r="M34" i="53"/>
  <c r="M32" i="53"/>
  <c r="M29" i="53"/>
  <c r="M27" i="53"/>
  <c r="M24" i="53"/>
  <c r="M22" i="53"/>
  <c r="M20" i="53"/>
  <c r="H41" i="53"/>
  <c r="H35" i="53"/>
  <c r="S35" i="53" s="1"/>
  <c r="H32" i="53"/>
  <c r="H29" i="53"/>
  <c r="H28" i="53"/>
  <c r="H27" i="53"/>
  <c r="H25" i="53"/>
  <c r="I41" i="53"/>
  <c r="I34" i="53"/>
  <c r="I29" i="53"/>
  <c r="I27" i="53"/>
  <c r="I25" i="53"/>
  <c r="I21" i="53"/>
  <c r="I20" i="53"/>
  <c r="D41" i="53"/>
  <c r="D36" i="53"/>
  <c r="D32" i="53"/>
  <c r="D29" i="53"/>
  <c r="D28" i="53"/>
  <c r="D27" i="53"/>
  <c r="D25" i="53"/>
  <c r="D21" i="53"/>
  <c r="D19" i="53"/>
  <c r="D17" i="53"/>
  <c r="C41" i="53"/>
  <c r="C34" i="53"/>
  <c r="C29" i="53"/>
  <c r="C28" i="53"/>
  <c r="C27" i="53"/>
  <c r="C25" i="53"/>
  <c r="C24" i="53"/>
  <c r="C20" i="53"/>
  <c r="C19" i="53"/>
  <c r="N9" i="53"/>
  <c r="S13" i="53" l="1"/>
  <c r="S20" i="53"/>
  <c r="J316" i="4"/>
  <c r="J309" i="4"/>
  <c r="J303" i="4"/>
  <c r="J298" i="4"/>
  <c r="J318" i="4"/>
  <c r="J299" i="4"/>
  <c r="J315" i="4"/>
  <c r="J308" i="4"/>
  <c r="J302" i="4"/>
  <c r="J297" i="4"/>
  <c r="J310" i="4"/>
  <c r="J311" i="4"/>
  <c r="J306" i="4"/>
  <c r="J301" i="4"/>
  <c r="J296" i="4"/>
  <c r="J304" i="4"/>
  <c r="J319" i="4"/>
  <c r="J295" i="4"/>
  <c r="S32" i="53"/>
  <c r="B45" i="26" s="1"/>
  <c r="S24" i="53"/>
  <c r="B39" i="26" s="1"/>
  <c r="S29" i="53"/>
  <c r="B43" i="26" s="1"/>
  <c r="S36" i="53"/>
  <c r="B48" i="26" s="1"/>
  <c r="S25" i="53"/>
  <c r="B40" i="26" s="1"/>
  <c r="S22" i="53"/>
  <c r="S30" i="53"/>
  <c r="B44" i="26" s="1"/>
  <c r="B18" i="26"/>
  <c r="AQ10" i="53"/>
  <c r="AA15" i="53"/>
  <c r="AB15" i="53" s="1"/>
  <c r="AC15" i="53" s="1"/>
  <c r="AD15" i="53" s="1"/>
  <c r="AE15" i="53" s="1"/>
  <c r="AF15" i="53" s="1"/>
  <c r="AG15" i="53" s="1"/>
  <c r="AH15" i="53" s="1"/>
  <c r="AI15" i="53" s="1"/>
  <c r="AJ15" i="53" s="1"/>
  <c r="AK15" i="53" s="1"/>
  <c r="AL15" i="53" s="1"/>
  <c r="AM15" i="53" s="1"/>
  <c r="AQ15" i="53"/>
  <c r="F29" i="49"/>
  <c r="T29" i="49" s="1"/>
  <c r="F30" i="60"/>
  <c r="O12" i="53"/>
  <c r="I11" i="60"/>
  <c r="T11" i="60"/>
  <c r="J11" i="60"/>
  <c r="D19" i="49"/>
  <c r="R19" i="49" s="1"/>
  <c r="D19" i="60"/>
  <c r="D16" i="53"/>
  <c r="B27" i="26"/>
  <c r="F11" i="49"/>
  <c r="J11" i="49" s="1"/>
  <c r="AA38" i="53"/>
  <c r="AB38" i="53" s="1"/>
  <c r="AC38" i="53" s="1"/>
  <c r="AD38" i="53" s="1"/>
  <c r="AE38" i="53" s="1"/>
  <c r="AF38" i="53" s="1"/>
  <c r="AG38" i="53" s="1"/>
  <c r="AH38" i="53" s="1"/>
  <c r="AI38" i="53" s="1"/>
  <c r="AJ38" i="53" s="1"/>
  <c r="AK38" i="53" s="1"/>
  <c r="AL38" i="53" s="1"/>
  <c r="AM38" i="53" s="1"/>
  <c r="W37" i="53"/>
  <c r="AQ37" i="53" s="1"/>
  <c r="F43" i="53"/>
  <c r="E302" i="4"/>
  <c r="AH6" i="53"/>
  <c r="L43" i="53"/>
  <c r="L44" i="53" s="1"/>
  <c r="I43" i="53"/>
  <c r="I44" i="53" s="1"/>
  <c r="P43" i="53"/>
  <c r="P12" i="53" s="1"/>
  <c r="K43" i="53"/>
  <c r="U43" i="53"/>
  <c r="K16" i="53"/>
  <c r="AA33" i="53"/>
  <c r="AB33" i="53" s="1"/>
  <c r="B35" i="26"/>
  <c r="D33" i="4"/>
  <c r="W14" i="53"/>
  <c r="F16" i="53"/>
  <c r="H12" i="49"/>
  <c r="J21" i="53"/>
  <c r="C21" i="53"/>
  <c r="N27" i="53"/>
  <c r="N41" i="53"/>
  <c r="K18" i="52"/>
  <c r="J28" i="53"/>
  <c r="H14" i="52"/>
  <c r="N17" i="53"/>
  <c r="S17" i="53" s="1"/>
  <c r="N8" i="53"/>
  <c r="E19" i="52"/>
  <c r="D39" i="53"/>
  <c r="S39" i="53" s="1"/>
  <c r="F18" i="52"/>
  <c r="M28" i="53"/>
  <c r="H17" i="52"/>
  <c r="G17" i="49"/>
  <c r="G22" i="49" s="1"/>
  <c r="D17" i="52"/>
  <c r="H34" i="53"/>
  <c r="H43" i="53" s="1"/>
  <c r="J41" i="53"/>
  <c r="Q9" i="53"/>
  <c r="F15" i="52"/>
  <c r="M19" i="53"/>
  <c r="M43" i="53" s="1"/>
  <c r="M44" i="53" s="1"/>
  <c r="D232" i="4"/>
  <c r="G23" i="53"/>
  <c r="G43" i="53" s="1"/>
  <c r="H15" i="52"/>
  <c r="N19" i="53"/>
  <c r="H16" i="52"/>
  <c r="G20" i="50"/>
  <c r="D205" i="4"/>
  <c r="D30" i="60"/>
  <c r="G22" i="50"/>
  <c r="G23" i="50"/>
  <c r="F29" i="50"/>
  <c r="K29" i="50" s="1"/>
  <c r="D319" i="4"/>
  <c r="D116" i="4"/>
  <c r="C260" i="4"/>
  <c r="D260" i="4"/>
  <c r="D18" i="50"/>
  <c r="H18" i="50" s="1"/>
  <c r="E209" i="4"/>
  <c r="E212" i="4"/>
  <c r="E216" i="4"/>
  <c r="E220" i="4"/>
  <c r="E222" i="4"/>
  <c r="E228" i="4"/>
  <c r="E229" i="4"/>
  <c r="D14" i="25"/>
  <c r="E211" i="4"/>
  <c r="E210" i="4"/>
  <c r="E214" i="4"/>
  <c r="E217" i="4"/>
  <c r="E221" i="4"/>
  <c r="E223" i="4"/>
  <c r="E227" i="4"/>
  <c r="E231" i="4"/>
  <c r="E208" i="4"/>
  <c r="F12" i="36"/>
  <c r="G12" i="36" s="1"/>
  <c r="H12" i="36" s="1"/>
  <c r="I12" i="36" s="1"/>
  <c r="F11" i="36"/>
  <c r="G11" i="36" s="1"/>
  <c r="H11" i="36" s="1"/>
  <c r="I11" i="36" s="1"/>
  <c r="M4" i="36"/>
  <c r="L4" i="36"/>
  <c r="K4" i="36"/>
  <c r="J4" i="36"/>
  <c r="M3" i="36"/>
  <c r="L3" i="36"/>
  <c r="K3" i="36"/>
  <c r="J3" i="36"/>
  <c r="S3" i="39"/>
  <c r="S5" i="39" s="1"/>
  <c r="T3" i="40"/>
  <c r="T5" i="40" s="1"/>
  <c r="S3" i="40"/>
  <c r="S5" i="47"/>
  <c r="T5" i="47"/>
  <c r="T5" i="39"/>
  <c r="U4" i="39"/>
  <c r="U3" i="47"/>
  <c r="T4" i="48"/>
  <c r="S4" i="48"/>
  <c r="T3" i="48"/>
  <c r="S3" i="48"/>
  <c r="J254" i="4" l="1"/>
  <c r="J246" i="4"/>
  <c r="J239" i="4"/>
  <c r="J252" i="4"/>
  <c r="J242" i="4"/>
  <c r="J238" i="4"/>
  <c r="J248" i="4"/>
  <c r="J240" i="4"/>
  <c r="J236" i="4"/>
  <c r="J250" i="4"/>
  <c r="J241" i="4"/>
  <c r="J237" i="4"/>
  <c r="J259" i="4"/>
  <c r="J260" i="4"/>
  <c r="AN15" i="53"/>
  <c r="S19" i="53"/>
  <c r="S41" i="53"/>
  <c r="S28" i="53"/>
  <c r="S34" i="53"/>
  <c r="C43" i="53"/>
  <c r="S21" i="53"/>
  <c r="B36" i="26" s="1"/>
  <c r="N5" i="53"/>
  <c r="S8" i="53"/>
  <c r="S23" i="53"/>
  <c r="B38" i="26" s="1"/>
  <c r="Q5" i="53"/>
  <c r="S16" i="53"/>
  <c r="S27" i="53"/>
  <c r="B41" i="26" s="1"/>
  <c r="U44" i="53"/>
  <c r="U48" i="53" s="1"/>
  <c r="AA14" i="53"/>
  <c r="AB14" i="53" s="1"/>
  <c r="AQ14" i="53"/>
  <c r="K12" i="53"/>
  <c r="D17" i="49"/>
  <c r="D22" i="49" s="1"/>
  <c r="F12" i="53"/>
  <c r="T11" i="49"/>
  <c r="W13" i="53"/>
  <c r="F19" i="49"/>
  <c r="T19" i="49" s="1"/>
  <c r="F19" i="60"/>
  <c r="J19" i="60" s="1"/>
  <c r="R30" i="60"/>
  <c r="J30" i="60"/>
  <c r="F21" i="49"/>
  <c r="T21" i="49" s="1"/>
  <c r="F21" i="60"/>
  <c r="F14" i="49"/>
  <c r="T14" i="49" s="1"/>
  <c r="F14" i="60"/>
  <c r="V11" i="60"/>
  <c r="K11" i="60"/>
  <c r="D21" i="49"/>
  <c r="D21" i="60"/>
  <c r="F7" i="49"/>
  <c r="F7" i="60"/>
  <c r="I30" i="60"/>
  <c r="T30" i="60"/>
  <c r="F15" i="49"/>
  <c r="T15" i="49" s="1"/>
  <c r="F15" i="60"/>
  <c r="F13" i="49"/>
  <c r="F10" i="49" s="1"/>
  <c r="T10" i="49" s="1"/>
  <c r="F13" i="60"/>
  <c r="R19" i="60"/>
  <c r="H19" i="60"/>
  <c r="D17" i="60"/>
  <c r="J29" i="49"/>
  <c r="Y21" i="49" s="1"/>
  <c r="W35" i="53"/>
  <c r="B47" i="26"/>
  <c r="W39" i="53"/>
  <c r="B51" i="26"/>
  <c r="I11" i="49"/>
  <c r="C12" i="53"/>
  <c r="M12" i="53"/>
  <c r="G44" i="53"/>
  <c r="G12" i="53"/>
  <c r="H44" i="53"/>
  <c r="H12" i="53"/>
  <c r="U12" i="53"/>
  <c r="L12" i="53"/>
  <c r="I12" i="53"/>
  <c r="K11" i="49"/>
  <c r="V11" i="49"/>
  <c r="K44" i="53"/>
  <c r="P44" i="53"/>
  <c r="P48" i="53" s="1"/>
  <c r="F44" i="53"/>
  <c r="AC33" i="53"/>
  <c r="AD33" i="53" s="1"/>
  <c r="AE33" i="53" s="1"/>
  <c r="AF33" i="53" s="1"/>
  <c r="AG33" i="53" s="1"/>
  <c r="AH33" i="53" s="1"/>
  <c r="AI33" i="53" s="1"/>
  <c r="AJ33" i="53" s="1"/>
  <c r="AK33" i="53" s="1"/>
  <c r="AL33" i="53" s="1"/>
  <c r="AM33" i="53" s="1"/>
  <c r="AN38" i="53"/>
  <c r="AC14" i="53"/>
  <c r="AD14" i="53" s="1"/>
  <c r="AE14" i="53" s="1"/>
  <c r="AF14" i="53" s="1"/>
  <c r="AG14" i="53" s="1"/>
  <c r="AH14" i="53" s="1"/>
  <c r="AI14" i="53" s="1"/>
  <c r="AJ14" i="53" s="1"/>
  <c r="AK14" i="53" s="1"/>
  <c r="AL14" i="53" s="1"/>
  <c r="AM14" i="53" s="1"/>
  <c r="AI6" i="53"/>
  <c r="W30" i="53"/>
  <c r="AA37" i="53"/>
  <c r="AB37" i="53" s="1"/>
  <c r="J43" i="53"/>
  <c r="W24" i="53"/>
  <c r="W25" i="53"/>
  <c r="N43" i="53"/>
  <c r="N12" i="53" s="1"/>
  <c r="D43" i="53"/>
  <c r="D44" i="53" s="1"/>
  <c r="B42" i="26"/>
  <c r="E468" i="4"/>
  <c r="W36" i="53"/>
  <c r="AQ36" i="53" s="1"/>
  <c r="W32" i="53"/>
  <c r="AQ32" i="53" s="1"/>
  <c r="W29" i="53"/>
  <c r="AQ29" i="53" s="1"/>
  <c r="W20" i="53"/>
  <c r="B32" i="26"/>
  <c r="F232" i="4"/>
  <c r="G232" i="4" s="1"/>
  <c r="E463" i="4"/>
  <c r="E464" i="4"/>
  <c r="E457" i="4"/>
  <c r="E443" i="4"/>
  <c r="B34" i="26"/>
  <c r="R18" i="50"/>
  <c r="H13" i="49"/>
  <c r="H6" i="52"/>
  <c r="H7" i="52"/>
  <c r="M15" i="52"/>
  <c r="T5" i="48"/>
  <c r="G21" i="50"/>
  <c r="G30" i="50" s="1"/>
  <c r="R3" i="36"/>
  <c r="J11" i="36"/>
  <c r="K11" i="36" s="1"/>
  <c r="L11" i="36" s="1"/>
  <c r="M11" i="36" s="1"/>
  <c r="J12" i="36"/>
  <c r="K12" i="36" s="1"/>
  <c r="L12" i="36" s="1"/>
  <c r="M12" i="36" s="1"/>
  <c r="E252" i="4"/>
  <c r="E248" i="4"/>
  <c r="E240" i="4"/>
  <c r="E239" i="4"/>
  <c r="E237" i="4"/>
  <c r="E242" i="4"/>
  <c r="E238" i="4"/>
  <c r="E250" i="4"/>
  <c r="E246" i="4"/>
  <c r="E241" i="4"/>
  <c r="E14" i="25"/>
  <c r="F14" i="25" s="1"/>
  <c r="E232" i="4"/>
  <c r="E254" i="4"/>
  <c r="E260" i="4"/>
  <c r="S5" i="48"/>
  <c r="E259" i="4"/>
  <c r="E236" i="4"/>
  <c r="F260" i="4"/>
  <c r="G260" i="4" s="1"/>
  <c r="U3" i="39"/>
  <c r="S5" i="40"/>
  <c r="R4" i="48"/>
  <c r="R3" i="48"/>
  <c r="R4" i="40"/>
  <c r="R5" i="40" s="1"/>
  <c r="R5" i="39"/>
  <c r="R4" i="47"/>
  <c r="R5" i="47" s="1"/>
  <c r="G28" i="49" l="1"/>
  <c r="D23" i="60"/>
  <c r="E22" i="60" s="1"/>
  <c r="T7" i="49"/>
  <c r="S43" i="53"/>
  <c r="W27" i="53"/>
  <c r="AA27" i="53" s="1"/>
  <c r="AB27" i="53" s="1"/>
  <c r="AC27" i="53" s="1"/>
  <c r="AD27" i="53" s="1"/>
  <c r="AE27" i="53" s="1"/>
  <c r="AF27" i="53" s="1"/>
  <c r="AG27" i="53" s="1"/>
  <c r="AH27" i="53" s="1"/>
  <c r="AI27" i="53" s="1"/>
  <c r="AJ27" i="53" s="1"/>
  <c r="AK27" i="53" s="1"/>
  <c r="AL27" i="53" s="1"/>
  <c r="AM27" i="53" s="1"/>
  <c r="R29" i="49"/>
  <c r="I21" i="49"/>
  <c r="AA35" i="53"/>
  <c r="AB35" i="53" s="1"/>
  <c r="AC35" i="53" s="1"/>
  <c r="AD35" i="53" s="1"/>
  <c r="AE35" i="53" s="1"/>
  <c r="AF35" i="53" s="1"/>
  <c r="AG35" i="53" s="1"/>
  <c r="AH35" i="53" s="1"/>
  <c r="AI35" i="53" s="1"/>
  <c r="AJ35" i="53" s="1"/>
  <c r="AK35" i="53" s="1"/>
  <c r="AL35" i="53" s="1"/>
  <c r="AM35" i="53" s="1"/>
  <c r="AQ35" i="53"/>
  <c r="AA13" i="53"/>
  <c r="AB13" i="53" s="1"/>
  <c r="AB16" i="53" s="1"/>
  <c r="AQ13" i="53"/>
  <c r="AA20" i="53"/>
  <c r="AB20" i="53" s="1"/>
  <c r="AC20" i="53" s="1"/>
  <c r="AD20" i="53" s="1"/>
  <c r="AE20" i="53" s="1"/>
  <c r="AF20" i="53" s="1"/>
  <c r="AG20" i="53" s="1"/>
  <c r="AH20" i="53" s="1"/>
  <c r="AI20" i="53" s="1"/>
  <c r="AJ20" i="53" s="1"/>
  <c r="AK20" i="53" s="1"/>
  <c r="AL20" i="53" s="1"/>
  <c r="AM20" i="53" s="1"/>
  <c r="AQ20" i="53"/>
  <c r="AA25" i="53"/>
  <c r="AB25" i="53" s="1"/>
  <c r="AC25" i="53" s="1"/>
  <c r="AD25" i="53" s="1"/>
  <c r="AE25" i="53" s="1"/>
  <c r="AF25" i="53" s="1"/>
  <c r="AG25" i="53" s="1"/>
  <c r="AH25" i="53" s="1"/>
  <c r="AI25" i="53" s="1"/>
  <c r="AJ25" i="53" s="1"/>
  <c r="AK25" i="53" s="1"/>
  <c r="AL25" i="53" s="1"/>
  <c r="AM25" i="53" s="1"/>
  <c r="AQ25" i="53"/>
  <c r="AA39" i="53"/>
  <c r="AB39" i="53" s="1"/>
  <c r="AC39" i="53" s="1"/>
  <c r="AD39" i="53" s="1"/>
  <c r="AE39" i="53" s="1"/>
  <c r="AF39" i="53" s="1"/>
  <c r="AG39" i="53" s="1"/>
  <c r="AH39" i="53" s="1"/>
  <c r="AI39" i="53" s="1"/>
  <c r="AJ39" i="53" s="1"/>
  <c r="AK39" i="53" s="1"/>
  <c r="AL39" i="53" s="1"/>
  <c r="AM39" i="53" s="1"/>
  <c r="AQ39" i="53"/>
  <c r="AA24" i="53"/>
  <c r="AB24" i="53" s="1"/>
  <c r="AC24" i="53" s="1"/>
  <c r="AD24" i="53" s="1"/>
  <c r="AE24" i="53" s="1"/>
  <c r="AF24" i="53" s="1"/>
  <c r="AG24" i="53" s="1"/>
  <c r="AH24" i="53" s="1"/>
  <c r="AI24" i="53" s="1"/>
  <c r="AJ24" i="53" s="1"/>
  <c r="AK24" i="53" s="1"/>
  <c r="AL24" i="53" s="1"/>
  <c r="AM24" i="53" s="1"/>
  <c r="AQ24" i="53"/>
  <c r="AA30" i="53"/>
  <c r="AB30" i="53" s="1"/>
  <c r="AC30" i="53" s="1"/>
  <c r="AD30" i="53" s="1"/>
  <c r="AE30" i="53" s="1"/>
  <c r="AF30" i="53" s="1"/>
  <c r="AG30" i="53" s="1"/>
  <c r="AH30" i="53" s="1"/>
  <c r="AI30" i="53" s="1"/>
  <c r="AJ30" i="53" s="1"/>
  <c r="AK30" i="53" s="1"/>
  <c r="AL30" i="53" s="1"/>
  <c r="AM30" i="53" s="1"/>
  <c r="AQ30" i="53"/>
  <c r="V29" i="49"/>
  <c r="I14" i="49"/>
  <c r="H21" i="49"/>
  <c r="R20" i="50"/>
  <c r="R21" i="49"/>
  <c r="J21" i="49"/>
  <c r="K21" i="49" s="1"/>
  <c r="J14" i="49"/>
  <c r="K14" i="49" s="1"/>
  <c r="T13" i="49"/>
  <c r="Y13" i="53"/>
  <c r="W16" i="53"/>
  <c r="R17" i="60"/>
  <c r="H17" i="60"/>
  <c r="I7" i="60"/>
  <c r="T7" i="60"/>
  <c r="J7" i="60"/>
  <c r="Y21" i="60"/>
  <c r="V30" i="60"/>
  <c r="T13" i="60"/>
  <c r="I13" i="60"/>
  <c r="I10" i="60" s="1"/>
  <c r="J13" i="60"/>
  <c r="F10" i="60"/>
  <c r="T21" i="60"/>
  <c r="I21" i="60"/>
  <c r="R21" i="60"/>
  <c r="J21" i="60"/>
  <c r="H21" i="60"/>
  <c r="T19" i="60"/>
  <c r="I19" i="60"/>
  <c r="I17" i="60" s="1"/>
  <c r="F17" i="60"/>
  <c r="V19" i="60"/>
  <c r="K19" i="60"/>
  <c r="J17" i="60"/>
  <c r="T15" i="60"/>
  <c r="I15" i="60"/>
  <c r="J15" i="60"/>
  <c r="T14" i="60"/>
  <c r="I14" i="60"/>
  <c r="J14" i="60"/>
  <c r="W41" i="53"/>
  <c r="AQ41" i="53" s="1"/>
  <c r="B52" i="26"/>
  <c r="W34" i="53"/>
  <c r="AQ34" i="53" s="1"/>
  <c r="B46" i="26"/>
  <c r="J44" i="53"/>
  <c r="J12" i="53"/>
  <c r="D12" i="53"/>
  <c r="Q44" i="53"/>
  <c r="Q48" i="53" s="1"/>
  <c r="N44" i="53"/>
  <c r="F17" i="49"/>
  <c r="T17" i="49" s="1"/>
  <c r="AN33" i="53"/>
  <c r="AC37" i="53"/>
  <c r="AD37" i="53" s="1"/>
  <c r="AE37" i="53" s="1"/>
  <c r="AF37" i="53" s="1"/>
  <c r="AG37" i="53" s="1"/>
  <c r="AH37" i="53" s="1"/>
  <c r="AI37" i="53" s="1"/>
  <c r="AJ37" i="53" s="1"/>
  <c r="AK37" i="53" s="1"/>
  <c r="AL37" i="53" s="1"/>
  <c r="AM37" i="53" s="1"/>
  <c r="AN14" i="53"/>
  <c r="Y36" i="53"/>
  <c r="AA36" i="53"/>
  <c r="AB36" i="53" s="1"/>
  <c r="Y32" i="53"/>
  <c r="AA32" i="53"/>
  <c r="AB32" i="53" s="1"/>
  <c r="Y29" i="53"/>
  <c r="AA29" i="53"/>
  <c r="AB29" i="53" s="1"/>
  <c r="AJ6" i="53"/>
  <c r="W19" i="53"/>
  <c r="W21" i="53"/>
  <c r="AQ21" i="53" s="1"/>
  <c r="W28" i="53"/>
  <c r="AQ28" i="53" s="1"/>
  <c r="W8" i="53"/>
  <c r="W17" i="53"/>
  <c r="W23" i="53"/>
  <c r="D20" i="50"/>
  <c r="H3" i="52"/>
  <c r="J21" i="52"/>
  <c r="K21" i="52"/>
  <c r="F20" i="50"/>
  <c r="K20" i="50" s="1"/>
  <c r="H21" i="52"/>
  <c r="M21" i="52"/>
  <c r="F18" i="50"/>
  <c r="K18" i="50" s="1"/>
  <c r="J13" i="49"/>
  <c r="I13" i="49"/>
  <c r="I10" i="49" s="1"/>
  <c r="R5" i="48"/>
  <c r="Q4" i="48"/>
  <c r="Q3" i="48"/>
  <c r="Q4" i="47"/>
  <c r="Q5" i="47" s="1"/>
  <c r="Q4" i="40"/>
  <c r="Q5" i="40" s="1"/>
  <c r="Q5" i="39"/>
  <c r="M8" i="60" l="1"/>
  <c r="M7" i="60"/>
  <c r="E17" i="60"/>
  <c r="AQ27" i="53"/>
  <c r="E19" i="49"/>
  <c r="M19" i="49" s="1"/>
  <c r="O19" i="49" s="1"/>
  <c r="P19" i="49" s="1"/>
  <c r="E16" i="49"/>
  <c r="E9" i="49"/>
  <c r="N9" i="49" s="1"/>
  <c r="H22" i="49"/>
  <c r="E21" i="49"/>
  <c r="N21" i="49" s="1"/>
  <c r="E11" i="49"/>
  <c r="E7" i="49"/>
  <c r="N7" i="49" s="1"/>
  <c r="M22" i="60"/>
  <c r="O22" i="60" s="1"/>
  <c r="P22" i="60" s="1"/>
  <c r="E8" i="49"/>
  <c r="N8" i="49" s="1"/>
  <c r="E15" i="49"/>
  <c r="E10" i="49"/>
  <c r="E14" i="49"/>
  <c r="N14" i="49" s="1"/>
  <c r="E20" i="49"/>
  <c r="N20" i="49" s="1"/>
  <c r="E17" i="49"/>
  <c r="N17" i="49" s="1"/>
  <c r="M17" i="49" s="1"/>
  <c r="E18" i="49"/>
  <c r="M18" i="49" s="1"/>
  <c r="O18" i="49" s="1"/>
  <c r="P18" i="49" s="1"/>
  <c r="E13" i="49"/>
  <c r="E12" i="49"/>
  <c r="V14" i="49"/>
  <c r="AN39" i="53"/>
  <c r="AC13" i="53"/>
  <c r="AD13" i="53" s="1"/>
  <c r="AD16" i="53" s="1"/>
  <c r="AA23" i="53"/>
  <c r="AB23" i="53" s="1"/>
  <c r="AC23" i="53" s="1"/>
  <c r="AD23" i="53" s="1"/>
  <c r="AE23" i="53" s="1"/>
  <c r="AF23" i="53" s="1"/>
  <c r="AG23" i="53" s="1"/>
  <c r="AH23" i="53" s="1"/>
  <c r="AI23" i="53" s="1"/>
  <c r="AJ23" i="53" s="1"/>
  <c r="AK23" i="53" s="1"/>
  <c r="AL23" i="53" s="1"/>
  <c r="AM23" i="53" s="1"/>
  <c r="AQ23" i="53"/>
  <c r="AA17" i="53"/>
  <c r="AB17" i="53" s="1"/>
  <c r="AC17" i="53" s="1"/>
  <c r="AQ17" i="53"/>
  <c r="AA19" i="53"/>
  <c r="AB19" i="53" s="1"/>
  <c r="AC19" i="53" s="1"/>
  <c r="AD19" i="53" s="1"/>
  <c r="AE19" i="53" s="1"/>
  <c r="AF19" i="53" s="1"/>
  <c r="AG19" i="53" s="1"/>
  <c r="AH19" i="53" s="1"/>
  <c r="AI19" i="53" s="1"/>
  <c r="AJ19" i="53" s="1"/>
  <c r="AK19" i="53" s="1"/>
  <c r="AL19" i="53" s="1"/>
  <c r="AM19" i="53" s="1"/>
  <c r="AQ19" i="53"/>
  <c r="Y16" i="53"/>
  <c r="AQ16" i="53"/>
  <c r="B17" i="26"/>
  <c r="AQ8" i="53"/>
  <c r="S20" i="50"/>
  <c r="AA16" i="53"/>
  <c r="V21" i="49"/>
  <c r="E21" i="60"/>
  <c r="M21" i="60" s="1"/>
  <c r="O21" i="60" s="1"/>
  <c r="P21" i="60" s="1"/>
  <c r="V14" i="60"/>
  <c r="K14" i="60"/>
  <c r="V21" i="60"/>
  <c r="K21" i="60"/>
  <c r="T10" i="60"/>
  <c r="V13" i="60"/>
  <c r="K13" i="60"/>
  <c r="J10" i="60"/>
  <c r="K17" i="60"/>
  <c r="V17" i="60"/>
  <c r="K15" i="60"/>
  <c r="V15" i="60"/>
  <c r="T17" i="60"/>
  <c r="K7" i="60"/>
  <c r="V7" i="60"/>
  <c r="E12" i="60"/>
  <c r="E11" i="60"/>
  <c r="E20" i="60"/>
  <c r="M20" i="60" s="1"/>
  <c r="E9" i="60"/>
  <c r="M9" i="60" s="1"/>
  <c r="O9" i="60" s="1"/>
  <c r="P9" i="60" s="1"/>
  <c r="E18" i="60"/>
  <c r="E15" i="60"/>
  <c r="M15" i="60" s="1"/>
  <c r="O15" i="60" s="1"/>
  <c r="P15" i="60" s="1"/>
  <c r="E14" i="60"/>
  <c r="M14" i="60" s="1"/>
  <c r="O14" i="60" s="1"/>
  <c r="P14" i="60" s="1"/>
  <c r="E7" i="60"/>
  <c r="E13" i="60"/>
  <c r="E16" i="60"/>
  <c r="M16" i="60" s="1"/>
  <c r="E8" i="60"/>
  <c r="E10" i="60"/>
  <c r="M10" i="60" s="1"/>
  <c r="O10" i="60" s="1"/>
  <c r="P10" i="60" s="1"/>
  <c r="E19" i="60"/>
  <c r="AA8" i="53"/>
  <c r="AB8" i="53" s="1"/>
  <c r="AC8" i="53" s="1"/>
  <c r="AD8" i="53" s="1"/>
  <c r="AE8" i="53" s="1"/>
  <c r="AF8" i="53" s="1"/>
  <c r="AG8" i="53" s="1"/>
  <c r="AH8" i="53" s="1"/>
  <c r="AI8" i="53" s="1"/>
  <c r="AJ8" i="53" s="1"/>
  <c r="AK8" i="53" s="1"/>
  <c r="AL8" i="53" s="1"/>
  <c r="AM8" i="53" s="1"/>
  <c r="K13" i="49"/>
  <c r="V13" i="49"/>
  <c r="J10" i="49"/>
  <c r="AN27" i="53"/>
  <c r="AN30" i="53"/>
  <c r="AN35" i="53"/>
  <c r="AN37" i="53"/>
  <c r="Y41" i="53"/>
  <c r="AA41" i="53"/>
  <c r="AB41" i="53" s="1"/>
  <c r="AC36" i="53"/>
  <c r="AD36" i="53" s="1"/>
  <c r="AE36" i="53" s="1"/>
  <c r="AF36" i="53" s="1"/>
  <c r="AG36" i="53" s="1"/>
  <c r="AH36" i="53" s="1"/>
  <c r="AI36" i="53" s="1"/>
  <c r="AJ36" i="53" s="1"/>
  <c r="AK36" i="53" s="1"/>
  <c r="AL36" i="53" s="1"/>
  <c r="AM36" i="53" s="1"/>
  <c r="Y34" i="53"/>
  <c r="AA34" i="53"/>
  <c r="AB34" i="53" s="1"/>
  <c r="AC32" i="53"/>
  <c r="AD32" i="53" s="1"/>
  <c r="AE32" i="53" s="1"/>
  <c r="AF32" i="53" s="1"/>
  <c r="AG32" i="53" s="1"/>
  <c r="AH32" i="53" s="1"/>
  <c r="AI32" i="53" s="1"/>
  <c r="AJ32" i="53" s="1"/>
  <c r="AK32" i="53" s="1"/>
  <c r="AL32" i="53" s="1"/>
  <c r="AM32" i="53" s="1"/>
  <c r="AC29" i="53"/>
  <c r="AD29" i="53" s="1"/>
  <c r="AE29" i="53" s="1"/>
  <c r="AF29" i="53" s="1"/>
  <c r="AG29" i="53" s="1"/>
  <c r="AH29" i="53" s="1"/>
  <c r="AI29" i="53" s="1"/>
  <c r="AJ29" i="53" s="1"/>
  <c r="AK29" i="53" s="1"/>
  <c r="AL29" i="53" s="1"/>
  <c r="AM29" i="53" s="1"/>
  <c r="Y28" i="53"/>
  <c r="AA28" i="53"/>
  <c r="AB28" i="53" s="1"/>
  <c r="AN25" i="53"/>
  <c r="AN24" i="53"/>
  <c r="Y21" i="53"/>
  <c r="AA21" i="53"/>
  <c r="AB21" i="53" s="1"/>
  <c r="AN20" i="53"/>
  <c r="AK6" i="53"/>
  <c r="Y17" i="53"/>
  <c r="H20" i="50"/>
  <c r="G30" i="49"/>
  <c r="L20" i="50"/>
  <c r="L18" i="50"/>
  <c r="Q5" i="48"/>
  <c r="N10" i="49" l="1"/>
  <c r="M10" i="49" s="1"/>
  <c r="O10" i="49" s="1"/>
  <c r="P10" i="49" s="1"/>
  <c r="M7" i="49"/>
  <c r="O7" i="60"/>
  <c r="P7" i="60" s="1"/>
  <c r="M17" i="60"/>
  <c r="AE13" i="53"/>
  <c r="AF13" i="53" s="1"/>
  <c r="AC16" i="53"/>
  <c r="V10" i="60"/>
  <c r="K10" i="60"/>
  <c r="K10" i="49"/>
  <c r="V10" i="49"/>
  <c r="AN8" i="53"/>
  <c r="AC41" i="53"/>
  <c r="AD41" i="53" s="1"/>
  <c r="AE41" i="53" s="1"/>
  <c r="AF41" i="53" s="1"/>
  <c r="AG41" i="53" s="1"/>
  <c r="AH41" i="53" s="1"/>
  <c r="AI41" i="53" s="1"/>
  <c r="AJ41" i="53" s="1"/>
  <c r="AK41" i="53" s="1"/>
  <c r="AL41" i="53" s="1"/>
  <c r="AM41" i="53" s="1"/>
  <c r="AN36" i="53"/>
  <c r="AC34" i="53"/>
  <c r="AD34" i="53" s="1"/>
  <c r="AE34" i="53" s="1"/>
  <c r="AF34" i="53" s="1"/>
  <c r="AG34" i="53" s="1"/>
  <c r="AH34" i="53" s="1"/>
  <c r="AI34" i="53" s="1"/>
  <c r="AJ34" i="53" s="1"/>
  <c r="AK34" i="53" s="1"/>
  <c r="AL34" i="53" s="1"/>
  <c r="AM34" i="53" s="1"/>
  <c r="AN32" i="53"/>
  <c r="AN29" i="53"/>
  <c r="AC28" i="53"/>
  <c r="AD28" i="53" s="1"/>
  <c r="AE28" i="53" s="1"/>
  <c r="AF28" i="53" s="1"/>
  <c r="AG28" i="53" s="1"/>
  <c r="AH28" i="53" s="1"/>
  <c r="AI28" i="53" s="1"/>
  <c r="AJ28" i="53" s="1"/>
  <c r="AK28" i="53" s="1"/>
  <c r="AL28" i="53" s="1"/>
  <c r="AM28" i="53" s="1"/>
  <c r="AN23" i="53"/>
  <c r="AC21" i="53"/>
  <c r="AD21" i="53" s="1"/>
  <c r="AE21" i="53" s="1"/>
  <c r="AF21" i="53" s="1"/>
  <c r="AG21" i="53" s="1"/>
  <c r="AH21" i="53" s="1"/>
  <c r="AI21" i="53" s="1"/>
  <c r="AJ21" i="53" s="1"/>
  <c r="AK21" i="53" s="1"/>
  <c r="AL21" i="53" s="1"/>
  <c r="AM21" i="53" s="1"/>
  <c r="AN19" i="53"/>
  <c r="AD17" i="53"/>
  <c r="AL6" i="53"/>
  <c r="F12" i="48"/>
  <c r="F11" i="48"/>
  <c r="L4" i="48"/>
  <c r="K4" i="48"/>
  <c r="J4" i="48"/>
  <c r="I4" i="48"/>
  <c r="H4" i="48"/>
  <c r="G4" i="48"/>
  <c r="L3" i="48"/>
  <c r="K3" i="48"/>
  <c r="J3" i="48"/>
  <c r="I3" i="48"/>
  <c r="H3" i="48"/>
  <c r="G3" i="48"/>
  <c r="G11" i="48" s="1"/>
  <c r="O4" i="48"/>
  <c r="N4" i="48"/>
  <c r="P4" i="48"/>
  <c r="M4" i="48"/>
  <c r="M12" i="48" s="1"/>
  <c r="P3" i="48"/>
  <c r="O3" i="48"/>
  <c r="N3" i="48"/>
  <c r="M3" i="48"/>
  <c r="N3" i="40"/>
  <c r="M3" i="40"/>
  <c r="G4" i="40"/>
  <c r="I3" i="40"/>
  <c r="H3" i="40"/>
  <c r="G3" i="40"/>
  <c r="F12" i="47"/>
  <c r="F11" i="47"/>
  <c r="L4" i="47"/>
  <c r="K4" i="47"/>
  <c r="J4" i="47"/>
  <c r="I4" i="47"/>
  <c r="H4" i="47"/>
  <c r="G4" i="47"/>
  <c r="P4" i="47"/>
  <c r="P5" i="47" s="1"/>
  <c r="O4" i="47"/>
  <c r="O5" i="47" s="1"/>
  <c r="N4" i="47"/>
  <c r="N5" i="47" s="1"/>
  <c r="M4" i="47"/>
  <c r="M11" i="47"/>
  <c r="N11" i="47" s="1"/>
  <c r="O11" i="47" s="1"/>
  <c r="P11" i="47" s="1"/>
  <c r="Q11" i="47" s="1"/>
  <c r="R11" i="47" s="1"/>
  <c r="S11" i="47" s="1"/>
  <c r="T11" i="47" s="1"/>
  <c r="G11" i="47"/>
  <c r="H11" i="47" s="1"/>
  <c r="I11" i="47" s="1"/>
  <c r="J11" i="47" s="1"/>
  <c r="K11" i="47" s="1"/>
  <c r="L11" i="47" s="1"/>
  <c r="L5" i="47"/>
  <c r="K5" i="47"/>
  <c r="J5" i="47"/>
  <c r="I5" i="47"/>
  <c r="H5" i="47"/>
  <c r="AE16" i="53" l="1"/>
  <c r="O17" i="60"/>
  <c r="M23" i="60"/>
  <c r="M29" i="60" s="1"/>
  <c r="AN41" i="53"/>
  <c r="AN34" i="53"/>
  <c r="AN28" i="53"/>
  <c r="AN21" i="53"/>
  <c r="AE17" i="53"/>
  <c r="AM6" i="53"/>
  <c r="AF16" i="53"/>
  <c r="AG13" i="53"/>
  <c r="G12" i="47"/>
  <c r="H12" i="47" s="1"/>
  <c r="I12" i="47" s="1"/>
  <c r="J12" i="47" s="1"/>
  <c r="K12" i="47" s="1"/>
  <c r="L12" i="47" s="1"/>
  <c r="P5" i="48"/>
  <c r="U3" i="48"/>
  <c r="U4" i="48"/>
  <c r="M12" i="47"/>
  <c r="N12" i="47" s="1"/>
  <c r="O12" i="47" s="1"/>
  <c r="P12" i="47" s="1"/>
  <c r="Q12" i="47" s="1"/>
  <c r="R12" i="47" s="1"/>
  <c r="S12" i="47" s="1"/>
  <c r="T12" i="47" s="1"/>
  <c r="U4" i="47"/>
  <c r="U3" i="40"/>
  <c r="G12" i="48"/>
  <c r="H12" i="48" s="1"/>
  <c r="I12" i="48" s="1"/>
  <c r="J12" i="48" s="1"/>
  <c r="K12" i="48" s="1"/>
  <c r="L12" i="48" s="1"/>
  <c r="M11" i="48"/>
  <c r="N11" i="48" s="1"/>
  <c r="O11" i="48" s="1"/>
  <c r="P11" i="48" s="1"/>
  <c r="Q11" i="48" s="1"/>
  <c r="R11" i="48" s="1"/>
  <c r="S11" i="48" s="1"/>
  <c r="T11" i="48" s="1"/>
  <c r="O5" i="48"/>
  <c r="F13" i="48"/>
  <c r="N12" i="48"/>
  <c r="O12" i="48" s="1"/>
  <c r="P12" i="48" s="1"/>
  <c r="Q12" i="48" s="1"/>
  <c r="R12" i="48" s="1"/>
  <c r="S12" i="48" s="1"/>
  <c r="T12" i="48" s="1"/>
  <c r="N5" i="48"/>
  <c r="H11" i="48"/>
  <c r="I11" i="48" s="1"/>
  <c r="J11" i="48" s="1"/>
  <c r="K11" i="48" s="1"/>
  <c r="L11" i="48" s="1"/>
  <c r="G5" i="48"/>
  <c r="I5" i="48"/>
  <c r="K5" i="48"/>
  <c r="M5" i="48"/>
  <c r="M13" i="48" s="1"/>
  <c r="H5" i="48"/>
  <c r="J5" i="48"/>
  <c r="L5" i="48"/>
  <c r="F13" i="47"/>
  <c r="G5" i="47"/>
  <c r="M5" i="47"/>
  <c r="M13" i="47" s="1"/>
  <c r="N13" i="47" s="1"/>
  <c r="O13" i="47" s="1"/>
  <c r="P13" i="47" s="1"/>
  <c r="Q13" i="47" s="1"/>
  <c r="R13" i="47" s="1"/>
  <c r="S13" i="47" s="1"/>
  <c r="T13" i="47" s="1"/>
  <c r="F12" i="40"/>
  <c r="G12" i="40" s="1"/>
  <c r="F11" i="40"/>
  <c r="G11" i="40" s="1"/>
  <c r="H11" i="40" s="1"/>
  <c r="I11" i="40" s="1"/>
  <c r="J11" i="40" s="1"/>
  <c r="K11" i="40" s="1"/>
  <c r="L11" i="40" s="1"/>
  <c r="N4" i="40"/>
  <c r="N5" i="40" s="1"/>
  <c r="P4" i="40"/>
  <c r="P5" i="40" s="1"/>
  <c r="O4" i="40"/>
  <c r="O5" i="40" s="1"/>
  <c r="M4" i="40"/>
  <c r="M5" i="40" s="1"/>
  <c r="M13" i="40" s="1"/>
  <c r="L4" i="40"/>
  <c r="L5" i="40" s="1"/>
  <c r="K4" i="40"/>
  <c r="K5" i="40" s="1"/>
  <c r="J4" i="40"/>
  <c r="J5" i="40" s="1"/>
  <c r="I4" i="40"/>
  <c r="I5" i="40" s="1"/>
  <c r="H4" i="40"/>
  <c r="H5" i="40" s="1"/>
  <c r="M11" i="40"/>
  <c r="N11" i="40" s="1"/>
  <c r="O11" i="40" s="1"/>
  <c r="P11" i="40" s="1"/>
  <c r="Q11" i="40" s="1"/>
  <c r="R11" i="40" s="1"/>
  <c r="S11" i="40" s="1"/>
  <c r="T11" i="40" s="1"/>
  <c r="G5" i="40"/>
  <c r="P5" i="39"/>
  <c r="F12" i="39"/>
  <c r="G12" i="39" s="1"/>
  <c r="H12" i="39" s="1"/>
  <c r="I12" i="39" s="1"/>
  <c r="J12" i="39" s="1"/>
  <c r="K12" i="39" s="1"/>
  <c r="L12" i="39" s="1"/>
  <c r="F11" i="39"/>
  <c r="G11" i="39" s="1"/>
  <c r="H11" i="39" s="1"/>
  <c r="I11" i="39" s="1"/>
  <c r="J11" i="39" s="1"/>
  <c r="K11" i="39" s="1"/>
  <c r="L11" i="39" s="1"/>
  <c r="M12" i="39"/>
  <c r="N12" i="39" s="1"/>
  <c r="O12" i="39" s="1"/>
  <c r="P12" i="39" s="1"/>
  <c r="Q12" i="39" s="1"/>
  <c r="R12" i="39" s="1"/>
  <c r="S12" i="39" s="1"/>
  <c r="T12" i="39" s="1"/>
  <c r="M11" i="39"/>
  <c r="N11" i="39" s="1"/>
  <c r="O11" i="39" s="1"/>
  <c r="P11" i="39" s="1"/>
  <c r="Q11" i="39" s="1"/>
  <c r="R11" i="39" s="1"/>
  <c r="S11" i="39" s="1"/>
  <c r="T11" i="39" s="1"/>
  <c r="O5" i="39"/>
  <c r="N5" i="39"/>
  <c r="M5" i="39"/>
  <c r="M13" i="39" s="1"/>
  <c r="L5" i="39"/>
  <c r="K5" i="39"/>
  <c r="J5" i="39"/>
  <c r="I5" i="39"/>
  <c r="H5" i="39"/>
  <c r="G5" i="39"/>
  <c r="P17" i="60" l="1"/>
  <c r="AF17" i="53"/>
  <c r="AG16" i="53"/>
  <c r="AH13" i="53"/>
  <c r="AN6" i="53"/>
  <c r="N13" i="48"/>
  <c r="O13" i="48" s="1"/>
  <c r="P13" i="48" s="1"/>
  <c r="Q13" i="48" s="1"/>
  <c r="R13" i="48" s="1"/>
  <c r="S13" i="48" s="1"/>
  <c r="T13" i="48" s="1"/>
  <c r="G13" i="48"/>
  <c r="H13" i="48" s="1"/>
  <c r="I13" i="48" s="1"/>
  <c r="J13" i="48" s="1"/>
  <c r="K13" i="48" s="1"/>
  <c r="L13" i="48" s="1"/>
  <c r="M12" i="40"/>
  <c r="N12" i="40" s="1"/>
  <c r="O12" i="40" s="1"/>
  <c r="P12" i="40" s="1"/>
  <c r="Q12" i="40" s="1"/>
  <c r="R12" i="40" s="1"/>
  <c r="S12" i="40" s="1"/>
  <c r="T12" i="40" s="1"/>
  <c r="U4" i="40"/>
  <c r="G13" i="47"/>
  <c r="H13" i="47" s="1"/>
  <c r="I13" i="47" s="1"/>
  <c r="J13" i="47" s="1"/>
  <c r="K13" i="47" s="1"/>
  <c r="L13" i="47" s="1"/>
  <c r="N13" i="39"/>
  <c r="O13" i="39" s="1"/>
  <c r="P13" i="39" s="1"/>
  <c r="Q13" i="39" s="1"/>
  <c r="R13" i="39" s="1"/>
  <c r="S13" i="39" s="1"/>
  <c r="T13" i="39" s="1"/>
  <c r="H12" i="40"/>
  <c r="I12" i="40" s="1"/>
  <c r="J12" i="40" s="1"/>
  <c r="K12" i="40" s="1"/>
  <c r="L12" i="40" s="1"/>
  <c r="N13" i="40"/>
  <c r="O13" i="40" s="1"/>
  <c r="P13" i="40" s="1"/>
  <c r="Q13" i="40" s="1"/>
  <c r="R13" i="40" s="1"/>
  <c r="S13" i="40" s="1"/>
  <c r="T13" i="40" s="1"/>
  <c r="F13" i="40"/>
  <c r="G13" i="40" s="1"/>
  <c r="H13" i="40" s="1"/>
  <c r="I13" i="40" s="1"/>
  <c r="J13" i="40" s="1"/>
  <c r="K13" i="40" s="1"/>
  <c r="L13" i="40" s="1"/>
  <c r="F13" i="39"/>
  <c r="G13" i="39" s="1"/>
  <c r="H13" i="39" s="1"/>
  <c r="I13" i="39" s="1"/>
  <c r="J13" i="39" s="1"/>
  <c r="K13" i="39" s="1"/>
  <c r="L13" i="39" s="1"/>
  <c r="AG17" i="53" l="1"/>
  <c r="AI13" i="53"/>
  <c r="AH16" i="53"/>
  <c r="I5" i="36"/>
  <c r="J5" i="36"/>
  <c r="K5" i="36"/>
  <c r="L5" i="36"/>
  <c r="M5" i="36"/>
  <c r="N5" i="36"/>
  <c r="O5" i="36"/>
  <c r="P5" i="36"/>
  <c r="Q5" i="36"/>
  <c r="H5" i="36"/>
  <c r="G5" i="36"/>
  <c r="F5" i="36"/>
  <c r="F13" i="36" s="1"/>
  <c r="R4" i="36"/>
  <c r="U4" i="36" s="1"/>
  <c r="U3" i="36"/>
  <c r="C5" i="36"/>
  <c r="AH17" i="53" l="1"/>
  <c r="AJ13" i="53"/>
  <c r="AI16" i="53"/>
  <c r="G13" i="36"/>
  <c r="H13" i="36" s="1"/>
  <c r="I13" i="36" s="1"/>
  <c r="J13" i="36" s="1"/>
  <c r="K13" i="36" s="1"/>
  <c r="L13" i="36" s="1"/>
  <c r="M13" i="36" s="1"/>
  <c r="AI17" i="53" l="1"/>
  <c r="AK13" i="53"/>
  <c r="AJ16" i="53"/>
  <c r="Q17" i="29"/>
  <c r="O9" i="29"/>
  <c r="O4" i="29"/>
  <c r="Q4" i="29" s="1"/>
  <c r="AJ17" i="53" l="1"/>
  <c r="AL13" i="53"/>
  <c r="AK16" i="53"/>
  <c r="D17" i="29"/>
  <c r="D10" i="29"/>
  <c r="AK17" i="53" l="1"/>
  <c r="AM13" i="53"/>
  <c r="AL16" i="53"/>
  <c r="D6" i="29"/>
  <c r="D13" i="29"/>
  <c r="D12" i="29"/>
  <c r="D9" i="29"/>
  <c r="D8" i="29"/>
  <c r="D7" i="29"/>
  <c r="D5" i="29"/>
  <c r="D4" i="29"/>
  <c r="AL17" i="53" l="1"/>
  <c r="AM16" i="53"/>
  <c r="AN13" i="53"/>
  <c r="D11" i="29"/>
  <c r="D15" i="29" s="1"/>
  <c r="AM17" i="53" l="1"/>
  <c r="AN16" i="53"/>
  <c r="F27" i="60"/>
  <c r="T27" i="60" l="1"/>
  <c r="I27" i="60"/>
  <c r="T26" i="49"/>
  <c r="AN17" i="53"/>
  <c r="I26" i="49" l="1"/>
  <c r="F17" i="50"/>
  <c r="K17" i="50" s="1"/>
  <c r="D28" i="50"/>
  <c r="H28" i="50" l="1"/>
  <c r="L28" i="50"/>
  <c r="D13" i="25"/>
  <c r="E181" i="4"/>
  <c r="E182" i="4"/>
  <c r="E183" i="4"/>
  <c r="E185" i="4"/>
  <c r="E189" i="4"/>
  <c r="E193" i="4"/>
  <c r="E195" i="4"/>
  <c r="E201" i="4"/>
  <c r="E202" i="4"/>
  <c r="E184" i="4"/>
  <c r="E187" i="4"/>
  <c r="E190" i="4"/>
  <c r="E194" i="4"/>
  <c r="E196" i="4"/>
  <c r="E200" i="4"/>
  <c r="E204" i="4"/>
  <c r="E13" i="25"/>
  <c r="E205" i="4"/>
  <c r="C11" i="36"/>
  <c r="D17" i="50"/>
  <c r="F23" i="50"/>
  <c r="K23" i="50" s="1"/>
  <c r="F205" i="4"/>
  <c r="G205" i="4" s="1"/>
  <c r="R17" i="50" l="1"/>
  <c r="S17" i="50" s="1"/>
  <c r="H17" i="50"/>
  <c r="L17" i="50"/>
  <c r="D17" i="25"/>
  <c r="E304" i="4"/>
  <c r="E311" i="4"/>
  <c r="E298" i="4"/>
  <c r="E301" i="4"/>
  <c r="E306" i="4"/>
  <c r="E309" i="4"/>
  <c r="E315" i="4"/>
  <c r="E318" i="4"/>
  <c r="E299" i="4"/>
  <c r="E308" i="4"/>
  <c r="E316" i="4"/>
  <c r="E295" i="4"/>
  <c r="E297" i="4"/>
  <c r="E310" i="4"/>
  <c r="E296" i="4"/>
  <c r="E303" i="4"/>
  <c r="F13" i="25"/>
  <c r="E12" i="25"/>
  <c r="R23" i="50" l="1"/>
  <c r="H19" i="49"/>
  <c r="E15" i="52"/>
  <c r="L16" i="52"/>
  <c r="G16" i="52"/>
  <c r="E14" i="52"/>
  <c r="L17" i="52"/>
  <c r="G15" i="52"/>
  <c r="C17" i="52"/>
  <c r="E17" i="52"/>
  <c r="L19" i="52"/>
  <c r="C16" i="52"/>
  <c r="E18" i="52"/>
  <c r="L14" i="52"/>
  <c r="G14" i="52"/>
  <c r="L18" i="52"/>
  <c r="C18" i="52"/>
  <c r="C15" i="52"/>
  <c r="E16" i="52"/>
  <c r="G17" i="52"/>
  <c r="G18" i="52"/>
  <c r="L15" i="52"/>
  <c r="F26" i="50"/>
  <c r="K26" i="50" s="1"/>
  <c r="G31" i="50"/>
  <c r="G32" i="50" s="1"/>
  <c r="E17" i="25"/>
  <c r="F17" i="25" s="1"/>
  <c r="E319" i="4"/>
  <c r="D12" i="25"/>
  <c r="F12" i="25" s="1"/>
  <c r="H12" i="25" s="1"/>
  <c r="D23" i="50"/>
  <c r="M6" i="47"/>
  <c r="C11" i="47"/>
  <c r="F319" i="4"/>
  <c r="G319" i="4" s="1"/>
  <c r="D23" i="2"/>
  <c r="R28" i="50" l="1"/>
  <c r="S28" i="50" s="1"/>
  <c r="S23" i="50"/>
  <c r="H23" i="50"/>
  <c r="J19" i="49"/>
  <c r="I19" i="49"/>
  <c r="L23" i="50"/>
  <c r="C13" i="29"/>
  <c r="C10" i="29"/>
  <c r="S6" i="47"/>
  <c r="T6" i="47"/>
  <c r="R6" i="47"/>
  <c r="N6" i="47"/>
  <c r="M14" i="47"/>
  <c r="P6" i="47"/>
  <c r="Q6" i="47"/>
  <c r="O6" i="47"/>
  <c r="D330" i="4"/>
  <c r="F26" i="60" l="1"/>
  <c r="I26" i="60" s="1"/>
  <c r="I25" i="60" s="1"/>
  <c r="T26" i="60"/>
  <c r="F25" i="49"/>
  <c r="K19" i="49"/>
  <c r="V19" i="49"/>
  <c r="N14" i="47"/>
  <c r="O14" i="47" s="1"/>
  <c r="P14" i="47" s="1"/>
  <c r="Q14" i="47" s="1"/>
  <c r="R14" i="47" s="1"/>
  <c r="S14" i="47" s="1"/>
  <c r="T14" i="47" s="1"/>
  <c r="F25" i="60" l="1"/>
  <c r="T25" i="60"/>
  <c r="O25" i="60"/>
  <c r="T25" i="49"/>
  <c r="F24" i="49"/>
  <c r="O24" i="49" s="1"/>
  <c r="I25" i="49"/>
  <c r="B60" i="26"/>
  <c r="C88" i="26" s="1"/>
  <c r="C330" i="4"/>
  <c r="D25" i="49" l="1"/>
  <c r="D26" i="60"/>
  <c r="D15" i="25"/>
  <c r="C3" i="47" s="1"/>
  <c r="E18" i="25"/>
  <c r="C358" i="4"/>
  <c r="E469" i="4"/>
  <c r="J350" i="4" l="1"/>
  <c r="J346" i="4"/>
  <c r="J338" i="4"/>
  <c r="J357" i="4"/>
  <c r="J349" i="4"/>
  <c r="J343" i="4"/>
  <c r="J336" i="4"/>
  <c r="J358" i="4"/>
  <c r="J354" i="4"/>
  <c r="J348" i="4"/>
  <c r="J342" i="4"/>
  <c r="J335" i="4"/>
  <c r="J353" i="4"/>
  <c r="J347" i="4"/>
  <c r="J340" i="4"/>
  <c r="J334" i="4"/>
  <c r="J9" i="4"/>
  <c r="J25" i="49"/>
  <c r="O25" i="49" s="1"/>
  <c r="E349" i="4"/>
  <c r="D26" i="49"/>
  <c r="C470" i="4"/>
  <c r="R26" i="50"/>
  <c r="R25" i="49"/>
  <c r="R26" i="60"/>
  <c r="J26" i="60"/>
  <c r="D27" i="60"/>
  <c r="D25" i="60" s="1"/>
  <c r="K25" i="49"/>
  <c r="V25" i="49"/>
  <c r="H20" i="49"/>
  <c r="H7" i="49"/>
  <c r="R10" i="50"/>
  <c r="H8" i="49"/>
  <c r="R8" i="50"/>
  <c r="R12" i="50"/>
  <c r="E340" i="4"/>
  <c r="E353" i="4"/>
  <c r="G6" i="52"/>
  <c r="G3" i="52" s="1"/>
  <c r="D14" i="50"/>
  <c r="R7" i="50"/>
  <c r="D8" i="25"/>
  <c r="E97" i="4"/>
  <c r="E106" i="4"/>
  <c r="E102" i="4"/>
  <c r="E108" i="4"/>
  <c r="E98" i="4"/>
  <c r="E93" i="4"/>
  <c r="E104" i="4"/>
  <c r="E110" i="4"/>
  <c r="E107" i="4"/>
  <c r="E94" i="4"/>
  <c r="E105" i="4"/>
  <c r="E111" i="4"/>
  <c r="E350" i="4"/>
  <c r="E335" i="4"/>
  <c r="E334" i="4"/>
  <c r="E336" i="4"/>
  <c r="H18" i="49"/>
  <c r="E274" i="4"/>
  <c r="E268" i="4"/>
  <c r="E278" i="4"/>
  <c r="E267" i="4"/>
  <c r="E275" i="4"/>
  <c r="E266" i="4"/>
  <c r="E272" i="4"/>
  <c r="E270" i="4"/>
  <c r="E279" i="4"/>
  <c r="D21" i="25"/>
  <c r="D7" i="25"/>
  <c r="E73" i="4"/>
  <c r="E67" i="4"/>
  <c r="E72" i="4"/>
  <c r="E84" i="4"/>
  <c r="E69" i="4"/>
  <c r="E87" i="4"/>
  <c r="E68" i="4"/>
  <c r="E76" i="4"/>
  <c r="E89" i="4"/>
  <c r="E75" i="4"/>
  <c r="E70" i="4"/>
  <c r="E78" i="4"/>
  <c r="E79" i="4"/>
  <c r="E71" i="4"/>
  <c r="E80" i="4"/>
  <c r="E82" i="4"/>
  <c r="D6" i="25"/>
  <c r="E39" i="4"/>
  <c r="E43" i="4"/>
  <c r="E47" i="4"/>
  <c r="E52" i="4"/>
  <c r="E45" i="4"/>
  <c r="E56" i="4"/>
  <c r="E46" i="4"/>
  <c r="E51" i="4"/>
  <c r="E40" i="4"/>
  <c r="E44" i="4"/>
  <c r="E48" i="4"/>
  <c r="E54" i="4"/>
  <c r="E41" i="4"/>
  <c r="E50" i="4"/>
  <c r="E42" i="4"/>
  <c r="D5" i="25"/>
  <c r="E14" i="4"/>
  <c r="E17" i="4"/>
  <c r="E11" i="4"/>
  <c r="E8" i="4"/>
  <c r="E18" i="4"/>
  <c r="E13" i="4"/>
  <c r="E10" i="4"/>
  <c r="E21" i="4"/>
  <c r="E19" i="4"/>
  <c r="E15" i="4"/>
  <c r="E124" i="4"/>
  <c r="E137" i="4"/>
  <c r="E132" i="4"/>
  <c r="E130" i="4"/>
  <c r="E127" i="4"/>
  <c r="E128" i="4"/>
  <c r="E129" i="4"/>
  <c r="E131" i="4"/>
  <c r="E144" i="4"/>
  <c r="E139" i="4"/>
  <c r="E136" i="4"/>
  <c r="E125" i="4"/>
  <c r="E138" i="4"/>
  <c r="E146" i="4"/>
  <c r="E143" i="4"/>
  <c r="E135" i="4"/>
  <c r="E141" i="4"/>
  <c r="E265" i="4"/>
  <c r="R27" i="49"/>
  <c r="E354" i="4"/>
  <c r="E9" i="4"/>
  <c r="D16" i="25"/>
  <c r="E348" i="4"/>
  <c r="H10" i="49"/>
  <c r="D9" i="25"/>
  <c r="C3" i="39" s="1"/>
  <c r="D18" i="25"/>
  <c r="F18" i="25" s="1"/>
  <c r="I8" i="24"/>
  <c r="D24" i="49" l="1"/>
  <c r="P24" i="49" s="1"/>
  <c r="H25" i="60"/>
  <c r="H29" i="60" s="1"/>
  <c r="R25" i="60"/>
  <c r="P25" i="60"/>
  <c r="D29" i="60"/>
  <c r="V26" i="60"/>
  <c r="K26" i="60"/>
  <c r="O26" i="60"/>
  <c r="J27" i="60"/>
  <c r="J25" i="60" s="1"/>
  <c r="R27" i="60"/>
  <c r="R26" i="49"/>
  <c r="O9" i="53"/>
  <c r="R31" i="50"/>
  <c r="R22" i="50"/>
  <c r="R19" i="50"/>
  <c r="H16" i="49"/>
  <c r="R11" i="50"/>
  <c r="H15" i="49"/>
  <c r="S9" i="50"/>
  <c r="E162" i="4"/>
  <c r="E154" i="4"/>
  <c r="E163" i="4"/>
  <c r="E155" i="4"/>
  <c r="E159" i="4"/>
  <c r="E167" i="4"/>
  <c r="E172" i="4"/>
  <c r="E156" i="4"/>
  <c r="E160" i="4"/>
  <c r="E168" i="4"/>
  <c r="E174" i="4"/>
  <c r="E157" i="4"/>
  <c r="E161" i="4"/>
  <c r="E169" i="4"/>
  <c r="E175" i="4"/>
  <c r="E158" i="4"/>
  <c r="E166" i="4"/>
  <c r="E170" i="4"/>
  <c r="E177" i="4"/>
  <c r="J26" i="49"/>
  <c r="D19" i="25"/>
  <c r="E365" i="4"/>
  <c r="E368" i="4"/>
  <c r="E370" i="4"/>
  <c r="E372" i="4"/>
  <c r="E374" i="4"/>
  <c r="E366" i="4"/>
  <c r="E369" i="4"/>
  <c r="E371" i="4"/>
  <c r="E373" i="4"/>
  <c r="E375" i="4"/>
  <c r="D10" i="25"/>
  <c r="C3" i="40" s="1"/>
  <c r="H4" i="24"/>
  <c r="O26" i="49" l="1"/>
  <c r="K26" i="49"/>
  <c r="O5" i="53"/>
  <c r="O44" i="53" s="1"/>
  <c r="S9" i="53"/>
  <c r="S5" i="53" s="1"/>
  <c r="K25" i="60"/>
  <c r="V25" i="60"/>
  <c r="R29" i="60"/>
  <c r="D31" i="60"/>
  <c r="D28" i="49"/>
  <c r="O27" i="60"/>
  <c r="V27" i="60"/>
  <c r="K27" i="60"/>
  <c r="R17" i="49"/>
  <c r="R24" i="49"/>
  <c r="V26" i="49"/>
  <c r="R16" i="50"/>
  <c r="R21" i="50"/>
  <c r="H17" i="49"/>
  <c r="R13" i="50"/>
  <c r="R29" i="50"/>
  <c r="P28" i="24"/>
  <c r="W11" i="24"/>
  <c r="U18" i="24"/>
  <c r="G6" i="24"/>
  <c r="K6" i="24"/>
  <c r="M6" i="24"/>
  <c r="O6" i="24"/>
  <c r="U6" i="24"/>
  <c r="S6" i="24"/>
  <c r="Q6" i="24"/>
  <c r="R31" i="60" l="1"/>
  <c r="H31" i="60"/>
  <c r="M9" i="49"/>
  <c r="R28" i="49"/>
  <c r="M21" i="49"/>
  <c r="N15" i="49"/>
  <c r="M20" i="49"/>
  <c r="M8" i="49"/>
  <c r="W9" i="53"/>
  <c r="R25" i="50"/>
  <c r="H24" i="49"/>
  <c r="V12" i="24"/>
  <c r="T5" i="24"/>
  <c r="F5" i="24" s="1"/>
  <c r="M15" i="49" l="1"/>
  <c r="AQ9" i="53"/>
  <c r="B13" i="26"/>
  <c r="W5" i="53"/>
  <c r="AQ5" i="53" s="1"/>
  <c r="E46" i="53"/>
  <c r="E48" i="53" s="1"/>
  <c r="N16" i="49"/>
  <c r="M16" i="49" s="1"/>
  <c r="M14" i="49"/>
  <c r="AA9" i="53"/>
  <c r="AB9" i="53" s="1"/>
  <c r="R30" i="50"/>
  <c r="D30" i="49"/>
  <c r="R30" i="49" s="1"/>
  <c r="H5" i="24"/>
  <c r="H3" i="24" s="1"/>
  <c r="H8" i="24" s="1"/>
  <c r="H15" i="24" s="1"/>
  <c r="H9" i="24"/>
  <c r="M22" i="49" l="1"/>
  <c r="AC9" i="53"/>
  <c r="AA5" i="53"/>
  <c r="H30" i="49"/>
  <c r="R32" i="50"/>
  <c r="H11" i="24"/>
  <c r="H7" i="24"/>
  <c r="W16" i="24"/>
  <c r="W25" i="24" s="1"/>
  <c r="W15" i="24"/>
  <c r="W24" i="24" s="1"/>
  <c r="AB5" i="53" l="1"/>
  <c r="AD9" i="53"/>
  <c r="AC5" i="53"/>
  <c r="W27" i="24"/>
  <c r="W28" i="24" s="1"/>
  <c r="AE9" i="53" l="1"/>
  <c r="AD5" i="53"/>
  <c r="W7" i="24"/>
  <c r="AF9" i="53" l="1"/>
  <c r="AE5" i="53"/>
  <c r="H8" i="17"/>
  <c r="H2" i="17"/>
  <c r="I2" i="17" s="1"/>
  <c r="P32" i="14"/>
  <c r="P30" i="14"/>
  <c r="P28" i="14"/>
  <c r="P26" i="14"/>
  <c r="K27" i="14" s="1"/>
  <c r="P17" i="14"/>
  <c r="F64" i="2"/>
  <c r="AG9" i="53" l="1"/>
  <c r="L27" i="14"/>
  <c r="F14" i="24"/>
  <c r="F16" i="24" s="1"/>
  <c r="F25" i="24" s="1"/>
  <c r="L14" i="24"/>
  <c r="L16" i="24" s="1"/>
  <c r="L25" i="24" s="1"/>
  <c r="F31" i="50"/>
  <c r="K31" i="50" s="1"/>
  <c r="AH9" i="53" l="1"/>
  <c r="AG5" i="53"/>
  <c r="AF5" i="53"/>
  <c r="D21" i="52"/>
  <c r="L21" i="52"/>
  <c r="D31" i="50"/>
  <c r="S31" i="50" s="1"/>
  <c r="F19" i="50"/>
  <c r="F16" i="50" s="1"/>
  <c r="K16" i="50" s="1"/>
  <c r="F11" i="50"/>
  <c r="K11" i="50" s="1"/>
  <c r="D147" i="4"/>
  <c r="E15" i="25"/>
  <c r="D11" i="25"/>
  <c r="D20" i="25" s="1"/>
  <c r="D62" i="4"/>
  <c r="D90" i="4"/>
  <c r="H14" i="24"/>
  <c r="H16" i="24" s="1"/>
  <c r="H25" i="24" s="1"/>
  <c r="R14" i="24"/>
  <c r="R16" i="24" s="1"/>
  <c r="R25" i="24" s="1"/>
  <c r="P14" i="24"/>
  <c r="P16" i="24" s="1"/>
  <c r="T14" i="24"/>
  <c r="T16" i="24" s="1"/>
  <c r="T25" i="24" s="1"/>
  <c r="E11" i="25"/>
  <c r="J14" i="24"/>
  <c r="J16" i="24" s="1"/>
  <c r="J25" i="24" s="1"/>
  <c r="N14" i="24"/>
  <c r="N16" i="24" s="1"/>
  <c r="N25" i="24" s="1"/>
  <c r="E466" i="4"/>
  <c r="F20" i="60" l="1"/>
  <c r="D470" i="4"/>
  <c r="F8" i="49"/>
  <c r="F8" i="60"/>
  <c r="F16" i="49"/>
  <c r="T16" i="49" s="1"/>
  <c r="F16" i="60"/>
  <c r="T20" i="60"/>
  <c r="I20" i="60"/>
  <c r="J20" i="60"/>
  <c r="O20" i="60"/>
  <c r="T8" i="49"/>
  <c r="F20" i="49"/>
  <c r="T20" i="49" s="1"/>
  <c r="AI9" i="53"/>
  <c r="E21" i="52"/>
  <c r="F178" i="4"/>
  <c r="K19" i="50"/>
  <c r="H31" i="50"/>
  <c r="L31" i="50"/>
  <c r="F8" i="50"/>
  <c r="I16" i="49"/>
  <c r="F10" i="50"/>
  <c r="K10" i="50" s="1"/>
  <c r="E19" i="25"/>
  <c r="F19" i="25" s="1"/>
  <c r="H19" i="25" s="1"/>
  <c r="E21" i="25"/>
  <c r="F21" i="25" s="1"/>
  <c r="E16" i="25"/>
  <c r="F16" i="25" s="1"/>
  <c r="H16" i="25" s="1"/>
  <c r="F116" i="4"/>
  <c r="E9" i="25"/>
  <c r="F9" i="25" s="1"/>
  <c r="H9" i="25" s="1"/>
  <c r="E10" i="25"/>
  <c r="F10" i="25" s="1"/>
  <c r="E5" i="25"/>
  <c r="F5" i="25" s="1"/>
  <c r="H5" i="25" s="1"/>
  <c r="F25" i="50"/>
  <c r="K25" i="50" s="1"/>
  <c r="E7" i="25"/>
  <c r="F7" i="25" s="1"/>
  <c r="H7" i="25" s="1"/>
  <c r="E6" i="25"/>
  <c r="F6" i="25" s="1"/>
  <c r="H6" i="25" s="1"/>
  <c r="B30" i="26"/>
  <c r="F377" i="4"/>
  <c r="E8" i="25"/>
  <c r="F8" i="25" s="1"/>
  <c r="H8" i="25" s="1"/>
  <c r="F15" i="25"/>
  <c r="H15" i="25" s="1"/>
  <c r="F11" i="25"/>
  <c r="H11" i="25" s="1"/>
  <c r="E346" i="4"/>
  <c r="D8" i="50"/>
  <c r="H9" i="50" s="1"/>
  <c r="E24" i="4"/>
  <c r="C23" i="2"/>
  <c r="F22" i="2"/>
  <c r="B22" i="2"/>
  <c r="F21" i="2"/>
  <c r="B21" i="2"/>
  <c r="F20" i="2"/>
  <c r="B20" i="2"/>
  <c r="B14" i="2"/>
  <c r="B13" i="2"/>
  <c r="B12" i="2"/>
  <c r="B11" i="2"/>
  <c r="B10" i="2"/>
  <c r="B9" i="2"/>
  <c r="B19" i="2"/>
  <c r="B16" i="2"/>
  <c r="B15" i="2"/>
  <c r="B18" i="2"/>
  <c r="B17" i="2"/>
  <c r="F7" i="2"/>
  <c r="B7" i="2"/>
  <c r="F6" i="2"/>
  <c r="B6" i="2"/>
  <c r="F22" i="49" l="1"/>
  <c r="F28" i="49" s="1"/>
  <c r="F30" i="49" s="1"/>
  <c r="I8" i="49"/>
  <c r="F23" i="60"/>
  <c r="F29" i="60" s="1"/>
  <c r="J16" i="49"/>
  <c r="V16" i="49" s="1"/>
  <c r="J8" i="49"/>
  <c r="V8" i="49" s="1"/>
  <c r="P20" i="60"/>
  <c r="I16" i="60"/>
  <c r="T16" i="60"/>
  <c r="J16" i="60"/>
  <c r="O16" i="60"/>
  <c r="P16" i="60" s="1"/>
  <c r="V20" i="60"/>
  <c r="K20" i="60"/>
  <c r="T8" i="60"/>
  <c r="I8" i="60"/>
  <c r="J8" i="60"/>
  <c r="J23" i="60" s="1"/>
  <c r="O8" i="60"/>
  <c r="P8" i="60" s="1"/>
  <c r="J20" i="49"/>
  <c r="K20" i="49" s="1"/>
  <c r="AH5" i="53"/>
  <c r="AJ9" i="53"/>
  <c r="AI5" i="53"/>
  <c r="J7" i="49"/>
  <c r="I7" i="49"/>
  <c r="I27" i="49"/>
  <c r="I24" i="49" s="1"/>
  <c r="F13" i="50"/>
  <c r="K13" i="50" s="1"/>
  <c r="G21" i="52"/>
  <c r="F22" i="50"/>
  <c r="F21" i="50" s="1"/>
  <c r="K21" i="50" s="1"/>
  <c r="I21" i="52"/>
  <c r="F12" i="50"/>
  <c r="K12" i="50" s="1"/>
  <c r="F21" i="52"/>
  <c r="K8" i="50"/>
  <c r="D7" i="50"/>
  <c r="S7" i="50" s="1"/>
  <c r="H8" i="50"/>
  <c r="L8" i="50"/>
  <c r="I20" i="49"/>
  <c r="J15" i="49"/>
  <c r="I15" i="49"/>
  <c r="I29" i="49"/>
  <c r="I18" i="49"/>
  <c r="I17" i="49" s="1"/>
  <c r="O17" i="49"/>
  <c r="P17" i="49" s="1"/>
  <c r="S8" i="50"/>
  <c r="J27" i="49"/>
  <c r="O27" i="49" s="1"/>
  <c r="J18" i="49"/>
  <c r="E20" i="25"/>
  <c r="E22" i="25" s="1"/>
  <c r="C4" i="48" s="1"/>
  <c r="D22" i="25"/>
  <c r="C3" i="48" s="1"/>
  <c r="F20" i="25"/>
  <c r="G12" i="25" s="1"/>
  <c r="B8" i="2"/>
  <c r="H6" i="2"/>
  <c r="H7" i="2"/>
  <c r="H21" i="2"/>
  <c r="H20" i="2"/>
  <c r="H22" i="2"/>
  <c r="I22" i="49" l="1"/>
  <c r="K16" i="49"/>
  <c r="I23" i="60"/>
  <c r="I29" i="60" s="1"/>
  <c r="I31" i="60" s="1"/>
  <c r="I28" i="49"/>
  <c r="I30" i="49" s="1"/>
  <c r="P23" i="60"/>
  <c r="P29" i="60" s="1"/>
  <c r="P31" i="60" s="1"/>
  <c r="O23" i="60"/>
  <c r="O29" i="60" s="1"/>
  <c r="O31" i="60" s="1"/>
  <c r="K8" i="49"/>
  <c r="T29" i="60"/>
  <c r="F31" i="60"/>
  <c r="T31" i="60" s="1"/>
  <c r="V8" i="60"/>
  <c r="K8" i="60"/>
  <c r="J29" i="60"/>
  <c r="K16" i="60"/>
  <c r="V16" i="60"/>
  <c r="J24" i="49"/>
  <c r="M28" i="49"/>
  <c r="V20" i="49"/>
  <c r="K7" i="49"/>
  <c r="V7" i="49"/>
  <c r="K27" i="49"/>
  <c r="V27" i="49"/>
  <c r="K15" i="49"/>
  <c r="V15" i="49"/>
  <c r="T28" i="49"/>
  <c r="T24" i="49"/>
  <c r="K18" i="49"/>
  <c r="V18" i="49"/>
  <c r="AK9" i="53"/>
  <c r="AJ5" i="53"/>
  <c r="J17" i="49"/>
  <c r="J22" i="49" s="1"/>
  <c r="K22" i="50"/>
  <c r="H7" i="50"/>
  <c r="G14" i="25"/>
  <c r="G17" i="25"/>
  <c r="G13" i="25"/>
  <c r="C5" i="48"/>
  <c r="F22" i="25"/>
  <c r="G15" i="25"/>
  <c r="G9" i="25"/>
  <c r="G19" i="25"/>
  <c r="G10" i="25"/>
  <c r="G18" i="25"/>
  <c r="G6" i="25"/>
  <c r="G8" i="25"/>
  <c r="G11" i="25"/>
  <c r="G7" i="25"/>
  <c r="G16" i="25"/>
  <c r="G5" i="25"/>
  <c r="H20" i="25"/>
  <c r="J28" i="49" l="1"/>
  <c r="J30" i="49" s="1"/>
  <c r="J31" i="60"/>
  <c r="K29" i="60"/>
  <c r="V29" i="60"/>
  <c r="M46" i="53"/>
  <c r="M48" i="53" s="1"/>
  <c r="N46" i="53"/>
  <c r="N48" i="53" s="1"/>
  <c r="O9" i="49"/>
  <c r="P9" i="49" s="1"/>
  <c r="H46" i="53"/>
  <c r="H48" i="53" s="1"/>
  <c r="D46" i="53"/>
  <c r="D48" i="53" s="1"/>
  <c r="O7" i="49"/>
  <c r="O46" i="53"/>
  <c r="O48" i="53" s="1"/>
  <c r="K17" i="49"/>
  <c r="V17" i="49"/>
  <c r="K24" i="49"/>
  <c r="V24" i="49"/>
  <c r="AL9" i="53"/>
  <c r="AK5" i="53"/>
  <c r="O15" i="49"/>
  <c r="P15" i="49" s="1"/>
  <c r="O21" i="49"/>
  <c r="P21" i="49" s="1"/>
  <c r="T30" i="49"/>
  <c r="C4" i="29"/>
  <c r="I12" i="25"/>
  <c r="I19" i="25"/>
  <c r="J19" i="25" s="1"/>
  <c r="I5" i="25"/>
  <c r="J5" i="25" s="1"/>
  <c r="K5" i="25" s="1"/>
  <c r="I14" i="25"/>
  <c r="I17" i="25"/>
  <c r="I13" i="25"/>
  <c r="H22" i="25"/>
  <c r="I20" i="25"/>
  <c r="I18" i="25"/>
  <c r="J18" i="25" s="1"/>
  <c r="I16" i="25"/>
  <c r="J16" i="25" s="1"/>
  <c r="I6" i="25"/>
  <c r="J6" i="25" s="1"/>
  <c r="I11" i="25"/>
  <c r="J11" i="25" s="1"/>
  <c r="I10" i="25"/>
  <c r="J10" i="25" s="1"/>
  <c r="I8" i="25"/>
  <c r="J8" i="25" s="1"/>
  <c r="I15" i="25"/>
  <c r="J15" i="25" s="1"/>
  <c r="I7" i="25"/>
  <c r="J7" i="25" s="1"/>
  <c r="I9" i="25"/>
  <c r="J9" i="25" s="1"/>
  <c r="K31" i="60" l="1"/>
  <c r="V31" i="60"/>
  <c r="P7" i="49"/>
  <c r="O8" i="49"/>
  <c r="P8" i="49" s="1"/>
  <c r="O14" i="49"/>
  <c r="P14" i="49" s="1"/>
  <c r="J46" i="53"/>
  <c r="J48" i="53" s="1"/>
  <c r="K46" i="53"/>
  <c r="K48" i="53" s="1"/>
  <c r="C46" i="53"/>
  <c r="O20" i="49"/>
  <c r="P20" i="49" s="1"/>
  <c r="I46" i="53"/>
  <c r="I48" i="53" s="1"/>
  <c r="O16" i="49"/>
  <c r="P16" i="49" s="1"/>
  <c r="L46" i="53"/>
  <c r="L48" i="53" s="1"/>
  <c r="K28" i="49"/>
  <c r="V28" i="49"/>
  <c r="AM9" i="53"/>
  <c r="AL5" i="53"/>
  <c r="J17" i="25"/>
  <c r="K17" i="25" s="1"/>
  <c r="L17" i="25" s="1"/>
  <c r="J13" i="25"/>
  <c r="K13" i="25" s="1"/>
  <c r="L13" i="25" s="1"/>
  <c r="J14" i="25"/>
  <c r="K14" i="25" s="1"/>
  <c r="L14" i="25" s="1"/>
  <c r="J12" i="25"/>
  <c r="L5" i="25"/>
  <c r="K7" i="25"/>
  <c r="K9" i="25"/>
  <c r="C4" i="39" s="1"/>
  <c r="C5" i="39" s="1"/>
  <c r="K15" i="25"/>
  <c r="K19" i="25"/>
  <c r="L19" i="25" s="1"/>
  <c r="K11" i="25"/>
  <c r="L11" i="25" s="1"/>
  <c r="K16" i="25"/>
  <c r="K8" i="25"/>
  <c r="K10" i="25"/>
  <c r="C4" i="40" s="1"/>
  <c r="C5" i="40" s="1"/>
  <c r="K6" i="25"/>
  <c r="K18" i="25"/>
  <c r="L18" i="25" s="1"/>
  <c r="P22" i="49" l="1"/>
  <c r="P28" i="49" s="1"/>
  <c r="P30" i="49" s="1"/>
  <c r="O22" i="49"/>
  <c r="O28" i="49" s="1"/>
  <c r="K30" i="49"/>
  <c r="V30" i="49"/>
  <c r="AN9" i="53"/>
  <c r="J20" i="25"/>
  <c r="K12" i="25"/>
  <c r="L12" i="25" s="1"/>
  <c r="L15" i="25"/>
  <c r="C4" i="47"/>
  <c r="C5" i="47" s="1"/>
  <c r="L16" i="25"/>
  <c r="L8" i="25"/>
  <c r="L6" i="25"/>
  <c r="L7" i="25"/>
  <c r="L9" i="25"/>
  <c r="L10" i="25"/>
  <c r="O30" i="49" l="1"/>
  <c r="AM5" i="53"/>
  <c r="K20" i="25"/>
  <c r="L20" i="25"/>
  <c r="L22" i="25" s="1"/>
  <c r="P31" i="49" l="1"/>
  <c r="AN5" i="53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A10" i="18" l="1"/>
  <c r="C10" i="18"/>
  <c r="D10" i="18"/>
  <c r="E10" i="18"/>
  <c r="F10" i="18"/>
  <c r="G10" i="18"/>
  <c r="Q10" i="18"/>
  <c r="H10" i="18"/>
  <c r="I10" i="18"/>
  <c r="J10" i="18"/>
  <c r="K10" i="18"/>
  <c r="L10" i="18"/>
  <c r="M10" i="18"/>
  <c r="R10" i="18"/>
  <c r="O10" i="18"/>
  <c r="B11" i="18"/>
  <c r="C11" i="18"/>
  <c r="B12" i="18"/>
  <c r="C12" i="18"/>
  <c r="B13" i="18"/>
  <c r="C13" i="18"/>
  <c r="B14" i="18"/>
  <c r="C14" i="18"/>
  <c r="B15" i="18"/>
  <c r="C15" i="18"/>
  <c r="B16" i="18"/>
  <c r="C16" i="18"/>
  <c r="B17" i="18"/>
  <c r="C17" i="18"/>
  <c r="B18" i="18"/>
  <c r="C18" i="18"/>
  <c r="D18" i="18"/>
  <c r="B19" i="18"/>
  <c r="C19" i="18"/>
  <c r="D15" i="18"/>
  <c r="H37" i="17"/>
  <c r="I37" i="17" s="1"/>
  <c r="H36" i="17"/>
  <c r="I36" i="17" s="1"/>
  <c r="H35" i="17"/>
  <c r="I35" i="17" s="1"/>
  <c r="H33" i="17"/>
  <c r="I33" i="17" s="1"/>
  <c r="H27" i="17"/>
  <c r="I27" i="17" s="1"/>
  <c r="H32" i="17"/>
  <c r="I32" i="17" s="1"/>
  <c r="H26" i="17"/>
  <c r="I26" i="17" s="1"/>
  <c r="H21" i="17"/>
  <c r="I21" i="17" s="1"/>
  <c r="H17" i="17"/>
  <c r="I17" i="17" s="1"/>
  <c r="I16" i="17"/>
  <c r="H15" i="17"/>
  <c r="I15" i="17" s="1"/>
  <c r="H14" i="17"/>
  <c r="I14" i="17" s="1"/>
  <c r="I13" i="17"/>
  <c r="I12" i="17"/>
  <c r="I11" i="17"/>
  <c r="I10" i="17"/>
  <c r="H9" i="17"/>
  <c r="I9" i="17" s="1"/>
  <c r="I8" i="17"/>
  <c r="I7" i="17"/>
  <c r="I6" i="17"/>
  <c r="I5" i="17"/>
  <c r="H4" i="17"/>
  <c r="I4" i="17" s="1"/>
  <c r="I3" i="17"/>
  <c r="I38" i="17" l="1"/>
  <c r="J26" i="17" s="1"/>
  <c r="I18" i="17"/>
  <c r="J6" i="17" s="1"/>
  <c r="J32" i="17" l="1"/>
  <c r="J33" i="17"/>
  <c r="J37" i="17"/>
  <c r="J35" i="17"/>
  <c r="J36" i="17"/>
  <c r="J27" i="17"/>
  <c r="J38" i="17"/>
  <c r="J21" i="17"/>
  <c r="J17" i="17"/>
  <c r="F27" i="14" s="1"/>
  <c r="J12" i="17"/>
  <c r="J4" i="17"/>
  <c r="E27" i="14" s="1"/>
  <c r="J9" i="17"/>
  <c r="G27" i="14" s="1"/>
  <c r="J5" i="17"/>
  <c r="J14" i="17"/>
  <c r="I27" i="14" s="1"/>
  <c r="J11" i="17"/>
  <c r="J13" i="17"/>
  <c r="J15" i="17"/>
  <c r="H27" i="14" s="1"/>
  <c r="J8" i="17"/>
  <c r="J27" i="14" s="1"/>
  <c r="J16" i="17"/>
  <c r="J7" i="17"/>
  <c r="J3" i="17"/>
  <c r="J10" i="17"/>
  <c r="J2" i="17"/>
  <c r="D27" i="14" s="1"/>
  <c r="L31" i="14" l="1"/>
  <c r="J29" i="14"/>
  <c r="I31" i="14" l="1"/>
  <c r="G31" i="14"/>
  <c r="E31" i="14"/>
  <c r="M31" i="14"/>
  <c r="J31" i="14"/>
  <c r="O31" i="14"/>
  <c r="N31" i="14"/>
  <c r="H31" i="14"/>
  <c r="F31" i="14"/>
  <c r="D31" i="14"/>
  <c r="K31" i="14"/>
  <c r="N29" i="14"/>
  <c r="H29" i="14"/>
  <c r="F29" i="14"/>
  <c r="D29" i="14"/>
  <c r="K29" i="14"/>
  <c r="L29" i="14"/>
  <c r="O29" i="14"/>
  <c r="I29" i="14"/>
  <c r="G29" i="14"/>
  <c r="E29" i="14"/>
  <c r="M29" i="14"/>
  <c r="P31" i="14" l="1"/>
  <c r="P29" i="14"/>
  <c r="F42" i="2"/>
  <c r="F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41" i="2"/>
  <c r="B33" i="2"/>
  <c r="B34" i="2"/>
  <c r="B37" i="2"/>
  <c r="B27" i="2"/>
  <c r="B28" i="2"/>
  <c r="B29" i="2"/>
  <c r="B30" i="2"/>
  <c r="B31" i="2"/>
  <c r="B32" i="2"/>
  <c r="B35" i="2"/>
  <c r="B36" i="2"/>
  <c r="F65" i="2" l="1"/>
  <c r="B38" i="2"/>
  <c r="O27" i="14"/>
  <c r="N27" i="14"/>
  <c r="M27" i="14"/>
  <c r="P27" i="14" l="1"/>
  <c r="C52" i="14"/>
  <c r="O52" i="14" s="1"/>
  <c r="P52" i="14" s="1"/>
  <c r="W30" i="10" l="1"/>
  <c r="K30" i="10"/>
  <c r="L28" i="10"/>
  <c r="L26" i="10"/>
  <c r="L24" i="10"/>
  <c r="L22" i="10"/>
  <c r="W20" i="10"/>
  <c r="K20" i="10"/>
  <c r="L18" i="10"/>
  <c r="L16" i="10"/>
  <c r="L14" i="10"/>
  <c r="L12" i="10"/>
  <c r="L10" i="10"/>
  <c r="L8" i="10"/>
  <c r="L6" i="10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4" i="1"/>
  <c r="D25" i="1"/>
  <c r="D26" i="1"/>
  <c r="D27" i="1"/>
  <c r="D28" i="1"/>
  <c r="D29" i="1"/>
  <c r="D30" i="1"/>
  <c r="D31" i="1"/>
  <c r="D32" i="1"/>
  <c r="D33" i="1"/>
  <c r="D34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C53" i="14"/>
  <c r="D58" i="2"/>
  <c r="D57" i="2"/>
  <c r="D56" i="2"/>
  <c r="D55" i="2"/>
  <c r="D54" i="2"/>
  <c r="D52" i="2"/>
  <c r="D51" i="2"/>
  <c r="D50" i="2"/>
  <c r="D49" i="2"/>
  <c r="D48" i="2"/>
  <c r="D47" i="2"/>
  <c r="D46" i="2"/>
  <c r="D45" i="2"/>
  <c r="L30" i="10" l="1"/>
  <c r="D20" i="2"/>
  <c r="J20" i="2" s="1"/>
  <c r="D44" i="2"/>
  <c r="D43" i="2"/>
  <c r="C36" i="14"/>
  <c r="D53" i="2"/>
  <c r="C46" i="14"/>
  <c r="D42" i="2"/>
  <c r="C35" i="14"/>
  <c r="O35" i="14" s="1"/>
  <c r="P35" i="14" s="1"/>
  <c r="K53" i="14"/>
  <c r="L53" i="14"/>
  <c r="D53" i="14"/>
  <c r="J53" i="14"/>
  <c r="G53" i="14"/>
  <c r="F53" i="14"/>
  <c r="E53" i="14"/>
  <c r="I53" i="14"/>
  <c r="H53" i="14"/>
  <c r="M53" i="14"/>
  <c r="N53" i="14"/>
  <c r="O53" i="14"/>
  <c r="L20" i="10"/>
  <c r="D6" i="2"/>
  <c r="I6" i="2" s="1"/>
  <c r="I4" i="23"/>
  <c r="D59" i="2"/>
  <c r="C55" i="14"/>
  <c r="O55" i="14" s="1"/>
  <c r="P55" i="14" s="1"/>
  <c r="D61" i="2"/>
  <c r="C57" i="14"/>
  <c r="O57" i="14" s="1"/>
  <c r="P57" i="14" s="1"/>
  <c r="D63" i="2"/>
  <c r="D41" i="2"/>
  <c r="I2" i="23"/>
  <c r="C54" i="14"/>
  <c r="O54" i="14" s="1"/>
  <c r="P54" i="14" s="1"/>
  <c r="D60" i="2"/>
  <c r="C56" i="14"/>
  <c r="D62" i="2"/>
  <c r="C58" i="14"/>
  <c r="O58" i="14" s="1"/>
  <c r="P58" i="14" s="1"/>
  <c r="D64" i="2"/>
  <c r="C34" i="14"/>
  <c r="O34" i="14" s="1"/>
  <c r="P34" i="14" s="1"/>
  <c r="C37" i="14"/>
  <c r="O37" i="14" s="1"/>
  <c r="P37" i="14" s="1"/>
  <c r="C39" i="14"/>
  <c r="O39" i="14" s="1"/>
  <c r="P39" i="14" s="1"/>
  <c r="C41" i="14"/>
  <c r="O41" i="14" s="1"/>
  <c r="P41" i="14" s="1"/>
  <c r="C43" i="14"/>
  <c r="O43" i="14" s="1"/>
  <c r="P43" i="14" s="1"/>
  <c r="C45" i="14"/>
  <c r="O45" i="14" s="1"/>
  <c r="P45" i="14" s="1"/>
  <c r="C49" i="14"/>
  <c r="O49" i="14" s="1"/>
  <c r="P49" i="14" s="1"/>
  <c r="C51" i="14"/>
  <c r="O51" i="14" s="1"/>
  <c r="P51" i="14" s="1"/>
  <c r="C20" i="14"/>
  <c r="O20" i="14" s="1"/>
  <c r="P20" i="14" s="1"/>
  <c r="C40" i="14"/>
  <c r="O40" i="14" s="1"/>
  <c r="P40" i="14" s="1"/>
  <c r="C42" i="14"/>
  <c r="O42" i="14" s="1"/>
  <c r="P42" i="14" s="1"/>
  <c r="C44" i="14"/>
  <c r="O44" i="14" s="1"/>
  <c r="P44" i="14" s="1"/>
  <c r="C48" i="14"/>
  <c r="O48" i="14" s="1"/>
  <c r="P48" i="14" s="1"/>
  <c r="C50" i="14"/>
  <c r="O50" i="14" s="1"/>
  <c r="P50" i="14" s="1"/>
  <c r="H44" i="2"/>
  <c r="H49" i="2"/>
  <c r="H50" i="2"/>
  <c r="H57" i="2"/>
  <c r="H61" i="2"/>
  <c r="E343" i="4"/>
  <c r="F291" i="4"/>
  <c r="E38" i="4"/>
  <c r="D11" i="50"/>
  <c r="E18" i="1"/>
  <c r="F18" i="1" s="1"/>
  <c r="D22" i="2"/>
  <c r="C38" i="2"/>
  <c r="C65" i="2"/>
  <c r="E36" i="1"/>
  <c r="E37" i="1"/>
  <c r="E42" i="1"/>
  <c r="E44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H41" i="2"/>
  <c r="H47" i="2"/>
  <c r="H53" i="2"/>
  <c r="H58" i="2"/>
  <c r="H59" i="2"/>
  <c r="H60" i="2"/>
  <c r="H62" i="2"/>
  <c r="H63" i="2"/>
  <c r="G39" i="1"/>
  <c r="G42" i="1"/>
  <c r="H42" i="1" s="1"/>
  <c r="G44" i="1"/>
  <c r="H44" i="1" s="1"/>
  <c r="G45" i="1"/>
  <c r="G52" i="1"/>
  <c r="G53" i="1"/>
  <c r="G56" i="1"/>
  <c r="E59" i="1"/>
  <c r="F59" i="1" s="1"/>
  <c r="B23" i="2"/>
  <c r="D23" i="1"/>
  <c r="E58" i="4"/>
  <c r="E59" i="4"/>
  <c r="E61" i="4"/>
  <c r="E92" i="4"/>
  <c r="E115" i="4"/>
  <c r="E338" i="4"/>
  <c r="E347" i="4"/>
  <c r="E357" i="4"/>
  <c r="E45" i="1"/>
  <c r="F45" i="1" s="1"/>
  <c r="F34" i="10"/>
  <c r="G291" i="4" l="1"/>
  <c r="D27" i="50"/>
  <c r="S27" i="50" s="1"/>
  <c r="H11" i="50"/>
  <c r="S11" i="50"/>
  <c r="L11" i="50"/>
  <c r="L32" i="10"/>
  <c r="D13" i="50"/>
  <c r="S13" i="50" s="1"/>
  <c r="D10" i="50"/>
  <c r="C11" i="39"/>
  <c r="D12" i="50"/>
  <c r="S12" i="50" s="1"/>
  <c r="D26" i="50"/>
  <c r="S26" i="50" s="1"/>
  <c r="D22" i="50"/>
  <c r="S22" i="50" s="1"/>
  <c r="D19" i="50"/>
  <c r="S19" i="50" s="1"/>
  <c r="M6" i="39"/>
  <c r="I20" i="2"/>
  <c r="C11" i="40"/>
  <c r="F17" i="2"/>
  <c r="Y3" i="24" s="1"/>
  <c r="F18" i="2"/>
  <c r="H18" i="2" s="1"/>
  <c r="D65" i="2"/>
  <c r="J46" i="14"/>
  <c r="M46" i="14"/>
  <c r="O46" i="14"/>
  <c r="K46" i="14"/>
  <c r="F46" i="14"/>
  <c r="N46" i="14"/>
  <c r="G46" i="14"/>
  <c r="E46" i="14"/>
  <c r="I46" i="14"/>
  <c r="L46" i="14"/>
  <c r="D46" i="14"/>
  <c r="H46" i="14"/>
  <c r="J36" i="14"/>
  <c r="M36" i="14"/>
  <c r="O36" i="14"/>
  <c r="K36" i="14"/>
  <c r="F36" i="14"/>
  <c r="N36" i="14"/>
  <c r="G36" i="14"/>
  <c r="E36" i="14"/>
  <c r="I36" i="14"/>
  <c r="L36" i="14"/>
  <c r="D36" i="14"/>
  <c r="H36" i="14"/>
  <c r="P53" i="14"/>
  <c r="F14" i="2"/>
  <c r="N4" i="24" s="1"/>
  <c r="N3" i="24" s="1"/>
  <c r="F12" i="2"/>
  <c r="H12" i="2" s="1"/>
  <c r="F16" i="2"/>
  <c r="H16" i="2" s="1"/>
  <c r="I22" i="2"/>
  <c r="J22" i="2"/>
  <c r="F10" i="2"/>
  <c r="G13" i="1" s="1"/>
  <c r="F13" i="2"/>
  <c r="F11" i="2"/>
  <c r="D15" i="2"/>
  <c r="D18" i="2"/>
  <c r="D13" i="2"/>
  <c r="H56" i="1"/>
  <c r="H52" i="1"/>
  <c r="F9" i="2"/>
  <c r="E10" i="10" s="1"/>
  <c r="H53" i="1"/>
  <c r="D17" i="2"/>
  <c r="E329" i="4"/>
  <c r="E328" i="4"/>
  <c r="D35" i="2"/>
  <c r="I5" i="23"/>
  <c r="H45" i="1"/>
  <c r="C66" i="2"/>
  <c r="D32" i="2"/>
  <c r="D35" i="1"/>
  <c r="D60" i="1" s="1"/>
  <c r="B65" i="2"/>
  <c r="H65" i="2" s="1"/>
  <c r="D21" i="1"/>
  <c r="F28" i="10"/>
  <c r="F32" i="2"/>
  <c r="D14" i="2"/>
  <c r="C38" i="14"/>
  <c r="C47" i="14"/>
  <c r="M56" i="14"/>
  <c r="G56" i="14"/>
  <c r="O56" i="14"/>
  <c r="K56" i="14"/>
  <c r="F56" i="14"/>
  <c r="N56" i="14"/>
  <c r="J56" i="14"/>
  <c r="E56" i="14"/>
  <c r="I56" i="14"/>
  <c r="L56" i="14"/>
  <c r="D56" i="14"/>
  <c r="H56" i="14"/>
  <c r="F35" i="2"/>
  <c r="N3" i="14"/>
  <c r="C22" i="14"/>
  <c r="O22" i="14" s="1"/>
  <c r="P22" i="14" s="1"/>
  <c r="G18" i="1"/>
  <c r="H18" i="1" s="1"/>
  <c r="E438" i="4"/>
  <c r="E459" i="4"/>
  <c r="E20" i="1"/>
  <c r="F20" i="1" s="1"/>
  <c r="D12" i="2"/>
  <c r="D10" i="2"/>
  <c r="D11" i="2"/>
  <c r="G4" i="1"/>
  <c r="E28" i="10"/>
  <c r="G48" i="1"/>
  <c r="H48" i="1" s="1"/>
  <c r="E34" i="10"/>
  <c r="H34" i="10" s="1"/>
  <c r="D16" i="2"/>
  <c r="G51" i="1"/>
  <c r="H51" i="1" s="1"/>
  <c r="H56" i="2"/>
  <c r="G49" i="1"/>
  <c r="H49" i="1" s="1"/>
  <c r="H54" i="2"/>
  <c r="G47" i="1"/>
  <c r="H47" i="1" s="1"/>
  <c r="H52" i="2"/>
  <c r="G43" i="1"/>
  <c r="H48" i="2"/>
  <c r="G41" i="1"/>
  <c r="H46" i="2"/>
  <c r="G38" i="1"/>
  <c r="H43" i="2"/>
  <c r="G59" i="1"/>
  <c r="H59" i="1" s="1"/>
  <c r="H64" i="2"/>
  <c r="G20" i="1"/>
  <c r="G5" i="1"/>
  <c r="G50" i="1"/>
  <c r="H50" i="1" s="1"/>
  <c r="H55" i="2"/>
  <c r="G46" i="1"/>
  <c r="H46" i="1" s="1"/>
  <c r="H51" i="2"/>
  <c r="G40" i="1"/>
  <c r="H45" i="2"/>
  <c r="G37" i="1"/>
  <c r="H37" i="1" s="1"/>
  <c r="H42" i="2"/>
  <c r="G19" i="1"/>
  <c r="E462" i="4"/>
  <c r="F57" i="1"/>
  <c r="F55" i="1"/>
  <c r="F53" i="1"/>
  <c r="F51" i="1"/>
  <c r="F42" i="1"/>
  <c r="F36" i="1"/>
  <c r="F58" i="1"/>
  <c r="F56" i="1"/>
  <c r="F54" i="1"/>
  <c r="F52" i="1"/>
  <c r="F50" i="1"/>
  <c r="F44" i="1"/>
  <c r="F37" i="1"/>
  <c r="E452" i="4"/>
  <c r="E456" i="4"/>
  <c r="E447" i="4"/>
  <c r="E467" i="4"/>
  <c r="E460" i="4"/>
  <c r="E454" i="4"/>
  <c r="E450" i="4"/>
  <c r="E442" i="4"/>
  <c r="E43" i="1"/>
  <c r="F43" i="1" s="1"/>
  <c r="E41" i="1"/>
  <c r="F41" i="1" s="1"/>
  <c r="E40" i="1"/>
  <c r="F40" i="1" s="1"/>
  <c r="E39" i="1"/>
  <c r="F39" i="1" s="1"/>
  <c r="E38" i="1"/>
  <c r="F38" i="1" s="1"/>
  <c r="E153" i="4"/>
  <c r="G178" i="4"/>
  <c r="E123" i="4"/>
  <c r="E178" i="4"/>
  <c r="F31" i="2"/>
  <c r="F27" i="2"/>
  <c r="F37" i="2"/>
  <c r="F34" i="2"/>
  <c r="F33" i="2"/>
  <c r="F29" i="2"/>
  <c r="E342" i="4"/>
  <c r="E465" i="4"/>
  <c r="E461" i="4"/>
  <c r="E458" i="4"/>
  <c r="E455" i="4"/>
  <c r="E453" i="4"/>
  <c r="E451" i="4"/>
  <c r="E449" i="4"/>
  <c r="E445" i="4"/>
  <c r="E440" i="4"/>
  <c r="E448" i="4"/>
  <c r="E446" i="4"/>
  <c r="E444" i="4"/>
  <c r="E441" i="4"/>
  <c r="E290" i="4"/>
  <c r="E288" i="4"/>
  <c r="E286" i="4"/>
  <c r="E282" i="4"/>
  <c r="E281" i="4"/>
  <c r="E280" i="4"/>
  <c r="G35" i="1"/>
  <c r="E66" i="4"/>
  <c r="G36" i="1"/>
  <c r="H36" i="1" s="1"/>
  <c r="E22" i="4"/>
  <c r="E23" i="4"/>
  <c r="E25" i="4"/>
  <c r="E27" i="4"/>
  <c r="E32" i="4"/>
  <c r="F330" i="4"/>
  <c r="G330" i="4" s="1"/>
  <c r="E330" i="4"/>
  <c r="G57" i="1"/>
  <c r="H57" i="1" s="1"/>
  <c r="G54" i="1"/>
  <c r="H54" i="1" s="1"/>
  <c r="G58" i="1"/>
  <c r="H58" i="1" s="1"/>
  <c r="G55" i="1"/>
  <c r="H55" i="1" s="1"/>
  <c r="F48" i="1"/>
  <c r="F46" i="1"/>
  <c r="F49" i="1"/>
  <c r="F47" i="1"/>
  <c r="D29" i="50"/>
  <c r="S29" i="50" s="1"/>
  <c r="H27" i="50" l="1"/>
  <c r="L27" i="50"/>
  <c r="F9" i="50"/>
  <c r="F7" i="50" s="1"/>
  <c r="K7" i="50" s="1"/>
  <c r="C21" i="52"/>
  <c r="S10" i="50"/>
  <c r="H29" i="50"/>
  <c r="L29" i="50"/>
  <c r="D25" i="50"/>
  <c r="S25" i="50" s="1"/>
  <c r="H12" i="50"/>
  <c r="H10" i="50"/>
  <c r="H26" i="50"/>
  <c r="H19" i="50"/>
  <c r="H22" i="50"/>
  <c r="H14" i="50"/>
  <c r="H15" i="50"/>
  <c r="H13" i="50"/>
  <c r="L26" i="50"/>
  <c r="L13" i="50"/>
  <c r="L12" i="50"/>
  <c r="L10" i="50"/>
  <c r="I32" i="2"/>
  <c r="L22" i="50"/>
  <c r="D21" i="50"/>
  <c r="S21" i="50" s="1"/>
  <c r="D16" i="50"/>
  <c r="L19" i="50"/>
  <c r="I20" i="23"/>
  <c r="C8" i="29"/>
  <c r="S6" i="39"/>
  <c r="T6" i="39"/>
  <c r="N6" i="39"/>
  <c r="Q6" i="39"/>
  <c r="M14" i="39"/>
  <c r="R6" i="39"/>
  <c r="P6" i="39"/>
  <c r="O6" i="39"/>
  <c r="H14" i="2"/>
  <c r="K6" i="36"/>
  <c r="K14" i="36" s="1"/>
  <c r="M6" i="40"/>
  <c r="I17" i="2"/>
  <c r="E24" i="10"/>
  <c r="G8" i="1"/>
  <c r="E8" i="1"/>
  <c r="F8" i="1" s="1"/>
  <c r="T4" i="24"/>
  <c r="T3" i="24" s="1"/>
  <c r="T10" i="24" s="1"/>
  <c r="H17" i="2"/>
  <c r="F30" i="2"/>
  <c r="G32" i="1" s="1"/>
  <c r="J18" i="2"/>
  <c r="F19" i="2"/>
  <c r="X3" i="24" s="1"/>
  <c r="F15" i="2"/>
  <c r="J15" i="2" s="1"/>
  <c r="D7" i="2"/>
  <c r="I7" i="2" s="1"/>
  <c r="E16" i="10"/>
  <c r="U16" i="10" s="1"/>
  <c r="J12" i="2"/>
  <c r="J16" i="2"/>
  <c r="J4" i="24"/>
  <c r="J3" i="24" s="1"/>
  <c r="J10" i="24" s="1"/>
  <c r="G15" i="1"/>
  <c r="E8" i="10"/>
  <c r="U8" i="10" s="1"/>
  <c r="G10" i="1"/>
  <c r="R4" i="24"/>
  <c r="R3" i="24" s="1"/>
  <c r="R10" i="24" s="1"/>
  <c r="G17" i="1"/>
  <c r="J14" i="2"/>
  <c r="C16" i="14"/>
  <c r="N16" i="14" s="1"/>
  <c r="P16" i="14" s="1"/>
  <c r="P36" i="14"/>
  <c r="P46" i="14"/>
  <c r="E7" i="1"/>
  <c r="F7" i="1" s="1"/>
  <c r="H20" i="1"/>
  <c r="C6" i="14"/>
  <c r="L6" i="14" s="1"/>
  <c r="F4" i="24"/>
  <c r="F3" i="24" s="1"/>
  <c r="J13" i="2"/>
  <c r="I13" i="2"/>
  <c r="H13" i="2"/>
  <c r="I16" i="2"/>
  <c r="J17" i="2"/>
  <c r="I18" i="2"/>
  <c r="N11" i="24"/>
  <c r="N10" i="24"/>
  <c r="N7" i="24"/>
  <c r="F18" i="10"/>
  <c r="I14" i="2"/>
  <c r="I12" i="2"/>
  <c r="G24" i="1"/>
  <c r="I35" i="2"/>
  <c r="H11" i="2"/>
  <c r="J11" i="2"/>
  <c r="I11" i="2"/>
  <c r="H10" i="2"/>
  <c r="I10" i="2"/>
  <c r="J10" i="2"/>
  <c r="L4" i="24"/>
  <c r="G16" i="1"/>
  <c r="E18" i="10"/>
  <c r="G12" i="1"/>
  <c r="H35" i="2"/>
  <c r="E12" i="10"/>
  <c r="U12" i="10" s="1"/>
  <c r="P56" i="14"/>
  <c r="G14" i="1"/>
  <c r="E14" i="10"/>
  <c r="U14" i="10" s="1"/>
  <c r="L2" i="14"/>
  <c r="N2" i="14"/>
  <c r="N4" i="14" s="1"/>
  <c r="H28" i="10"/>
  <c r="I28" i="10" s="1"/>
  <c r="V28" i="10" s="1"/>
  <c r="D61" i="1"/>
  <c r="I19" i="23"/>
  <c r="D9" i="2"/>
  <c r="J9" i="2" s="1"/>
  <c r="G28" i="10"/>
  <c r="C14" i="14"/>
  <c r="H14" i="14" s="1"/>
  <c r="H2" i="14"/>
  <c r="I15" i="23"/>
  <c r="H9" i="2"/>
  <c r="F22" i="10"/>
  <c r="E22" i="10"/>
  <c r="H40" i="1"/>
  <c r="H38" i="1"/>
  <c r="H43" i="1"/>
  <c r="D3" i="14"/>
  <c r="D27" i="2"/>
  <c r="I27" i="2" s="1"/>
  <c r="K3" i="14"/>
  <c r="D34" i="2"/>
  <c r="I34" i="2" s="1"/>
  <c r="E3" i="14"/>
  <c r="D28" i="2"/>
  <c r="M3" i="14"/>
  <c r="D37" i="2"/>
  <c r="I37" i="2" s="1"/>
  <c r="I10" i="23"/>
  <c r="I11" i="23"/>
  <c r="I3" i="23"/>
  <c r="H1" i="23" s="1"/>
  <c r="F3" i="14"/>
  <c r="D29" i="2"/>
  <c r="I29" i="2" s="1"/>
  <c r="I23" i="23"/>
  <c r="H41" i="1"/>
  <c r="I22" i="23"/>
  <c r="I13" i="23"/>
  <c r="G3" i="14"/>
  <c r="D30" i="2"/>
  <c r="I12" i="23"/>
  <c r="I16" i="23"/>
  <c r="H39" i="1"/>
  <c r="G7" i="1"/>
  <c r="E17" i="1"/>
  <c r="F17" i="1" s="1"/>
  <c r="E9" i="1"/>
  <c r="F9" i="1" s="1"/>
  <c r="D19" i="2"/>
  <c r="E362" i="4"/>
  <c r="E34" i="1"/>
  <c r="F34" i="1" s="1"/>
  <c r="I3" i="14"/>
  <c r="B66" i="2"/>
  <c r="C7" i="14"/>
  <c r="J7" i="14" s="1"/>
  <c r="P7" i="14" s="1"/>
  <c r="J2" i="14"/>
  <c r="C11" i="14"/>
  <c r="E11" i="14" s="1"/>
  <c r="E2" i="14"/>
  <c r="L11" i="14" s="1"/>
  <c r="E6" i="14" s="1"/>
  <c r="E5" i="1"/>
  <c r="F5" i="1" s="1"/>
  <c r="C19" i="14"/>
  <c r="O19" i="14" s="1"/>
  <c r="P19" i="14" s="1"/>
  <c r="M47" i="14"/>
  <c r="G47" i="14"/>
  <c r="O47" i="14"/>
  <c r="K47" i="14"/>
  <c r="F47" i="14"/>
  <c r="N47" i="14"/>
  <c r="J47" i="14"/>
  <c r="E47" i="14"/>
  <c r="I47" i="14"/>
  <c r="L47" i="14"/>
  <c r="D47" i="14"/>
  <c r="H47" i="14"/>
  <c r="J38" i="14"/>
  <c r="E38" i="14"/>
  <c r="I38" i="14"/>
  <c r="L38" i="14"/>
  <c r="D38" i="14"/>
  <c r="H38" i="14"/>
  <c r="M38" i="14"/>
  <c r="G38" i="14"/>
  <c r="O38" i="14"/>
  <c r="K38" i="14"/>
  <c r="F38" i="14"/>
  <c r="N38" i="14"/>
  <c r="K2" i="14"/>
  <c r="C8" i="14"/>
  <c r="K8" i="14" s="1"/>
  <c r="P8" i="14" s="1"/>
  <c r="D2" i="14"/>
  <c r="L10" i="14" s="1"/>
  <c r="D6" i="14" s="1"/>
  <c r="C10" i="14"/>
  <c r="D10" i="14" s="1"/>
  <c r="F2" i="14"/>
  <c r="C12" i="14"/>
  <c r="F12" i="14" s="1"/>
  <c r="P12" i="14" s="1"/>
  <c r="C13" i="14"/>
  <c r="G13" i="14" s="1"/>
  <c r="P13" i="14" s="1"/>
  <c r="G2" i="14"/>
  <c r="J9" i="24"/>
  <c r="T9" i="24"/>
  <c r="F9" i="24"/>
  <c r="L9" i="24"/>
  <c r="P9" i="24"/>
  <c r="N9" i="24"/>
  <c r="O9" i="24" s="1"/>
  <c r="O8" i="24" s="1"/>
  <c r="N8" i="24" s="1"/>
  <c r="N15" i="24" s="1"/>
  <c r="R9" i="24"/>
  <c r="C59" i="14"/>
  <c r="C15" i="14"/>
  <c r="I15" i="14" s="1"/>
  <c r="P15" i="14" s="1"/>
  <c r="I2" i="14"/>
  <c r="G34" i="1"/>
  <c r="H32" i="2"/>
  <c r="D33" i="2"/>
  <c r="I33" i="2" s="1"/>
  <c r="E33" i="4"/>
  <c r="F147" i="4"/>
  <c r="E13" i="1"/>
  <c r="F13" i="1" s="1"/>
  <c r="E15" i="1"/>
  <c r="F15" i="1" s="1"/>
  <c r="F33" i="4"/>
  <c r="G33" i="4" s="1"/>
  <c r="H37" i="2"/>
  <c r="F26" i="10"/>
  <c r="U10" i="10"/>
  <c r="F358" i="4"/>
  <c r="E10" i="1"/>
  <c r="F10" i="1" s="1"/>
  <c r="G28" i="1"/>
  <c r="H31" i="2"/>
  <c r="E147" i="4"/>
  <c r="E16" i="1"/>
  <c r="F16" i="1" s="1"/>
  <c r="E358" i="4"/>
  <c r="E28" i="1"/>
  <c r="F28" i="1" s="1"/>
  <c r="E376" i="4"/>
  <c r="G377" i="4"/>
  <c r="E377" i="4"/>
  <c r="E291" i="4"/>
  <c r="E35" i="1"/>
  <c r="F35" i="1" s="1"/>
  <c r="E27" i="1"/>
  <c r="F27" i="1" s="1"/>
  <c r="E116" i="4"/>
  <c r="G116" i="4"/>
  <c r="E32" i="1"/>
  <c r="F32" i="1" s="1"/>
  <c r="E14" i="1"/>
  <c r="F14" i="1" s="1"/>
  <c r="E29" i="1"/>
  <c r="F29" i="1" s="1"/>
  <c r="E12" i="1"/>
  <c r="F12" i="1" s="1"/>
  <c r="E24" i="1"/>
  <c r="F24" i="1" s="1"/>
  <c r="F62" i="4"/>
  <c r="G62" i="4" s="1"/>
  <c r="E62" i="4"/>
  <c r="E90" i="4"/>
  <c r="F90" i="4"/>
  <c r="G358" i="4" l="1"/>
  <c r="F470" i="4"/>
  <c r="C484" i="4" s="1"/>
  <c r="G90" i="4"/>
  <c r="I15" i="2"/>
  <c r="G147" i="4"/>
  <c r="H19" i="2"/>
  <c r="L9" i="50"/>
  <c r="L7" i="50" s="1"/>
  <c r="K9" i="50"/>
  <c r="H25" i="50"/>
  <c r="H16" i="50"/>
  <c r="S16" i="50"/>
  <c r="L25" i="50"/>
  <c r="K30" i="50"/>
  <c r="K32" i="50" s="1"/>
  <c r="F30" i="50"/>
  <c r="F32" i="50" s="1"/>
  <c r="H21" i="50"/>
  <c r="D30" i="50"/>
  <c r="E10" i="50" s="1"/>
  <c r="C6" i="29"/>
  <c r="C11" i="48"/>
  <c r="C5" i="29"/>
  <c r="F36" i="2"/>
  <c r="L21" i="50"/>
  <c r="L16" i="50"/>
  <c r="C7" i="29"/>
  <c r="S6" i="40"/>
  <c r="T6" i="40"/>
  <c r="F8" i="2"/>
  <c r="F23" i="2" s="1"/>
  <c r="N14" i="39"/>
  <c r="O14" i="39" s="1"/>
  <c r="P14" i="39" s="1"/>
  <c r="Q14" i="39" s="1"/>
  <c r="R14" i="39" s="1"/>
  <c r="S14" i="39" s="1"/>
  <c r="T14" i="39" s="1"/>
  <c r="N23" i="14"/>
  <c r="N68" i="14" s="1"/>
  <c r="R11" i="18" s="1"/>
  <c r="J19" i="2"/>
  <c r="R6" i="40"/>
  <c r="Q6" i="40"/>
  <c r="O6" i="40"/>
  <c r="M14" i="40"/>
  <c r="N6" i="40"/>
  <c r="P6" i="40"/>
  <c r="C9" i="29"/>
  <c r="T11" i="24"/>
  <c r="Q6" i="36"/>
  <c r="L6" i="36"/>
  <c r="O6" i="36"/>
  <c r="M6" i="36"/>
  <c r="N6" i="36"/>
  <c r="P6" i="36"/>
  <c r="H8" i="1"/>
  <c r="C12" i="29"/>
  <c r="C11" i="29" s="1"/>
  <c r="M6" i="48"/>
  <c r="T6" i="48" s="1"/>
  <c r="P28" i="10"/>
  <c r="S28" i="10" s="1"/>
  <c r="U28" i="10" s="1"/>
  <c r="X28" i="10" s="1"/>
  <c r="U9" i="24"/>
  <c r="U8" i="24" s="1"/>
  <c r="T8" i="24" s="1"/>
  <c r="T15" i="24" s="1"/>
  <c r="I30" i="2"/>
  <c r="H30" i="2"/>
  <c r="T7" i="24"/>
  <c r="E6" i="10"/>
  <c r="U6" i="10" s="1"/>
  <c r="C18" i="26"/>
  <c r="D22" i="26" s="1"/>
  <c r="H15" i="2"/>
  <c r="H8" i="2" s="1"/>
  <c r="F16" i="10"/>
  <c r="H16" i="10" s="1"/>
  <c r="I16" i="10" s="1"/>
  <c r="F28" i="2"/>
  <c r="G9" i="1"/>
  <c r="H9" i="1" s="1"/>
  <c r="P4" i="24"/>
  <c r="P3" i="24" s="1"/>
  <c r="P7" i="24" s="1"/>
  <c r="H7" i="1"/>
  <c r="J7" i="24"/>
  <c r="S9" i="24"/>
  <c r="S8" i="24" s="1"/>
  <c r="R8" i="24" s="1"/>
  <c r="R15" i="24" s="1"/>
  <c r="K9" i="24"/>
  <c r="K8" i="24" s="1"/>
  <c r="J8" i="24" s="1"/>
  <c r="G18" i="10"/>
  <c r="J11" i="24"/>
  <c r="R7" i="24"/>
  <c r="R11" i="24"/>
  <c r="H34" i="1"/>
  <c r="G22" i="10"/>
  <c r="I9" i="2"/>
  <c r="I19" i="2"/>
  <c r="N6" i="24"/>
  <c r="N13" i="24" s="1"/>
  <c r="O13" i="24" s="1"/>
  <c r="F10" i="24"/>
  <c r="F7" i="24"/>
  <c r="F11" i="24"/>
  <c r="N22" i="24"/>
  <c r="N21" i="24"/>
  <c r="N23" i="24"/>
  <c r="N17" i="24"/>
  <c r="M9" i="24"/>
  <c r="M8" i="24" s="1"/>
  <c r="L3" i="24"/>
  <c r="L7" i="24" s="1"/>
  <c r="U18" i="10"/>
  <c r="H18" i="10"/>
  <c r="I18" i="10" s="1"/>
  <c r="G9" i="24"/>
  <c r="G8" i="24" s="1"/>
  <c r="F8" i="24" s="1"/>
  <c r="O59" i="14"/>
  <c r="O62" i="14" s="1"/>
  <c r="O69" i="14" s="1"/>
  <c r="O4" i="12" s="1"/>
  <c r="I4" i="14"/>
  <c r="P11" i="14"/>
  <c r="D59" i="14"/>
  <c r="D62" i="14" s="1"/>
  <c r="P6" i="14"/>
  <c r="P38" i="14"/>
  <c r="P47" i="14"/>
  <c r="H23" i="14"/>
  <c r="H68" i="14" s="1"/>
  <c r="K2" i="12" s="1"/>
  <c r="P14" i="14"/>
  <c r="P10" i="14"/>
  <c r="H14" i="23"/>
  <c r="D8" i="2"/>
  <c r="H22" i="10"/>
  <c r="I22" i="10" s="1"/>
  <c r="V22" i="10" s="1"/>
  <c r="H9" i="23"/>
  <c r="D36" i="2"/>
  <c r="H28" i="1"/>
  <c r="H17" i="1"/>
  <c r="H32" i="1"/>
  <c r="H14" i="1"/>
  <c r="H21" i="23"/>
  <c r="H16" i="1"/>
  <c r="H24" i="1"/>
  <c r="H12" i="1"/>
  <c r="H3" i="14"/>
  <c r="H4" i="14" s="1"/>
  <c r="D31" i="2"/>
  <c r="I31" i="2" s="1"/>
  <c r="I18" i="23"/>
  <c r="H17" i="23" s="1"/>
  <c r="H10" i="1"/>
  <c r="H5" i="1"/>
  <c r="H35" i="1"/>
  <c r="H13" i="1"/>
  <c r="H15" i="1"/>
  <c r="M2" i="14"/>
  <c r="M4" i="14" s="1"/>
  <c r="C9" i="14"/>
  <c r="M9" i="14" s="1"/>
  <c r="P9" i="14" s="1"/>
  <c r="B67" i="2"/>
  <c r="R12" i="18"/>
  <c r="L12" i="18"/>
  <c r="N59" i="14"/>
  <c r="K59" i="14"/>
  <c r="E59" i="14"/>
  <c r="D23" i="14"/>
  <c r="E25" i="1"/>
  <c r="F25" i="1" s="1"/>
  <c r="L3" i="14"/>
  <c r="E26" i="1"/>
  <c r="F26" i="1" s="1"/>
  <c r="J3" i="14"/>
  <c r="F59" i="14"/>
  <c r="I59" i="14"/>
  <c r="J59" i="14"/>
  <c r="G59" i="14"/>
  <c r="G4" i="14"/>
  <c r="F23" i="14"/>
  <c r="F68" i="14" s="1"/>
  <c r="I2" i="12" s="1"/>
  <c r="K23" i="14"/>
  <c r="K68" i="14" s="1"/>
  <c r="E2" i="12" s="1"/>
  <c r="E4" i="14"/>
  <c r="I23" i="14"/>
  <c r="I68" i="14" s="1"/>
  <c r="L2" i="12" s="1"/>
  <c r="H59" i="14"/>
  <c r="L59" i="14"/>
  <c r="M59" i="14"/>
  <c r="G23" i="14"/>
  <c r="G68" i="14" s="1"/>
  <c r="J2" i="12" s="1"/>
  <c r="F4" i="14"/>
  <c r="D4" i="14"/>
  <c r="K4" i="14"/>
  <c r="E23" i="14"/>
  <c r="E68" i="14" s="1"/>
  <c r="H2" i="12" s="1"/>
  <c r="J23" i="14"/>
  <c r="J68" i="14" s="1"/>
  <c r="D2" i="12" s="1"/>
  <c r="E26" i="10"/>
  <c r="H33" i="2"/>
  <c r="F6" i="10"/>
  <c r="H29" i="2"/>
  <c r="F14" i="10"/>
  <c r="H34" i="2"/>
  <c r="F8" i="10"/>
  <c r="H27" i="2"/>
  <c r="F10" i="10"/>
  <c r="G27" i="1"/>
  <c r="H27" i="1" s="1"/>
  <c r="E33" i="1"/>
  <c r="F33" i="1" s="1"/>
  <c r="G29" i="1"/>
  <c r="H29" i="1" s="1"/>
  <c r="G33" i="1"/>
  <c r="G26" i="1"/>
  <c r="G31" i="1"/>
  <c r="E11" i="1"/>
  <c r="F11" i="1" s="1"/>
  <c r="E31" i="1"/>
  <c r="F31" i="1" s="1"/>
  <c r="E30" i="1"/>
  <c r="F30" i="1" s="1"/>
  <c r="G11" i="1"/>
  <c r="C67" i="2"/>
  <c r="S30" i="50" l="1"/>
  <c r="E20" i="50"/>
  <c r="E12" i="50"/>
  <c r="N12" i="50" s="1"/>
  <c r="E21" i="50"/>
  <c r="E7" i="50"/>
  <c r="E24" i="50"/>
  <c r="N24" i="50" s="1"/>
  <c r="M24" i="50" s="1"/>
  <c r="O24" i="50" s="1"/>
  <c r="P24" i="50" s="1"/>
  <c r="E16" i="50"/>
  <c r="H30" i="50"/>
  <c r="E27" i="50"/>
  <c r="E28" i="50"/>
  <c r="E29" i="50"/>
  <c r="D32" i="50"/>
  <c r="S32" i="50" s="1"/>
  <c r="I36" i="2"/>
  <c r="F38" i="2"/>
  <c r="F66" i="2" s="1"/>
  <c r="H66" i="2" s="1"/>
  <c r="AG3" i="18"/>
  <c r="M2" i="12"/>
  <c r="T6" i="24"/>
  <c r="T13" i="24" s="1"/>
  <c r="U13" i="24" s="1"/>
  <c r="N63" i="14"/>
  <c r="N64" i="14" s="1"/>
  <c r="H36" i="2"/>
  <c r="H38" i="2" s="1"/>
  <c r="F24" i="10"/>
  <c r="G25" i="1"/>
  <c r="H25" i="1" s="1"/>
  <c r="L30" i="50"/>
  <c r="F12" i="10"/>
  <c r="H12" i="10" s="1"/>
  <c r="J8" i="2"/>
  <c r="C15" i="29"/>
  <c r="S6" i="48"/>
  <c r="N14" i="40"/>
  <c r="O14" i="40" s="1"/>
  <c r="P14" i="40" s="1"/>
  <c r="Q14" i="40" s="1"/>
  <c r="R14" i="40" s="1"/>
  <c r="S14" i="40" s="1"/>
  <c r="T14" i="40" s="1"/>
  <c r="R6" i="48"/>
  <c r="O6" i="48"/>
  <c r="Q6" i="48"/>
  <c r="M14" i="48"/>
  <c r="N6" i="48"/>
  <c r="P6" i="48"/>
  <c r="I28" i="2"/>
  <c r="L14" i="36"/>
  <c r="M14" i="36" s="1"/>
  <c r="N14" i="36" s="1"/>
  <c r="O14" i="36" s="1"/>
  <c r="P14" i="36" s="1"/>
  <c r="Q14" i="36" s="1"/>
  <c r="C17" i="29"/>
  <c r="C12" i="48"/>
  <c r="C13" i="48" s="1"/>
  <c r="U20" i="10"/>
  <c r="P11" i="24"/>
  <c r="P10" i="24"/>
  <c r="G16" i="10"/>
  <c r="G30" i="1"/>
  <c r="H30" i="1" s="1"/>
  <c r="H28" i="2"/>
  <c r="E38" i="10"/>
  <c r="E20" i="10"/>
  <c r="Q9" i="24"/>
  <c r="Q8" i="24" s="1"/>
  <c r="P8" i="24" s="1"/>
  <c r="P15" i="24" s="1"/>
  <c r="P21" i="24" s="1"/>
  <c r="J6" i="24"/>
  <c r="J13" i="24" s="1"/>
  <c r="K13" i="24" s="1"/>
  <c r="R6" i="24"/>
  <c r="R13" i="24" s="1"/>
  <c r="S13" i="24" s="1"/>
  <c r="H33" i="1"/>
  <c r="P18" i="10"/>
  <c r="X18" i="10" s="1"/>
  <c r="AB3" i="18"/>
  <c r="F6" i="24"/>
  <c r="L11" i="18"/>
  <c r="I8" i="2"/>
  <c r="T23" i="24"/>
  <c r="T22" i="24"/>
  <c r="T17" i="24"/>
  <c r="T21" i="24"/>
  <c r="H24" i="24"/>
  <c r="H27" i="24" s="1"/>
  <c r="H28" i="24" s="1"/>
  <c r="H22" i="24"/>
  <c r="H21" i="24"/>
  <c r="H23" i="24"/>
  <c r="H17" i="24"/>
  <c r="R23" i="24"/>
  <c r="R22" i="24"/>
  <c r="R21" i="24"/>
  <c r="R17" i="24"/>
  <c r="H23" i="2"/>
  <c r="R24" i="24"/>
  <c r="R27" i="24" s="1"/>
  <c r="R28" i="24" s="1"/>
  <c r="N24" i="24"/>
  <c r="N27" i="24" s="1"/>
  <c r="N28" i="24" s="1"/>
  <c r="T24" i="24"/>
  <c r="T27" i="24" s="1"/>
  <c r="T28" i="24" s="1"/>
  <c r="F15" i="24"/>
  <c r="V3" i="24"/>
  <c r="L10" i="24"/>
  <c r="L11" i="24"/>
  <c r="L8" i="24"/>
  <c r="J15" i="24"/>
  <c r="D38" i="2"/>
  <c r="H26" i="1"/>
  <c r="P3" i="14"/>
  <c r="D68" i="14"/>
  <c r="H11" i="18" s="1"/>
  <c r="G8" i="23"/>
  <c r="D63" i="14"/>
  <c r="D64" i="14" s="1"/>
  <c r="H11" i="1"/>
  <c r="M23" i="14"/>
  <c r="M68" i="14" s="1"/>
  <c r="F2" i="12" s="1"/>
  <c r="H31" i="1"/>
  <c r="K11" i="18"/>
  <c r="G11" i="18"/>
  <c r="F11" i="18"/>
  <c r="J11" i="18"/>
  <c r="I11" i="18"/>
  <c r="M11" i="18"/>
  <c r="M12" i="18"/>
  <c r="L13" i="18"/>
  <c r="R13" i="18"/>
  <c r="Q12" i="18"/>
  <c r="F12" i="18"/>
  <c r="K12" i="18"/>
  <c r="G12" i="18"/>
  <c r="J12" i="18"/>
  <c r="D14" i="18"/>
  <c r="I12" i="18"/>
  <c r="H12" i="18"/>
  <c r="D16" i="18"/>
  <c r="S3" i="18"/>
  <c r="AE3" i="18"/>
  <c r="K3" i="18"/>
  <c r="V3" i="18"/>
  <c r="P3" i="18"/>
  <c r="H3" i="18"/>
  <c r="Y3" i="18"/>
  <c r="G15" i="18"/>
  <c r="R15" i="18"/>
  <c r="E62" i="14"/>
  <c r="E69" i="14" s="1"/>
  <c r="N62" i="14"/>
  <c r="N69" i="14" s="1"/>
  <c r="M3" i="12" s="1"/>
  <c r="K62" i="14"/>
  <c r="K69" i="14" s="1"/>
  <c r="E3" i="12" s="1"/>
  <c r="E5" i="12" s="1"/>
  <c r="P59" i="14"/>
  <c r="J4" i="14"/>
  <c r="M62" i="14"/>
  <c r="M69" i="14" s="1"/>
  <c r="G62" i="14"/>
  <c r="G69" i="14" s="1"/>
  <c r="F62" i="14"/>
  <c r="F69" i="14" s="1"/>
  <c r="J62" i="14"/>
  <c r="J69" i="14" s="1"/>
  <c r="H62" i="14"/>
  <c r="H69" i="14" s="1"/>
  <c r="L62" i="14"/>
  <c r="L69" i="14" s="1"/>
  <c r="L4" i="14"/>
  <c r="L23" i="14"/>
  <c r="L68" i="14" s="1"/>
  <c r="I62" i="14"/>
  <c r="I69" i="14" s="1"/>
  <c r="G10" i="10"/>
  <c r="H10" i="10"/>
  <c r="I10" i="10" s="1"/>
  <c r="H8" i="10"/>
  <c r="G8" i="10"/>
  <c r="G26" i="10"/>
  <c r="H26" i="10"/>
  <c r="E30" i="10"/>
  <c r="H14" i="10"/>
  <c r="G14" i="10"/>
  <c r="H6" i="10"/>
  <c r="G6" i="10"/>
  <c r="E6" i="1"/>
  <c r="F6" i="1" s="1"/>
  <c r="G6" i="1"/>
  <c r="E23" i="1"/>
  <c r="F23" i="1" s="1"/>
  <c r="C496" i="4" l="1"/>
  <c r="N492" i="4"/>
  <c r="F20" i="10"/>
  <c r="G20" i="10" s="1"/>
  <c r="G12" i="10"/>
  <c r="G23" i="1"/>
  <c r="H23" i="1" s="1"/>
  <c r="H32" i="50"/>
  <c r="L32" i="50"/>
  <c r="E8" i="50"/>
  <c r="E9" i="50"/>
  <c r="E26" i="50"/>
  <c r="E23" i="50"/>
  <c r="N23" i="50" s="1"/>
  <c r="N10" i="50"/>
  <c r="M10" i="50" s="1"/>
  <c r="E19" i="50"/>
  <c r="N19" i="50" s="1"/>
  <c r="E11" i="50"/>
  <c r="N11" i="50" s="1"/>
  <c r="M11" i="50" s="1"/>
  <c r="E25" i="50"/>
  <c r="N7" i="50"/>
  <c r="N21" i="50"/>
  <c r="M21" i="50" s="1"/>
  <c r="O21" i="50" s="1"/>
  <c r="P21" i="50" s="1"/>
  <c r="E13" i="50"/>
  <c r="N13" i="50" s="1"/>
  <c r="M13" i="50" s="1"/>
  <c r="E18" i="50"/>
  <c r="N18" i="50" s="1"/>
  <c r="E17" i="50"/>
  <c r="N17" i="50" s="1"/>
  <c r="N20" i="50"/>
  <c r="M12" i="50"/>
  <c r="E22" i="50"/>
  <c r="N22" i="50" s="1"/>
  <c r="N16" i="50"/>
  <c r="M16" i="50" s="1"/>
  <c r="O16" i="50" s="1"/>
  <c r="P16" i="50" s="1"/>
  <c r="G24" i="10"/>
  <c r="H24" i="10"/>
  <c r="I24" i="10" s="1"/>
  <c r="V24" i="10" s="1"/>
  <c r="F30" i="10"/>
  <c r="G30" i="10" s="1"/>
  <c r="N14" i="48"/>
  <c r="O14" i="48" s="1"/>
  <c r="P14" i="48" s="1"/>
  <c r="Q14" i="48" s="1"/>
  <c r="R14" i="48" s="1"/>
  <c r="S14" i="48" s="1"/>
  <c r="T14" i="48" s="1"/>
  <c r="M7" i="48"/>
  <c r="P6" i="24"/>
  <c r="P13" i="24" s="1"/>
  <c r="Q13" i="24" s="1"/>
  <c r="P17" i="24"/>
  <c r="P23" i="24"/>
  <c r="P22" i="24"/>
  <c r="Q11" i="18"/>
  <c r="L6" i="24"/>
  <c r="L13" i="24" s="1"/>
  <c r="M13" i="24" s="1"/>
  <c r="F23" i="24"/>
  <c r="F22" i="24"/>
  <c r="F21" i="24"/>
  <c r="F24" i="24"/>
  <c r="F26" i="24" s="1"/>
  <c r="F17" i="24"/>
  <c r="J23" i="24"/>
  <c r="J22" i="24"/>
  <c r="J21" i="24"/>
  <c r="J17" i="24"/>
  <c r="J24" i="24"/>
  <c r="J27" i="24" s="1"/>
  <c r="J28" i="24" s="1"/>
  <c r="L15" i="24"/>
  <c r="G2" i="12"/>
  <c r="D69" i="14"/>
  <c r="P69" i="14" s="1"/>
  <c r="O14" i="18" s="1"/>
  <c r="P62" i="14"/>
  <c r="H6" i="1"/>
  <c r="M3" i="18"/>
  <c r="D66" i="2"/>
  <c r="L70" i="14"/>
  <c r="L71" i="14" s="1"/>
  <c r="E11" i="18"/>
  <c r="C2" i="12"/>
  <c r="H70" i="14"/>
  <c r="H71" i="14" s="1"/>
  <c r="K3" i="12"/>
  <c r="K5" i="12" s="1"/>
  <c r="M70" i="14"/>
  <c r="M71" i="14" s="1"/>
  <c r="F3" i="12"/>
  <c r="F5" i="12" s="1"/>
  <c r="I70" i="14"/>
  <c r="I71" i="14" s="1"/>
  <c r="L3" i="12"/>
  <c r="L5" i="12" s="1"/>
  <c r="C3" i="12"/>
  <c r="J70" i="14"/>
  <c r="J71" i="14" s="1"/>
  <c r="D3" i="12"/>
  <c r="D5" i="12" s="1"/>
  <c r="G70" i="14"/>
  <c r="G71" i="14" s="1"/>
  <c r="J3" i="12"/>
  <c r="J5" i="12" s="1"/>
  <c r="F70" i="14"/>
  <c r="F71" i="14" s="1"/>
  <c r="I3" i="12"/>
  <c r="I5" i="12" s="1"/>
  <c r="E70" i="14"/>
  <c r="E71" i="14" s="1"/>
  <c r="H3" i="12"/>
  <c r="H5" i="12" s="1"/>
  <c r="M5" i="12"/>
  <c r="N70" i="14"/>
  <c r="N71" i="14" s="1"/>
  <c r="K70" i="14"/>
  <c r="K71" i="14" s="1"/>
  <c r="M14" i="18"/>
  <c r="F14" i="18"/>
  <c r="K14" i="18"/>
  <c r="L14" i="18"/>
  <c r="J14" i="18"/>
  <c r="Q14" i="18"/>
  <c r="I14" i="18"/>
  <c r="J13" i="18"/>
  <c r="G13" i="18"/>
  <c r="K13" i="18"/>
  <c r="F13" i="18"/>
  <c r="Q13" i="18"/>
  <c r="M13" i="18"/>
  <c r="E14" i="18"/>
  <c r="I13" i="18"/>
  <c r="H13" i="18"/>
  <c r="E12" i="18"/>
  <c r="R14" i="18"/>
  <c r="G14" i="18"/>
  <c r="AF4" i="18"/>
  <c r="Q4" i="18"/>
  <c r="AC4" i="18"/>
  <c r="W4" i="18"/>
  <c r="N4" i="18"/>
  <c r="L4" i="18"/>
  <c r="E3" i="18"/>
  <c r="F4" i="18"/>
  <c r="I4" i="18"/>
  <c r="Z4" i="18"/>
  <c r="AH4" i="18"/>
  <c r="T4" i="18"/>
  <c r="AH5" i="18"/>
  <c r="L5" i="18"/>
  <c r="AI4" i="18"/>
  <c r="H63" i="14"/>
  <c r="H64" i="14" s="1"/>
  <c r="F63" i="14"/>
  <c r="F64" i="14" s="1"/>
  <c r="M63" i="14"/>
  <c r="M64" i="14" s="1"/>
  <c r="K63" i="14"/>
  <c r="L6" i="18" s="1"/>
  <c r="J63" i="14"/>
  <c r="I6" i="18" s="1"/>
  <c r="G63" i="14"/>
  <c r="E63" i="14"/>
  <c r="AH6" i="18"/>
  <c r="I63" i="14"/>
  <c r="L63" i="14"/>
  <c r="I14" i="10"/>
  <c r="P14" i="10"/>
  <c r="X14" i="10" s="1"/>
  <c r="I26" i="10"/>
  <c r="V26" i="10" s="1"/>
  <c r="I6" i="10"/>
  <c r="H20" i="10"/>
  <c r="E32" i="10"/>
  <c r="E36" i="10" s="1"/>
  <c r="I8" i="10"/>
  <c r="P8" i="10"/>
  <c r="X8" i="10" s="1"/>
  <c r="I12" i="10"/>
  <c r="P12" i="10"/>
  <c r="X12" i="10" s="1"/>
  <c r="F67" i="2"/>
  <c r="H67" i="2" s="1"/>
  <c r="G21" i="1"/>
  <c r="E60" i="1"/>
  <c r="F60" i="1" s="1"/>
  <c r="G60" i="1"/>
  <c r="F32" i="10" l="1"/>
  <c r="G32" i="10" s="1"/>
  <c r="F22" i="52"/>
  <c r="F10" i="52" s="1"/>
  <c r="F23" i="52" s="1"/>
  <c r="O11" i="50"/>
  <c r="P11" i="50" s="1"/>
  <c r="D22" i="52"/>
  <c r="D10" i="52" s="1"/>
  <c r="D23" i="52" s="1"/>
  <c r="O13" i="50"/>
  <c r="P13" i="50" s="1"/>
  <c r="G22" i="52"/>
  <c r="G10" i="52" s="1"/>
  <c r="G23" i="52" s="1"/>
  <c r="O10" i="50"/>
  <c r="P10" i="50" s="1"/>
  <c r="E22" i="52"/>
  <c r="E10" i="52" s="1"/>
  <c r="E23" i="52" s="1"/>
  <c r="H30" i="10"/>
  <c r="I30" i="10" s="1"/>
  <c r="E30" i="50"/>
  <c r="M17" i="50"/>
  <c r="M7" i="50"/>
  <c r="M19" i="50"/>
  <c r="M23" i="50"/>
  <c r="M22" i="50"/>
  <c r="M20" i="50"/>
  <c r="M18" i="50"/>
  <c r="O18" i="50" s="1"/>
  <c r="O12" i="50"/>
  <c r="P12" i="50" s="1"/>
  <c r="N25" i="50"/>
  <c r="S7" i="48"/>
  <c r="T7" i="48"/>
  <c r="R7" i="48"/>
  <c r="N7" i="48"/>
  <c r="P7" i="48"/>
  <c r="Q7" i="48"/>
  <c r="O7" i="48"/>
  <c r="M15" i="48"/>
  <c r="M8" i="48"/>
  <c r="F27" i="24"/>
  <c r="F28" i="24" s="1"/>
  <c r="L23" i="24"/>
  <c r="L22" i="24"/>
  <c r="L21" i="24"/>
  <c r="L17" i="24"/>
  <c r="L24" i="24"/>
  <c r="L26" i="24" s="1"/>
  <c r="G3" i="12"/>
  <c r="G5" i="12" s="1"/>
  <c r="H14" i="18"/>
  <c r="D70" i="14"/>
  <c r="H60" i="1"/>
  <c r="C5" i="12"/>
  <c r="K64" i="14"/>
  <c r="F16" i="18"/>
  <c r="F15" i="18"/>
  <c r="J64" i="14"/>
  <c r="E13" i="18"/>
  <c r="Q15" i="18"/>
  <c r="F17" i="18"/>
  <c r="G17" i="18"/>
  <c r="G16" i="18"/>
  <c r="R17" i="18"/>
  <c r="R16" i="18"/>
  <c r="E64" i="14"/>
  <c r="G64" i="14"/>
  <c r="N5" i="18"/>
  <c r="I5" i="18"/>
  <c r="N6" i="18"/>
  <c r="L64" i="14"/>
  <c r="I64" i="14"/>
  <c r="G61" i="1"/>
  <c r="F36" i="10" l="1"/>
  <c r="G36" i="10" s="1"/>
  <c r="H32" i="10"/>
  <c r="I32" i="10" s="1"/>
  <c r="O23" i="50"/>
  <c r="P23" i="50" s="1"/>
  <c r="J22" i="52"/>
  <c r="J10" i="52" s="1"/>
  <c r="J23" i="52" s="1"/>
  <c r="O7" i="50"/>
  <c r="P7" i="50" s="1"/>
  <c r="C22" i="52"/>
  <c r="C10" i="52" s="1"/>
  <c r="C23" i="52" s="1"/>
  <c r="O19" i="50"/>
  <c r="P19" i="50" s="1"/>
  <c r="L22" i="52"/>
  <c r="L10" i="52" s="1"/>
  <c r="L23" i="52" s="1"/>
  <c r="O22" i="50"/>
  <c r="P22" i="50" s="1"/>
  <c r="I22" i="52"/>
  <c r="I10" i="52" s="1"/>
  <c r="I23" i="52" s="1"/>
  <c r="O17" i="50"/>
  <c r="P17" i="50" s="1"/>
  <c r="K22" i="52"/>
  <c r="K10" i="52" s="1"/>
  <c r="K23" i="52" s="1"/>
  <c r="O20" i="50"/>
  <c r="P20" i="50" s="1"/>
  <c r="H22" i="52"/>
  <c r="H10" i="52" s="1"/>
  <c r="H23" i="52" s="1"/>
  <c r="P18" i="50"/>
  <c r="M22" i="52"/>
  <c r="M10" i="52" s="1"/>
  <c r="M23" i="52" s="1"/>
  <c r="N30" i="50"/>
  <c r="M25" i="50"/>
  <c r="S8" i="48"/>
  <c r="T8" i="48"/>
  <c r="N15" i="48"/>
  <c r="O15" i="48" s="1"/>
  <c r="P15" i="48" s="1"/>
  <c r="Q15" i="48" s="1"/>
  <c r="R15" i="48" s="1"/>
  <c r="S15" i="48" s="1"/>
  <c r="T15" i="48" s="1"/>
  <c r="M16" i="48"/>
  <c r="Q8" i="48"/>
  <c r="R8" i="48"/>
  <c r="O8" i="48"/>
  <c r="P8" i="48"/>
  <c r="N8" i="48"/>
  <c r="C12" i="39"/>
  <c r="C13" i="39" s="1"/>
  <c r="C12" i="40"/>
  <c r="C13" i="40" s="1"/>
  <c r="L27" i="24"/>
  <c r="L28" i="24" s="1"/>
  <c r="O3" i="12"/>
  <c r="D71" i="14"/>
  <c r="Q16" i="18"/>
  <c r="E15" i="18"/>
  <c r="N6" i="10"/>
  <c r="N24" i="10"/>
  <c r="P24" i="10" s="1"/>
  <c r="S24" i="10" s="1"/>
  <c r="U24" i="10" s="1"/>
  <c r="X24" i="10" s="1"/>
  <c r="N10" i="10"/>
  <c r="P10" i="10" s="1"/>
  <c r="N16" i="10"/>
  <c r="P16" i="10" s="1"/>
  <c r="N26" i="10"/>
  <c r="P26" i="10" s="1"/>
  <c r="H36" i="10" l="1"/>
  <c r="I36" i="10" s="1"/>
  <c r="O25" i="50"/>
  <c r="M30" i="50"/>
  <c r="C12" i="47"/>
  <c r="C13" i="47" s="1"/>
  <c r="N16" i="48"/>
  <c r="O16" i="48" s="1"/>
  <c r="P16" i="48" s="1"/>
  <c r="Q16" i="48" s="1"/>
  <c r="R16" i="48" s="1"/>
  <c r="S16" i="48" s="1"/>
  <c r="T16" i="48" s="1"/>
  <c r="C12" i="36"/>
  <c r="C13" i="36" s="1"/>
  <c r="Q17" i="18"/>
  <c r="E16" i="18"/>
  <c r="F5" i="18"/>
  <c r="F6" i="18"/>
  <c r="X16" i="10"/>
  <c r="S26" i="10"/>
  <c r="U26" i="10" s="1"/>
  <c r="X26" i="10" s="1"/>
  <c r="X10" i="10"/>
  <c r="N20" i="10"/>
  <c r="P6" i="10"/>
  <c r="N22" i="10"/>
  <c r="P25" i="50" l="1"/>
  <c r="P30" i="50" s="1"/>
  <c r="P32" i="50" s="1"/>
  <c r="O30" i="50"/>
  <c r="M7" i="40"/>
  <c r="M7" i="39"/>
  <c r="M7" i="47"/>
  <c r="E17" i="18"/>
  <c r="P20" i="10"/>
  <c r="Q6" i="10" s="1"/>
  <c r="X6" i="10"/>
  <c r="N30" i="10"/>
  <c r="N32" i="10" s="1"/>
  <c r="L34" i="10" s="1"/>
  <c r="P22" i="10"/>
  <c r="S7" i="47" l="1"/>
  <c r="T7" i="47"/>
  <c r="S7" i="39"/>
  <c r="T7" i="39"/>
  <c r="S7" i="40"/>
  <c r="T7" i="40"/>
  <c r="P7" i="47"/>
  <c r="R7" i="47"/>
  <c r="N7" i="47"/>
  <c r="M15" i="47"/>
  <c r="O7" i="47"/>
  <c r="Q7" i="47"/>
  <c r="M8" i="47"/>
  <c r="R7" i="39"/>
  <c r="P7" i="39"/>
  <c r="Q7" i="39"/>
  <c r="O7" i="39"/>
  <c r="N7" i="39"/>
  <c r="M15" i="39"/>
  <c r="M8" i="39"/>
  <c r="Q7" i="40"/>
  <c r="N7" i="40"/>
  <c r="O7" i="40"/>
  <c r="R7" i="40"/>
  <c r="P7" i="40"/>
  <c r="M15" i="40"/>
  <c r="M8" i="40"/>
  <c r="K7" i="36"/>
  <c r="G5" i="29"/>
  <c r="E5" i="29"/>
  <c r="G10" i="29"/>
  <c r="E10" i="29"/>
  <c r="G12" i="29"/>
  <c r="E12" i="29"/>
  <c r="G8" i="29"/>
  <c r="E8" i="29"/>
  <c r="G9" i="29"/>
  <c r="E9" i="29"/>
  <c r="G6" i="29"/>
  <c r="E6" i="29"/>
  <c r="G13" i="29"/>
  <c r="E13" i="29"/>
  <c r="E17" i="29"/>
  <c r="E4" i="29"/>
  <c r="G7" i="29"/>
  <c r="E7" i="29"/>
  <c r="S6" i="10"/>
  <c r="S22" i="10"/>
  <c r="P30" i="10"/>
  <c r="P32" i="10" s="1"/>
  <c r="Q12" i="10"/>
  <c r="S12" i="10" s="1"/>
  <c r="Q18" i="10"/>
  <c r="S18" i="10" s="1"/>
  <c r="Q14" i="10"/>
  <c r="S14" i="10" s="1"/>
  <c r="X20" i="10"/>
  <c r="X36" i="10" s="1"/>
  <c r="Q8" i="10"/>
  <c r="Q16" i="10"/>
  <c r="S16" i="10" s="1"/>
  <c r="Q10" i="10"/>
  <c r="S10" i="10" s="1"/>
  <c r="S8" i="40" l="1"/>
  <c r="T8" i="40"/>
  <c r="S8" i="39"/>
  <c r="T8" i="39"/>
  <c r="S8" i="47"/>
  <c r="T8" i="47"/>
  <c r="Q8" i="40"/>
  <c r="P8" i="40"/>
  <c r="N8" i="40"/>
  <c r="R8" i="40"/>
  <c r="O8" i="40"/>
  <c r="N15" i="39"/>
  <c r="O15" i="39" s="1"/>
  <c r="P15" i="39" s="1"/>
  <c r="Q15" i="39" s="1"/>
  <c r="R15" i="39" s="1"/>
  <c r="S15" i="39" s="1"/>
  <c r="T15" i="39" s="1"/>
  <c r="M16" i="39"/>
  <c r="N15" i="47"/>
  <c r="O15" i="47" s="1"/>
  <c r="P15" i="47" s="1"/>
  <c r="Q15" i="47" s="1"/>
  <c r="R15" i="47" s="1"/>
  <c r="S15" i="47" s="1"/>
  <c r="T15" i="47" s="1"/>
  <c r="M16" i="47"/>
  <c r="N15" i="40"/>
  <c r="O15" i="40" s="1"/>
  <c r="P15" i="40" s="1"/>
  <c r="Q15" i="40" s="1"/>
  <c r="R15" i="40" s="1"/>
  <c r="S15" i="40" s="1"/>
  <c r="T15" i="40" s="1"/>
  <c r="M16" i="40"/>
  <c r="N16" i="40" s="1"/>
  <c r="O8" i="47"/>
  <c r="N8" i="47"/>
  <c r="R8" i="47"/>
  <c r="Q8" i="47"/>
  <c r="P8" i="47"/>
  <c r="Q8" i="39"/>
  <c r="R8" i="39"/>
  <c r="N8" i="39"/>
  <c r="P8" i="39"/>
  <c r="O8" i="39"/>
  <c r="Q7" i="36"/>
  <c r="K15" i="36"/>
  <c r="N7" i="36"/>
  <c r="L7" i="36"/>
  <c r="P7" i="36"/>
  <c r="M7" i="36"/>
  <c r="O7" i="36"/>
  <c r="F8" i="36"/>
  <c r="E11" i="29"/>
  <c r="E15" i="29" s="1"/>
  <c r="G11" i="29"/>
  <c r="F17" i="29"/>
  <c r="G17" i="29"/>
  <c r="G4" i="29"/>
  <c r="G15" i="29" s="1"/>
  <c r="F8" i="29"/>
  <c r="F10" i="29"/>
  <c r="F7" i="29"/>
  <c r="F13" i="29"/>
  <c r="F5" i="29"/>
  <c r="F12" i="29"/>
  <c r="F6" i="29"/>
  <c r="F9" i="29"/>
  <c r="F4" i="29"/>
  <c r="Q20" i="10"/>
  <c r="S8" i="10"/>
  <c r="S20" i="10" s="1"/>
  <c r="U22" i="10"/>
  <c r="S30" i="10"/>
  <c r="O16" i="40" l="1"/>
  <c r="P16" i="40" s="1"/>
  <c r="Q16" i="40" s="1"/>
  <c r="R16" i="40" s="1"/>
  <c r="S16" i="40" s="1"/>
  <c r="T16" i="40" s="1"/>
  <c r="N16" i="39"/>
  <c r="O16" i="39" s="1"/>
  <c r="P16" i="39" s="1"/>
  <c r="Q16" i="39" s="1"/>
  <c r="R16" i="39" s="1"/>
  <c r="S16" i="39" s="1"/>
  <c r="T16" i="39" s="1"/>
  <c r="N16" i="47"/>
  <c r="O16" i="47" s="1"/>
  <c r="P16" i="47" s="1"/>
  <c r="Q16" i="47" s="1"/>
  <c r="R16" i="47" s="1"/>
  <c r="S16" i="47" s="1"/>
  <c r="T16" i="47" s="1"/>
  <c r="K8" i="36"/>
  <c r="K16" i="36" s="1"/>
  <c r="N8" i="36"/>
  <c r="G8" i="36"/>
  <c r="J8" i="36"/>
  <c r="M8" i="36"/>
  <c r="P8" i="36"/>
  <c r="H8" i="36"/>
  <c r="Q8" i="36"/>
  <c r="I8" i="36"/>
  <c r="L8" i="36"/>
  <c r="O8" i="36"/>
  <c r="L15" i="36"/>
  <c r="M15" i="36" s="1"/>
  <c r="N15" i="36" s="1"/>
  <c r="O15" i="36" s="1"/>
  <c r="P15" i="36" s="1"/>
  <c r="Q15" i="36" s="1"/>
  <c r="F11" i="29"/>
  <c r="F15" i="29" s="1"/>
  <c r="H4" i="29"/>
  <c r="H9" i="29"/>
  <c r="H13" i="29"/>
  <c r="H8" i="29"/>
  <c r="H6" i="29"/>
  <c r="H12" i="29"/>
  <c r="H5" i="29"/>
  <c r="H7" i="29"/>
  <c r="H10" i="29"/>
  <c r="H17" i="29"/>
  <c r="S32" i="10"/>
  <c r="E39" i="10"/>
  <c r="E40" i="10" s="1"/>
  <c r="U30" i="10"/>
  <c r="U32" i="10" s="1"/>
  <c r="X22" i="10"/>
  <c r="X30" i="10" s="1"/>
  <c r="L16" i="36" l="1"/>
  <c r="M16" i="36" s="1"/>
  <c r="N16" i="36" s="1"/>
  <c r="O16" i="36" s="1"/>
  <c r="P16" i="36" s="1"/>
  <c r="Q16" i="36" s="1"/>
  <c r="H11" i="29"/>
  <c r="H15" i="29" s="1"/>
  <c r="E4" i="1"/>
  <c r="C18" i="14"/>
  <c r="C23" i="14" s="1"/>
  <c r="J15" i="29" l="1"/>
  <c r="K8" i="29" s="1"/>
  <c r="L8" i="29" s="1"/>
  <c r="O8" i="29" s="1"/>
  <c r="Q8" i="29" s="1"/>
  <c r="J23" i="2"/>
  <c r="I23" i="2"/>
  <c r="F4" i="1"/>
  <c r="H4" i="1"/>
  <c r="O18" i="14"/>
  <c r="P18" i="14" s="1"/>
  <c r="D67" i="2"/>
  <c r="E21" i="1"/>
  <c r="K11" i="29" l="1"/>
  <c r="L11" i="29" s="1"/>
  <c r="O11" i="29" s="1"/>
  <c r="Q11" i="29" s="1"/>
  <c r="K10" i="29"/>
  <c r="L10" i="29" s="1"/>
  <c r="O10" i="29" s="1"/>
  <c r="K6" i="29"/>
  <c r="L6" i="29" s="1"/>
  <c r="O6" i="29" s="1"/>
  <c r="Q6" i="29" s="1"/>
  <c r="K5" i="29"/>
  <c r="L5" i="29" s="1"/>
  <c r="O5" i="29" s="1"/>
  <c r="Q5" i="29" s="1"/>
  <c r="K4" i="29"/>
  <c r="L4" i="29" s="1"/>
  <c r="K7" i="29"/>
  <c r="L7" i="29" s="1"/>
  <c r="O7" i="29" s="1"/>
  <c r="Q7" i="29" s="1"/>
  <c r="F21" i="1"/>
  <c r="H21" i="1"/>
  <c r="E61" i="1"/>
  <c r="L15" i="29" l="1"/>
  <c r="O15" i="29"/>
  <c r="O19" i="29" s="1"/>
  <c r="P23" i="14"/>
  <c r="J25" i="14" s="1"/>
  <c r="F61" i="1"/>
  <c r="H61" i="1"/>
  <c r="D12" i="18"/>
  <c r="O12" i="18"/>
  <c r="M25" i="14" l="1"/>
  <c r="G25" i="14"/>
  <c r="H25" i="14"/>
  <c r="K25" i="14"/>
  <c r="I25" i="14"/>
  <c r="F25" i="14"/>
  <c r="E25" i="14"/>
  <c r="L25" i="14"/>
  <c r="N25" i="14"/>
  <c r="D25" i="14"/>
  <c r="D13" i="18"/>
  <c r="P70" i="14" l="1"/>
  <c r="O2" i="12"/>
  <c r="O5" i="12" s="1"/>
  <c r="P25" i="14"/>
  <c r="AC5" i="18"/>
  <c r="T5" i="18"/>
  <c r="Z5" i="18"/>
  <c r="O13" i="18"/>
  <c r="F18" i="18"/>
  <c r="Q18" i="18"/>
  <c r="G18" i="18"/>
  <c r="R18" i="18"/>
  <c r="W5" i="18"/>
  <c r="Q5" i="18"/>
  <c r="AF5" i="18"/>
  <c r="AF6" i="18" l="1"/>
  <c r="Q6" i="18"/>
  <c r="H15" i="18"/>
  <c r="O15" i="18"/>
  <c r="J15" i="18"/>
  <c r="W6" i="18"/>
  <c r="Z6" i="18"/>
  <c r="T6" i="18"/>
  <c r="I15" i="18"/>
  <c r="AC6" i="18"/>
  <c r="M15" i="18"/>
  <c r="E18" i="18"/>
  <c r="K15" i="18"/>
  <c r="L15" i="18"/>
  <c r="L16" i="18" l="1"/>
  <c r="M16" i="18"/>
  <c r="I16" i="18"/>
  <c r="J16" i="18"/>
  <c r="O16" i="18"/>
  <c r="H16" i="18"/>
  <c r="K16" i="18"/>
  <c r="H17" i="18" l="1"/>
  <c r="J17" i="18"/>
  <c r="J18" i="18"/>
  <c r="M17" i="18"/>
  <c r="M18" i="18"/>
  <c r="L18" i="18"/>
  <c r="L17" i="18"/>
  <c r="K17" i="18"/>
  <c r="K18" i="18"/>
  <c r="I17" i="18"/>
  <c r="I18" i="18"/>
  <c r="O17" i="18" l="1"/>
  <c r="H18" i="18"/>
  <c r="O18" i="18"/>
  <c r="W6" i="24" l="1"/>
  <c r="W13" i="24" s="1"/>
  <c r="F13" i="24" l="1"/>
  <c r="G13" i="24" l="1"/>
  <c r="I6" i="24"/>
  <c r="H10" i="24"/>
  <c r="H6" i="24" s="1"/>
  <c r="H13" i="24" l="1"/>
  <c r="V6" i="24"/>
  <c r="I13" i="24" l="1"/>
  <c r="V13" i="24"/>
  <c r="Z13" i="24" s="1"/>
  <c r="P68" i="14"/>
  <c r="M72" i="14" s="1"/>
  <c r="Q19" i="18" s="1"/>
  <c r="P63" i="14"/>
  <c r="P64" i="14" s="1"/>
  <c r="P4" i="14"/>
  <c r="P2" i="14"/>
  <c r="C21" i="14"/>
  <c r="O21" i="14" s="1"/>
  <c r="O11" i="18" l="1"/>
  <c r="K72" i="14"/>
  <c r="G19" i="18" s="1"/>
  <c r="E72" i="14"/>
  <c r="I19" i="18" s="1"/>
  <c r="L72" i="14"/>
  <c r="E19" i="18" s="1"/>
  <c r="F72" i="14"/>
  <c r="J19" i="18" s="1"/>
  <c r="H72" i="14"/>
  <c r="L19" i="18" s="1"/>
  <c r="N72" i="14"/>
  <c r="R19" i="18" s="1"/>
  <c r="P71" i="14"/>
  <c r="I72" i="14"/>
  <c r="M19" i="18" s="1"/>
  <c r="P72" i="14"/>
  <c r="O19" i="18" s="1"/>
  <c r="J72" i="14"/>
  <c r="F19" i="18" s="1"/>
  <c r="G72" i="14"/>
  <c r="K19" i="18" s="1"/>
  <c r="D72" i="14"/>
  <c r="H19" i="18" s="1"/>
  <c r="P21" i="14"/>
  <c r="O23" i="14"/>
  <c r="O2" i="14"/>
  <c r="O4" i="14" s="1"/>
  <c r="I7" i="23"/>
  <c r="H6" i="23" s="1"/>
  <c r="E19" i="1"/>
  <c r="D21" i="2"/>
  <c r="F19" i="1" l="1"/>
  <c r="H19" i="1"/>
  <c r="H25" i="23"/>
  <c r="E6" i="23" s="1"/>
  <c r="O68" i="14"/>
  <c r="O63" i="14"/>
  <c r="C3" i="18"/>
  <c r="I21" i="2"/>
  <c r="J21" i="2"/>
  <c r="D11" i="18" l="1"/>
  <c r="N2" i="12"/>
  <c r="N5" i="12" s="1"/>
  <c r="O70" i="14"/>
  <c r="O72" i="14"/>
  <c r="D19" i="18" s="1"/>
  <c r="E1" i="23"/>
  <c r="F14" i="23"/>
  <c r="F9" i="23"/>
  <c r="E21" i="23"/>
  <c r="F17" i="23"/>
  <c r="E25" i="23"/>
  <c r="E8" i="23"/>
  <c r="O71" i="14" l="1"/>
  <c r="D17" i="18"/>
  <c r="B37" i="26"/>
  <c r="B53" i="26" s="1"/>
  <c r="C54" i="26" s="1"/>
  <c r="D89" i="26" s="1"/>
  <c r="D90" i="26" s="1"/>
  <c r="D104" i="26" l="1"/>
  <c r="D106" i="26" s="1"/>
  <c r="D108" i="26" s="1"/>
  <c r="S44" i="53"/>
  <c r="W22" i="53"/>
  <c r="AQ22" i="53" s="1"/>
  <c r="S12" i="53" l="1"/>
  <c r="W43" i="53"/>
  <c r="AA22" i="53"/>
  <c r="AB22" i="53" s="1"/>
  <c r="Y22" i="53"/>
  <c r="W44" i="53" l="1"/>
  <c r="W48" i="53" s="1"/>
  <c r="AQ43" i="53"/>
  <c r="AA43" i="53"/>
  <c r="W12" i="53"/>
  <c r="AQ12" i="53" s="1"/>
  <c r="AC22" i="53"/>
  <c r="AB43" i="53"/>
  <c r="AQ44" i="53" l="1"/>
  <c r="W62" i="53"/>
  <c r="AQ48" i="53"/>
  <c r="AA48" i="53"/>
  <c r="AA12" i="53"/>
  <c r="AD22" i="53"/>
  <c r="AC43" i="53"/>
  <c r="AC12" i="53" s="1"/>
  <c r="AC48" i="53" s="1"/>
  <c r="AC46" i="53" s="1"/>
  <c r="AB12" i="53"/>
  <c r="AB48" i="53" s="1"/>
  <c r="AB46" i="53" s="1"/>
  <c r="W71" i="53" l="1"/>
  <c r="AQ62" i="53"/>
  <c r="AE22" i="53"/>
  <c r="AD43" i="53"/>
  <c r="W75" i="53" l="1"/>
  <c r="AQ75" i="53" s="1"/>
  <c r="AQ71" i="53"/>
  <c r="AD12" i="53"/>
  <c r="AD48" i="53" s="1"/>
  <c r="AD46" i="53" s="1"/>
  <c r="AF22" i="53"/>
  <c r="AE43" i="53"/>
  <c r="AE12" i="53" s="1"/>
  <c r="AE48" i="53" s="1"/>
  <c r="AE46" i="53" s="1"/>
  <c r="AG22" i="53" l="1"/>
  <c r="AF43" i="53"/>
  <c r="AF12" i="53" s="1"/>
  <c r="AF48" i="53" s="1"/>
  <c r="AF46" i="53" s="1"/>
  <c r="AH22" i="53" l="1"/>
  <c r="AG43" i="53"/>
  <c r="AG12" i="53" s="1"/>
  <c r="AG48" i="53" s="1"/>
  <c r="AG46" i="53" s="1"/>
  <c r="AI22" i="53" l="1"/>
  <c r="AH43" i="53"/>
  <c r="AH12" i="53" l="1"/>
  <c r="AH48" i="53" s="1"/>
  <c r="AH46" i="53" s="1"/>
  <c r="AJ22" i="53"/>
  <c r="AI43" i="53"/>
  <c r="AI12" i="53" s="1"/>
  <c r="AI48" i="53" s="1"/>
  <c r="AI46" i="53" s="1"/>
  <c r="AK22" i="53" l="1"/>
  <c r="AJ43" i="53"/>
  <c r="AJ12" i="53" s="1"/>
  <c r="AJ48" i="53" s="1"/>
  <c r="AJ46" i="53" s="1"/>
  <c r="AL22" i="53" l="1"/>
  <c r="AK43" i="53"/>
  <c r="AK12" i="53" s="1"/>
  <c r="AK48" i="53" s="1"/>
  <c r="AK46" i="53" s="1"/>
  <c r="AM22" i="53" l="1"/>
  <c r="AL43" i="53"/>
  <c r="AL12" i="53" s="1"/>
  <c r="AL48" i="53" s="1"/>
  <c r="AL46" i="53" s="1"/>
  <c r="AM43" i="53" l="1"/>
  <c r="AN22" i="53"/>
  <c r="AM12" i="53" l="1"/>
  <c r="AN43" i="53"/>
  <c r="AN12" i="53" l="1"/>
  <c r="AM48" i="53"/>
  <c r="Y48" i="53"/>
  <c r="AN48" i="53" l="1"/>
  <c r="AM46" i="53"/>
  <c r="AN46" i="53" s="1"/>
  <c r="F46" i="53" l="1"/>
  <c r="S46" i="53" l="1"/>
  <c r="S48" i="53" s="1"/>
  <c r="F48" i="53"/>
  <c r="C44" i="53"/>
  <c r="C48" i="53" s="1"/>
</calcChain>
</file>

<file path=xl/comments1.xml><?xml version="1.0" encoding="utf-8"?>
<comments xmlns="http://schemas.openxmlformats.org/spreadsheetml/2006/main">
  <authors>
    <author>事務局</author>
  </authors>
  <commentList>
    <comment ref="B12" authorId="0">
      <text>
        <r>
          <rPr>
            <sz val="9"/>
            <color indexed="81"/>
            <rFont val="ＭＳ Ｐゴシック"/>
            <family val="3"/>
            <charset val="128"/>
          </rPr>
          <t>財旅費＝
期首棚卸高+仕入高-期末棚卸高</t>
        </r>
      </text>
    </comment>
    <comment ref="B41" authorId="0">
      <text>
        <r>
          <rPr>
            <sz val="9"/>
            <color indexed="81"/>
            <rFont val="ＭＳ Ｐゴシック"/>
            <family val="3"/>
            <charset val="128"/>
          </rPr>
          <t>財旅費＝
期首棚卸高+仕入高-期末棚卸高</t>
        </r>
      </text>
    </comment>
    <comment ref="B69" authorId="0">
      <text>
        <r>
          <rPr>
            <sz val="9"/>
            <color indexed="81"/>
            <rFont val="ＭＳ Ｐゴシック"/>
            <family val="3"/>
            <charset val="128"/>
          </rPr>
          <t>財旅費＝
期首棚卸高+仕入高-期末棚卸高</t>
        </r>
      </text>
    </comment>
    <comment ref="B95" authorId="0">
      <text>
        <r>
          <rPr>
            <sz val="9"/>
            <color indexed="81"/>
            <rFont val="ＭＳ Ｐゴシック"/>
            <family val="3"/>
            <charset val="128"/>
          </rPr>
          <t>財旅費＝
期首棚卸高+仕入高-期末棚卸高</t>
        </r>
      </text>
    </comment>
    <comment ref="B126" authorId="0">
      <text>
        <r>
          <rPr>
            <sz val="9"/>
            <color indexed="81"/>
            <rFont val="ＭＳ Ｐゴシック"/>
            <family val="3"/>
            <charset val="128"/>
          </rPr>
          <t>財旅費＝
期首棚卸高+仕入高-期末棚卸高</t>
        </r>
      </text>
    </comment>
    <comment ref="B157" authorId="0">
      <text>
        <r>
          <rPr>
            <sz val="9"/>
            <color indexed="81"/>
            <rFont val="ＭＳ Ｐゴシック"/>
            <family val="3"/>
            <charset val="128"/>
          </rPr>
          <t>財旅費＝
期首棚卸高+仕入高-期末棚卸高</t>
        </r>
      </text>
    </comment>
    <comment ref="B184" authorId="0">
      <text>
        <r>
          <rPr>
            <sz val="9"/>
            <color indexed="81"/>
            <rFont val="ＭＳ Ｐゴシック"/>
            <family val="3"/>
            <charset val="128"/>
          </rPr>
          <t>財旅費＝
期首棚卸高+仕入高-期末棚卸高</t>
        </r>
      </text>
    </comment>
    <comment ref="B211" authorId="0">
      <text>
        <r>
          <rPr>
            <sz val="9"/>
            <color indexed="81"/>
            <rFont val="ＭＳ Ｐゴシック"/>
            <family val="3"/>
            <charset val="128"/>
          </rPr>
          <t>財旅費＝
期首棚卸高+仕入高-期末棚卸高</t>
        </r>
      </text>
    </comment>
    <comment ref="B239" authorId="0">
      <text>
        <r>
          <rPr>
            <sz val="9"/>
            <color indexed="81"/>
            <rFont val="ＭＳ Ｐゴシック"/>
            <family val="3"/>
            <charset val="128"/>
          </rPr>
          <t>財旅費＝
期首棚卸高+仕入高-期末棚卸高</t>
        </r>
      </text>
    </comment>
    <comment ref="B268" authorId="0">
      <text>
        <r>
          <rPr>
            <sz val="9"/>
            <color indexed="81"/>
            <rFont val="ＭＳ Ｐゴシック"/>
            <family val="3"/>
            <charset val="128"/>
          </rPr>
          <t>財旅費＝
期首棚卸高+仕入高-期末棚卸高</t>
        </r>
      </text>
    </comment>
    <comment ref="B298" authorId="0">
      <text>
        <r>
          <rPr>
            <sz val="9"/>
            <color indexed="81"/>
            <rFont val="ＭＳ Ｐゴシック"/>
            <family val="3"/>
            <charset val="128"/>
          </rPr>
          <t>財旅費＝
期首棚卸高+仕入高-期末棚卸高</t>
        </r>
      </text>
    </comment>
    <comment ref="B323" authorId="0">
      <text>
        <r>
          <rPr>
            <sz val="9"/>
            <color indexed="81"/>
            <rFont val="ＭＳ Ｐゴシック"/>
            <family val="3"/>
            <charset val="128"/>
          </rPr>
          <t>財旅費＝
期首棚卸高+仕入高-期末棚卸高</t>
        </r>
      </text>
    </comment>
    <comment ref="B336" authorId="0">
      <text>
        <r>
          <rPr>
            <sz val="9"/>
            <color indexed="81"/>
            <rFont val="ＭＳ Ｐゴシック"/>
            <family val="3"/>
            <charset val="128"/>
          </rPr>
          <t>財旅費＝
期首棚卸高+仕入高-期末棚卸高</t>
        </r>
      </text>
    </comment>
    <comment ref="B365" authorId="0">
      <text>
        <r>
          <rPr>
            <sz val="9"/>
            <color indexed="81"/>
            <rFont val="ＭＳ Ｐゴシック"/>
            <family val="3"/>
            <charset val="128"/>
          </rPr>
          <t>財旅費＝
期首棚卸高+仕入高-期末棚卸高</t>
        </r>
      </text>
    </comment>
    <comment ref="B385" authorId="0">
      <text>
        <r>
          <rPr>
            <sz val="9"/>
            <color indexed="81"/>
            <rFont val="ＭＳ Ｐゴシック"/>
            <family val="3"/>
            <charset val="128"/>
          </rPr>
          <t>財旅費＝
期首棚卸高+仕入高-期末棚卸高</t>
        </r>
      </text>
    </comment>
    <comment ref="B414" authorId="0">
      <text>
        <r>
          <rPr>
            <sz val="9"/>
            <color indexed="81"/>
            <rFont val="ＭＳ Ｐゴシック"/>
            <family val="3"/>
            <charset val="128"/>
          </rPr>
          <t>財旅費＝
期首棚卸高+仕入高-期末棚卸高</t>
        </r>
      </text>
    </comment>
    <comment ref="B442" authorId="0">
      <text>
        <r>
          <rPr>
            <sz val="9"/>
            <color indexed="81"/>
            <rFont val="ＭＳ Ｐゴシック"/>
            <family val="3"/>
            <charset val="128"/>
          </rPr>
          <t>財旅費＝
期首棚卸高+仕入高-期末棚卸高</t>
        </r>
      </text>
    </comment>
    <comment ref="C470" authorId="0">
      <text>
        <r>
          <rPr>
            <sz val="9"/>
            <color indexed="81"/>
            <rFont val="ＭＳ Ｐゴシック"/>
            <family val="3"/>
            <charset val="128"/>
          </rPr>
          <t>試算表(期末）純売上高と照合する</t>
        </r>
      </text>
    </comment>
    <comment ref="D470" authorId="0">
      <text>
        <r>
          <rPr>
            <sz val="9"/>
            <color indexed="81"/>
            <rFont val="ＭＳ Ｐゴシック"/>
            <family val="3"/>
            <charset val="128"/>
          </rPr>
          <t>試算表（期末）＝販売費及び一般管理費+売上原価と照合</t>
        </r>
      </text>
    </comment>
    <comment ref="H470" authorId="0">
      <text>
        <r>
          <rPr>
            <sz val="9"/>
            <color indexed="81"/>
            <rFont val="ＭＳ Ｐゴシック"/>
            <family val="3"/>
            <charset val="128"/>
          </rPr>
          <t>試算表(期末）純売上高と照合する</t>
        </r>
      </text>
    </comment>
    <comment ref="I470" authorId="0">
      <text>
        <r>
          <rPr>
            <sz val="9"/>
            <color indexed="81"/>
            <rFont val="ＭＳ Ｐゴシック"/>
            <family val="3"/>
            <charset val="128"/>
          </rPr>
          <t>試算表（期末）＝販売費及び一般管理費+売上原価と照合</t>
        </r>
      </text>
    </comment>
  </commentList>
</comments>
</file>

<file path=xl/comments2.xml><?xml version="1.0" encoding="utf-8"?>
<comments xmlns="http://schemas.openxmlformats.org/spreadsheetml/2006/main">
  <authors>
    <author>事務局</author>
  </authors>
  <commentList>
    <comment ref="G31" authorId="0">
      <text>
        <r>
          <rPr>
            <b/>
            <sz val="9"/>
            <color indexed="81"/>
            <rFont val="ＭＳ Ｐゴシック"/>
            <family val="3"/>
            <charset val="128"/>
          </rPr>
          <t>文字白</t>
        </r>
      </text>
    </comment>
    <comment ref="H31" authorId="0">
      <text>
        <r>
          <rPr>
            <b/>
            <sz val="9"/>
            <color indexed="81"/>
            <rFont val="ＭＳ Ｐゴシック"/>
            <family val="3"/>
            <charset val="128"/>
          </rPr>
          <t>文字白</t>
        </r>
      </text>
    </comment>
  </commentList>
</comments>
</file>

<file path=xl/sharedStrings.xml><?xml version="1.0" encoding="utf-8"?>
<sst xmlns="http://schemas.openxmlformats.org/spreadsheetml/2006/main" count="2455" uniqueCount="813">
  <si>
    <t>科　　　　目</t>
  </si>
  <si>
    <t>②-①</t>
  </si>
  <si>
    <t>予算の備考</t>
  </si>
  <si>
    <t>①</t>
  </si>
  <si>
    <t>②</t>
  </si>
  <si>
    <t>（千円）</t>
  </si>
  <si>
    <t>③</t>
  </si>
  <si>
    <t>Ⅰ経常収入の部</t>
  </si>
  <si>
    <t>１、財産運用収入</t>
  </si>
  <si>
    <t>２、会費収入</t>
  </si>
  <si>
    <t>３、事業収入</t>
  </si>
  <si>
    <t>た-1</t>
  </si>
  <si>
    <t>た-2</t>
  </si>
  <si>
    <t>た-3</t>
  </si>
  <si>
    <t>た-4</t>
  </si>
  <si>
    <t>た-5</t>
  </si>
  <si>
    <t>さ-1</t>
  </si>
  <si>
    <t>さ-2</t>
  </si>
  <si>
    <t>さ-3</t>
  </si>
  <si>
    <t>さ-4</t>
  </si>
  <si>
    <t>わ-1</t>
  </si>
  <si>
    <t>わ-2.3</t>
  </si>
  <si>
    <t>４、寄付収入</t>
  </si>
  <si>
    <t>５、助成金収入</t>
  </si>
  <si>
    <t>６、雑収入</t>
  </si>
  <si>
    <t>　経常収入合計（A)</t>
  </si>
  <si>
    <t>Ⅱ経常支出の部</t>
  </si>
  <si>
    <t>１、事業費</t>
  </si>
  <si>
    <t>　２、管理費</t>
  </si>
  <si>
    <t>　　　人件費</t>
  </si>
  <si>
    <t>　　　法定福利費</t>
  </si>
  <si>
    <t>　　　福利厚生費</t>
  </si>
  <si>
    <t>　　　広報費</t>
  </si>
  <si>
    <t>　　　水道光熱費</t>
  </si>
  <si>
    <t>　　　車両関連費</t>
  </si>
  <si>
    <t>　　　消耗器具備品費</t>
  </si>
  <si>
    <t>　　　賃借料</t>
  </si>
  <si>
    <t>　　　支払保険料</t>
  </si>
  <si>
    <t>　　　修繕費</t>
  </si>
  <si>
    <t>　　　租税公課</t>
  </si>
  <si>
    <t>　　　減価償却費</t>
  </si>
  <si>
    <t>　　　旅費交通費</t>
  </si>
  <si>
    <t>　　　通信費</t>
  </si>
  <si>
    <t xml:space="preserve">      支払手数料</t>
  </si>
  <si>
    <t>　　　会議費</t>
  </si>
  <si>
    <t>　　　諸会費</t>
  </si>
  <si>
    <t>　　　図書研修費</t>
  </si>
  <si>
    <t>　　　燃料費</t>
  </si>
  <si>
    <t>　　　慶弔費</t>
  </si>
  <si>
    <t>　　　謝金</t>
  </si>
  <si>
    <t>　　　地代家賃</t>
  </si>
  <si>
    <t>　　　雑費</t>
  </si>
  <si>
    <t>　　　予備費</t>
  </si>
  <si>
    <t>　経常支出合計（B)</t>
  </si>
  <si>
    <t>　当期収支差額(Ａ)-(Ｂ)</t>
  </si>
  <si>
    <t>科　　　目</t>
  </si>
  <si>
    <t>増　減</t>
  </si>
  <si>
    <t>補正予算</t>
  </si>
  <si>
    <t>(B)-(A)</t>
  </si>
  <si>
    <t>　１、財産運用収入</t>
  </si>
  <si>
    <t>　２、会費収入</t>
  </si>
  <si>
    <t>　３、事業収入</t>
  </si>
  <si>
    <t>　　　たすけあい事業</t>
  </si>
  <si>
    <t>　　　宅配給食事業</t>
  </si>
  <si>
    <t>　　　学童保育事業</t>
  </si>
  <si>
    <t>　　　人材育成事業</t>
  </si>
  <si>
    <t>　４、寄付収入</t>
  </si>
  <si>
    <t>　５、助成金収入</t>
  </si>
  <si>
    <t>　６、雑収入</t>
  </si>
  <si>
    <t>　１、事業費</t>
  </si>
  <si>
    <t>　　事業費合計</t>
  </si>
  <si>
    <t>　　管理費合計</t>
  </si>
  <si>
    <t>事業</t>
  </si>
  <si>
    <t>項目</t>
  </si>
  <si>
    <t>収入</t>
  </si>
  <si>
    <t>支出</t>
  </si>
  <si>
    <t>収支差額</t>
  </si>
  <si>
    <t>比率</t>
  </si>
  <si>
    <t>高齢訪問</t>
  </si>
  <si>
    <t>高齢訪問介護収益</t>
  </si>
  <si>
    <t>人件費</t>
  </si>
  <si>
    <t>水道光熱費</t>
  </si>
  <si>
    <t>消耗品費</t>
  </si>
  <si>
    <t>支払保険料</t>
  </si>
  <si>
    <t>租税公課</t>
  </si>
  <si>
    <t>通信費</t>
  </si>
  <si>
    <t>支払手数料</t>
  </si>
  <si>
    <t>図書研修費</t>
  </si>
  <si>
    <t>燃料費</t>
  </si>
  <si>
    <t>地代家賃</t>
  </si>
  <si>
    <t>雑費</t>
  </si>
  <si>
    <t>小計</t>
  </si>
  <si>
    <t>通所介護収益</t>
  </si>
  <si>
    <t>材料費</t>
  </si>
  <si>
    <t>修繕費</t>
  </si>
  <si>
    <t>居宅</t>
  </si>
  <si>
    <t>居宅介護支援収益</t>
  </si>
  <si>
    <t>諸会費</t>
  </si>
  <si>
    <t>障がい訪問</t>
  </si>
  <si>
    <t>障がい訪問介護収益</t>
  </si>
  <si>
    <t>わ-2</t>
  </si>
  <si>
    <t>玉名市日中一時支援事業補助金</t>
  </si>
  <si>
    <t>たすけあい活動</t>
  </si>
  <si>
    <t>たすけあい活動収益</t>
  </si>
  <si>
    <t>福祉有償運送収益</t>
  </si>
  <si>
    <t>謝金</t>
  </si>
  <si>
    <t>よかとこ</t>
  </si>
  <si>
    <t>給食</t>
  </si>
  <si>
    <t>宅配給食収益</t>
  </si>
  <si>
    <t>玉名市食の自立事業委託金</t>
  </si>
  <si>
    <t>学童</t>
  </si>
  <si>
    <t>玉名市学童保育事業委託金</t>
  </si>
  <si>
    <t>人材育成</t>
  </si>
  <si>
    <t>外部講座講師派遣収益</t>
  </si>
  <si>
    <t>実習委託費</t>
  </si>
  <si>
    <t>旅費交通費</t>
  </si>
  <si>
    <t>管理費</t>
  </si>
  <si>
    <t>職員給与</t>
  </si>
  <si>
    <t>法定福利費</t>
  </si>
  <si>
    <t>福利厚生費</t>
  </si>
  <si>
    <t>広報費</t>
  </si>
  <si>
    <t>車両関連費</t>
  </si>
  <si>
    <t>賃借料</t>
  </si>
  <si>
    <t>減価償却費</t>
  </si>
  <si>
    <t>会議費</t>
  </si>
  <si>
    <t>慶弔費</t>
  </si>
  <si>
    <t>予備費</t>
  </si>
  <si>
    <t>法人合計</t>
  </si>
  <si>
    <t>収　入</t>
  </si>
  <si>
    <t>支　出</t>
  </si>
  <si>
    <t>収支差額
（A)</t>
  </si>
  <si>
    <t>収支差額（E)
(A)-(B)</t>
  </si>
  <si>
    <t>実本部管理費</t>
  </si>
  <si>
    <t>収　益</t>
  </si>
  <si>
    <t>移送経費（B)</t>
  </si>
  <si>
    <t>負担率</t>
  </si>
  <si>
    <t>奥立願寺デイ</t>
  </si>
  <si>
    <t>中尾デイ</t>
  </si>
  <si>
    <t>収益主要事業計（C)</t>
  </si>
  <si>
    <t>障がい就労移行</t>
  </si>
  <si>
    <t>小計（C)+(D)</t>
  </si>
  <si>
    <t>≒</t>
  </si>
  <si>
    <t>↓</t>
  </si>
  <si>
    <t>本部</t>
  </si>
  <si>
    <t>→</t>
  </si>
  <si>
    <t>主要収益事業計</t>
  </si>
  <si>
    <t>非収益事業差額計</t>
  </si>
  <si>
    <t>本部管理按分計</t>
  </si>
  <si>
    <t>本部拠点経費</t>
    <rPh sb="0" eb="2">
      <t>ホンブ</t>
    </rPh>
    <phoneticPr fontId="1"/>
  </si>
  <si>
    <t>自主事業他計（D)</t>
    <rPh sb="4" eb="5">
      <t>ホカ</t>
    </rPh>
    <phoneticPr fontId="1"/>
  </si>
  <si>
    <t>↑本部(A)-自主事業(A)-移送経費ｰ本部拠点経費</t>
    <rPh sb="20" eb="22">
      <t>ホンブ</t>
    </rPh>
    <rPh sb="22" eb="24">
      <t>キョテン</t>
    </rPh>
    <rPh sb="24" eb="26">
      <t>ケイヒ</t>
    </rPh>
    <phoneticPr fontId="1"/>
  </si>
  <si>
    <t>前年実績比100％</t>
    <rPh sb="0" eb="2">
      <t>ゼンネン</t>
    </rPh>
    <rPh sb="2" eb="4">
      <t>ジッセキ</t>
    </rPh>
    <rPh sb="4" eb="5">
      <t>ヒ</t>
    </rPh>
    <phoneticPr fontId="1"/>
  </si>
  <si>
    <t>前年実績比120％</t>
    <rPh sb="0" eb="2">
      <t>ゼンネン</t>
    </rPh>
    <rPh sb="2" eb="4">
      <t>ジッセキ</t>
    </rPh>
    <rPh sb="4" eb="5">
      <t>ヒ</t>
    </rPh>
    <phoneticPr fontId="1"/>
  </si>
  <si>
    <t>前年実績比150％</t>
    <rPh sb="0" eb="2">
      <t>ゼンネン</t>
    </rPh>
    <rPh sb="2" eb="4">
      <t>ジッセキ</t>
    </rPh>
    <rPh sb="4" eb="5">
      <t>ヒ</t>
    </rPh>
    <phoneticPr fontId="1"/>
  </si>
  <si>
    <t>前年実績比160％</t>
    <rPh sb="0" eb="2">
      <t>ゼンネン</t>
    </rPh>
    <rPh sb="2" eb="4">
      <t>ジッセキ</t>
    </rPh>
    <rPh sb="4" eb="5">
      <t>ヒ</t>
    </rPh>
    <phoneticPr fontId="1"/>
  </si>
  <si>
    <r>
      <t xml:space="preserve">本部管理費
負担額目安
</t>
    </r>
    <r>
      <rPr>
        <sz val="9"/>
        <rFont val="HGPｺﾞｼｯｸM"/>
        <family val="3"/>
        <charset val="128"/>
      </rPr>
      <t>（E）比率×本部（A)</t>
    </r>
  </si>
  <si>
    <t>本部</t>
    <rPh sb="0" eb="2">
      <t>ホンブ</t>
    </rPh>
    <phoneticPr fontId="1"/>
  </si>
  <si>
    <t>高齢訪問</t>
    <rPh sb="0" eb="2">
      <t>コウレイ</t>
    </rPh>
    <rPh sb="2" eb="4">
      <t>ホウモン</t>
    </rPh>
    <phoneticPr fontId="1"/>
  </si>
  <si>
    <t>人材育成</t>
    <rPh sb="0" eb="2">
      <t>ジンザイ</t>
    </rPh>
    <rPh sb="2" eb="4">
      <t>イクセイ</t>
    </rPh>
    <phoneticPr fontId="1"/>
  </si>
  <si>
    <t>居宅</t>
    <rPh sb="0" eb="2">
      <t>キョタク</t>
    </rPh>
    <phoneticPr fontId="1"/>
  </si>
  <si>
    <t>収支差額</t>
    <rPh sb="0" eb="2">
      <t>シュウシ</t>
    </rPh>
    <rPh sb="2" eb="4">
      <t>サガク</t>
    </rPh>
    <phoneticPr fontId="1"/>
  </si>
  <si>
    <t>委託講師料</t>
    <rPh sb="0" eb="2">
      <t>イタク</t>
    </rPh>
    <rPh sb="2" eb="5">
      <t>コウシリョウ</t>
    </rPh>
    <phoneticPr fontId="1"/>
  </si>
  <si>
    <t>　　　宅老所事業</t>
    <rPh sb="3" eb="6">
      <t>タクロウショ</t>
    </rPh>
    <phoneticPr fontId="1"/>
  </si>
  <si>
    <t>宅老所事業</t>
    <rPh sb="0" eb="3">
      <t>タクロウショ</t>
    </rPh>
    <phoneticPr fontId="1"/>
  </si>
  <si>
    <t>収入</t>
    <rPh sb="0" eb="2">
      <t>シュウニュウ</t>
    </rPh>
    <phoneticPr fontId="1"/>
  </si>
  <si>
    <t>支出</t>
    <rPh sb="0" eb="2">
      <t>シシュツ</t>
    </rPh>
    <phoneticPr fontId="1"/>
  </si>
  <si>
    <t>管理費</t>
    <rPh sb="0" eb="3">
      <t>カンリヒ</t>
    </rPh>
    <phoneticPr fontId="1"/>
  </si>
  <si>
    <t>宅老所</t>
    <rPh sb="0" eb="3">
      <t>タクロウショ</t>
    </rPh>
    <phoneticPr fontId="1"/>
  </si>
  <si>
    <t>宅配給食</t>
    <rPh sb="0" eb="2">
      <t>タクハイ</t>
    </rPh>
    <rPh sb="2" eb="4">
      <t>キュウショク</t>
    </rPh>
    <phoneticPr fontId="1"/>
  </si>
  <si>
    <t>学童保育</t>
    <rPh sb="0" eb="2">
      <t>ガクドウ</t>
    </rPh>
    <rPh sb="2" eb="4">
      <t>ホイク</t>
    </rPh>
    <phoneticPr fontId="1"/>
  </si>
  <si>
    <t>奥立願寺</t>
    <rPh sb="0" eb="1">
      <t>オク</t>
    </rPh>
    <rPh sb="1" eb="4">
      <t>リュウガンジ</t>
    </rPh>
    <phoneticPr fontId="1"/>
  </si>
  <si>
    <t>中尾</t>
    <rPh sb="0" eb="2">
      <t>ナカオ</t>
    </rPh>
    <phoneticPr fontId="1"/>
  </si>
  <si>
    <t>障害訪問</t>
    <rPh sb="0" eb="2">
      <t>ショウガイ</t>
    </rPh>
    <rPh sb="2" eb="4">
      <t>ホウモン</t>
    </rPh>
    <phoneticPr fontId="1"/>
  </si>
  <si>
    <t>障害就労</t>
    <rPh sb="0" eb="2">
      <t>ショウガイ</t>
    </rPh>
    <rPh sb="2" eb="4">
      <t>シュウロウ</t>
    </rPh>
    <phoneticPr fontId="1"/>
  </si>
  <si>
    <t>たすけあい</t>
  </si>
  <si>
    <t>たすけあい</t>
    <phoneticPr fontId="1"/>
  </si>
  <si>
    <t>消耗器具備品費</t>
  </si>
  <si>
    <t>事業費</t>
    <rPh sb="0" eb="3">
      <t>ジギョウヒ</t>
    </rPh>
    <phoneticPr fontId="1"/>
  </si>
  <si>
    <t>障がい就労</t>
    <rPh sb="0" eb="1">
      <t>ショウ</t>
    </rPh>
    <rPh sb="3" eb="5">
      <t>シュウロウ</t>
    </rPh>
    <phoneticPr fontId="1"/>
  </si>
  <si>
    <t>宅老所</t>
    <rPh sb="0" eb="3">
      <t>タクロウショ</t>
    </rPh>
    <phoneticPr fontId="1"/>
  </si>
  <si>
    <t>障がい訪問</t>
    <rPh sb="0" eb="1">
      <t>ショウ</t>
    </rPh>
    <rPh sb="3" eb="5">
      <t>ホウモン</t>
    </rPh>
    <phoneticPr fontId="1"/>
  </si>
  <si>
    <t>合計</t>
    <rPh sb="0" eb="2">
      <t>ゴウケイ</t>
    </rPh>
    <phoneticPr fontId="1"/>
  </si>
  <si>
    <t>売上比率</t>
    <rPh sb="0" eb="2">
      <t>ウリアゲ</t>
    </rPh>
    <rPh sb="2" eb="3">
      <t>ヒ</t>
    </rPh>
    <rPh sb="3" eb="4">
      <t>リツ</t>
    </rPh>
    <phoneticPr fontId="1"/>
  </si>
  <si>
    <t>使用車両台数</t>
    <rPh sb="0" eb="2">
      <t>シヨウ</t>
    </rPh>
    <rPh sb="2" eb="4">
      <t>シャリョウ</t>
    </rPh>
    <rPh sb="4" eb="6">
      <t>ダイスウ</t>
    </rPh>
    <phoneticPr fontId="1"/>
  </si>
  <si>
    <t>職員数</t>
    <rPh sb="0" eb="3">
      <t>ショクインスウ</t>
    </rPh>
    <phoneticPr fontId="1"/>
  </si>
  <si>
    <t>職員比率</t>
    <rPh sb="0" eb="2">
      <t>ショクイン</t>
    </rPh>
    <rPh sb="2" eb="4">
      <t>ヒリツ</t>
    </rPh>
    <phoneticPr fontId="1"/>
  </si>
  <si>
    <t>常勤比率</t>
    <rPh sb="0" eb="2">
      <t>ジョウキン</t>
    </rPh>
    <rPh sb="2" eb="4">
      <t>ヒリツ</t>
    </rPh>
    <phoneticPr fontId="1"/>
  </si>
  <si>
    <t>常勤数</t>
    <rPh sb="0" eb="2">
      <t>ジョウキン</t>
    </rPh>
    <rPh sb="2" eb="3">
      <t>スウ</t>
    </rPh>
    <phoneticPr fontId="1"/>
  </si>
  <si>
    <t>本部拠点使用比率</t>
    <rPh sb="0" eb="2">
      <t>ホンブ</t>
    </rPh>
    <rPh sb="2" eb="4">
      <t>キョテン</t>
    </rPh>
    <rPh sb="4" eb="6">
      <t>シヨウ</t>
    </rPh>
    <rPh sb="6" eb="8">
      <t>ヒリツ</t>
    </rPh>
    <phoneticPr fontId="1"/>
  </si>
  <si>
    <t>事業売上比</t>
    <rPh sb="0" eb="2">
      <t>ジギョウ</t>
    </rPh>
    <rPh sb="2" eb="4">
      <t>ウリアゲ</t>
    </rPh>
    <rPh sb="4" eb="5">
      <t>ヒ</t>
    </rPh>
    <phoneticPr fontId="1"/>
  </si>
  <si>
    <t>調整</t>
    <rPh sb="0" eb="2">
      <t>チョウセイ</t>
    </rPh>
    <phoneticPr fontId="1"/>
  </si>
  <si>
    <t>計</t>
    <rPh sb="0" eb="1">
      <t>ケイ</t>
    </rPh>
    <phoneticPr fontId="1"/>
  </si>
  <si>
    <t>負担比率</t>
    <rPh sb="0" eb="2">
      <t>フタン</t>
    </rPh>
    <rPh sb="2" eb="4">
      <t>ヒリツ</t>
    </rPh>
    <phoneticPr fontId="1"/>
  </si>
  <si>
    <t>委託講師料</t>
    <rPh sb="0" eb="2">
      <t>イタク</t>
    </rPh>
    <rPh sb="2" eb="5">
      <t>コウシリョウ</t>
    </rPh>
    <phoneticPr fontId="1"/>
  </si>
  <si>
    <t xml:space="preserve">            </t>
  </si>
  <si>
    <t>年間</t>
    <rPh sb="0" eb="2">
      <t>ネンカン</t>
    </rPh>
    <phoneticPr fontId="11"/>
  </si>
  <si>
    <t xml:space="preserve">* ﾎﾝﾀﾞﾛｺﾞ             </t>
  </si>
  <si>
    <t>訪問</t>
    <rPh sb="0" eb="2">
      <t>ホウモン</t>
    </rPh>
    <phoneticPr fontId="11"/>
  </si>
  <si>
    <t xml:space="preserve">* ﾊｲｴｰｽ               </t>
  </si>
  <si>
    <t>奥立</t>
    <rPh sb="0" eb="1">
      <t>オク</t>
    </rPh>
    <rPh sb="1" eb="2">
      <t>リュウ</t>
    </rPh>
    <phoneticPr fontId="11"/>
  </si>
  <si>
    <t xml:space="preserve">* ﾀﾞｲﾊﾂﾑｰｳﾞ           </t>
  </si>
  <si>
    <t xml:space="preserve">* ﾀﾞｲﾊﾂｴｯｾ            </t>
  </si>
  <si>
    <t>給食</t>
    <rPh sb="0" eb="2">
      <t>キュウショク</t>
    </rPh>
    <phoneticPr fontId="11"/>
  </si>
  <si>
    <t xml:space="preserve">* ｽｽﾞｷｱﾙﾄ             </t>
  </si>
  <si>
    <t xml:space="preserve">* 給食配達            </t>
  </si>
  <si>
    <t xml:space="preserve">* ﾀﾞｲﾊﾂﾊｲｾﾞｯﾄｽﾛｰﾊﾟｰ   </t>
  </si>
  <si>
    <t xml:space="preserve">* 日産ｸﾘｯﾊﾟｰ          </t>
  </si>
  <si>
    <t>居宅</t>
    <rPh sb="0" eb="2">
      <t>キョタク</t>
    </rPh>
    <phoneticPr fontId="11"/>
  </si>
  <si>
    <t xml:space="preserve">* ﾏﾂﾀﾞAZﾜｺﾞﾝ          </t>
  </si>
  <si>
    <t>障がい就労</t>
    <rPh sb="0" eb="1">
      <t>ショウ</t>
    </rPh>
    <rPh sb="3" eb="5">
      <t>シュウロウ</t>
    </rPh>
    <phoneticPr fontId="11"/>
  </si>
  <si>
    <t xml:space="preserve">* その他              </t>
  </si>
  <si>
    <t xml:space="preserve">* 学童優先車          </t>
  </si>
  <si>
    <t xml:space="preserve">* ｳﾞｨｯﾂ               </t>
  </si>
  <si>
    <t xml:space="preserve">* ｽｽﾞｷｷｬﾘｨ            </t>
  </si>
  <si>
    <t xml:space="preserve">* ﾀﾞｲﾊﾂﾐﾗ             </t>
  </si>
  <si>
    <t>障がい訪問</t>
    <rPh sb="0" eb="1">
      <t>ショウ</t>
    </rPh>
    <rPh sb="3" eb="5">
      <t>ホウモン</t>
    </rPh>
    <phoneticPr fontId="11"/>
  </si>
  <si>
    <t xml:space="preserve">* ﾀﾞｲﾊﾂｱﾄﾚｰ           </t>
  </si>
  <si>
    <t>中尾</t>
    <rPh sb="0" eb="2">
      <t>ナカオ</t>
    </rPh>
    <phoneticPr fontId="11"/>
  </si>
  <si>
    <t xml:space="preserve">* ﾄﾖﾀｼｴﾝﾀ             </t>
  </si>
  <si>
    <t>合計</t>
    <rPh sb="0" eb="2">
      <t>ゴウケイ</t>
    </rPh>
    <phoneticPr fontId="11"/>
  </si>
  <si>
    <t>燃料費使用比率</t>
    <rPh sb="0" eb="3">
      <t>ネンリョウヒ</t>
    </rPh>
    <rPh sb="3" eb="5">
      <t>シヨウ</t>
    </rPh>
    <rPh sb="5" eb="6">
      <t>ヒ</t>
    </rPh>
    <rPh sb="6" eb="7">
      <t>リツ</t>
    </rPh>
    <phoneticPr fontId="1"/>
  </si>
  <si>
    <t>実績（4-12）</t>
    <rPh sb="0" eb="2">
      <t>ジッセキ</t>
    </rPh>
    <phoneticPr fontId="1"/>
  </si>
  <si>
    <t xml:space="preserve">  燃料費2013              </t>
    <phoneticPr fontId="1"/>
  </si>
  <si>
    <t xml:space="preserve">* ﾎﾝﾀﾞ ﾛｺﾞ            </t>
  </si>
  <si>
    <t xml:space="preserve">* 学童ﾊｲｴｰｽ           </t>
  </si>
  <si>
    <t xml:space="preserve">* ﾎﾝﾀﾞﾗｲﾌ             </t>
  </si>
  <si>
    <t xml:space="preserve">* ﾆｯｻﾝｸﾘｯﾊﾟｰ          </t>
  </si>
  <si>
    <t xml:space="preserve">* ｽｽﾞｷﾐﾗ              </t>
  </si>
  <si>
    <t xml:space="preserve">* ﾄﾖﾀｳﾞｨﾂ             </t>
  </si>
  <si>
    <t xml:space="preserve">* ｽｽﾞｷｱﾙﾄH25          </t>
  </si>
  <si>
    <t xml:space="preserve">* ｽｽﾞｷｱﾙﾄﾌﾞﾙｰ         </t>
  </si>
  <si>
    <t xml:space="preserve">  車両関連費2013          </t>
    <phoneticPr fontId="1"/>
  </si>
  <si>
    <t>本部</t>
    <rPh sb="0" eb="2">
      <t>ホンブ</t>
    </rPh>
    <phoneticPr fontId="11"/>
  </si>
  <si>
    <t>収益</t>
    <rPh sb="0" eb="2">
      <t>シュウエキ</t>
    </rPh>
    <phoneticPr fontId="1"/>
  </si>
  <si>
    <t>事業収入</t>
    <rPh sb="0" eb="2">
      <t>ジギョウ</t>
    </rPh>
    <rPh sb="2" eb="4">
      <t>シュウニュウ</t>
    </rPh>
    <phoneticPr fontId="1"/>
  </si>
  <si>
    <t>集計資料</t>
    <rPh sb="0" eb="2">
      <t>シュウケイ</t>
    </rPh>
    <rPh sb="2" eb="4">
      <t>シリョウ</t>
    </rPh>
    <phoneticPr fontId="1"/>
  </si>
  <si>
    <t>事業費按分</t>
    <rPh sb="0" eb="3">
      <t>ジギョウヒ</t>
    </rPh>
    <rPh sb="3" eb="5">
      <t>アンブン</t>
    </rPh>
    <phoneticPr fontId="1"/>
  </si>
  <si>
    <t>本部：財産収入</t>
    <rPh sb="0" eb="2">
      <t>ホンブ</t>
    </rPh>
    <rPh sb="3" eb="5">
      <t>ザイサン</t>
    </rPh>
    <rPh sb="5" eb="7">
      <t>シュウニュウ</t>
    </rPh>
    <phoneticPr fontId="1"/>
  </si>
  <si>
    <t>本部：会費収入</t>
    <rPh sb="0" eb="2">
      <t>ホンブ</t>
    </rPh>
    <rPh sb="3" eb="5">
      <t>カイヒ</t>
    </rPh>
    <rPh sb="5" eb="7">
      <t>シュウニュウ</t>
    </rPh>
    <phoneticPr fontId="1"/>
  </si>
  <si>
    <t>本部：寄付収入</t>
    <rPh sb="0" eb="2">
      <t>ホンブ</t>
    </rPh>
    <rPh sb="3" eb="5">
      <t>キフ</t>
    </rPh>
    <rPh sb="5" eb="7">
      <t>シュウニュウ</t>
    </rPh>
    <phoneticPr fontId="1"/>
  </si>
  <si>
    <t>本部：助成金収入</t>
    <rPh sb="0" eb="2">
      <t>ホンブ</t>
    </rPh>
    <rPh sb="3" eb="6">
      <t>ジョセイキン</t>
    </rPh>
    <rPh sb="6" eb="8">
      <t>シュウニュウ</t>
    </rPh>
    <phoneticPr fontId="1"/>
  </si>
  <si>
    <t>本部：雑収入</t>
    <rPh sb="0" eb="2">
      <t>ホンブ</t>
    </rPh>
    <rPh sb="3" eb="6">
      <t>ザツシュウニュウ</t>
    </rPh>
    <phoneticPr fontId="1"/>
  </si>
  <si>
    <t>基礎データ</t>
    <rPh sb="0" eb="2">
      <t>キソ</t>
    </rPh>
    <phoneticPr fontId="1"/>
  </si>
  <si>
    <t>法人</t>
    <rPh sb="0" eb="2">
      <t>ホウジン</t>
    </rPh>
    <phoneticPr fontId="1"/>
  </si>
  <si>
    <t>支出（事業費）計</t>
    <rPh sb="0" eb="2">
      <t>シシュツ</t>
    </rPh>
    <rPh sb="3" eb="6">
      <t>ジギョウヒ</t>
    </rPh>
    <rPh sb="7" eb="8">
      <t>ケイ</t>
    </rPh>
    <phoneticPr fontId="1"/>
  </si>
  <si>
    <t>収入合計</t>
    <rPh sb="0" eb="2">
      <t>シュウニュウ</t>
    </rPh>
    <rPh sb="2" eb="4">
      <t>ゴウケイ</t>
    </rPh>
    <phoneticPr fontId="1"/>
  </si>
  <si>
    <t>部門別収支グラフ</t>
    <rPh sb="0" eb="2">
      <t>ブモン</t>
    </rPh>
    <rPh sb="2" eb="3">
      <t>ベツ</t>
    </rPh>
    <rPh sb="3" eb="5">
      <t>シュウシ</t>
    </rPh>
    <phoneticPr fontId="1"/>
  </si>
  <si>
    <t>事業収入（A)</t>
    <rPh sb="0" eb="2">
      <t>ジギョウ</t>
    </rPh>
    <rPh sb="2" eb="4">
      <t>シュウニュウ</t>
    </rPh>
    <phoneticPr fontId="1"/>
  </si>
  <si>
    <t>事業費（B)</t>
    <rPh sb="0" eb="3">
      <t>ジギョウヒ</t>
    </rPh>
    <phoneticPr fontId="1"/>
  </si>
  <si>
    <t>収支差額（C)A-B</t>
    <rPh sb="0" eb="2">
      <t>シュウシ</t>
    </rPh>
    <rPh sb="2" eb="4">
      <t>サガク</t>
    </rPh>
    <phoneticPr fontId="1"/>
  </si>
  <si>
    <t>利益率（D)C/A</t>
    <rPh sb="0" eb="2">
      <t>リエキ</t>
    </rPh>
    <rPh sb="2" eb="3">
      <t>リツ</t>
    </rPh>
    <phoneticPr fontId="1"/>
  </si>
  <si>
    <t>総売上割合（E)A/A合計</t>
    <rPh sb="0" eb="1">
      <t>ソウ</t>
    </rPh>
    <rPh sb="1" eb="3">
      <t>ウリアゲ</t>
    </rPh>
    <rPh sb="3" eb="5">
      <t>ワリアイ</t>
    </rPh>
    <rPh sb="11" eb="13">
      <t>ゴウケイ</t>
    </rPh>
    <phoneticPr fontId="1"/>
  </si>
  <si>
    <t>本部</t>
    <rPh sb="0" eb="2">
      <t>ホンブ</t>
    </rPh>
    <phoneticPr fontId="1"/>
  </si>
  <si>
    <t>法人合計</t>
    <rPh sb="0" eb="2">
      <t>ホウジン</t>
    </rPh>
    <rPh sb="2" eb="4">
      <t>ゴウケイ</t>
    </rPh>
    <phoneticPr fontId="1"/>
  </si>
  <si>
    <t>共通管理費</t>
    <rPh sb="0" eb="2">
      <t>キョウツウ</t>
    </rPh>
    <rPh sb="2" eb="5">
      <t>カンリヒ</t>
    </rPh>
    <phoneticPr fontId="1"/>
  </si>
  <si>
    <t>支出</t>
    <rPh sb="0" eb="2">
      <t>シシュツ</t>
    </rPh>
    <phoneticPr fontId="1"/>
  </si>
  <si>
    <t>車両買換え</t>
    <rPh sb="0" eb="2">
      <t>シャリョウ</t>
    </rPh>
    <rPh sb="2" eb="4">
      <t>カイカ</t>
    </rPh>
    <phoneticPr fontId="1"/>
  </si>
  <si>
    <t>人件費</t>
    <phoneticPr fontId="1"/>
  </si>
  <si>
    <t>法定福利費</t>
    <phoneticPr fontId="1"/>
  </si>
  <si>
    <t>福利厚生費</t>
    <phoneticPr fontId="1"/>
  </si>
  <si>
    <t>広報費</t>
    <phoneticPr fontId="1"/>
  </si>
  <si>
    <t>水道光熱費</t>
    <phoneticPr fontId="1"/>
  </si>
  <si>
    <t>車両関連費</t>
    <phoneticPr fontId="1"/>
  </si>
  <si>
    <t>消耗器具備品費</t>
    <phoneticPr fontId="1"/>
  </si>
  <si>
    <t>賃借料</t>
    <phoneticPr fontId="1"/>
  </si>
  <si>
    <t>支払保険料</t>
    <phoneticPr fontId="1"/>
  </si>
  <si>
    <t>修繕費</t>
    <phoneticPr fontId="1"/>
  </si>
  <si>
    <t>租税公課</t>
    <phoneticPr fontId="1"/>
  </si>
  <si>
    <t>減価償却費</t>
    <phoneticPr fontId="1"/>
  </si>
  <si>
    <t>旅費交通費</t>
    <phoneticPr fontId="1"/>
  </si>
  <si>
    <t>通信費</t>
    <phoneticPr fontId="1"/>
  </si>
  <si>
    <t>支払手数料</t>
    <phoneticPr fontId="1"/>
  </si>
  <si>
    <t>会議費</t>
    <phoneticPr fontId="1"/>
  </si>
  <si>
    <t>諸会費</t>
    <phoneticPr fontId="1"/>
  </si>
  <si>
    <t>図書研修費</t>
    <phoneticPr fontId="1"/>
  </si>
  <si>
    <t>燃料費</t>
    <phoneticPr fontId="1"/>
  </si>
  <si>
    <t>慶弔費</t>
    <phoneticPr fontId="1"/>
  </si>
  <si>
    <t>謝金</t>
    <phoneticPr fontId="1"/>
  </si>
  <si>
    <t>地代家賃</t>
    <phoneticPr fontId="1"/>
  </si>
  <si>
    <t>雑費</t>
    <phoneticPr fontId="1"/>
  </si>
  <si>
    <t>予備費</t>
    <phoneticPr fontId="1"/>
  </si>
  <si>
    <t>会費収入</t>
    <rPh sb="0" eb="2">
      <t>カイヒ</t>
    </rPh>
    <rPh sb="2" eb="4">
      <t>シュウニュウ</t>
    </rPh>
    <phoneticPr fontId="1"/>
  </si>
  <si>
    <t>寄付金</t>
    <rPh sb="0" eb="3">
      <t>キフキン</t>
    </rPh>
    <phoneticPr fontId="1"/>
  </si>
  <si>
    <t>助成金</t>
    <rPh sb="0" eb="2">
      <t>ジョセイ</t>
    </rPh>
    <rPh sb="2" eb="3">
      <t>キン</t>
    </rPh>
    <phoneticPr fontId="1"/>
  </si>
  <si>
    <t>雑収入</t>
    <rPh sb="0" eb="3">
      <t>ザツシュウニュウ</t>
    </rPh>
    <phoneticPr fontId="1"/>
  </si>
  <si>
    <t>会費・寄付</t>
    <rPh sb="0" eb="2">
      <t>カイヒ</t>
    </rPh>
    <rPh sb="3" eb="5">
      <t>キフ</t>
    </rPh>
    <phoneticPr fontId="1"/>
  </si>
  <si>
    <t>補助・助成</t>
    <rPh sb="0" eb="2">
      <t>ホジョ</t>
    </rPh>
    <rPh sb="3" eb="5">
      <t>ジョセイ</t>
    </rPh>
    <phoneticPr fontId="1"/>
  </si>
  <si>
    <t>受託収入</t>
    <rPh sb="0" eb="2">
      <t>ジュタク</t>
    </rPh>
    <rPh sb="2" eb="4">
      <t>シュウニュウ</t>
    </rPh>
    <phoneticPr fontId="1"/>
  </si>
  <si>
    <t>受取利益</t>
    <rPh sb="0" eb="2">
      <t>ウケトリ</t>
    </rPh>
    <rPh sb="2" eb="4">
      <t>リエキ</t>
    </rPh>
    <phoneticPr fontId="1"/>
  </si>
  <si>
    <t>介護保険</t>
    <rPh sb="0" eb="2">
      <t>カイゴ</t>
    </rPh>
    <rPh sb="2" eb="4">
      <t>ホケン</t>
    </rPh>
    <phoneticPr fontId="1"/>
  </si>
  <si>
    <t>障がい福祉</t>
    <rPh sb="0" eb="1">
      <t>ショウ</t>
    </rPh>
    <rPh sb="3" eb="5">
      <t>フクシ</t>
    </rPh>
    <phoneticPr fontId="1"/>
  </si>
  <si>
    <t>独自事業</t>
    <rPh sb="0" eb="2">
      <t>ドクジ</t>
    </rPh>
    <rPh sb="2" eb="4">
      <t>ジギョウ</t>
    </rPh>
    <phoneticPr fontId="1"/>
  </si>
  <si>
    <t>訪問</t>
    <rPh sb="0" eb="2">
      <t>ホウモン</t>
    </rPh>
    <phoneticPr fontId="1"/>
  </si>
  <si>
    <t>奥立願寺</t>
    <rPh sb="0" eb="1">
      <t>オク</t>
    </rPh>
    <rPh sb="1" eb="2">
      <t>リュウ</t>
    </rPh>
    <rPh sb="2" eb="3">
      <t>ガン</t>
    </rPh>
    <rPh sb="3" eb="4">
      <t>ジ</t>
    </rPh>
    <phoneticPr fontId="1"/>
  </si>
  <si>
    <t>就労</t>
    <rPh sb="0" eb="2">
      <t>シュウロウ</t>
    </rPh>
    <phoneticPr fontId="1"/>
  </si>
  <si>
    <t>宅老所</t>
    <rPh sb="0" eb="1">
      <t>タク</t>
    </rPh>
    <rPh sb="1" eb="2">
      <t>ロウ</t>
    </rPh>
    <rPh sb="2" eb="3">
      <t>ショ</t>
    </rPh>
    <phoneticPr fontId="1"/>
  </si>
  <si>
    <t>たすけあい</t>
    <phoneticPr fontId="1"/>
  </si>
  <si>
    <t>学童</t>
    <rPh sb="0" eb="2">
      <t>ガクドウ</t>
    </rPh>
    <phoneticPr fontId="1"/>
  </si>
  <si>
    <t>給食</t>
    <rPh sb="0" eb="2">
      <t>キュウショク</t>
    </rPh>
    <phoneticPr fontId="1"/>
  </si>
  <si>
    <t>　　　高齢訪問事業</t>
    <rPh sb="3" eb="5">
      <t>コウレイ</t>
    </rPh>
    <phoneticPr fontId="1"/>
  </si>
  <si>
    <t>　　　高齢通所事業（奥立願寺）</t>
    <rPh sb="3" eb="5">
      <t>コウレイ</t>
    </rPh>
    <phoneticPr fontId="1"/>
  </si>
  <si>
    <t>　　　高齢居宅介護支援事業</t>
    <rPh sb="3" eb="5">
      <t>コウレイ</t>
    </rPh>
    <phoneticPr fontId="1"/>
  </si>
  <si>
    <t>　　　障がい居宅介護等事業</t>
    <rPh sb="3" eb="4">
      <t>ショウ</t>
    </rPh>
    <phoneticPr fontId="1"/>
  </si>
  <si>
    <t>　　　障がい就労支援等事業</t>
    <rPh sb="3" eb="4">
      <t>ショウ</t>
    </rPh>
    <rPh sb="6" eb="8">
      <t>シュウロウ</t>
    </rPh>
    <rPh sb="8" eb="10">
      <t>シエン</t>
    </rPh>
    <rPh sb="10" eb="11">
      <t>トウ</t>
    </rPh>
    <rPh sb="11" eb="13">
      <t>ジギョウ</t>
    </rPh>
    <phoneticPr fontId="1"/>
  </si>
  <si>
    <t>　　　高齢通所事業（中尾）</t>
    <phoneticPr fontId="1"/>
  </si>
  <si>
    <t>たすけあい事業</t>
    <phoneticPr fontId="1"/>
  </si>
  <si>
    <t>宅配給食事業</t>
    <phoneticPr fontId="1"/>
  </si>
  <si>
    <t>学童保育事業</t>
    <phoneticPr fontId="1"/>
  </si>
  <si>
    <t>人材育成事業</t>
    <phoneticPr fontId="1"/>
  </si>
  <si>
    <t>高齢訪問事業</t>
    <rPh sb="0" eb="2">
      <t>コウレイ</t>
    </rPh>
    <phoneticPr fontId="1"/>
  </si>
  <si>
    <t>高齢通所事業（奥立願寺）</t>
    <rPh sb="0" eb="2">
      <t>コウレイ</t>
    </rPh>
    <phoneticPr fontId="1"/>
  </si>
  <si>
    <t>高齢通所事業（中尾）</t>
    <phoneticPr fontId="1"/>
  </si>
  <si>
    <t>高齢居宅介護支援事業</t>
    <rPh sb="0" eb="2">
      <t>コウレイ</t>
    </rPh>
    <phoneticPr fontId="1"/>
  </si>
  <si>
    <t>障がい居宅介護等事業</t>
    <rPh sb="0" eb="1">
      <t>ショウ</t>
    </rPh>
    <phoneticPr fontId="1"/>
  </si>
  <si>
    <t>障がい就労支援等事業</t>
    <rPh sb="0" eb="1">
      <t>ショウ</t>
    </rPh>
    <rPh sb="3" eb="5">
      <t>シュウロウ</t>
    </rPh>
    <rPh sb="5" eb="7">
      <t>シエン</t>
    </rPh>
    <rPh sb="7" eb="8">
      <t>トウ</t>
    </rPh>
    <rPh sb="8" eb="10">
      <t>ジギョウ</t>
    </rPh>
    <phoneticPr fontId="1"/>
  </si>
  <si>
    <t>③－②</t>
    <phoneticPr fontId="1"/>
  </si>
  <si>
    <t>決算額</t>
    <rPh sb="0" eb="2">
      <t>ケッサン</t>
    </rPh>
    <rPh sb="2" eb="3">
      <t>ガク</t>
    </rPh>
    <phoneticPr fontId="1"/>
  </si>
  <si>
    <t>初任者研修</t>
    <rPh sb="0" eb="3">
      <t>ショニンシャ</t>
    </rPh>
    <rPh sb="3" eb="5">
      <t>ケンシュウ</t>
    </rPh>
    <phoneticPr fontId="1"/>
  </si>
  <si>
    <t>同行援護</t>
    <rPh sb="0" eb="2">
      <t>ドウコウ</t>
    </rPh>
    <rPh sb="2" eb="4">
      <t>エンゴ</t>
    </rPh>
    <phoneticPr fontId="1"/>
  </si>
  <si>
    <t>2014予算</t>
    <phoneticPr fontId="1"/>
  </si>
  <si>
    <t>2014決算</t>
    <phoneticPr fontId="1"/>
  </si>
  <si>
    <t>2015予算</t>
    <phoneticPr fontId="1"/>
  </si>
  <si>
    <t>予算額（A)</t>
    <phoneticPr fontId="1"/>
  </si>
  <si>
    <t>予算額（B)</t>
    <phoneticPr fontId="1"/>
  </si>
  <si>
    <t>A型訓練給付等</t>
    <rPh sb="1" eb="2">
      <t>ガタ</t>
    </rPh>
    <rPh sb="2" eb="4">
      <t>クンレン</t>
    </rPh>
    <rPh sb="4" eb="6">
      <t>キュウフ</t>
    </rPh>
    <rPh sb="6" eb="7">
      <t>トウ</t>
    </rPh>
    <phoneticPr fontId="1"/>
  </si>
  <si>
    <t>営業利益</t>
    <rPh sb="0" eb="2">
      <t>エイギョウ</t>
    </rPh>
    <rPh sb="2" eb="4">
      <t>リエキ</t>
    </rPh>
    <phoneticPr fontId="1"/>
  </si>
  <si>
    <t>人件費</t>
    <rPh sb="0" eb="3">
      <t>ジンケンヒ</t>
    </rPh>
    <phoneticPr fontId="1"/>
  </si>
  <si>
    <t>諸経費</t>
    <rPh sb="0" eb="3">
      <t>ショケイヒ</t>
    </rPh>
    <phoneticPr fontId="1"/>
  </si>
  <si>
    <t>内）給与・賞与</t>
    <rPh sb="0" eb="1">
      <t>ウチ</t>
    </rPh>
    <rPh sb="2" eb="4">
      <t>キュウヨ</t>
    </rPh>
    <rPh sb="5" eb="7">
      <t>ショウヨ</t>
    </rPh>
    <phoneticPr fontId="1"/>
  </si>
  <si>
    <t>内）社会保険等</t>
    <rPh sb="0" eb="1">
      <t>ウチ</t>
    </rPh>
    <rPh sb="2" eb="4">
      <t>シャカイ</t>
    </rPh>
    <rPh sb="4" eb="6">
      <t>ホケン</t>
    </rPh>
    <rPh sb="6" eb="7">
      <t>ナド</t>
    </rPh>
    <phoneticPr fontId="1"/>
  </si>
  <si>
    <t>仮決算</t>
    <rPh sb="0" eb="1">
      <t>カリ</t>
    </rPh>
    <rPh sb="1" eb="3">
      <t>ケッサン</t>
    </rPh>
    <phoneticPr fontId="1"/>
  </si>
  <si>
    <t>給与・賞与</t>
    <rPh sb="0" eb="2">
      <t>キュウヨ</t>
    </rPh>
    <rPh sb="3" eb="5">
      <t>ショウヨ</t>
    </rPh>
    <phoneticPr fontId="1"/>
  </si>
  <si>
    <t>管理費</t>
    <rPh sb="0" eb="3">
      <t>カンリヒ</t>
    </rPh>
    <phoneticPr fontId="1"/>
  </si>
  <si>
    <t>2015予算</t>
    <rPh sb="4" eb="6">
      <t>ヨサン</t>
    </rPh>
    <phoneticPr fontId="1"/>
  </si>
  <si>
    <t>2014実績</t>
    <rPh sb="4" eb="6">
      <t>ジッセキ</t>
    </rPh>
    <phoneticPr fontId="1"/>
  </si>
  <si>
    <t>通所</t>
    <rPh sb="0" eb="2">
      <t>ツウショ</t>
    </rPh>
    <phoneticPr fontId="1"/>
  </si>
  <si>
    <t>按分前</t>
    <rPh sb="0" eb="2">
      <t>アンブン</t>
    </rPh>
    <rPh sb="2" eb="3">
      <t>マエ</t>
    </rPh>
    <phoneticPr fontId="1"/>
  </si>
  <si>
    <t>按分額</t>
    <rPh sb="0" eb="2">
      <t>アンブン</t>
    </rPh>
    <rPh sb="2" eb="3">
      <t>ガク</t>
    </rPh>
    <phoneticPr fontId="1"/>
  </si>
  <si>
    <t>人件費（月額）</t>
    <rPh sb="0" eb="3">
      <t>ジンケンヒ</t>
    </rPh>
    <rPh sb="4" eb="6">
      <t>ゲツガク</t>
    </rPh>
    <phoneticPr fontId="1"/>
  </si>
  <si>
    <t>合計</t>
    <rPh sb="0" eb="2">
      <t>ゴウケイ</t>
    </rPh>
    <phoneticPr fontId="1"/>
  </si>
  <si>
    <t>常勤数</t>
    <rPh sb="0" eb="2">
      <t>ジョウキン</t>
    </rPh>
    <rPh sb="2" eb="3">
      <t>スウ</t>
    </rPh>
    <phoneticPr fontId="1"/>
  </si>
  <si>
    <t>常勤一人当たりの給与・賞与（月額）</t>
    <rPh sb="0" eb="2">
      <t>ジョウキン</t>
    </rPh>
    <rPh sb="2" eb="4">
      <t>ヒトリ</t>
    </rPh>
    <rPh sb="4" eb="5">
      <t>ア</t>
    </rPh>
    <rPh sb="8" eb="10">
      <t>キュウヨ</t>
    </rPh>
    <rPh sb="11" eb="13">
      <t>ショウヨ</t>
    </rPh>
    <rPh sb="14" eb="15">
      <t>ツキ</t>
    </rPh>
    <rPh sb="15" eb="16">
      <t>ガク</t>
    </rPh>
    <phoneticPr fontId="1"/>
  </si>
  <si>
    <t>非常勤数</t>
    <rPh sb="0" eb="3">
      <t>ヒジョウキン</t>
    </rPh>
    <rPh sb="3" eb="4">
      <t>スウ</t>
    </rPh>
    <phoneticPr fontId="1"/>
  </si>
  <si>
    <t>就労スタッフ/当直等</t>
    <rPh sb="0" eb="2">
      <t>シュウロウ</t>
    </rPh>
    <rPh sb="7" eb="9">
      <t>トウチョク</t>
    </rPh>
    <rPh sb="9" eb="10">
      <t>トウ</t>
    </rPh>
    <phoneticPr fontId="1"/>
  </si>
  <si>
    <t>材料費</t>
    <rPh sb="0" eb="3">
      <t>ザイリョウヒ</t>
    </rPh>
    <phoneticPr fontId="1"/>
  </si>
  <si>
    <t>（参考）前年度常勤一人当たり</t>
    <rPh sb="1" eb="3">
      <t>サンコウ</t>
    </rPh>
    <rPh sb="4" eb="7">
      <t>ゼンネンド</t>
    </rPh>
    <rPh sb="7" eb="9">
      <t>ジョウキン</t>
    </rPh>
    <rPh sb="9" eb="11">
      <t>ヒトリ</t>
    </rPh>
    <rPh sb="11" eb="12">
      <t>ア</t>
    </rPh>
    <phoneticPr fontId="1"/>
  </si>
  <si>
    <t>処遇改善ベースアップ額</t>
    <rPh sb="0" eb="2">
      <t>ショグウ</t>
    </rPh>
    <rPh sb="2" eb="4">
      <t>カイゼン</t>
    </rPh>
    <rPh sb="10" eb="11">
      <t>ガク</t>
    </rPh>
    <phoneticPr fontId="1"/>
  </si>
  <si>
    <t>土日祝日加算</t>
    <rPh sb="0" eb="2">
      <t>ドニチ</t>
    </rPh>
    <rPh sb="2" eb="4">
      <t>シュクジツ</t>
    </rPh>
    <rPh sb="4" eb="6">
      <t>カサン</t>
    </rPh>
    <phoneticPr fontId="1"/>
  </si>
  <si>
    <t>4.1％＝15日/363日</t>
    <rPh sb="7" eb="8">
      <t>ニチ</t>
    </rPh>
    <rPh sb="12" eb="13">
      <t>ニチ</t>
    </rPh>
    <phoneticPr fontId="1"/>
  </si>
  <si>
    <t>加算</t>
    <rPh sb="0" eb="2">
      <t>カサン</t>
    </rPh>
    <phoneticPr fontId="1"/>
  </si>
  <si>
    <t>職員数</t>
    <rPh sb="0" eb="3">
      <t>ショクインスウ</t>
    </rPh>
    <phoneticPr fontId="1"/>
  </si>
  <si>
    <t>常勤一人当たりの給与・賞与+加算（月額）</t>
    <rPh sb="0" eb="2">
      <t>ジョウキン</t>
    </rPh>
    <rPh sb="2" eb="4">
      <t>ヒトリ</t>
    </rPh>
    <rPh sb="4" eb="5">
      <t>ア</t>
    </rPh>
    <rPh sb="8" eb="10">
      <t>キュウヨ</t>
    </rPh>
    <rPh sb="11" eb="13">
      <t>ショウヨ</t>
    </rPh>
    <rPh sb="14" eb="16">
      <t>カサン</t>
    </rPh>
    <rPh sb="17" eb="18">
      <t>ツキ</t>
    </rPh>
    <rPh sb="18" eb="19">
      <t>ガク</t>
    </rPh>
    <phoneticPr fontId="1"/>
  </si>
  <si>
    <t>（参考）</t>
    <rPh sb="1" eb="3">
      <t>サンコウ</t>
    </rPh>
    <phoneticPr fontId="1"/>
  </si>
  <si>
    <t>常勤分　給与・賞与（月額）</t>
    <phoneticPr fontId="1"/>
  </si>
  <si>
    <t>非常勤分　給与（月額）</t>
    <phoneticPr fontId="1"/>
  </si>
  <si>
    <t>就労スタッフ/当直分　給与（月額）</t>
    <rPh sb="0" eb="2">
      <t>シュウロウ</t>
    </rPh>
    <rPh sb="7" eb="9">
      <t>トウチョク</t>
    </rPh>
    <phoneticPr fontId="1"/>
  </si>
  <si>
    <t>6÷12月</t>
    <rPh sb="4" eb="5">
      <t>ツキ</t>
    </rPh>
    <phoneticPr fontId="1"/>
  </si>
  <si>
    <t>12÷12月</t>
    <rPh sb="5" eb="6">
      <t>ツキ</t>
    </rPh>
    <phoneticPr fontId="1"/>
  </si>
  <si>
    <t>13-14</t>
    <phoneticPr fontId="1"/>
  </si>
  <si>
    <t>差</t>
    <rPh sb="0" eb="1">
      <t>サ</t>
    </rPh>
    <phoneticPr fontId="1"/>
  </si>
  <si>
    <t>13*16/16</t>
    <phoneticPr fontId="1"/>
  </si>
  <si>
    <t>19+21+22</t>
    <phoneticPr fontId="1"/>
  </si>
  <si>
    <t>貸倒引当金繰入</t>
    <rPh sb="0" eb="1">
      <t>カシ</t>
    </rPh>
    <rPh sb="1" eb="2">
      <t>ダオ</t>
    </rPh>
    <rPh sb="2" eb="4">
      <t>ヒキアテ</t>
    </rPh>
    <rPh sb="4" eb="5">
      <t>キン</t>
    </rPh>
    <rPh sb="5" eb="7">
      <t>クリイレ</t>
    </rPh>
    <phoneticPr fontId="1"/>
  </si>
  <si>
    <t>特別利益</t>
    <rPh sb="0" eb="2">
      <t>トクベツ</t>
    </rPh>
    <rPh sb="2" eb="4">
      <t>リエキ</t>
    </rPh>
    <phoneticPr fontId="1"/>
  </si>
  <si>
    <t>　１、受取会費</t>
    <rPh sb="3" eb="5">
      <t>ウケトリ</t>
    </rPh>
    <phoneticPr fontId="1"/>
  </si>
  <si>
    <t>　２、受取寄付金</t>
    <rPh sb="3" eb="5">
      <t>ウケトリ</t>
    </rPh>
    <rPh sb="7" eb="8">
      <t>キン</t>
    </rPh>
    <phoneticPr fontId="1"/>
  </si>
  <si>
    <t>　３、受取助成金等</t>
    <rPh sb="3" eb="5">
      <t>ウケトリ</t>
    </rPh>
    <rPh sb="8" eb="9">
      <t>トウ</t>
    </rPh>
    <phoneticPr fontId="1"/>
  </si>
  <si>
    <t>　４、事業収益</t>
    <rPh sb="5" eb="7">
      <t>シュウエキ</t>
    </rPh>
    <phoneticPr fontId="1"/>
  </si>
  <si>
    <t>　5、その他の収益</t>
    <rPh sb="5" eb="6">
      <t>タ</t>
    </rPh>
    <rPh sb="7" eb="9">
      <t>シュウエキ</t>
    </rPh>
    <phoneticPr fontId="1"/>
  </si>
  <si>
    <t>　　　雑収益</t>
    <rPh sb="4" eb="6">
      <t>シュウエキ</t>
    </rPh>
    <phoneticPr fontId="1"/>
  </si>
  <si>
    <t>　　　受取利息</t>
    <rPh sb="3" eb="5">
      <t>ウケトリ</t>
    </rPh>
    <rPh sb="5" eb="7">
      <t>リソク</t>
    </rPh>
    <phoneticPr fontId="1"/>
  </si>
  <si>
    <t>　　　（１）人件費</t>
    <rPh sb="6" eb="9">
      <t>ジンケンヒ</t>
    </rPh>
    <phoneticPr fontId="1"/>
  </si>
  <si>
    <t>　　　（２）その他の経費</t>
    <rPh sb="8" eb="9">
      <t>タ</t>
    </rPh>
    <rPh sb="10" eb="12">
      <t>ケイヒ</t>
    </rPh>
    <phoneticPr fontId="1"/>
  </si>
  <si>
    <t>高齢通所（奥立願）</t>
    <rPh sb="0" eb="2">
      <t>コウレイ</t>
    </rPh>
    <rPh sb="2" eb="3">
      <t>ツウ</t>
    </rPh>
    <rPh sb="3" eb="4">
      <t>ショ</t>
    </rPh>
    <rPh sb="5" eb="6">
      <t>オク</t>
    </rPh>
    <rPh sb="6" eb="7">
      <t>リュウ</t>
    </rPh>
    <rPh sb="7" eb="8">
      <t>ガン</t>
    </rPh>
    <phoneticPr fontId="1"/>
  </si>
  <si>
    <t>高齢通所(中尾）</t>
    <rPh sb="0" eb="2">
      <t>コウレイ</t>
    </rPh>
    <rPh sb="2" eb="3">
      <t>ツウ</t>
    </rPh>
    <rPh sb="3" eb="4">
      <t>ショ</t>
    </rPh>
    <rPh sb="5" eb="7">
      <t>ナカオ</t>
    </rPh>
    <phoneticPr fontId="1"/>
  </si>
  <si>
    <t>高齢居宅</t>
    <rPh sb="0" eb="2">
      <t>コウレイ</t>
    </rPh>
    <rPh sb="2" eb="4">
      <t>キョタク</t>
    </rPh>
    <phoneticPr fontId="1"/>
  </si>
  <si>
    <t>たすけあい活動</t>
    <rPh sb="5" eb="7">
      <t>カツドウ</t>
    </rPh>
    <phoneticPr fontId="1"/>
  </si>
  <si>
    <t>経常収益</t>
    <rPh sb="0" eb="2">
      <t>ケイジョウ</t>
    </rPh>
    <rPh sb="2" eb="4">
      <t>シュウエキ</t>
    </rPh>
    <phoneticPr fontId="1"/>
  </si>
  <si>
    <t>経常費用</t>
    <rPh sb="0" eb="2">
      <t>ケイジョウ</t>
    </rPh>
    <rPh sb="2" eb="4">
      <t>ヒヨウ</t>
    </rPh>
    <phoneticPr fontId="1"/>
  </si>
  <si>
    <t>小計</t>
    <rPh sb="0" eb="1">
      <t>ショウ</t>
    </rPh>
    <rPh sb="1" eb="2">
      <t>ケイ</t>
    </rPh>
    <phoneticPr fontId="1"/>
  </si>
  <si>
    <t>経常増減額</t>
    <rPh sb="0" eb="2">
      <t>ケイジョウ</t>
    </rPh>
    <rPh sb="2" eb="5">
      <t>ゾウゲンガク</t>
    </rPh>
    <phoneticPr fontId="1"/>
  </si>
  <si>
    <t>本部管理費</t>
    <rPh sb="0" eb="2">
      <t>ホンブ</t>
    </rPh>
    <rPh sb="2" eb="5">
      <t>カンリヒ</t>
    </rPh>
    <phoneticPr fontId="1"/>
  </si>
  <si>
    <t>A</t>
    <phoneticPr fontId="1"/>
  </si>
  <si>
    <t>B</t>
    <phoneticPr fontId="1"/>
  </si>
  <si>
    <t>C</t>
    <phoneticPr fontId="1"/>
  </si>
  <si>
    <t>A+B</t>
    <phoneticPr fontId="1"/>
  </si>
  <si>
    <t>小　計</t>
    <rPh sb="0" eb="1">
      <t>ショウ</t>
    </rPh>
    <rPh sb="2" eb="3">
      <t>ケイ</t>
    </rPh>
    <phoneticPr fontId="1"/>
  </si>
  <si>
    <t>合　計</t>
    <rPh sb="0" eb="1">
      <t>ゴウ</t>
    </rPh>
    <rPh sb="2" eb="3">
      <t>ケイ</t>
    </rPh>
    <phoneticPr fontId="1"/>
  </si>
  <si>
    <t>関連収益</t>
    <rPh sb="0" eb="2">
      <t>カンレン</t>
    </rPh>
    <rPh sb="2" eb="4">
      <t>シュウエキ</t>
    </rPh>
    <phoneticPr fontId="1"/>
  </si>
  <si>
    <t>　　　　　　法定福利費</t>
    <rPh sb="6" eb="8">
      <t>ホウテイ</t>
    </rPh>
    <rPh sb="8" eb="10">
      <t>フクリ</t>
    </rPh>
    <rPh sb="10" eb="11">
      <t>ヒ</t>
    </rPh>
    <phoneticPr fontId="1"/>
  </si>
  <si>
    <t>　　　　　　福利厚生費</t>
    <rPh sb="6" eb="8">
      <t>フクリ</t>
    </rPh>
    <rPh sb="8" eb="11">
      <t>コウセイヒ</t>
    </rPh>
    <phoneticPr fontId="1"/>
  </si>
  <si>
    <t>　　　　　　雑費</t>
    <phoneticPr fontId="1"/>
  </si>
  <si>
    <t>法定福利費</t>
    <rPh sb="0" eb="2">
      <t>ホウテイ</t>
    </rPh>
    <rPh sb="2" eb="4">
      <t>フクリ</t>
    </rPh>
    <rPh sb="4" eb="5">
      <t>ヒ</t>
    </rPh>
    <phoneticPr fontId="1"/>
  </si>
  <si>
    <t>福利厚生費</t>
    <phoneticPr fontId="1"/>
  </si>
  <si>
    <t>給与・賞与</t>
    <rPh sb="0" eb="2">
      <t>キュウヨ</t>
    </rPh>
    <rPh sb="3" eb="5">
      <t>ショウヨ</t>
    </rPh>
    <phoneticPr fontId="1"/>
  </si>
  <si>
    <t>賃借料</t>
    <rPh sb="0" eb="3">
      <t>チンシャクリョウ</t>
    </rPh>
    <phoneticPr fontId="1"/>
  </si>
  <si>
    <t>　　　　　　材料費</t>
    <rPh sb="6" eb="9">
      <t>ザイリョウヒ</t>
    </rPh>
    <phoneticPr fontId="1"/>
  </si>
  <si>
    <t>当期経常増減額</t>
    <rPh sb="0" eb="2">
      <t>トウキ</t>
    </rPh>
    <rPh sb="2" eb="4">
      <t>ケイジョウ</t>
    </rPh>
    <rPh sb="4" eb="7">
      <t>ゾウゲンガク</t>
    </rPh>
    <phoneticPr fontId="1"/>
  </si>
  <si>
    <t>　　　受取寄付金</t>
    <rPh sb="3" eb="5">
      <t>ウケトリ</t>
    </rPh>
    <rPh sb="5" eb="8">
      <t>キフキン</t>
    </rPh>
    <phoneticPr fontId="1"/>
  </si>
  <si>
    <t>　　　受取民間助成金</t>
    <rPh sb="3" eb="5">
      <t>ウケトリ</t>
    </rPh>
    <rPh sb="5" eb="7">
      <t>ミンカン</t>
    </rPh>
    <rPh sb="7" eb="10">
      <t>ジョセイキン</t>
    </rPh>
    <phoneticPr fontId="1"/>
  </si>
  <si>
    <t>　経常収益計</t>
    <rPh sb="3" eb="5">
      <t>シュウエキ</t>
    </rPh>
    <phoneticPr fontId="1"/>
  </si>
  <si>
    <t>　　　　　　法定福利費</t>
    <phoneticPr fontId="1"/>
  </si>
  <si>
    <t>　　　　　　福利厚生費</t>
    <phoneticPr fontId="1"/>
  </si>
  <si>
    <t>企業・個人</t>
    <rPh sb="0" eb="2">
      <t>キギョウ</t>
    </rPh>
    <rPh sb="3" eb="5">
      <t>コジン</t>
    </rPh>
    <phoneticPr fontId="1"/>
  </si>
  <si>
    <t>社会保険料等</t>
    <rPh sb="0" eb="2">
      <t>シャカイ</t>
    </rPh>
    <rPh sb="2" eb="5">
      <t>ホケンリョウ</t>
    </rPh>
    <rPh sb="5" eb="6">
      <t>トウ</t>
    </rPh>
    <phoneticPr fontId="1"/>
  </si>
  <si>
    <t>固定資産税、自動車税等</t>
    <rPh sb="0" eb="2">
      <t>コテイ</t>
    </rPh>
    <rPh sb="2" eb="5">
      <t>シサンゼイ</t>
    </rPh>
    <rPh sb="6" eb="9">
      <t>ジドウシャ</t>
    </rPh>
    <rPh sb="9" eb="10">
      <t>ゼイ</t>
    </rPh>
    <rPh sb="10" eb="11">
      <t>トウ</t>
    </rPh>
    <phoneticPr fontId="1"/>
  </si>
  <si>
    <t>電話・携帯代、郵送料等</t>
    <rPh sb="0" eb="2">
      <t>デンワ</t>
    </rPh>
    <rPh sb="3" eb="5">
      <t>ケイタイ</t>
    </rPh>
    <rPh sb="5" eb="6">
      <t>ダイ</t>
    </rPh>
    <rPh sb="7" eb="10">
      <t>ユウソウリョウ</t>
    </rPh>
    <rPh sb="10" eb="11">
      <t>トウ</t>
    </rPh>
    <phoneticPr fontId="1"/>
  </si>
  <si>
    <t>各拠点・駐車場代</t>
    <rPh sb="0" eb="3">
      <t>カクキョテン</t>
    </rPh>
    <rPh sb="4" eb="7">
      <t>チュウシャジョウ</t>
    </rPh>
    <rPh sb="7" eb="8">
      <t>ダイ</t>
    </rPh>
    <phoneticPr fontId="1"/>
  </si>
  <si>
    <t>活動謝金等</t>
    <rPh sb="0" eb="2">
      <t>カツドウ</t>
    </rPh>
    <rPh sb="2" eb="4">
      <t>シャキン</t>
    </rPh>
    <rPh sb="4" eb="5">
      <t>トウ</t>
    </rPh>
    <phoneticPr fontId="1"/>
  </si>
  <si>
    <t>材料費・テキスト代</t>
    <rPh sb="0" eb="3">
      <t>ザイリョウヒ</t>
    </rPh>
    <rPh sb="8" eb="9">
      <t>ダイ</t>
    </rPh>
    <phoneticPr fontId="1"/>
  </si>
  <si>
    <t>単位：円　　</t>
    <rPh sb="0" eb="2">
      <t>タンイ</t>
    </rPh>
    <rPh sb="3" eb="4">
      <t>エン</t>
    </rPh>
    <phoneticPr fontId="1"/>
  </si>
  <si>
    <t>事　業　名</t>
    <rPh sb="0" eb="1">
      <t>コト</t>
    </rPh>
    <rPh sb="2" eb="3">
      <t>ギョウ</t>
    </rPh>
    <rPh sb="4" eb="5">
      <t>メイ</t>
    </rPh>
    <phoneticPr fontId="1"/>
  </si>
  <si>
    <t>　　　正会員等受取会費</t>
    <rPh sb="3" eb="4">
      <t>セイ</t>
    </rPh>
    <rPh sb="4" eb="6">
      <t>カイイン</t>
    </rPh>
    <rPh sb="6" eb="7">
      <t>トウ</t>
    </rPh>
    <rPh sb="7" eb="9">
      <t>ウケトリ</t>
    </rPh>
    <rPh sb="9" eb="11">
      <t>カイヒ</t>
    </rPh>
    <phoneticPr fontId="1"/>
  </si>
  <si>
    <t>口座利息</t>
    <rPh sb="0" eb="2">
      <t>コウザ</t>
    </rPh>
    <rPh sb="2" eb="4">
      <t>リソク</t>
    </rPh>
    <phoneticPr fontId="1"/>
  </si>
  <si>
    <t>障がい就労</t>
    <rPh sb="3" eb="5">
      <t>シュウロウ</t>
    </rPh>
    <phoneticPr fontId="1"/>
  </si>
  <si>
    <t>学童1</t>
  </si>
  <si>
    <t>学童2</t>
  </si>
  <si>
    <t>学童2</t>
    <phoneticPr fontId="1"/>
  </si>
  <si>
    <t>グッドシーズン</t>
    <phoneticPr fontId="1"/>
  </si>
  <si>
    <t>居室利用収益</t>
    <rPh sb="0" eb="2">
      <t>キョシツ</t>
    </rPh>
    <rPh sb="2" eb="4">
      <t>リヨウ</t>
    </rPh>
    <rPh sb="4" eb="6">
      <t>シュウエキ</t>
    </rPh>
    <phoneticPr fontId="1"/>
  </si>
  <si>
    <t>費用</t>
    <rPh sb="0" eb="2">
      <t>ヒヨウ</t>
    </rPh>
    <phoneticPr fontId="1"/>
  </si>
  <si>
    <t>増減</t>
    <rPh sb="0" eb="2">
      <t>ゾウゲン</t>
    </rPh>
    <phoneticPr fontId="1"/>
  </si>
  <si>
    <t>予算</t>
    <rPh sb="0" eb="2">
      <t>ヨサン</t>
    </rPh>
    <phoneticPr fontId="1"/>
  </si>
  <si>
    <t>実績</t>
    <rPh sb="0" eb="2">
      <t>ジッセキ</t>
    </rPh>
    <phoneticPr fontId="1"/>
  </si>
  <si>
    <t>学童合算</t>
    <rPh sb="0" eb="2">
      <t>ガクドウ</t>
    </rPh>
    <rPh sb="2" eb="4">
      <t>ガッサン</t>
    </rPh>
    <phoneticPr fontId="1"/>
  </si>
  <si>
    <t>第1クラブ</t>
    <rPh sb="0" eb="1">
      <t>ダイ</t>
    </rPh>
    <phoneticPr fontId="1"/>
  </si>
  <si>
    <t>第2クラブ</t>
    <rPh sb="0" eb="1">
      <t>ダイ</t>
    </rPh>
    <phoneticPr fontId="1"/>
  </si>
  <si>
    <t>中計</t>
    <rPh sb="0" eb="2">
      <t>チュウケイ</t>
    </rPh>
    <phoneticPr fontId="1"/>
  </si>
  <si>
    <t>※</t>
    <phoneticPr fontId="1"/>
  </si>
  <si>
    <t>賞与按分</t>
    <rPh sb="0" eb="2">
      <t>ショウヨ</t>
    </rPh>
    <rPh sb="2" eb="4">
      <t>アンブン</t>
    </rPh>
    <phoneticPr fontId="1"/>
  </si>
  <si>
    <t>配分額</t>
    <rPh sb="0" eb="2">
      <t>ハイブン</t>
    </rPh>
    <rPh sb="2" eb="3">
      <t>ガク</t>
    </rPh>
    <phoneticPr fontId="1"/>
  </si>
  <si>
    <t>北崎井上三次前田</t>
    <rPh sb="0" eb="2">
      <t>キタザキ</t>
    </rPh>
    <rPh sb="2" eb="4">
      <t>イノウエ</t>
    </rPh>
    <rPh sb="4" eb="6">
      <t>ミツギ</t>
    </rPh>
    <rPh sb="6" eb="8">
      <t>マエダ</t>
    </rPh>
    <phoneticPr fontId="1"/>
  </si>
  <si>
    <t>古賀白野</t>
    <rPh sb="0" eb="2">
      <t>コガ</t>
    </rPh>
    <rPh sb="2" eb="3">
      <t>シラ</t>
    </rPh>
    <rPh sb="3" eb="4">
      <t>ノ</t>
    </rPh>
    <phoneticPr fontId="1"/>
  </si>
  <si>
    <t>宮崎坂脇内尾</t>
    <rPh sb="0" eb="2">
      <t>ミヤザキ</t>
    </rPh>
    <rPh sb="2" eb="3">
      <t>サカ</t>
    </rPh>
    <rPh sb="3" eb="4">
      <t>ワキ</t>
    </rPh>
    <rPh sb="4" eb="6">
      <t>ウチオ</t>
    </rPh>
    <phoneticPr fontId="1"/>
  </si>
  <si>
    <t>本田前田山川</t>
    <rPh sb="0" eb="2">
      <t>ホンダ</t>
    </rPh>
    <rPh sb="2" eb="4">
      <t>マエダ</t>
    </rPh>
    <rPh sb="4" eb="6">
      <t>ヤマカワ</t>
    </rPh>
    <phoneticPr fontId="1"/>
  </si>
  <si>
    <t>鎌田西村小北</t>
    <rPh sb="0" eb="2">
      <t>カマタ</t>
    </rPh>
    <rPh sb="2" eb="4">
      <t>ニシムラ</t>
    </rPh>
    <rPh sb="4" eb="5">
      <t>オ</t>
    </rPh>
    <rPh sb="5" eb="6">
      <t>キタ</t>
    </rPh>
    <phoneticPr fontId="1"/>
  </si>
  <si>
    <t>河上他力</t>
    <rPh sb="0" eb="2">
      <t>カワカミ</t>
    </rPh>
    <rPh sb="2" eb="4">
      <t>タリキ</t>
    </rPh>
    <phoneticPr fontId="1"/>
  </si>
  <si>
    <t>北本木村田中山口鈴木宮原荒瀬</t>
    <rPh sb="0" eb="2">
      <t>キタモト</t>
    </rPh>
    <rPh sb="2" eb="4">
      <t>キムラ</t>
    </rPh>
    <rPh sb="4" eb="6">
      <t>タナカ</t>
    </rPh>
    <rPh sb="6" eb="8">
      <t>ヤマグチ</t>
    </rPh>
    <rPh sb="8" eb="10">
      <t>スズキ</t>
    </rPh>
    <rPh sb="10" eb="12">
      <t>ミヤハラ</t>
    </rPh>
    <rPh sb="12" eb="14">
      <t>アラセ</t>
    </rPh>
    <phoneticPr fontId="1"/>
  </si>
  <si>
    <t>対象者</t>
    <rPh sb="0" eb="3">
      <t>タイショウシャ</t>
    </rPh>
    <phoneticPr fontId="1"/>
  </si>
  <si>
    <t>参　考</t>
    <rPh sb="0" eb="1">
      <t>サン</t>
    </rPh>
    <rPh sb="2" eb="3">
      <t>コウ</t>
    </rPh>
    <phoneticPr fontId="1"/>
  </si>
  <si>
    <t>支給額上限
（基本給1/2）</t>
    <rPh sb="0" eb="2">
      <t>シキュウ</t>
    </rPh>
    <rPh sb="2" eb="3">
      <t>ガク</t>
    </rPh>
    <rPh sb="3" eb="5">
      <t>ジョウゲン</t>
    </rPh>
    <rPh sb="7" eb="10">
      <t>キホンキュウ</t>
    </rPh>
    <phoneticPr fontId="1"/>
  </si>
  <si>
    <t>対象数</t>
    <rPh sb="0" eb="2">
      <t>タイショウ</t>
    </rPh>
    <rPh sb="2" eb="3">
      <t>スウ</t>
    </rPh>
    <phoneticPr fontId="1"/>
  </si>
  <si>
    <t>一人
当たり</t>
    <rPh sb="0" eb="2">
      <t>ヒトリ</t>
    </rPh>
    <rPh sb="3" eb="4">
      <t>ア</t>
    </rPh>
    <phoneticPr fontId="1"/>
  </si>
  <si>
    <t>配分
比率</t>
    <rPh sb="0" eb="2">
      <t>ハイブン</t>
    </rPh>
    <rPh sb="3" eb="5">
      <t>ヒリツ</t>
    </rPh>
    <phoneticPr fontId="1"/>
  </si>
  <si>
    <t>久保高田大谷</t>
    <rPh sb="0" eb="2">
      <t>クボ</t>
    </rPh>
    <rPh sb="2" eb="4">
      <t>タカダ</t>
    </rPh>
    <rPh sb="4" eb="6">
      <t>オオタニ</t>
    </rPh>
    <phoneticPr fontId="1"/>
  </si>
  <si>
    <t>４月</t>
    <rPh sb="1" eb="2">
      <t>ガツ</t>
    </rPh>
    <phoneticPr fontId="1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</si>
  <si>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</si>
  <si>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</si>
  <si>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</si>
  <si>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</si>
  <si>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</si>
  <si>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</si>
  <si>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</si>
  <si>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</si>
  <si>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</si>
  <si>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</si>
  <si>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</si>
  <si>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収益増減</t>
    <rPh sb="0" eb="2">
      <t>シュウエキ</t>
    </rPh>
    <rPh sb="2" eb="4">
      <t>ゾウゲン</t>
    </rPh>
    <phoneticPr fontId="1"/>
  </si>
  <si>
    <t>２０１５年度実績</t>
    <rPh sb="4" eb="6">
      <t>ネンド</t>
    </rPh>
    <rPh sb="6" eb="8">
      <t>ジッセキ</t>
    </rPh>
    <phoneticPr fontId="1"/>
  </si>
  <si>
    <t>２０１５年度実績（累計）</t>
    <rPh sb="4" eb="6">
      <t>ネンド</t>
    </rPh>
    <rPh sb="6" eb="8">
      <t>ジッセキ</t>
    </rPh>
    <rPh sb="9" eb="11">
      <t>ルイケイ</t>
    </rPh>
    <phoneticPr fontId="1"/>
  </si>
  <si>
    <t>2014決算</t>
    <rPh sb="4" eb="6">
      <t>ケッサン</t>
    </rPh>
    <phoneticPr fontId="1"/>
  </si>
  <si>
    <t>予算収益ライン</t>
    <rPh sb="0" eb="2">
      <t>ヨサン</t>
    </rPh>
    <rPh sb="2" eb="4">
      <t>シュウエキ</t>
    </rPh>
    <phoneticPr fontId="1"/>
  </si>
  <si>
    <t>予算費用ライン</t>
    <rPh sb="0" eb="2">
      <t>ヨサン</t>
    </rPh>
    <rPh sb="2" eb="4">
      <t>ヒヨウ</t>
    </rPh>
    <phoneticPr fontId="1"/>
  </si>
  <si>
    <t>予算増減ライン</t>
    <rPh sb="0" eb="2">
      <t>ヨサン</t>
    </rPh>
    <rPh sb="2" eb="4">
      <t>ゾウゲン</t>
    </rPh>
    <phoneticPr fontId="1"/>
  </si>
  <si>
    <t>2015年度　事業別損益表</t>
    <rPh sb="4" eb="6">
      <t>ネンド</t>
    </rPh>
    <rPh sb="7" eb="9">
      <t>ジギョウ</t>
    </rPh>
    <rPh sb="9" eb="10">
      <t>ベツ</t>
    </rPh>
    <rPh sb="10" eb="12">
      <t>ソンエキ</t>
    </rPh>
    <rPh sb="12" eb="13">
      <t>ヒョウ</t>
    </rPh>
    <phoneticPr fontId="1"/>
  </si>
  <si>
    <t>給与・賞与(職員）</t>
    <rPh sb="0" eb="2">
      <t>キュウヨ</t>
    </rPh>
    <rPh sb="3" eb="5">
      <t>ショウヨ</t>
    </rPh>
    <rPh sb="6" eb="8">
      <t>ショクイン</t>
    </rPh>
    <phoneticPr fontId="1"/>
  </si>
  <si>
    <t>給与・賞与(A型スタッフ）</t>
    <rPh sb="0" eb="2">
      <t>キュウヨ</t>
    </rPh>
    <rPh sb="3" eb="5">
      <t>ショウヨ</t>
    </rPh>
    <rPh sb="7" eb="8">
      <t>ガタ</t>
    </rPh>
    <phoneticPr fontId="1"/>
  </si>
  <si>
    <t>高齢通所(中尾/髙瀬）</t>
    <rPh sb="0" eb="2">
      <t>コウレイ</t>
    </rPh>
    <rPh sb="2" eb="3">
      <t>ツウ</t>
    </rPh>
    <rPh sb="3" eb="4">
      <t>ショ</t>
    </rPh>
    <rPh sb="5" eb="7">
      <t>ナカオ</t>
    </rPh>
    <rPh sb="8" eb="9">
      <t>タカ</t>
    </rPh>
    <rPh sb="9" eb="10">
      <t>セ</t>
    </rPh>
    <phoneticPr fontId="1"/>
  </si>
  <si>
    <t>グッドシーズン</t>
    <phoneticPr fontId="1"/>
  </si>
  <si>
    <t>キッチンみのり</t>
    <phoneticPr fontId="1"/>
  </si>
  <si>
    <t>学童第1クラブ</t>
    <rPh sb="0" eb="2">
      <t>ガクドウ</t>
    </rPh>
    <rPh sb="2" eb="3">
      <t>ダイ</t>
    </rPh>
    <phoneticPr fontId="1"/>
  </si>
  <si>
    <t>学童第２クラブ</t>
    <rPh sb="0" eb="2">
      <t>ガクドウ</t>
    </rPh>
    <rPh sb="2" eb="3">
      <t>ダイ</t>
    </rPh>
    <phoneticPr fontId="1"/>
  </si>
  <si>
    <t>生活困窮自立支援</t>
    <rPh sb="0" eb="2">
      <t>セイカツ</t>
    </rPh>
    <rPh sb="2" eb="4">
      <t>コンキュウ</t>
    </rPh>
    <rPh sb="4" eb="6">
      <t>ジリツ</t>
    </rPh>
    <rPh sb="6" eb="8">
      <t>シエン</t>
    </rPh>
    <phoneticPr fontId="1"/>
  </si>
  <si>
    <t>%</t>
    <phoneticPr fontId="1"/>
  </si>
  <si>
    <t>ささえあい訪問</t>
    <rPh sb="5" eb="7">
      <t>ホウモン</t>
    </rPh>
    <phoneticPr fontId="1"/>
  </si>
  <si>
    <t>ささえあいデイ奥立願寺</t>
    <rPh sb="7" eb="8">
      <t>オク</t>
    </rPh>
    <rPh sb="8" eb="9">
      <t>リュウ</t>
    </rPh>
    <rPh sb="9" eb="10">
      <t>ガン</t>
    </rPh>
    <rPh sb="10" eb="11">
      <t>ジ</t>
    </rPh>
    <phoneticPr fontId="1"/>
  </si>
  <si>
    <t>ささえあい居宅</t>
    <rPh sb="5" eb="7">
      <t>キョタク</t>
    </rPh>
    <phoneticPr fontId="1"/>
  </si>
  <si>
    <t>わかちあい訪問</t>
    <rPh sb="5" eb="7">
      <t>ホウモン</t>
    </rPh>
    <phoneticPr fontId="1"/>
  </si>
  <si>
    <t>わかちあい就労</t>
    <rPh sb="5" eb="7">
      <t>シュウロウ</t>
    </rPh>
    <phoneticPr fontId="1"/>
  </si>
  <si>
    <t>ふれあい給食</t>
    <rPh sb="4" eb="6">
      <t>キュウショク</t>
    </rPh>
    <phoneticPr fontId="1"/>
  </si>
  <si>
    <t>本部管理費
（法人共通経費・社会保険料等）</t>
    <rPh sb="0" eb="2">
      <t>ホンブ</t>
    </rPh>
    <rPh sb="2" eb="5">
      <t>カンリヒ</t>
    </rPh>
    <rPh sb="7" eb="9">
      <t>ホウジン</t>
    </rPh>
    <rPh sb="9" eb="11">
      <t>キョウツウ</t>
    </rPh>
    <rPh sb="11" eb="13">
      <t>ケイヒ</t>
    </rPh>
    <rPh sb="14" eb="16">
      <t>シャカイ</t>
    </rPh>
    <rPh sb="16" eb="19">
      <t>ホケンリョウ</t>
    </rPh>
    <rPh sb="19" eb="20">
      <t>トウ</t>
    </rPh>
    <phoneticPr fontId="1"/>
  </si>
  <si>
    <t>％</t>
    <phoneticPr fontId="1"/>
  </si>
  <si>
    <t>%</t>
    <phoneticPr fontId="1"/>
  </si>
  <si>
    <t>費用合計</t>
    <rPh sb="0" eb="2">
      <t>ヒヨウ</t>
    </rPh>
    <rPh sb="2" eb="4">
      <t>ゴウケイ</t>
    </rPh>
    <phoneticPr fontId="1"/>
  </si>
  <si>
    <t>新拠点</t>
    <rPh sb="0" eb="3">
      <t>シンキョテン</t>
    </rPh>
    <phoneticPr fontId="1"/>
  </si>
  <si>
    <t>％</t>
    <phoneticPr fontId="1"/>
  </si>
  <si>
    <t>収入額</t>
    <rPh sb="0" eb="2">
      <t>シュウニュウ</t>
    </rPh>
    <rPh sb="2" eb="3">
      <t>ガク</t>
    </rPh>
    <phoneticPr fontId="1"/>
  </si>
  <si>
    <t>2016年度　特定非営利活動法人　地域たすけあいの会　予算書（案）</t>
    <rPh sb="4" eb="6">
      <t>ネンド</t>
    </rPh>
    <rPh sb="7" eb="9">
      <t>トクテイ</t>
    </rPh>
    <rPh sb="9" eb="12">
      <t>ヒエイリ</t>
    </rPh>
    <rPh sb="12" eb="14">
      <t>カツドウ</t>
    </rPh>
    <rPh sb="14" eb="16">
      <t>ホウジン</t>
    </rPh>
    <rPh sb="17" eb="19">
      <t>チイキ</t>
    </rPh>
    <rPh sb="25" eb="26">
      <t>カイ</t>
    </rPh>
    <rPh sb="27" eb="29">
      <t>ヨサン</t>
    </rPh>
    <rPh sb="29" eb="30">
      <t>ショ</t>
    </rPh>
    <rPh sb="31" eb="32">
      <t>アン</t>
    </rPh>
    <phoneticPr fontId="1"/>
  </si>
  <si>
    <t>学童クラブ室そんごくう</t>
    <rPh sb="0" eb="2">
      <t>ガクドウ</t>
    </rPh>
    <rPh sb="5" eb="6">
      <t>シツ</t>
    </rPh>
    <phoneticPr fontId="1"/>
  </si>
  <si>
    <t>グッドシーズン髙瀬</t>
    <rPh sb="7" eb="8">
      <t>タカ</t>
    </rPh>
    <rPh sb="8" eb="9">
      <t>セ</t>
    </rPh>
    <phoneticPr fontId="1"/>
  </si>
  <si>
    <t>ささえあい髙瀬</t>
    <rPh sb="5" eb="6">
      <t>タカ</t>
    </rPh>
    <rPh sb="6" eb="7">
      <t>セ</t>
    </rPh>
    <phoneticPr fontId="1"/>
  </si>
  <si>
    <t>入居</t>
    <rPh sb="0" eb="2">
      <t>ニュウキョ</t>
    </rPh>
    <phoneticPr fontId="1"/>
  </si>
  <si>
    <t>2015年度
仮決算</t>
    <rPh sb="4" eb="6">
      <t>ネンド</t>
    </rPh>
    <rPh sb="7" eb="8">
      <t>カリ</t>
    </rPh>
    <rPh sb="8" eb="10">
      <t>ケッサン</t>
    </rPh>
    <phoneticPr fontId="1"/>
  </si>
  <si>
    <t>2016年度
予算案</t>
    <rPh sb="4" eb="6">
      <t>ネンド</t>
    </rPh>
    <rPh sb="7" eb="9">
      <t>ヨサン</t>
    </rPh>
    <rPh sb="9" eb="10">
      <t>アン</t>
    </rPh>
    <phoneticPr fontId="1"/>
  </si>
  <si>
    <t>管理費</t>
    <rPh sb="0" eb="2">
      <t>カンリ</t>
    </rPh>
    <rPh sb="2" eb="3">
      <t>ヒ</t>
    </rPh>
    <phoneticPr fontId="1"/>
  </si>
  <si>
    <t>売上比</t>
    <rPh sb="0" eb="2">
      <t>ウリアゲ</t>
    </rPh>
    <rPh sb="2" eb="3">
      <t>ヒ</t>
    </rPh>
    <phoneticPr fontId="1"/>
  </si>
  <si>
    <t>事業収益</t>
    <rPh sb="0" eb="2">
      <t>ジギョウ</t>
    </rPh>
    <rPh sb="2" eb="4">
      <t>シュウエキ</t>
    </rPh>
    <phoneticPr fontId="1"/>
  </si>
  <si>
    <t>事業費用</t>
    <rPh sb="0" eb="2">
      <t>ジギョウ</t>
    </rPh>
    <rPh sb="2" eb="4">
      <t>ヒヨウ</t>
    </rPh>
    <phoneticPr fontId="1"/>
  </si>
  <si>
    <t>日中一時支援</t>
    <phoneticPr fontId="1"/>
  </si>
  <si>
    <t>給与(A型スタッフ）</t>
    <rPh sb="0" eb="2">
      <t>キュウヨ</t>
    </rPh>
    <rPh sb="4" eb="5">
      <t>ガタ</t>
    </rPh>
    <phoneticPr fontId="1"/>
  </si>
  <si>
    <t>給与(職員）</t>
    <rPh sb="0" eb="2">
      <t>キュウヨ</t>
    </rPh>
    <rPh sb="3" eb="5">
      <t>ショクイン</t>
    </rPh>
    <phoneticPr fontId="1"/>
  </si>
  <si>
    <t>人件費</t>
    <rPh sb="0" eb="3">
      <t>ジンケンヒ</t>
    </rPh>
    <phoneticPr fontId="1"/>
  </si>
  <si>
    <t>諸経費</t>
    <rPh sb="0" eb="3">
      <t>ショケイヒ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</si>
  <si>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</si>
  <si>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</si>
  <si>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％</t>
    <phoneticPr fontId="1"/>
  </si>
  <si>
    <t>％</t>
    <phoneticPr fontId="1"/>
  </si>
  <si>
    <t>職員</t>
    <rPh sb="0" eb="2">
      <t>ショクイン</t>
    </rPh>
    <phoneticPr fontId="1"/>
  </si>
  <si>
    <t>就労生</t>
    <rPh sb="0" eb="2">
      <t>シュウロウ</t>
    </rPh>
    <rPh sb="2" eb="3">
      <t>セイ</t>
    </rPh>
    <phoneticPr fontId="1"/>
  </si>
  <si>
    <t>職員</t>
    <rPh sb="0" eb="2">
      <t>ショクイン</t>
    </rPh>
    <phoneticPr fontId="1"/>
  </si>
  <si>
    <t>A型社員</t>
    <rPh sb="1" eb="2">
      <t>ガタ</t>
    </rPh>
    <rPh sb="2" eb="4">
      <t>シャイン</t>
    </rPh>
    <phoneticPr fontId="1"/>
  </si>
  <si>
    <t>借入金積立</t>
    <rPh sb="0" eb="2">
      <t>カリイレ</t>
    </rPh>
    <rPh sb="2" eb="3">
      <t>キン</t>
    </rPh>
    <rPh sb="3" eb="5">
      <t>ツミタテ</t>
    </rPh>
    <phoneticPr fontId="1"/>
  </si>
  <si>
    <r>
      <t xml:space="preserve">本部管理費
</t>
    </r>
    <r>
      <rPr>
        <sz val="10"/>
        <rFont val="HGPｺﾞｼｯｸM"/>
        <family val="3"/>
        <charset val="128"/>
      </rPr>
      <t>（法人共通経費・社会保険料等）</t>
    </r>
    <rPh sb="0" eb="2">
      <t>ホンブ</t>
    </rPh>
    <rPh sb="2" eb="5">
      <t>カンリヒ</t>
    </rPh>
    <rPh sb="7" eb="9">
      <t>ホウジン</t>
    </rPh>
    <rPh sb="9" eb="11">
      <t>キョウツウ</t>
    </rPh>
    <rPh sb="11" eb="13">
      <t>ケイヒ</t>
    </rPh>
    <rPh sb="14" eb="16">
      <t>シャカイ</t>
    </rPh>
    <rPh sb="16" eb="19">
      <t>ホケンリョウ</t>
    </rPh>
    <rPh sb="19" eb="20">
      <t>トウ</t>
    </rPh>
    <phoneticPr fontId="1"/>
  </si>
  <si>
    <t>2015年度仮決算比</t>
    <rPh sb="4" eb="6">
      <t>ネンド</t>
    </rPh>
    <rPh sb="6" eb="7">
      <t>カリ</t>
    </rPh>
    <rPh sb="7" eb="9">
      <t>ケッサン</t>
    </rPh>
    <rPh sb="9" eb="10">
      <t>ヒ</t>
    </rPh>
    <phoneticPr fontId="1"/>
  </si>
  <si>
    <t>本部管轄事業
（たすけあい・人材育成・相談支援・移動他）</t>
    <rPh sb="0" eb="2">
      <t>ホンブ</t>
    </rPh>
    <rPh sb="2" eb="4">
      <t>カンカツ</t>
    </rPh>
    <rPh sb="4" eb="6">
      <t>ジギョウ</t>
    </rPh>
    <rPh sb="14" eb="16">
      <t>ジンザイ</t>
    </rPh>
    <rPh sb="16" eb="18">
      <t>イクセイ</t>
    </rPh>
    <rPh sb="19" eb="21">
      <t>ソウダン</t>
    </rPh>
    <rPh sb="21" eb="23">
      <t>シエン</t>
    </rPh>
    <rPh sb="24" eb="26">
      <t>イドウ</t>
    </rPh>
    <rPh sb="26" eb="27">
      <t>ホカ</t>
    </rPh>
    <phoneticPr fontId="1"/>
  </si>
  <si>
    <t>拠点施設修繕費積立（学童・小田）各5万/月</t>
    <rPh sb="0" eb="2">
      <t>キョテン</t>
    </rPh>
    <rPh sb="2" eb="4">
      <t>シセツ</t>
    </rPh>
    <rPh sb="4" eb="7">
      <t>シュウゼンヒ</t>
    </rPh>
    <rPh sb="7" eb="9">
      <t>ツミタテ</t>
    </rPh>
    <rPh sb="10" eb="12">
      <t>ガクドウ</t>
    </rPh>
    <rPh sb="13" eb="15">
      <t>オダ</t>
    </rPh>
    <rPh sb="16" eb="17">
      <t>カク</t>
    </rPh>
    <rPh sb="18" eb="19">
      <t>マン</t>
    </rPh>
    <rPh sb="20" eb="21">
      <t>ツキ</t>
    </rPh>
    <phoneticPr fontId="1"/>
  </si>
  <si>
    <t>水光熱費</t>
    <rPh sb="0" eb="3">
      <t>スイコウネツ</t>
    </rPh>
    <rPh sb="3" eb="4">
      <t>ヒ</t>
    </rPh>
    <phoneticPr fontId="1"/>
  </si>
  <si>
    <t>車両関連費</t>
    <rPh sb="0" eb="2">
      <t>シャリョウ</t>
    </rPh>
    <rPh sb="2" eb="4">
      <t>カンレン</t>
    </rPh>
    <rPh sb="4" eb="5">
      <t>ヒ</t>
    </rPh>
    <phoneticPr fontId="1"/>
  </si>
  <si>
    <t>地代家賃</t>
    <rPh sb="0" eb="2">
      <t>チダイ</t>
    </rPh>
    <rPh sb="2" eb="4">
      <t>ヤチン</t>
    </rPh>
    <phoneticPr fontId="1"/>
  </si>
  <si>
    <t>その他の費用</t>
    <rPh sb="2" eb="3">
      <t>タ</t>
    </rPh>
    <rPh sb="4" eb="6">
      <t>ヒヨウ</t>
    </rPh>
    <phoneticPr fontId="1"/>
  </si>
  <si>
    <t>通信費</t>
    <rPh sb="0" eb="3">
      <t>ツウシンヒ</t>
    </rPh>
    <phoneticPr fontId="1"/>
  </si>
  <si>
    <t>学童１</t>
    <rPh sb="0" eb="2">
      <t>ガクドウ</t>
    </rPh>
    <phoneticPr fontId="1"/>
  </si>
  <si>
    <t>学童２</t>
    <rPh sb="0" eb="2">
      <t>ガクドウ</t>
    </rPh>
    <phoneticPr fontId="1"/>
  </si>
  <si>
    <t>みのり</t>
    <phoneticPr fontId="1"/>
  </si>
  <si>
    <t>その他の収益</t>
    <rPh sb="2" eb="3">
      <t>タ</t>
    </rPh>
    <rPh sb="4" eb="6">
      <t>シュウエキ</t>
    </rPh>
    <phoneticPr fontId="1"/>
  </si>
  <si>
    <t>障がい福祉収益</t>
    <rPh sb="0" eb="1">
      <t>ショウ</t>
    </rPh>
    <rPh sb="3" eb="5">
      <t>フクシ</t>
    </rPh>
    <rPh sb="5" eb="7">
      <t>シュウエキ</t>
    </rPh>
    <phoneticPr fontId="1"/>
  </si>
  <si>
    <t>介護保険収益</t>
    <rPh sb="0" eb="2">
      <t>カイゴ</t>
    </rPh>
    <rPh sb="2" eb="4">
      <t>ホケン</t>
    </rPh>
    <rPh sb="4" eb="6">
      <t>シュウエキ</t>
    </rPh>
    <phoneticPr fontId="1"/>
  </si>
  <si>
    <t>委託・補助金収益</t>
    <rPh sb="0" eb="2">
      <t>イタク</t>
    </rPh>
    <rPh sb="3" eb="6">
      <t>ホジョキン</t>
    </rPh>
    <rPh sb="6" eb="8">
      <t>シュウエキ</t>
    </rPh>
    <phoneticPr fontId="1"/>
  </si>
  <si>
    <t>寄付金収益</t>
    <rPh sb="0" eb="3">
      <t>キフキン</t>
    </rPh>
    <rPh sb="3" eb="5">
      <t>シュウエキ</t>
    </rPh>
    <phoneticPr fontId="1"/>
  </si>
  <si>
    <t>燃料費</t>
    <rPh sb="0" eb="3">
      <t>ネンリョウヒ</t>
    </rPh>
    <phoneticPr fontId="1"/>
  </si>
  <si>
    <t>借入金積立・返済(高齢訪問+奥立願寺）各30万/月</t>
    <rPh sb="0" eb="2">
      <t>カリイレ</t>
    </rPh>
    <rPh sb="2" eb="3">
      <t>キン</t>
    </rPh>
    <rPh sb="3" eb="5">
      <t>ツミタテ</t>
    </rPh>
    <rPh sb="6" eb="8">
      <t>ヘンサイ</t>
    </rPh>
    <rPh sb="9" eb="11">
      <t>コウレイ</t>
    </rPh>
    <rPh sb="11" eb="13">
      <t>ホウモン</t>
    </rPh>
    <rPh sb="14" eb="15">
      <t>オク</t>
    </rPh>
    <rPh sb="15" eb="16">
      <t>リュウ</t>
    </rPh>
    <rPh sb="16" eb="17">
      <t>ガン</t>
    </rPh>
    <rPh sb="17" eb="18">
      <t>ジ</t>
    </rPh>
    <rPh sb="19" eb="20">
      <t>カク</t>
    </rPh>
    <rPh sb="22" eb="23">
      <t>マン</t>
    </rPh>
    <rPh sb="24" eb="25">
      <t>ツキ</t>
    </rPh>
    <phoneticPr fontId="1"/>
  </si>
  <si>
    <t>　</t>
    <phoneticPr fontId="1"/>
  </si>
  <si>
    <t>借入金積立</t>
    <rPh sb="0" eb="2">
      <t>カリイレ</t>
    </rPh>
    <rPh sb="2" eb="3">
      <t>キン</t>
    </rPh>
    <rPh sb="3" eb="5">
      <t>ツミタテ</t>
    </rPh>
    <phoneticPr fontId="1"/>
  </si>
  <si>
    <t>独自サービス収益</t>
    <rPh sb="0" eb="2">
      <t>ドクジ</t>
    </rPh>
    <rPh sb="6" eb="8">
      <t>シュウエキ</t>
    </rPh>
    <phoneticPr fontId="1"/>
  </si>
  <si>
    <t>材料費</t>
    <rPh sb="0" eb="3">
      <t>ザイリョウヒ</t>
    </rPh>
    <phoneticPr fontId="1"/>
  </si>
  <si>
    <t>ささえあい
訪問</t>
    <rPh sb="6" eb="8">
      <t>ホウモン</t>
    </rPh>
    <phoneticPr fontId="1"/>
  </si>
  <si>
    <t>ささえあい
居宅</t>
    <rPh sb="6" eb="8">
      <t>キョタク</t>
    </rPh>
    <phoneticPr fontId="1"/>
  </si>
  <si>
    <t>奥立願寺
デイ</t>
    <rPh sb="0" eb="1">
      <t>オク</t>
    </rPh>
    <rPh sb="1" eb="4">
      <t>リュウガンジ</t>
    </rPh>
    <phoneticPr fontId="1"/>
  </si>
  <si>
    <t>わかちあい
訪問</t>
    <rPh sb="6" eb="8">
      <t>ホウモン</t>
    </rPh>
    <phoneticPr fontId="1"/>
  </si>
  <si>
    <t>わかちあい
就労</t>
    <rPh sb="6" eb="8">
      <t>シュウロウ</t>
    </rPh>
    <phoneticPr fontId="1"/>
  </si>
  <si>
    <t>グッド
シーズン</t>
    <phoneticPr fontId="1"/>
  </si>
  <si>
    <t>高瀬
デイ</t>
    <rPh sb="0" eb="2">
      <t>タカセ</t>
    </rPh>
    <phoneticPr fontId="1"/>
  </si>
  <si>
    <t>収　　益</t>
    <rPh sb="0" eb="1">
      <t>オサム</t>
    </rPh>
    <rPh sb="3" eb="4">
      <t>エキ</t>
    </rPh>
    <phoneticPr fontId="1"/>
  </si>
  <si>
    <t>費　　用</t>
    <rPh sb="0" eb="1">
      <t>ヒ</t>
    </rPh>
    <rPh sb="3" eb="4">
      <t>ヨウ</t>
    </rPh>
    <phoneticPr fontId="1"/>
  </si>
  <si>
    <t>差　　額</t>
    <rPh sb="0" eb="1">
      <t>サ</t>
    </rPh>
    <rPh sb="3" eb="4">
      <t>ガク</t>
    </rPh>
    <phoneticPr fontId="1"/>
  </si>
  <si>
    <r>
      <t>2016年度　特定非営利活動法人　地域たすけあいの会　予算書（案）</t>
    </r>
    <r>
      <rPr>
        <sz val="12"/>
        <rFont val="HGPｺﾞｼｯｸM"/>
        <family val="3"/>
        <charset val="128"/>
      </rPr>
      <t>※本部管轄除く</t>
    </r>
    <rPh sb="34" eb="36">
      <t>ホンブ</t>
    </rPh>
    <rPh sb="36" eb="38">
      <t>カンカツ</t>
    </rPh>
    <rPh sb="38" eb="39">
      <t>ノゾ</t>
    </rPh>
    <phoneticPr fontId="1"/>
  </si>
  <si>
    <t>雑費</t>
    <phoneticPr fontId="1"/>
  </si>
  <si>
    <t>人材</t>
    <rPh sb="0" eb="2">
      <t>ジンザイ</t>
    </rPh>
    <phoneticPr fontId="1"/>
  </si>
  <si>
    <t>たすけあい</t>
    <phoneticPr fontId="1"/>
  </si>
  <si>
    <t>本部統括</t>
    <rPh sb="0" eb="2">
      <t>ホンブ</t>
    </rPh>
    <rPh sb="2" eb="4">
      <t>トウカツ</t>
    </rPh>
    <phoneticPr fontId="1"/>
  </si>
  <si>
    <t>消耗品費</t>
    <phoneticPr fontId="1"/>
  </si>
  <si>
    <t>雑損失</t>
    <rPh sb="0" eb="1">
      <t>ザツ</t>
    </rPh>
    <rPh sb="1" eb="3">
      <t>ソンシツ</t>
    </rPh>
    <phoneticPr fontId="1"/>
  </si>
  <si>
    <t>給与・賞与(よかとこ）</t>
    <rPh sb="0" eb="2">
      <t>キュウヨ</t>
    </rPh>
    <rPh sb="3" eb="5">
      <t>ショウヨ</t>
    </rPh>
    <phoneticPr fontId="1"/>
  </si>
  <si>
    <t>事業費
合計</t>
    <rPh sb="0" eb="3">
      <t>ジギョウヒ</t>
    </rPh>
    <rPh sb="4" eb="6">
      <t>ゴウケイ</t>
    </rPh>
    <phoneticPr fontId="1"/>
  </si>
  <si>
    <t>法人
合計</t>
    <rPh sb="0" eb="2">
      <t>ホウジン</t>
    </rPh>
    <rPh sb="3" eb="5">
      <t>ゴウケイ</t>
    </rPh>
    <phoneticPr fontId="1"/>
  </si>
  <si>
    <t>材料費</t>
    <rPh sb="0" eb="3">
      <t>ザイリョウヒ</t>
    </rPh>
    <phoneticPr fontId="1"/>
  </si>
  <si>
    <t>人件費</t>
    <rPh sb="0" eb="3">
      <t>ジンケンヒ</t>
    </rPh>
    <phoneticPr fontId="1"/>
  </si>
  <si>
    <t>収　益</t>
    <rPh sb="0" eb="1">
      <t>オサム</t>
    </rPh>
    <rPh sb="2" eb="3">
      <t>エキ</t>
    </rPh>
    <phoneticPr fontId="1"/>
  </si>
  <si>
    <t>費　用</t>
    <rPh sb="0" eb="1">
      <t>ヒ</t>
    </rPh>
    <rPh sb="2" eb="3">
      <t>ヨウ</t>
    </rPh>
    <phoneticPr fontId="1"/>
  </si>
  <si>
    <t>高瀬</t>
    <rPh sb="0" eb="2">
      <t>タカセ</t>
    </rPh>
    <phoneticPr fontId="1"/>
  </si>
  <si>
    <t>図書研修費</t>
    <phoneticPr fontId="1"/>
  </si>
  <si>
    <t>減価償却費</t>
    <phoneticPr fontId="1"/>
  </si>
  <si>
    <t>支払手数料</t>
    <phoneticPr fontId="1"/>
  </si>
  <si>
    <t>広報費</t>
    <rPh sb="0" eb="2">
      <t>コウホウ</t>
    </rPh>
    <rPh sb="2" eb="3">
      <t>ヒ</t>
    </rPh>
    <phoneticPr fontId="1"/>
  </si>
  <si>
    <t>寄付金支出</t>
    <rPh sb="3" eb="5">
      <t>シシュツ</t>
    </rPh>
    <phoneticPr fontId="1"/>
  </si>
  <si>
    <t>家賃負担金</t>
    <rPh sb="0" eb="2">
      <t>ヤチン</t>
    </rPh>
    <rPh sb="2" eb="4">
      <t>フタン</t>
    </rPh>
    <rPh sb="4" eb="5">
      <t>キン</t>
    </rPh>
    <phoneticPr fontId="1"/>
  </si>
  <si>
    <t>返済負担金</t>
    <rPh sb="0" eb="2">
      <t>ヘンサイ</t>
    </rPh>
    <rPh sb="2" eb="5">
      <t>フタンキン</t>
    </rPh>
    <phoneticPr fontId="1"/>
  </si>
  <si>
    <t>独自ｻｰﾋﾞｽ収益</t>
    <rPh sb="0" eb="2">
      <t>ドクジ</t>
    </rPh>
    <rPh sb="7" eb="9">
      <t>シュウエキ</t>
    </rPh>
    <phoneticPr fontId="1"/>
  </si>
  <si>
    <t>←給食分追加</t>
    <rPh sb="1" eb="3">
      <t>キュウショク</t>
    </rPh>
    <rPh sb="3" eb="4">
      <t>ブン</t>
    </rPh>
    <rPh sb="4" eb="6">
      <t>ツイカ</t>
    </rPh>
    <phoneticPr fontId="1"/>
  </si>
  <si>
    <t>ささえあいデイ髙瀬</t>
    <rPh sb="7" eb="8">
      <t>タカ</t>
    </rPh>
    <rPh sb="8" eb="9">
      <t>セ</t>
    </rPh>
    <phoneticPr fontId="1"/>
  </si>
  <si>
    <t>寄付金支出</t>
    <rPh sb="0" eb="3">
      <t>キフキン</t>
    </rPh>
    <rPh sb="3" eb="5">
      <t>シシュツ</t>
    </rPh>
    <phoneticPr fontId="1"/>
  </si>
  <si>
    <t>広報費</t>
    <rPh sb="0" eb="2">
      <t>コウホウ</t>
    </rPh>
    <rPh sb="2" eb="3">
      <t>ヒ</t>
    </rPh>
    <phoneticPr fontId="1"/>
  </si>
  <si>
    <t>修繕費積立</t>
    <rPh sb="0" eb="3">
      <t>シュウゼンヒ</t>
    </rPh>
    <rPh sb="3" eb="5">
      <t>ツミタテ</t>
    </rPh>
    <phoneticPr fontId="1"/>
  </si>
  <si>
    <t>営業外収益</t>
    <rPh sb="0" eb="3">
      <t>エイギョウガイ</t>
    </rPh>
    <rPh sb="3" eb="5">
      <t>シュウエキ</t>
    </rPh>
    <phoneticPr fontId="1"/>
  </si>
  <si>
    <t>受取利息</t>
    <rPh sb="0" eb="2">
      <t>ウケトリ</t>
    </rPh>
    <rPh sb="2" eb="4">
      <t>リソク</t>
    </rPh>
    <phoneticPr fontId="1"/>
  </si>
  <si>
    <t>会費収入</t>
    <rPh sb="0" eb="2">
      <t>カイヒ</t>
    </rPh>
    <rPh sb="2" eb="4">
      <t>シュウニュウ</t>
    </rPh>
    <phoneticPr fontId="1"/>
  </si>
  <si>
    <t>助成金収入</t>
    <rPh sb="0" eb="2">
      <t>ジョセイ</t>
    </rPh>
    <rPh sb="2" eb="3">
      <t>キン</t>
    </rPh>
    <rPh sb="3" eb="5">
      <t>シュウニュウ</t>
    </rPh>
    <phoneticPr fontId="1"/>
  </si>
  <si>
    <t>寄付金収入</t>
    <rPh sb="0" eb="3">
      <t>キフキン</t>
    </rPh>
    <rPh sb="3" eb="5">
      <t>シュウニュウ</t>
    </rPh>
    <phoneticPr fontId="1"/>
  </si>
  <si>
    <t>雑収入</t>
    <rPh sb="0" eb="3">
      <t>ザッシュウニュウ</t>
    </rPh>
    <phoneticPr fontId="1"/>
  </si>
  <si>
    <t>営業外費用</t>
    <rPh sb="0" eb="3">
      <t>エイギョウガイ</t>
    </rPh>
    <rPh sb="3" eb="5">
      <t>ヒヨウ</t>
    </rPh>
    <phoneticPr fontId="1"/>
  </si>
  <si>
    <t>支払利息</t>
    <rPh sb="0" eb="2">
      <t>シハライ</t>
    </rPh>
    <rPh sb="2" eb="4">
      <t>リソク</t>
    </rPh>
    <phoneticPr fontId="1"/>
  </si>
  <si>
    <t>雑損失</t>
    <rPh sb="0" eb="1">
      <t>ザツ</t>
    </rPh>
    <rPh sb="1" eb="3">
      <t>ソンシツ</t>
    </rPh>
    <phoneticPr fontId="1"/>
  </si>
  <si>
    <t>特別利益</t>
    <rPh sb="0" eb="2">
      <t>トクベツ</t>
    </rPh>
    <rPh sb="2" eb="4">
      <t>リエキ</t>
    </rPh>
    <phoneticPr fontId="1"/>
  </si>
  <si>
    <t>貸倒引当金戻入</t>
    <rPh sb="0" eb="2">
      <t>カシダオレ</t>
    </rPh>
    <rPh sb="2" eb="4">
      <t>ヒキアテ</t>
    </rPh>
    <rPh sb="4" eb="5">
      <t>キン</t>
    </rPh>
    <rPh sb="5" eb="7">
      <t>モドシイレ</t>
    </rPh>
    <phoneticPr fontId="1"/>
  </si>
  <si>
    <t>特別損失</t>
    <rPh sb="0" eb="2">
      <t>トクベツ</t>
    </rPh>
    <rPh sb="2" eb="4">
      <t>ソンシツ</t>
    </rPh>
    <phoneticPr fontId="1"/>
  </si>
  <si>
    <t>前期損益修正損</t>
    <rPh sb="0" eb="2">
      <t>ゼンキ</t>
    </rPh>
    <rPh sb="2" eb="4">
      <t>ソンエキ</t>
    </rPh>
    <rPh sb="4" eb="6">
      <t>シュウセイ</t>
    </rPh>
    <rPh sb="6" eb="7">
      <t>ソン</t>
    </rPh>
    <phoneticPr fontId="1"/>
  </si>
  <si>
    <t>法人税住民税事業税</t>
    <rPh sb="0" eb="3">
      <t>ホウジンゼイ</t>
    </rPh>
    <rPh sb="3" eb="6">
      <t>ジュウミンゼイ</t>
    </rPh>
    <rPh sb="6" eb="9">
      <t>ジギョウゼイ</t>
    </rPh>
    <phoneticPr fontId="1"/>
  </si>
  <si>
    <t>税引き前当期純利益</t>
    <rPh sb="0" eb="2">
      <t>ゼイビ</t>
    </rPh>
    <rPh sb="3" eb="4">
      <t>マエ</t>
    </rPh>
    <rPh sb="4" eb="6">
      <t>トウキ</t>
    </rPh>
    <rPh sb="6" eb="9">
      <t>ジュンリエキ</t>
    </rPh>
    <phoneticPr fontId="1"/>
  </si>
  <si>
    <t>当期純利益</t>
    <rPh sb="0" eb="2">
      <t>トウキ</t>
    </rPh>
    <rPh sb="2" eb="5">
      <t>ジュンリエキ</t>
    </rPh>
    <phoneticPr fontId="1"/>
  </si>
  <si>
    <t>経常利益</t>
    <rPh sb="0" eb="2">
      <t>ケイジョウ</t>
    </rPh>
    <rPh sb="2" eb="4">
      <t>リエキ</t>
    </rPh>
    <phoneticPr fontId="1"/>
  </si>
  <si>
    <t>計</t>
    <rPh sb="0" eb="1">
      <t>ケイ</t>
    </rPh>
    <phoneticPr fontId="1"/>
  </si>
  <si>
    <t>小計</t>
    <phoneticPr fontId="1"/>
  </si>
  <si>
    <t>小計</t>
    <rPh sb="0" eb="2">
      <t>ショウケイ</t>
    </rPh>
    <phoneticPr fontId="1"/>
  </si>
  <si>
    <t>小計</t>
    <rPh sb="0" eb="2">
      <t>ショウケイ</t>
    </rPh>
    <phoneticPr fontId="1"/>
  </si>
  <si>
    <t>本部管轄事業
（人材・たすけあい他）</t>
    <rPh sb="0" eb="2">
      <t>ホンブ</t>
    </rPh>
    <rPh sb="2" eb="4">
      <t>カンカツ</t>
    </rPh>
    <rPh sb="4" eb="6">
      <t>ジギョウ</t>
    </rPh>
    <rPh sb="8" eb="10">
      <t>ジンザイ</t>
    </rPh>
    <rPh sb="16" eb="17">
      <t>ホカ</t>
    </rPh>
    <phoneticPr fontId="1"/>
  </si>
  <si>
    <t>ささえあいデイ（たすけあいの杜）</t>
    <rPh sb="14" eb="15">
      <t>モリ</t>
    </rPh>
    <phoneticPr fontId="1"/>
  </si>
  <si>
    <t>予備費</t>
    <rPh sb="0" eb="3">
      <t>ヨビヒ</t>
    </rPh>
    <phoneticPr fontId="1"/>
  </si>
  <si>
    <t>処遇改善加算収益</t>
    <rPh sb="0" eb="2">
      <t>ショグウ</t>
    </rPh>
    <rPh sb="2" eb="4">
      <t>カイゼン</t>
    </rPh>
    <rPh sb="4" eb="6">
      <t>カサン</t>
    </rPh>
    <rPh sb="6" eb="8">
      <t>シュウエキ</t>
    </rPh>
    <phoneticPr fontId="1"/>
  </si>
  <si>
    <t>処遇改善等収益</t>
    <rPh sb="0" eb="2">
      <t>ショグウ</t>
    </rPh>
    <rPh sb="2" eb="4">
      <t>カイゼン</t>
    </rPh>
    <rPh sb="4" eb="5">
      <t>トウ</t>
    </rPh>
    <rPh sb="5" eb="7">
      <t>シュウエキ</t>
    </rPh>
    <phoneticPr fontId="1"/>
  </si>
  <si>
    <t>4月</t>
    <rPh sb="1" eb="2">
      <t>ガツ</t>
    </rPh>
    <phoneticPr fontId="1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</si>
  <si>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</si>
  <si>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</si>
  <si>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</si>
  <si>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</si>
  <si>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</si>
  <si>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</si>
  <si>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</si>
  <si>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</si>
  <si>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</si>
  <si>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</si>
  <si>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</si>
  <si>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基準</t>
    <rPh sb="0" eb="2">
      <t>キジュン</t>
    </rPh>
    <phoneticPr fontId="1"/>
  </si>
  <si>
    <t>％</t>
    <phoneticPr fontId="1"/>
  </si>
  <si>
    <t>％</t>
    <phoneticPr fontId="1"/>
  </si>
  <si>
    <t>ｸﾞﾙｰﾌﾟﾎｰﾑ</t>
    <phoneticPr fontId="1"/>
  </si>
  <si>
    <t>介護給付収益</t>
    <rPh sb="0" eb="2">
      <t>カイゴ</t>
    </rPh>
    <rPh sb="2" eb="4">
      <t>キュウフ</t>
    </rPh>
    <phoneticPr fontId="1"/>
  </si>
  <si>
    <t>みのり食堂</t>
    <rPh sb="3" eb="5">
      <t>ショクドウ</t>
    </rPh>
    <phoneticPr fontId="1"/>
  </si>
  <si>
    <t>たすけあいの杜デイ</t>
    <rPh sb="6" eb="7">
      <t>モリ</t>
    </rPh>
    <phoneticPr fontId="1"/>
  </si>
  <si>
    <t>杜
デイ</t>
    <rPh sb="0" eb="1">
      <t>モリ</t>
    </rPh>
    <phoneticPr fontId="1"/>
  </si>
  <si>
    <t>第1クラブ</t>
    <rPh sb="0" eb="1">
      <t>ダイ</t>
    </rPh>
    <phoneticPr fontId="1"/>
  </si>
  <si>
    <t>第2クラブ</t>
    <rPh sb="0" eb="1">
      <t>ダイ</t>
    </rPh>
    <phoneticPr fontId="1"/>
  </si>
  <si>
    <t>学童保育</t>
    <rPh sb="0" eb="2">
      <t>ガクドウ</t>
    </rPh>
    <rPh sb="2" eb="4">
      <t>ホイク</t>
    </rPh>
    <phoneticPr fontId="1"/>
  </si>
  <si>
    <t>たすけあいの杜</t>
    <rPh sb="6" eb="7">
      <t>モリ</t>
    </rPh>
    <phoneticPr fontId="1"/>
  </si>
  <si>
    <t>共生</t>
    <rPh sb="0" eb="2">
      <t>キョウセイ</t>
    </rPh>
    <phoneticPr fontId="1"/>
  </si>
  <si>
    <t>小田</t>
    <rPh sb="0" eb="2">
      <t>オダ</t>
    </rPh>
    <phoneticPr fontId="1"/>
  </si>
  <si>
    <t>グッドシーズン</t>
    <phoneticPr fontId="1"/>
  </si>
  <si>
    <t>本部</t>
    <rPh sb="0" eb="2">
      <t>ホンブ</t>
    </rPh>
    <phoneticPr fontId="1"/>
  </si>
  <si>
    <t>拠　点</t>
    <rPh sb="0" eb="1">
      <t>キョ</t>
    </rPh>
    <rPh sb="2" eb="3">
      <t>テン</t>
    </rPh>
    <phoneticPr fontId="1"/>
  </si>
  <si>
    <r>
      <rPr>
        <sz val="9"/>
        <rFont val="HGPｺﾞｼｯｸM"/>
        <family val="3"/>
        <charset val="128"/>
      </rPr>
      <t>グッドシーズン</t>
    </r>
    <r>
      <rPr>
        <sz val="11"/>
        <rFont val="HGPｺﾞｼｯｸM"/>
        <family val="3"/>
        <charset val="128"/>
      </rPr>
      <t xml:space="preserve">
生活支援</t>
    </r>
    <rPh sb="8" eb="10">
      <t>セイカツ</t>
    </rPh>
    <rPh sb="10" eb="12">
      <t>シエン</t>
    </rPh>
    <phoneticPr fontId="1"/>
  </si>
  <si>
    <t>介護保険訪問介護収益</t>
    <rPh sb="0" eb="2">
      <t>カイゴ</t>
    </rPh>
    <rPh sb="2" eb="4">
      <t>ホケン</t>
    </rPh>
    <phoneticPr fontId="1"/>
  </si>
  <si>
    <t>ｸﾞﾙｰﾌﾟﾎｰﾑ
わかちあい</t>
    <phoneticPr fontId="1"/>
  </si>
  <si>
    <t>減価償却費</t>
    <phoneticPr fontId="1"/>
  </si>
  <si>
    <t>グループホームわかちあい</t>
    <phoneticPr fontId="1"/>
  </si>
  <si>
    <r>
      <t xml:space="preserve">グッドシーズン
</t>
    </r>
    <r>
      <rPr>
        <sz val="8"/>
        <rFont val="HGPｺﾞｼｯｸM"/>
        <family val="3"/>
        <charset val="128"/>
      </rPr>
      <t>サービス付き高齢者向け住宅（入居）</t>
    </r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ニュウキョ</t>
    </rPh>
    <phoneticPr fontId="1"/>
  </si>
  <si>
    <t>学童クラブ室そんごくう（第1・第2）</t>
    <rPh sb="0" eb="2">
      <t>ガクドウ</t>
    </rPh>
    <rPh sb="5" eb="6">
      <t>シツ</t>
    </rPh>
    <rPh sb="12" eb="13">
      <t>ダイ</t>
    </rPh>
    <rPh sb="15" eb="16">
      <t>ダイ</t>
    </rPh>
    <phoneticPr fontId="1"/>
  </si>
  <si>
    <r>
      <t xml:space="preserve">管理費
</t>
    </r>
    <r>
      <rPr>
        <sz val="6"/>
        <rFont val="HGPｺﾞｼｯｸM"/>
        <family val="3"/>
        <charset val="128"/>
      </rPr>
      <t>各事業売上比率から算出</t>
    </r>
    <rPh sb="0" eb="3">
      <t>カンリヒ</t>
    </rPh>
    <rPh sb="4" eb="7">
      <t>カクジギョウ</t>
    </rPh>
    <rPh sb="7" eb="9">
      <t>ウリアゲ</t>
    </rPh>
    <rPh sb="9" eb="10">
      <t>ヒ</t>
    </rPh>
    <rPh sb="10" eb="11">
      <t>リツ</t>
    </rPh>
    <rPh sb="13" eb="15">
      <t>サンシュツ</t>
    </rPh>
    <phoneticPr fontId="1"/>
  </si>
  <si>
    <t>2017
月額平均</t>
    <rPh sb="5" eb="7">
      <t>ゲツガク</t>
    </rPh>
    <rPh sb="7" eb="9">
      <t>ヘイキン</t>
    </rPh>
    <phoneticPr fontId="1"/>
  </si>
  <si>
    <t>2017
事業費平均</t>
    <rPh sb="5" eb="8">
      <t>ジギョウヒ</t>
    </rPh>
    <rPh sb="8" eb="10">
      <t>ヘイキン</t>
    </rPh>
    <phoneticPr fontId="1"/>
  </si>
  <si>
    <t>2017
収支差額平均</t>
    <rPh sb="5" eb="7">
      <t>シュウシ</t>
    </rPh>
    <rPh sb="7" eb="9">
      <t>サガク</t>
    </rPh>
    <rPh sb="9" eb="11">
      <t>ヘイキン</t>
    </rPh>
    <phoneticPr fontId="1"/>
  </si>
  <si>
    <t>積立</t>
    <rPh sb="0" eb="2">
      <t>ツミタテ</t>
    </rPh>
    <phoneticPr fontId="1"/>
  </si>
  <si>
    <t>材料費</t>
    <rPh sb="0" eb="3">
      <t>ザイリョウヒ</t>
    </rPh>
    <phoneticPr fontId="1"/>
  </si>
  <si>
    <t>収支差額</t>
    <rPh sb="0" eb="2">
      <t>シュウシ</t>
    </rPh>
    <rPh sb="2" eb="4">
      <t>サガク</t>
    </rPh>
    <phoneticPr fontId="1"/>
  </si>
  <si>
    <t>第1四半期</t>
    <rPh sb="0" eb="1">
      <t>ダイ</t>
    </rPh>
    <rPh sb="2" eb="5">
      <t>シハンキ</t>
    </rPh>
    <phoneticPr fontId="1"/>
  </si>
  <si>
    <t>第2四半期</t>
  </si>
  <si>
    <t>第3四半期</t>
  </si>
  <si>
    <t>第4四半期</t>
  </si>
  <si>
    <t>収入</t>
    <rPh sb="0" eb="2">
      <t>シュウニュウ</t>
    </rPh>
    <phoneticPr fontId="1"/>
  </si>
  <si>
    <t>支出</t>
    <rPh sb="0" eb="2">
      <t>シシュツ</t>
    </rPh>
    <phoneticPr fontId="1"/>
  </si>
  <si>
    <t>グループホームわかちあい</t>
  </si>
  <si>
    <t>2017予算</t>
    <rPh sb="4" eb="6">
      <t>ヨサン</t>
    </rPh>
    <phoneticPr fontId="1"/>
  </si>
  <si>
    <t>2017仮決算</t>
    <rPh sb="4" eb="5">
      <t>カリ</t>
    </rPh>
    <rPh sb="5" eb="7">
      <t>ケッサン</t>
    </rPh>
    <phoneticPr fontId="1"/>
  </si>
  <si>
    <t>税金積立</t>
    <rPh sb="0" eb="2">
      <t>ゼイキン</t>
    </rPh>
    <rPh sb="2" eb="4">
      <t>ツミタテ</t>
    </rPh>
    <phoneticPr fontId="11"/>
  </si>
  <si>
    <t>修繕積立</t>
    <rPh sb="0" eb="2">
      <t>シュウゼン</t>
    </rPh>
    <rPh sb="2" eb="4">
      <t>ツミタテ</t>
    </rPh>
    <phoneticPr fontId="11"/>
  </si>
  <si>
    <t>長期借入金返済</t>
    <rPh sb="0" eb="2">
      <t>チョウキ</t>
    </rPh>
    <rPh sb="2" eb="4">
      <t>カリイレ</t>
    </rPh>
    <rPh sb="4" eb="5">
      <t>キン</t>
    </rPh>
    <rPh sb="5" eb="7">
      <t>ヘンサイ</t>
    </rPh>
    <phoneticPr fontId="11"/>
  </si>
  <si>
    <t>賞与積立</t>
    <rPh sb="0" eb="2">
      <t>ショウヨ</t>
    </rPh>
    <rPh sb="2" eb="4">
      <t>ツミタテ</t>
    </rPh>
    <phoneticPr fontId="11"/>
  </si>
  <si>
    <t>私募債返済積立</t>
    <rPh sb="0" eb="3">
      <t>シボサイ</t>
    </rPh>
    <rPh sb="3" eb="5">
      <t>ヘンサイ</t>
    </rPh>
    <rPh sb="5" eb="7">
      <t>ツミタテ</t>
    </rPh>
    <phoneticPr fontId="11"/>
  </si>
  <si>
    <t>累計</t>
    <rPh sb="0" eb="2">
      <t>ルイケイ</t>
    </rPh>
    <phoneticPr fontId="1"/>
  </si>
  <si>
    <t>損益累計</t>
    <rPh sb="0" eb="2">
      <t>ソンエキ</t>
    </rPh>
    <rPh sb="2" eb="4">
      <t>ルイケイ</t>
    </rPh>
    <phoneticPr fontId="1"/>
  </si>
  <si>
    <t>純資産累計</t>
    <rPh sb="0" eb="3">
      <t>ジュンシサン</t>
    </rPh>
    <rPh sb="3" eb="5">
      <t>ルイケイ</t>
    </rPh>
    <phoneticPr fontId="1"/>
  </si>
  <si>
    <t>単月差額</t>
    <rPh sb="0" eb="1">
      <t>タン</t>
    </rPh>
    <rPh sb="1" eb="2">
      <t>ゲツ</t>
    </rPh>
    <rPh sb="2" eb="4">
      <t>サガク</t>
    </rPh>
    <phoneticPr fontId="1"/>
  </si>
  <si>
    <t>GH</t>
    <phoneticPr fontId="1"/>
  </si>
  <si>
    <t>2017年度　活動収支計算書　</t>
    <rPh sb="7" eb="9">
      <t>カツドウ</t>
    </rPh>
    <rPh sb="9" eb="11">
      <t>シュウシ</t>
    </rPh>
    <rPh sb="11" eb="14">
      <t>ケイサンショ</t>
    </rPh>
    <phoneticPr fontId="1"/>
  </si>
  <si>
    <t>2017年4月1日から2018年3月31日まで</t>
    <phoneticPr fontId="1"/>
  </si>
  <si>
    <t>2017年度</t>
    <phoneticPr fontId="1"/>
  </si>
  <si>
    <t>2018年度</t>
    <phoneticPr fontId="1"/>
  </si>
  <si>
    <t>広報費</t>
    <rPh sb="0" eb="2">
      <t>コウホウ</t>
    </rPh>
    <rPh sb="2" eb="3">
      <t>ヒ</t>
    </rPh>
    <phoneticPr fontId="1"/>
  </si>
  <si>
    <t>前期損益修正益</t>
    <rPh sb="0" eb="2">
      <t>ゼンキ</t>
    </rPh>
    <rPh sb="2" eb="4">
      <t>ソンエキ</t>
    </rPh>
    <rPh sb="4" eb="6">
      <t>シュウセイ</t>
    </rPh>
    <rPh sb="6" eb="7">
      <t>エキ</t>
    </rPh>
    <phoneticPr fontId="1"/>
  </si>
  <si>
    <t>利用者負担収益</t>
    <rPh sb="0" eb="3">
      <t>リヨウシャ</t>
    </rPh>
    <rPh sb="3" eb="5">
      <t>フタン</t>
    </rPh>
    <rPh sb="5" eb="7">
      <t>シュウエキ</t>
    </rPh>
    <phoneticPr fontId="1"/>
  </si>
  <si>
    <t>利用者負担収益</t>
    <rPh sb="0" eb="3">
      <t>リヨウシャ</t>
    </rPh>
    <rPh sb="3" eb="5">
      <t>フタン</t>
    </rPh>
    <rPh sb="5" eb="7">
      <t>シュウエキ</t>
    </rPh>
    <phoneticPr fontId="1"/>
  </si>
  <si>
    <t>独自サービス収益</t>
    <rPh sb="0" eb="2">
      <t>ドクジ</t>
    </rPh>
    <rPh sb="6" eb="8">
      <t>シュウエキ</t>
    </rPh>
    <phoneticPr fontId="1"/>
  </si>
  <si>
    <t>法定福利費</t>
    <rPh sb="0" eb="2">
      <t>ホウテイ</t>
    </rPh>
    <rPh sb="2" eb="4">
      <t>フクリ</t>
    </rPh>
    <rPh sb="4" eb="5">
      <t>ヒ</t>
    </rPh>
    <phoneticPr fontId="1"/>
  </si>
  <si>
    <t>福利厚生費</t>
    <phoneticPr fontId="1"/>
  </si>
  <si>
    <t>車両関連費</t>
    <phoneticPr fontId="1"/>
  </si>
  <si>
    <t>独自サービス等収益</t>
    <rPh sb="0" eb="2">
      <t>ドクジ</t>
    </rPh>
    <rPh sb="6" eb="7">
      <t>トウ</t>
    </rPh>
    <rPh sb="7" eb="9">
      <t>シュウエキ</t>
    </rPh>
    <phoneticPr fontId="1"/>
  </si>
  <si>
    <t>利用者負担収益</t>
    <rPh sb="0" eb="3">
      <t>リヨウシャ</t>
    </rPh>
    <rPh sb="3" eb="5">
      <t>フタン</t>
    </rPh>
    <rPh sb="5" eb="7">
      <t>シュウエキ</t>
    </rPh>
    <phoneticPr fontId="1"/>
  </si>
  <si>
    <t>独自サービス等収益</t>
    <rPh sb="0" eb="2">
      <t>ドクジ</t>
    </rPh>
    <rPh sb="6" eb="7">
      <t>トウ</t>
    </rPh>
    <rPh sb="7" eb="9">
      <t>シュウエキ</t>
    </rPh>
    <phoneticPr fontId="1"/>
  </si>
  <si>
    <t>計</t>
    <rPh sb="0" eb="1">
      <t>ケイ</t>
    </rPh>
    <phoneticPr fontId="1"/>
  </si>
  <si>
    <t>家賃負担金</t>
    <rPh sb="0" eb="2">
      <t>ヤチン</t>
    </rPh>
    <rPh sb="2" eb="5">
      <t>フタンキン</t>
    </rPh>
    <phoneticPr fontId="1"/>
  </si>
  <si>
    <t>法人税等</t>
    <rPh sb="0" eb="3">
      <t>ホウジンゼイ</t>
    </rPh>
    <rPh sb="3" eb="4">
      <t>トウ</t>
    </rPh>
    <phoneticPr fontId="1"/>
  </si>
  <si>
    <t>管理費配分</t>
    <rPh sb="0" eb="2">
      <t>カンリ</t>
    </rPh>
    <rPh sb="2" eb="3">
      <t>ヒ</t>
    </rPh>
    <rPh sb="3" eb="5">
      <t>ハイブン</t>
    </rPh>
    <phoneticPr fontId="1"/>
  </si>
  <si>
    <t>事業費収支差額</t>
    <rPh sb="0" eb="3">
      <t>ジギョウヒ</t>
    </rPh>
    <rPh sb="3" eb="5">
      <t>シュウシ</t>
    </rPh>
    <rPh sb="5" eb="7">
      <t>サガク</t>
    </rPh>
    <phoneticPr fontId="1"/>
  </si>
  <si>
    <t>収支差額（管理費含む）</t>
    <rPh sb="0" eb="2">
      <t>シュウシ</t>
    </rPh>
    <rPh sb="2" eb="4">
      <t>サガク</t>
    </rPh>
    <rPh sb="5" eb="8">
      <t>カンリヒ</t>
    </rPh>
    <rPh sb="8" eb="9">
      <t>フク</t>
    </rPh>
    <phoneticPr fontId="1"/>
  </si>
  <si>
    <t>収支差額</t>
    <rPh sb="0" eb="2">
      <t>シュウシ</t>
    </rPh>
    <rPh sb="2" eb="4">
      <t>サガク</t>
    </rPh>
    <phoneticPr fontId="1"/>
  </si>
  <si>
    <t>　　　公的介護保険収益</t>
    <rPh sb="3" eb="5">
      <t>コウテキ</t>
    </rPh>
    <rPh sb="5" eb="7">
      <t>カイゴ</t>
    </rPh>
    <rPh sb="7" eb="9">
      <t>ホケン</t>
    </rPh>
    <rPh sb="9" eb="11">
      <t>シュウエキ</t>
    </rPh>
    <phoneticPr fontId="1"/>
  </si>
  <si>
    <t>　　　公的障がい福祉サービス収益</t>
    <rPh sb="3" eb="5">
      <t>コウテキ</t>
    </rPh>
    <rPh sb="5" eb="6">
      <t>ショウ</t>
    </rPh>
    <rPh sb="8" eb="10">
      <t>フクシ</t>
    </rPh>
    <rPh sb="14" eb="16">
      <t>シュウエキ</t>
    </rPh>
    <phoneticPr fontId="1"/>
  </si>
  <si>
    <t>　　　独自サービス収益</t>
    <rPh sb="3" eb="5">
      <t>ドクジ</t>
    </rPh>
    <rPh sb="9" eb="11">
      <t>シュウエキ</t>
    </rPh>
    <phoneticPr fontId="1"/>
  </si>
  <si>
    <t>　　　利用者負担収益</t>
    <rPh sb="3" eb="6">
      <t>リヨウシャ</t>
    </rPh>
    <rPh sb="6" eb="8">
      <t>フタン</t>
    </rPh>
    <rPh sb="8" eb="10">
      <t>シュウエキ</t>
    </rPh>
    <phoneticPr fontId="1"/>
  </si>
  <si>
    <t>　　　処遇改善収益</t>
    <rPh sb="3" eb="5">
      <t>ショグウ</t>
    </rPh>
    <rPh sb="5" eb="7">
      <t>カイゼン</t>
    </rPh>
    <rPh sb="7" eb="9">
      <t>シュウエキ</t>
    </rPh>
    <phoneticPr fontId="1"/>
  </si>
  <si>
    <t>　　　公的委託・補助収益</t>
    <rPh sb="3" eb="5">
      <t>コウテキ</t>
    </rPh>
    <rPh sb="5" eb="7">
      <t>イタク</t>
    </rPh>
    <rPh sb="8" eb="10">
      <t>ホジョ</t>
    </rPh>
    <rPh sb="10" eb="12">
      <t>シュウエキ</t>
    </rPh>
    <phoneticPr fontId="1"/>
  </si>
  <si>
    <t>　　　　　　広報費</t>
    <rPh sb="6" eb="8">
      <t>コウホウ</t>
    </rPh>
    <rPh sb="8" eb="9">
      <t>ヒ</t>
    </rPh>
    <phoneticPr fontId="1"/>
  </si>
  <si>
    <t>　　　　　　水道光熱費</t>
  </si>
  <si>
    <t>　　　　　　水道光熱費</t>
    <phoneticPr fontId="1"/>
  </si>
  <si>
    <t>　　　　　　車両関連費</t>
  </si>
  <si>
    <t>　　　　　　車両関連費</t>
    <phoneticPr fontId="1"/>
  </si>
  <si>
    <t>　　　　　　消耗品費</t>
  </si>
  <si>
    <t>　　　　　　消耗品費</t>
    <phoneticPr fontId="1"/>
  </si>
  <si>
    <t>　　　　　　賃借料</t>
  </si>
  <si>
    <t>　　　　　　賃借料</t>
    <phoneticPr fontId="1"/>
  </si>
  <si>
    <t>　　　　　　支払保険料</t>
  </si>
  <si>
    <t>　　　　　　支払保険料</t>
    <phoneticPr fontId="1"/>
  </si>
  <si>
    <t>　　　　　　旅費交通費</t>
  </si>
  <si>
    <t>　　　　　　旅費交通費</t>
    <phoneticPr fontId="1"/>
  </si>
  <si>
    <t>　　　　　　通信費</t>
  </si>
  <si>
    <t>　　　　　　通信費</t>
    <phoneticPr fontId="1"/>
  </si>
  <si>
    <t>　　　　　　諸会費</t>
  </si>
  <si>
    <t>　　　　　　諸会費</t>
    <phoneticPr fontId="1"/>
  </si>
  <si>
    <t>　　　　　　図書研修費</t>
  </si>
  <si>
    <t>　　　　　　図書研修費</t>
    <phoneticPr fontId="1"/>
  </si>
  <si>
    <t>　　　　　　慶弔費</t>
  </si>
  <si>
    <t>　　　　　　慶弔費</t>
    <phoneticPr fontId="1"/>
  </si>
  <si>
    <t>　　　　　　謝金</t>
  </si>
  <si>
    <t>　　　　　　謝金</t>
    <phoneticPr fontId="1"/>
  </si>
  <si>
    <t>　　　　　　修繕費積立</t>
    <rPh sb="6" eb="9">
      <t>シュウゼンヒ</t>
    </rPh>
    <rPh sb="9" eb="11">
      <t>ツミタテ</t>
    </rPh>
    <phoneticPr fontId="1"/>
  </si>
  <si>
    <t>　　　　　　地代家賃</t>
  </si>
  <si>
    <t>　　　　　　地代家賃</t>
    <phoneticPr fontId="1"/>
  </si>
  <si>
    <t>　　　　　　雑費</t>
    <phoneticPr fontId="1"/>
  </si>
  <si>
    <t>　　　　　　修繕費</t>
  </si>
  <si>
    <t>　　　　　　修繕費</t>
    <phoneticPr fontId="1"/>
  </si>
  <si>
    <t>　　　　　　租税公課</t>
  </si>
  <si>
    <t>　　　　　　租税公課</t>
    <phoneticPr fontId="1"/>
  </si>
  <si>
    <t>　　　　　　支払手数料</t>
  </si>
  <si>
    <t>　　　　　　支払手数料</t>
    <phoneticPr fontId="1"/>
  </si>
  <si>
    <t>　　　　　　燃料費</t>
  </si>
  <si>
    <t>　　　　　　燃料費</t>
    <phoneticPr fontId="1"/>
  </si>
  <si>
    <t>　　　　　　給与・賞与手当</t>
    <rPh sb="6" eb="8">
      <t>キュウヨ</t>
    </rPh>
    <rPh sb="9" eb="11">
      <t>ショウヨ</t>
    </rPh>
    <rPh sb="11" eb="13">
      <t>テアテ</t>
    </rPh>
    <phoneticPr fontId="1"/>
  </si>
  <si>
    <t>　　　　　　減価償却費</t>
    <rPh sb="6" eb="8">
      <t>ゲンカ</t>
    </rPh>
    <rPh sb="8" eb="10">
      <t>ショウキャク</t>
    </rPh>
    <rPh sb="10" eb="11">
      <t>ヒ</t>
    </rPh>
    <phoneticPr fontId="1"/>
  </si>
  <si>
    <t>　　　　　　貸倒引当金繰入</t>
    <rPh sb="6" eb="8">
      <t>カシダオレ</t>
    </rPh>
    <rPh sb="8" eb="10">
      <t>ヒキアテ</t>
    </rPh>
    <rPh sb="10" eb="11">
      <t>キン</t>
    </rPh>
    <rPh sb="11" eb="13">
      <t>クリイレ</t>
    </rPh>
    <phoneticPr fontId="1"/>
  </si>
  <si>
    <t>　　　　　　人件費計</t>
    <rPh sb="6" eb="9">
      <t>ジンケンヒ</t>
    </rPh>
    <rPh sb="9" eb="10">
      <t>ケイ</t>
    </rPh>
    <phoneticPr fontId="1"/>
  </si>
  <si>
    <t>　　　　　　その他の経費計</t>
    <rPh sb="8" eb="9">
      <t>タ</t>
    </rPh>
    <rPh sb="10" eb="12">
      <t>ケイヒ</t>
    </rPh>
    <rPh sb="12" eb="13">
      <t>ケイ</t>
    </rPh>
    <phoneticPr fontId="1"/>
  </si>
  <si>
    <t>　　　事業費計</t>
    <rPh sb="3" eb="6">
      <t>ジギョウヒ</t>
    </rPh>
    <rPh sb="6" eb="7">
      <t>ケイ</t>
    </rPh>
    <phoneticPr fontId="1"/>
  </si>
  <si>
    <t>　　　管理費計</t>
    <rPh sb="3" eb="6">
      <t>カンリヒ</t>
    </rPh>
    <rPh sb="6" eb="7">
      <t>ケイ</t>
    </rPh>
    <phoneticPr fontId="1"/>
  </si>
  <si>
    <t>　　経常費用計</t>
    <rPh sb="2" eb="4">
      <t>ケイジョウ</t>
    </rPh>
    <rPh sb="4" eb="6">
      <t>ヒヨウ</t>
    </rPh>
    <rPh sb="6" eb="7">
      <t>ケイ</t>
    </rPh>
    <phoneticPr fontId="1"/>
  </si>
  <si>
    <t>Ⅲ　経常外収益</t>
    <rPh sb="2" eb="4">
      <t>ケイジョウ</t>
    </rPh>
    <rPh sb="4" eb="5">
      <t>ガイ</t>
    </rPh>
    <rPh sb="5" eb="7">
      <t>シュウエキ</t>
    </rPh>
    <phoneticPr fontId="1"/>
  </si>
  <si>
    <t>Ⅳ　経常外費用</t>
    <rPh sb="2" eb="4">
      <t>ケイジョウ</t>
    </rPh>
    <rPh sb="4" eb="5">
      <t>ガイ</t>
    </rPh>
    <rPh sb="5" eb="7">
      <t>ヒヨウ</t>
    </rPh>
    <phoneticPr fontId="1"/>
  </si>
  <si>
    <t>　２．管理費</t>
    <phoneticPr fontId="1"/>
  </si>
  <si>
    <t>　１．事業費</t>
    <phoneticPr fontId="1"/>
  </si>
  <si>
    <t>Ⅱ　経常費用</t>
    <rPh sb="4" eb="6">
      <t>ヒヨウ</t>
    </rPh>
    <phoneticPr fontId="1"/>
  </si>
  <si>
    <t>Ⅰ　経常収益</t>
    <rPh sb="4" eb="6">
      <t>シュウエキ</t>
    </rPh>
    <phoneticPr fontId="1"/>
  </si>
  <si>
    <t>　1．貸倒引当金戻入</t>
    <rPh sb="3" eb="5">
      <t>カシダオレ</t>
    </rPh>
    <rPh sb="5" eb="7">
      <t>ヒキアテ</t>
    </rPh>
    <rPh sb="7" eb="8">
      <t>キン</t>
    </rPh>
    <rPh sb="8" eb="10">
      <t>モドシイレ</t>
    </rPh>
    <phoneticPr fontId="1"/>
  </si>
  <si>
    <t>　２．前期損益修正益</t>
    <rPh sb="3" eb="5">
      <t>ゼンキ</t>
    </rPh>
    <rPh sb="5" eb="7">
      <t>ソンエキ</t>
    </rPh>
    <rPh sb="7" eb="9">
      <t>シュウセイ</t>
    </rPh>
    <rPh sb="9" eb="10">
      <t>エキ</t>
    </rPh>
    <phoneticPr fontId="1"/>
  </si>
  <si>
    <t>　　経常外収益計</t>
    <rPh sb="2" eb="4">
      <t>ケイジョウ</t>
    </rPh>
    <rPh sb="4" eb="5">
      <t>ガイ</t>
    </rPh>
    <rPh sb="5" eb="7">
      <t>シュウエキ</t>
    </rPh>
    <rPh sb="7" eb="8">
      <t>ケイ</t>
    </rPh>
    <phoneticPr fontId="1"/>
  </si>
  <si>
    <t>　１．支払利息</t>
    <rPh sb="3" eb="5">
      <t>シハライ</t>
    </rPh>
    <rPh sb="5" eb="7">
      <t>リソク</t>
    </rPh>
    <phoneticPr fontId="1"/>
  </si>
  <si>
    <t>　　経常外費用計</t>
    <rPh sb="2" eb="4">
      <t>ケイジョウ</t>
    </rPh>
    <rPh sb="4" eb="5">
      <t>ガイ</t>
    </rPh>
    <rPh sb="5" eb="7">
      <t>ヒヨウ</t>
    </rPh>
    <rPh sb="7" eb="8">
      <t>ケイ</t>
    </rPh>
    <phoneticPr fontId="1"/>
  </si>
  <si>
    <t>　　　　税引前当期正味財産増減額</t>
    <rPh sb="4" eb="6">
      <t>ゼイビキ</t>
    </rPh>
    <rPh sb="6" eb="7">
      <t>マエ</t>
    </rPh>
    <rPh sb="7" eb="9">
      <t>トウキ</t>
    </rPh>
    <rPh sb="9" eb="11">
      <t>ショウミ</t>
    </rPh>
    <rPh sb="11" eb="13">
      <t>ザイサン</t>
    </rPh>
    <rPh sb="13" eb="16">
      <t>ゾウゲンガク</t>
    </rPh>
    <phoneticPr fontId="1"/>
  </si>
  <si>
    <t>　　　　法人税、住民税及び事業税</t>
    <rPh sb="4" eb="7">
      <t>ホウジンゼイ</t>
    </rPh>
    <rPh sb="8" eb="11">
      <t>ジュウミンゼイ</t>
    </rPh>
    <rPh sb="11" eb="12">
      <t>オヨ</t>
    </rPh>
    <rPh sb="13" eb="16">
      <t>ジギョウゼイ</t>
    </rPh>
    <phoneticPr fontId="1"/>
  </si>
  <si>
    <t>　　　　当期正味財産増減額</t>
    <rPh sb="4" eb="6">
      <t>トウキ</t>
    </rPh>
    <rPh sb="6" eb="8">
      <t>ショウミ</t>
    </rPh>
    <rPh sb="8" eb="10">
      <t>ザイサン</t>
    </rPh>
    <rPh sb="10" eb="13">
      <t>ゾウゲンガク</t>
    </rPh>
    <phoneticPr fontId="1"/>
  </si>
  <si>
    <t>　　　　前期繰越正味財産額</t>
    <rPh sb="4" eb="6">
      <t>ゼンキ</t>
    </rPh>
    <rPh sb="6" eb="8">
      <t>クリコシ</t>
    </rPh>
    <rPh sb="8" eb="10">
      <t>ショウミ</t>
    </rPh>
    <rPh sb="10" eb="12">
      <t>ザイサン</t>
    </rPh>
    <rPh sb="12" eb="13">
      <t>ガク</t>
    </rPh>
    <phoneticPr fontId="1"/>
  </si>
  <si>
    <t>　　　　次期繰越正味財産額</t>
    <rPh sb="4" eb="6">
      <t>ジキ</t>
    </rPh>
    <rPh sb="6" eb="8">
      <t>クリコシ</t>
    </rPh>
    <rPh sb="8" eb="10">
      <t>ショウミ</t>
    </rPh>
    <rPh sb="10" eb="12">
      <t>ザイサン</t>
    </rPh>
    <rPh sb="12" eb="13">
      <t>ガク</t>
    </rPh>
    <phoneticPr fontId="1"/>
  </si>
  <si>
    <t>水道・電気・ガス使用料</t>
    <rPh sb="0" eb="2">
      <t>スイドウ</t>
    </rPh>
    <rPh sb="3" eb="5">
      <t>デンキ</t>
    </rPh>
    <rPh sb="8" eb="11">
      <t>シヨウリョウ</t>
    </rPh>
    <phoneticPr fontId="1"/>
  </si>
  <si>
    <t>リース代</t>
    <rPh sb="3" eb="4">
      <t>ダイ</t>
    </rPh>
    <phoneticPr fontId="1"/>
  </si>
  <si>
    <t>ガソリン代等</t>
    <rPh sb="4" eb="5">
      <t>ダイ</t>
    </rPh>
    <rPh sb="5" eb="6">
      <t>トウ</t>
    </rPh>
    <phoneticPr fontId="1"/>
  </si>
  <si>
    <t>研修参加費等</t>
    <rPh sb="0" eb="2">
      <t>ケンシュウ</t>
    </rPh>
    <rPh sb="2" eb="5">
      <t>サンカヒ</t>
    </rPh>
    <rPh sb="5" eb="6">
      <t>トウ</t>
    </rPh>
    <phoneticPr fontId="1"/>
  </si>
  <si>
    <t>　　　　　　借入金返済積立</t>
    <rPh sb="6" eb="8">
      <t>カリイレ</t>
    </rPh>
    <rPh sb="8" eb="9">
      <t>キン</t>
    </rPh>
    <rPh sb="9" eb="11">
      <t>ヘンサイ</t>
    </rPh>
    <rPh sb="11" eb="13">
      <t>ツミタテ</t>
    </rPh>
    <phoneticPr fontId="1"/>
  </si>
  <si>
    <t>保守サービス等</t>
    <rPh sb="0" eb="2">
      <t>ホシュ</t>
    </rPh>
    <rPh sb="6" eb="7">
      <t>トウ</t>
    </rPh>
    <phoneticPr fontId="1"/>
  </si>
  <si>
    <t>介護保険給付等</t>
    <rPh sb="0" eb="2">
      <t>カイゴ</t>
    </rPh>
    <rPh sb="2" eb="4">
      <t>ホケン</t>
    </rPh>
    <rPh sb="4" eb="6">
      <t>キュウフ</t>
    </rPh>
    <rPh sb="6" eb="7">
      <t>トウ</t>
    </rPh>
    <phoneticPr fontId="1"/>
  </si>
  <si>
    <t>障がい福祉サービス給付等</t>
    <rPh sb="0" eb="1">
      <t>ショウ</t>
    </rPh>
    <rPh sb="3" eb="5">
      <t>フクシ</t>
    </rPh>
    <rPh sb="9" eb="12">
      <t>キュウフトウ</t>
    </rPh>
    <phoneticPr fontId="1"/>
  </si>
  <si>
    <t>自治体委託事業収益等</t>
    <rPh sb="0" eb="3">
      <t>ジチタイ</t>
    </rPh>
    <rPh sb="3" eb="5">
      <t>イタク</t>
    </rPh>
    <rPh sb="5" eb="7">
      <t>ジギョウ</t>
    </rPh>
    <rPh sb="7" eb="9">
      <t>シュウエキ</t>
    </rPh>
    <rPh sb="9" eb="10">
      <t>トウ</t>
    </rPh>
    <phoneticPr fontId="1"/>
  </si>
  <si>
    <t>公的事業における利用者負担</t>
    <rPh sb="0" eb="2">
      <t>コウテキ</t>
    </rPh>
    <rPh sb="2" eb="4">
      <t>ジギョウ</t>
    </rPh>
    <rPh sb="8" eb="11">
      <t>リヨウシャ</t>
    </rPh>
    <rPh sb="11" eb="13">
      <t>フタン</t>
    </rPh>
    <phoneticPr fontId="1"/>
  </si>
  <si>
    <t>電話帳、広告料</t>
    <rPh sb="0" eb="3">
      <t>デンワチョウ</t>
    </rPh>
    <rPh sb="4" eb="7">
      <t>コウコクリョウ</t>
    </rPh>
    <phoneticPr fontId="1"/>
  </si>
  <si>
    <t>通勤手当等</t>
    <rPh sb="0" eb="2">
      <t>ツウキン</t>
    </rPh>
    <rPh sb="2" eb="4">
      <t>テアテ</t>
    </rPh>
    <rPh sb="4" eb="5">
      <t>トウ</t>
    </rPh>
    <phoneticPr fontId="1"/>
  </si>
  <si>
    <t>管理費充当</t>
    <rPh sb="0" eb="3">
      <t>カンリヒ</t>
    </rPh>
    <rPh sb="3" eb="5">
      <t>ジュウトウ</t>
    </rPh>
    <phoneticPr fontId="1"/>
  </si>
  <si>
    <t>従業員賠償保険等</t>
    <rPh sb="0" eb="3">
      <t>ジュウギョウイン</t>
    </rPh>
    <rPh sb="3" eb="5">
      <t>バイショウ</t>
    </rPh>
    <rPh sb="5" eb="7">
      <t>ホケン</t>
    </rPh>
    <rPh sb="7" eb="8">
      <t>トウ</t>
    </rPh>
    <phoneticPr fontId="1"/>
  </si>
  <si>
    <t>火災保険等</t>
    <rPh sb="0" eb="2">
      <t>カサイ</t>
    </rPh>
    <rPh sb="2" eb="4">
      <t>ホケン</t>
    </rPh>
    <rPh sb="4" eb="5">
      <t>トウ</t>
    </rPh>
    <phoneticPr fontId="1"/>
  </si>
  <si>
    <t>車検・車両整備費等</t>
    <rPh sb="0" eb="2">
      <t>シャケン</t>
    </rPh>
    <rPh sb="3" eb="5">
      <t>シャリョウ</t>
    </rPh>
    <rPh sb="5" eb="7">
      <t>セイビ</t>
    </rPh>
    <rPh sb="7" eb="8">
      <t>ヒ</t>
    </rPh>
    <rPh sb="8" eb="9">
      <t>トウ</t>
    </rPh>
    <phoneticPr fontId="1"/>
  </si>
  <si>
    <t>会費等</t>
    <rPh sb="0" eb="3">
      <t>カイヒトウ</t>
    </rPh>
    <phoneticPr fontId="1"/>
  </si>
  <si>
    <t>区費、法人会員費等</t>
    <rPh sb="0" eb="1">
      <t>ク</t>
    </rPh>
    <rPh sb="1" eb="2">
      <t>ヒ</t>
    </rPh>
    <rPh sb="3" eb="5">
      <t>ホウジン</t>
    </rPh>
    <rPh sb="5" eb="7">
      <t>カイイン</t>
    </rPh>
    <rPh sb="7" eb="8">
      <t>ヒ</t>
    </rPh>
    <rPh sb="8" eb="9">
      <t>ナド</t>
    </rPh>
    <phoneticPr fontId="1"/>
  </si>
  <si>
    <t>利用者等</t>
    <rPh sb="0" eb="3">
      <t>リヨウシャ</t>
    </rPh>
    <rPh sb="3" eb="4">
      <t>トウ</t>
    </rPh>
    <phoneticPr fontId="1"/>
  </si>
  <si>
    <t>利用者・職員等</t>
    <rPh sb="0" eb="3">
      <t>リヨウシャ</t>
    </rPh>
    <rPh sb="4" eb="6">
      <t>ショクイン</t>
    </rPh>
    <rPh sb="6" eb="7">
      <t>トウ</t>
    </rPh>
    <phoneticPr fontId="1"/>
  </si>
  <si>
    <t>長期借入金利子支払</t>
    <rPh sb="0" eb="2">
      <t>チョウキ</t>
    </rPh>
    <rPh sb="2" eb="4">
      <t>カリイレ</t>
    </rPh>
    <rPh sb="4" eb="5">
      <t>キン</t>
    </rPh>
    <rPh sb="5" eb="7">
      <t>リシ</t>
    </rPh>
    <rPh sb="7" eb="9">
      <t>シハライ</t>
    </rPh>
    <phoneticPr fontId="1"/>
  </si>
  <si>
    <t>金　　　額</t>
    <rPh sb="0" eb="1">
      <t>キン</t>
    </rPh>
    <rPh sb="4" eb="5">
      <t>ガク</t>
    </rPh>
    <phoneticPr fontId="1"/>
  </si>
  <si>
    <t>備　　　考</t>
    <rPh sb="0" eb="1">
      <t>ソナエ</t>
    </rPh>
    <rPh sb="4" eb="5">
      <t>コウ</t>
    </rPh>
    <phoneticPr fontId="1"/>
  </si>
  <si>
    <t>小計</t>
    <rPh sb="0" eb="2">
      <t>ショウケイ</t>
    </rPh>
    <phoneticPr fontId="1"/>
  </si>
  <si>
    <t>管理費配分額</t>
    <rPh sb="0" eb="3">
      <t>カンリヒ</t>
    </rPh>
    <rPh sb="3" eb="5">
      <t>ハイブン</t>
    </rPh>
    <rPh sb="5" eb="6">
      <t>ガク</t>
    </rPh>
    <phoneticPr fontId="1"/>
  </si>
  <si>
    <t>予算作成資料</t>
    <rPh sb="0" eb="2">
      <t>ヨサン</t>
    </rPh>
    <rPh sb="2" eb="4">
      <t>サクセイ</t>
    </rPh>
    <rPh sb="4" eb="6">
      <t>シリョウ</t>
    </rPh>
    <phoneticPr fontId="1"/>
  </si>
  <si>
    <r>
      <t>法人管理費
　</t>
    </r>
    <r>
      <rPr>
        <sz val="9"/>
        <rFont val="HGPｺﾞｼｯｸM"/>
        <family val="3"/>
        <charset val="128"/>
      </rPr>
      <t>（法人共通経費・社会保険料等）</t>
    </r>
    <rPh sb="0" eb="2">
      <t>ホウジン</t>
    </rPh>
    <rPh sb="2" eb="5">
      <t>カンリヒ</t>
    </rPh>
    <rPh sb="8" eb="10">
      <t>ホウジン</t>
    </rPh>
    <rPh sb="10" eb="12">
      <t>キョウツウ</t>
    </rPh>
    <rPh sb="12" eb="14">
      <t>ケイヒ</t>
    </rPh>
    <rPh sb="15" eb="17">
      <t>シャカイ</t>
    </rPh>
    <rPh sb="17" eb="20">
      <t>ホケンリョウ</t>
    </rPh>
    <rPh sb="20" eb="21">
      <t>トウ</t>
    </rPh>
    <phoneticPr fontId="1"/>
  </si>
  <si>
    <r>
      <t>法人管轄事業
　</t>
    </r>
    <r>
      <rPr>
        <sz val="9"/>
        <rFont val="HGPｺﾞｼｯｸM"/>
        <family val="3"/>
        <charset val="128"/>
      </rPr>
      <t>（人材・たすけあい他）</t>
    </r>
    <rPh sb="0" eb="2">
      <t>ホウジン</t>
    </rPh>
    <rPh sb="2" eb="4">
      <t>カンカツ</t>
    </rPh>
    <rPh sb="4" eb="6">
      <t>ジギョウ</t>
    </rPh>
    <rPh sb="9" eb="11">
      <t>ジンザイ</t>
    </rPh>
    <rPh sb="17" eb="18">
      <t>ホカ</t>
    </rPh>
    <phoneticPr fontId="1"/>
  </si>
  <si>
    <r>
      <t>ささえあいデイ</t>
    </r>
    <r>
      <rPr>
        <sz val="9"/>
        <rFont val="HGPｺﾞｼｯｸM"/>
        <family val="3"/>
        <charset val="128"/>
      </rPr>
      <t>（たすけあいの杜）</t>
    </r>
    <rPh sb="14" eb="15">
      <t>モリ</t>
    </rPh>
    <phoneticPr fontId="1"/>
  </si>
  <si>
    <t>家賃負担金</t>
    <rPh sb="0" eb="2">
      <t>ヤチン</t>
    </rPh>
    <rPh sb="2" eb="4">
      <t>フタン</t>
    </rPh>
    <rPh sb="4" eb="5">
      <t>キン</t>
    </rPh>
    <phoneticPr fontId="1"/>
  </si>
  <si>
    <t>居住支援</t>
    <rPh sb="0" eb="2">
      <t>キョジュウ</t>
    </rPh>
    <rPh sb="2" eb="4">
      <t>シエン</t>
    </rPh>
    <phoneticPr fontId="1"/>
  </si>
  <si>
    <t>補助金収入</t>
    <rPh sb="0" eb="3">
      <t>ホジョキン</t>
    </rPh>
    <rPh sb="3" eb="5">
      <t>シュウニュウ</t>
    </rPh>
    <phoneticPr fontId="1"/>
  </si>
  <si>
    <t>受取利息・受取配当金</t>
    <rPh sb="0" eb="2">
      <t>ウケトリ</t>
    </rPh>
    <rPh sb="2" eb="4">
      <t>リソク</t>
    </rPh>
    <rPh sb="5" eb="7">
      <t>ウケトリ</t>
    </rPh>
    <rPh sb="7" eb="10">
      <t>ハイトウキン</t>
    </rPh>
    <phoneticPr fontId="1"/>
  </si>
  <si>
    <t>貸倒損失</t>
    <rPh sb="0" eb="2">
      <t>カシダオレ</t>
    </rPh>
    <rPh sb="2" eb="4">
      <t>ソンシツ</t>
    </rPh>
    <phoneticPr fontId="1"/>
  </si>
  <si>
    <t>居住支援</t>
    <rPh sb="0" eb="2">
      <t>キョジュウ</t>
    </rPh>
    <rPh sb="2" eb="4">
      <t>シエン</t>
    </rPh>
    <phoneticPr fontId="1"/>
  </si>
  <si>
    <t>公的委託・補助収入</t>
    <rPh sb="0" eb="2">
      <t>コウテキ</t>
    </rPh>
    <rPh sb="2" eb="4">
      <t>イタク</t>
    </rPh>
    <rPh sb="5" eb="7">
      <t>ホジョ</t>
    </rPh>
    <rPh sb="7" eb="9">
      <t>シュウニュウ</t>
    </rPh>
    <phoneticPr fontId="1"/>
  </si>
  <si>
    <t>誤差</t>
    <rPh sb="0" eb="2">
      <t>ゴサ</t>
    </rPh>
    <phoneticPr fontId="1"/>
  </si>
  <si>
    <t>行動援護</t>
    <rPh sb="0" eb="2">
      <t>コウドウ</t>
    </rPh>
    <rPh sb="2" eb="4">
      <t>エンゴ</t>
    </rPh>
    <phoneticPr fontId="1"/>
  </si>
  <si>
    <t>行動援護</t>
    <rPh sb="0" eb="2">
      <t>コウドウ</t>
    </rPh>
    <rPh sb="2" eb="4">
      <t>エンゴ</t>
    </rPh>
    <phoneticPr fontId="1"/>
  </si>
  <si>
    <t>←内部分追加</t>
    <rPh sb="1" eb="3">
      <t>ナイブ</t>
    </rPh>
    <rPh sb="3" eb="4">
      <t>ブン</t>
    </rPh>
    <rPh sb="4" eb="6">
      <t>ツイカ</t>
    </rPh>
    <phoneticPr fontId="1"/>
  </si>
  <si>
    <t>←私募債会計分追加、内部分追加</t>
    <rPh sb="1" eb="4">
      <t>シボサイ</t>
    </rPh>
    <rPh sb="4" eb="6">
      <t>カイケイ</t>
    </rPh>
    <rPh sb="6" eb="7">
      <t>ブン</t>
    </rPh>
    <rPh sb="7" eb="9">
      <t>ツイカ</t>
    </rPh>
    <rPh sb="10" eb="12">
      <t>ナイブ</t>
    </rPh>
    <rPh sb="12" eb="13">
      <t>ブン</t>
    </rPh>
    <rPh sb="13" eb="15">
      <t>ツイカ</t>
    </rPh>
    <phoneticPr fontId="1"/>
  </si>
  <si>
    <t>←人材育成事業人件費相殺、内部分追加</t>
    <rPh sb="1" eb="3">
      <t>ジンザイ</t>
    </rPh>
    <rPh sb="3" eb="5">
      <t>イクセイ</t>
    </rPh>
    <rPh sb="5" eb="7">
      <t>ジギョウ</t>
    </rPh>
    <rPh sb="7" eb="10">
      <t>ジンケンヒ</t>
    </rPh>
    <rPh sb="10" eb="12">
      <t>ソウサツ</t>
    </rPh>
    <rPh sb="13" eb="15">
      <t>ナイブ</t>
    </rPh>
    <rPh sb="15" eb="16">
      <t>ブン</t>
    </rPh>
    <rPh sb="16" eb="18">
      <t>ツイカ</t>
    </rPh>
    <phoneticPr fontId="1"/>
  </si>
  <si>
    <t>←内部分追加</t>
    <rPh sb="1" eb="2">
      <t>ナイ</t>
    </rPh>
    <rPh sb="2" eb="4">
      <t>ブブン</t>
    </rPh>
    <rPh sb="4" eb="6">
      <t>ツイカ</t>
    </rPh>
    <phoneticPr fontId="1"/>
  </si>
  <si>
    <t>←私募債口座分追加</t>
    <rPh sb="1" eb="4">
      <t>シボサイ</t>
    </rPh>
    <rPh sb="4" eb="6">
      <t>コウザ</t>
    </rPh>
    <rPh sb="6" eb="7">
      <t>ブン</t>
    </rPh>
    <rPh sb="7" eb="9">
      <t>ツイカ</t>
    </rPh>
    <phoneticPr fontId="1"/>
  </si>
  <si>
    <t>　３．雑損失</t>
    <rPh sb="3" eb="4">
      <t>ザツ</t>
    </rPh>
    <rPh sb="4" eb="6">
      <t>ソンシツ</t>
    </rPh>
    <phoneticPr fontId="1"/>
  </si>
  <si>
    <t>　４．前期損益修正損</t>
    <rPh sb="3" eb="5">
      <t>ゼンキ</t>
    </rPh>
    <rPh sb="5" eb="7">
      <t>ソンエキ</t>
    </rPh>
    <rPh sb="7" eb="9">
      <t>シュウセイ</t>
    </rPh>
    <rPh sb="9" eb="10">
      <t>ソン</t>
    </rPh>
    <phoneticPr fontId="1"/>
  </si>
  <si>
    <t>　２．貸倒損失</t>
    <rPh sb="3" eb="5">
      <t>カシダオレ</t>
    </rPh>
    <rPh sb="5" eb="7">
      <t>ソンシツ</t>
    </rPh>
    <phoneticPr fontId="1"/>
  </si>
  <si>
    <t>　　　　　　寄付金支出</t>
    <rPh sb="6" eb="9">
      <t>キフキン</t>
    </rPh>
    <rPh sb="9" eb="11">
      <t>シシュツ</t>
    </rPh>
    <phoneticPr fontId="1"/>
  </si>
  <si>
    <t>確かめ算</t>
    <rPh sb="0" eb="1">
      <t>タシ</t>
    </rPh>
    <rPh sb="3" eb="4">
      <t>サン</t>
    </rPh>
    <phoneticPr fontId="1"/>
  </si>
  <si>
    <t>行動援護</t>
    <rPh sb="0" eb="2">
      <t>コウドウ</t>
    </rPh>
    <rPh sb="2" eb="4">
      <t>エンゴ</t>
    </rPh>
    <phoneticPr fontId="1"/>
  </si>
  <si>
    <t>2019予算</t>
    <rPh sb="4" eb="6">
      <t>ヨサン</t>
    </rPh>
    <phoneticPr fontId="1"/>
  </si>
  <si>
    <t>2019年度　特定非営利活動法人　地域たすけあいの会　予算書</t>
    <rPh sb="27" eb="30">
      <t>ヨサンショ</t>
    </rPh>
    <phoneticPr fontId="1"/>
  </si>
  <si>
    <t>2019年度　特定非営利活動法人　地たすけあいの会　事業別損益表</t>
    <rPh sb="4" eb="6">
      <t>ネンド</t>
    </rPh>
    <rPh sb="7" eb="9">
      <t>トクテイ</t>
    </rPh>
    <rPh sb="9" eb="12">
      <t>ヒエイリ</t>
    </rPh>
    <rPh sb="12" eb="14">
      <t>カツドウ</t>
    </rPh>
    <rPh sb="14" eb="16">
      <t>ホウジン</t>
    </rPh>
    <rPh sb="17" eb="18">
      <t>チ</t>
    </rPh>
    <rPh sb="24" eb="25">
      <t>カイ</t>
    </rPh>
    <rPh sb="26" eb="28">
      <t>ジギョウ</t>
    </rPh>
    <rPh sb="28" eb="29">
      <t>ベツ</t>
    </rPh>
    <rPh sb="29" eb="31">
      <t>ソンエキ</t>
    </rPh>
    <rPh sb="31" eb="32">
      <t>ヒョウ</t>
    </rPh>
    <phoneticPr fontId="1"/>
  </si>
  <si>
    <t>特定求職者雇用開発助成金他</t>
    <rPh sb="0" eb="2">
      <t>トクテイ</t>
    </rPh>
    <rPh sb="2" eb="4">
      <t>キュウショク</t>
    </rPh>
    <rPh sb="4" eb="5">
      <t>シャ</t>
    </rPh>
    <rPh sb="5" eb="7">
      <t>コヨウ</t>
    </rPh>
    <rPh sb="7" eb="9">
      <t>カイハツ</t>
    </rPh>
    <rPh sb="9" eb="12">
      <t>ジョセイキン</t>
    </rPh>
    <rPh sb="12" eb="13">
      <t>ホカ</t>
    </rPh>
    <phoneticPr fontId="1"/>
  </si>
  <si>
    <t>2019年度　活 動 計 算 書（予算書）</t>
    <rPh sb="7" eb="8">
      <t>カツ</t>
    </rPh>
    <rPh sb="9" eb="10">
      <t>ドウ</t>
    </rPh>
    <rPh sb="11" eb="12">
      <t>ケイ</t>
    </rPh>
    <rPh sb="13" eb="14">
      <t>サン</t>
    </rPh>
    <rPh sb="15" eb="16">
      <t>ショ</t>
    </rPh>
    <rPh sb="17" eb="20">
      <t>ヨサンショ</t>
    </rPh>
    <phoneticPr fontId="1"/>
  </si>
  <si>
    <t>2019年4月1日から2020年3月31日まで</t>
    <phoneticPr fontId="1"/>
  </si>
  <si>
    <t>税理士、社会保険労務士、振込、内部振替等</t>
    <rPh sb="0" eb="3">
      <t>ゼイリシ</t>
    </rPh>
    <rPh sb="4" eb="6">
      <t>シャカイ</t>
    </rPh>
    <rPh sb="6" eb="8">
      <t>ホケン</t>
    </rPh>
    <rPh sb="8" eb="11">
      <t>ロウムシ</t>
    </rPh>
    <rPh sb="12" eb="14">
      <t>フリコミ</t>
    </rPh>
    <rPh sb="15" eb="17">
      <t>ナイブ</t>
    </rPh>
    <rPh sb="17" eb="19">
      <t>フリカエ</t>
    </rPh>
    <rPh sb="19" eb="20">
      <t>トウ</t>
    </rPh>
    <phoneticPr fontId="1"/>
  </si>
  <si>
    <t>職員給与（居住支援）</t>
    <rPh sb="5" eb="7">
      <t>キョジュウ</t>
    </rPh>
    <rPh sb="7" eb="9">
      <t>シエン</t>
    </rPh>
    <phoneticPr fontId="1"/>
  </si>
  <si>
    <t>（参考）法人税等</t>
    <rPh sb="1" eb="3">
      <t>サンコウ</t>
    </rPh>
    <rPh sb="4" eb="7">
      <t>ホウジンゼイ</t>
    </rPh>
    <rPh sb="7" eb="8">
      <t>トウ</t>
    </rPh>
    <phoneticPr fontId="1"/>
  </si>
  <si>
    <t>2019年度　事 業 別 損 益 表 （予算書）</t>
    <rPh sb="4" eb="6">
      <t>ネンド</t>
    </rPh>
    <rPh sb="7" eb="8">
      <t>コト</t>
    </rPh>
    <rPh sb="9" eb="10">
      <t>ギョウ</t>
    </rPh>
    <rPh sb="11" eb="12">
      <t>ベツ</t>
    </rPh>
    <rPh sb="13" eb="14">
      <t>ソン</t>
    </rPh>
    <rPh sb="15" eb="16">
      <t>エキ</t>
    </rPh>
    <rPh sb="17" eb="18">
      <t>ヒョウ</t>
    </rPh>
    <rPh sb="20" eb="23">
      <t>ヨサンショ</t>
    </rPh>
    <phoneticPr fontId="1"/>
  </si>
  <si>
    <t>人材育成+行動援護</t>
    <rPh sb="0" eb="2">
      <t>ジンザイ</t>
    </rPh>
    <rPh sb="2" eb="4">
      <t>イクセイ</t>
    </rPh>
    <rPh sb="5" eb="7">
      <t>コウドウ</t>
    </rPh>
    <rPh sb="7" eb="9">
      <t>エンゴ</t>
    </rPh>
    <phoneticPr fontId="1"/>
  </si>
  <si>
    <t>2019年度　事 業 別 損 益 表 （予算書）</t>
    <rPh sb="4" eb="6">
      <t>ネンド</t>
    </rPh>
    <rPh sb="7" eb="8">
      <t>コト</t>
    </rPh>
    <rPh sb="9" eb="10">
      <t>ギョウ</t>
    </rPh>
    <rPh sb="11" eb="12">
      <t>ベツ</t>
    </rPh>
    <rPh sb="13" eb="14">
      <t>ソン</t>
    </rPh>
    <rPh sb="15" eb="16">
      <t>エキ</t>
    </rPh>
    <rPh sb="17" eb="18">
      <t>オモテ</t>
    </rPh>
    <rPh sb="20" eb="23">
      <t>ヨサンショ</t>
    </rPh>
    <phoneticPr fontId="1"/>
  </si>
  <si>
    <t>健康診断、検便等</t>
    <rPh sb="5" eb="7">
      <t>ケンベン</t>
    </rPh>
    <rPh sb="7" eb="8">
      <t>トウ</t>
    </rPh>
    <phoneticPr fontId="1"/>
  </si>
  <si>
    <t>2018決算を元にした（立山編集データ）</t>
    <rPh sb="4" eb="6">
      <t>ケッサン</t>
    </rPh>
    <rPh sb="7" eb="8">
      <t>モト</t>
    </rPh>
    <rPh sb="12" eb="14">
      <t>タテヤマ</t>
    </rPh>
    <rPh sb="14" eb="16">
      <t>ヘンシュウ</t>
    </rPh>
    <phoneticPr fontId="1"/>
  </si>
  <si>
    <t>　　　　　　予備費</t>
    <rPh sb="6" eb="9">
      <t>ヨビヒ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</si>
</sst>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#,##0,"/>
    <numFmt numFmtId="177" formatCode="#,##0;&quot;△ &quot;#,##0"/>
    <numFmt numFmtId="178" formatCode="0.0%"/>
    <numFmt numFmtId="179" formatCode="#,##0_);[Red]\(#,##0\)"/>
    <numFmt numFmtId="180" formatCode="#,##0;&quot;▲ &quot;#,##0"/>
    <numFmt numFmtId="181" formatCode="#,##0_ "/>
    <numFmt numFmtId="182" formatCode="#,##0.000,"/>
    <numFmt numFmtId="183" formatCode="0;&quot;▲ &quot;0"/>
    <numFmt numFmtId="184" formatCode="General&quot;人&quot;"/>
    <numFmt numFmtId="185" formatCode="0_ "/>
    <numFmt numFmtId="186" formatCode="0_);[Red]\(0\)"/>
  </numFmts>
  <fonts count="3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HGPｺﾞｼｯｸM"/>
      <family val="3"/>
      <charset val="128"/>
    </font>
    <font>
      <sz val="11"/>
      <name val="HGPｺﾞｼｯｸM"/>
      <family val="3"/>
      <charset val="128"/>
    </font>
    <font>
      <b/>
      <sz val="12"/>
      <name val="HGPｺﾞｼｯｸM"/>
      <family val="3"/>
      <charset val="128"/>
    </font>
    <font>
      <b/>
      <sz val="11"/>
      <name val="HGPｺﾞｼｯｸM"/>
      <family val="3"/>
      <charset val="128"/>
    </font>
    <font>
      <sz val="18"/>
      <name val="HGPｺﾞｼｯｸM"/>
      <family val="3"/>
      <charset val="128"/>
    </font>
    <font>
      <sz val="9"/>
      <name val="HGPｺﾞｼｯｸM"/>
      <family val="3"/>
      <charset val="128"/>
    </font>
    <font>
      <sz val="14"/>
      <name val="HGPｺﾞｼｯｸM"/>
      <family val="3"/>
      <charset val="128"/>
    </font>
    <font>
      <b/>
      <sz val="14"/>
      <name val="HGPｺﾞｼｯｸM"/>
      <family val="3"/>
      <charset val="128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HGPｺﾞｼｯｸM"/>
      <family val="3"/>
      <charset val="128"/>
    </font>
    <font>
      <sz val="11"/>
      <name val="HGSｺﾞｼｯｸM"/>
      <family val="3"/>
      <charset val="128"/>
    </font>
    <font>
      <sz val="12"/>
      <name val="HGSｺﾞｼｯｸM"/>
      <family val="3"/>
      <charset val="128"/>
    </font>
    <font>
      <sz val="14"/>
      <name val="HGSｺﾞｼｯｸM"/>
      <family val="3"/>
      <charset val="128"/>
    </font>
    <font>
      <sz val="16"/>
      <name val="HGPｺﾞｼｯｸM"/>
      <family val="3"/>
      <charset val="128"/>
    </font>
    <font>
      <sz val="11"/>
      <color theme="0"/>
      <name val="HGPｺﾞｼｯｸM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rgb="FFFF0000"/>
      <name val="HGPｺﾞｼｯｸM"/>
      <family val="3"/>
      <charset val="128"/>
    </font>
    <font>
      <sz val="9"/>
      <color indexed="81"/>
      <name val="ＭＳ Ｐゴシック"/>
      <family val="3"/>
      <charset val="128"/>
    </font>
    <font>
      <sz val="8"/>
      <name val="HGPｺﾞｼｯｸM"/>
      <family val="3"/>
      <charset val="128"/>
    </font>
    <font>
      <sz val="6"/>
      <name val="HGPｺﾞｼｯｸM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color theme="0" tint="-0.14999847407452621"/>
      <name val="HGPｺﾞｼｯｸM"/>
      <family val="3"/>
      <charset val="128"/>
    </font>
    <font>
      <sz val="11"/>
      <name val="Tahoma"/>
      <family val="3"/>
      <charset val="1"/>
    </font>
  </fonts>
  <fills count="2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50"/>
        <bgColor indexed="51"/>
      </patternFill>
    </fill>
    <fill>
      <patternFill patternType="solid">
        <fgColor indexed="45"/>
        <bgColor indexed="29"/>
      </patternFill>
    </fill>
    <fill>
      <patternFill patternType="solid">
        <fgColor indexed="47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4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auto="1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ill="0" applyBorder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1415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3" xfId="0" applyNumberFormat="1" applyFont="1" applyBorder="1">
      <alignment vertical="center"/>
    </xf>
    <xf numFmtId="0" fontId="4" fillId="0" borderId="3" xfId="0" applyFont="1" applyBorder="1" applyAlignment="1" applyProtection="1">
      <alignment vertical="center" shrinkToFit="1"/>
      <protection locked="0"/>
    </xf>
    <xf numFmtId="0" fontId="4" fillId="0" borderId="0" xfId="0" applyFont="1">
      <alignment vertical="center"/>
    </xf>
    <xf numFmtId="38" fontId="4" fillId="0" borderId="4" xfId="1" applyFont="1" applyFill="1" applyBorder="1" applyAlignment="1" applyProtection="1">
      <alignment vertical="center" shrinkToFit="1"/>
    </xf>
    <xf numFmtId="38" fontId="4" fillId="0" borderId="3" xfId="1" applyFont="1" applyFill="1" applyBorder="1" applyAlignment="1" applyProtection="1">
      <alignment vertical="center" shrinkToFit="1"/>
    </xf>
    <xf numFmtId="38" fontId="4" fillId="0" borderId="2" xfId="1" applyFont="1" applyFill="1" applyBorder="1" applyAlignment="1" applyProtection="1">
      <alignment vertical="center" shrinkToFit="1"/>
    </xf>
    <xf numFmtId="0" fontId="6" fillId="0" borderId="0" xfId="0" applyFont="1">
      <alignment vertical="center"/>
    </xf>
    <xf numFmtId="38" fontId="5" fillId="0" borderId="4" xfId="1" applyFont="1" applyFill="1" applyBorder="1" applyAlignment="1" applyProtection="1">
      <alignment vertical="center" shrinkToFit="1"/>
    </xf>
    <xf numFmtId="38" fontId="3" fillId="0" borderId="4" xfId="1" applyFont="1" applyFill="1" applyBorder="1" applyAlignment="1" applyProtection="1">
      <alignment vertical="center" shrinkToFit="1"/>
    </xf>
    <xf numFmtId="38" fontId="3" fillId="0" borderId="3" xfId="1" applyFont="1" applyFill="1" applyBorder="1" applyAlignment="1" applyProtection="1">
      <alignment vertical="center" shrinkToFit="1"/>
    </xf>
    <xf numFmtId="0" fontId="4" fillId="0" borderId="0" xfId="0" applyFont="1" applyAlignment="1">
      <alignment vertical="center" shrinkToFit="1"/>
    </xf>
    <xf numFmtId="176" fontId="4" fillId="0" borderId="0" xfId="0" applyNumberFormat="1" applyFont="1">
      <alignment vertical="center"/>
    </xf>
    <xf numFmtId="0" fontId="4" fillId="0" borderId="0" xfId="0" applyFont="1" applyAlignment="1" applyProtection="1">
      <alignment vertical="center" shrinkToFit="1"/>
      <protection locked="0"/>
    </xf>
    <xf numFmtId="9" fontId="4" fillId="0" borderId="0" xfId="0" applyNumberFormat="1" applyFont="1">
      <alignment vertical="center"/>
    </xf>
    <xf numFmtId="9" fontId="4" fillId="0" borderId="0" xfId="0" applyNumberFormat="1" applyFont="1" applyBorder="1">
      <alignment vertical="center"/>
    </xf>
    <xf numFmtId="177" fontId="4" fillId="0" borderId="3" xfId="1" applyNumberFormat="1" applyFont="1" applyFill="1" applyBorder="1" applyAlignment="1" applyProtection="1">
      <alignment horizontal="center" vertical="center"/>
    </xf>
    <xf numFmtId="38" fontId="4" fillId="0" borderId="4" xfId="1" applyFont="1" applyFill="1" applyBorder="1" applyAlignment="1" applyProtection="1">
      <alignment horizontal="center" vertical="center"/>
    </xf>
    <xf numFmtId="38" fontId="4" fillId="0" borderId="1" xfId="1" applyFont="1" applyFill="1" applyBorder="1" applyAlignment="1" applyProtection="1">
      <alignment vertical="center"/>
    </xf>
    <xf numFmtId="177" fontId="4" fillId="0" borderId="1" xfId="1" applyNumberFormat="1" applyFont="1" applyFill="1" applyBorder="1" applyAlignment="1" applyProtection="1">
      <alignment vertical="center"/>
    </xf>
    <xf numFmtId="38" fontId="3" fillId="0" borderId="5" xfId="1" applyFont="1" applyFill="1" applyBorder="1" applyAlignment="1" applyProtection="1">
      <alignment vertical="center" shrinkToFit="1"/>
    </xf>
    <xf numFmtId="38" fontId="4" fillId="0" borderId="5" xfId="1" applyFont="1" applyFill="1" applyBorder="1" applyAlignment="1" applyProtection="1">
      <alignment vertical="center" shrinkToFit="1"/>
    </xf>
    <xf numFmtId="38" fontId="4" fillId="0" borderId="5" xfId="1" applyFont="1" applyFill="1" applyBorder="1" applyAlignment="1" applyProtection="1">
      <alignment vertical="center"/>
    </xf>
    <xf numFmtId="177" fontId="4" fillId="0" borderId="5" xfId="1" applyNumberFormat="1" applyFont="1" applyFill="1" applyBorder="1" applyAlignment="1" applyProtection="1">
      <alignment vertical="center"/>
    </xf>
    <xf numFmtId="38" fontId="3" fillId="0" borderId="6" xfId="1" applyFont="1" applyFill="1" applyBorder="1" applyAlignment="1" applyProtection="1">
      <alignment vertical="center" shrinkToFit="1"/>
    </xf>
    <xf numFmtId="38" fontId="4" fillId="0" borderId="6" xfId="1" applyFont="1" applyFill="1" applyBorder="1" applyAlignment="1" applyProtection="1">
      <alignment vertical="center" shrinkToFit="1"/>
    </xf>
    <xf numFmtId="38" fontId="4" fillId="0" borderId="6" xfId="1" applyFont="1" applyFill="1" applyBorder="1" applyAlignment="1" applyProtection="1">
      <alignment vertical="center"/>
    </xf>
    <xf numFmtId="177" fontId="4" fillId="0" borderId="6" xfId="1" applyNumberFormat="1" applyFont="1" applyFill="1" applyBorder="1" applyAlignment="1" applyProtection="1">
      <alignment vertical="center"/>
    </xf>
    <xf numFmtId="38" fontId="4" fillId="0" borderId="4" xfId="1" applyFont="1" applyFill="1" applyBorder="1" applyAlignment="1" applyProtection="1">
      <alignment vertical="center"/>
    </xf>
    <xf numFmtId="177" fontId="4" fillId="0" borderId="4" xfId="1" applyNumberFormat="1" applyFont="1" applyFill="1" applyBorder="1" applyAlignment="1" applyProtection="1">
      <alignment vertical="center"/>
    </xf>
    <xf numFmtId="9" fontId="4" fillId="0" borderId="0" xfId="1" applyNumberFormat="1" applyFont="1" applyFill="1" applyBorder="1" applyAlignment="1" applyProtection="1">
      <alignment vertical="center" shrinkToFit="1"/>
    </xf>
    <xf numFmtId="38" fontId="3" fillId="0" borderId="2" xfId="1" applyFont="1" applyFill="1" applyBorder="1" applyAlignment="1" applyProtection="1">
      <alignment vertical="center" shrinkToFit="1"/>
    </xf>
    <xf numFmtId="38" fontId="4" fillId="0" borderId="2" xfId="1" applyFont="1" applyFill="1" applyBorder="1" applyAlignment="1" applyProtection="1">
      <alignment vertical="center"/>
    </xf>
    <xf numFmtId="177" fontId="4" fillId="0" borderId="2" xfId="1" applyNumberFormat="1" applyFont="1" applyFill="1" applyBorder="1" applyAlignment="1" applyProtection="1">
      <alignment vertical="center"/>
    </xf>
    <xf numFmtId="177" fontId="6" fillId="0" borderId="4" xfId="1" applyNumberFormat="1" applyFont="1" applyFill="1" applyBorder="1" applyAlignment="1" applyProtection="1">
      <alignment vertical="center"/>
    </xf>
    <xf numFmtId="9" fontId="3" fillId="0" borderId="0" xfId="1" applyNumberFormat="1" applyFont="1" applyFill="1" applyBorder="1" applyAlignment="1" applyProtection="1">
      <alignment vertical="center" shrinkToFit="1"/>
    </xf>
    <xf numFmtId="38" fontId="3" fillId="0" borderId="0" xfId="1" applyFont="1" applyFill="1" applyBorder="1" applyAlignment="1" applyProtection="1">
      <alignment vertical="center" shrinkToFit="1"/>
    </xf>
    <xf numFmtId="38" fontId="4" fillId="0" borderId="0" xfId="1" applyFont="1" applyFill="1" applyBorder="1" applyAlignment="1" applyProtection="1">
      <alignment vertical="center"/>
    </xf>
    <xf numFmtId="177" fontId="4" fillId="0" borderId="0" xfId="1" applyNumberFormat="1" applyFont="1" applyFill="1" applyBorder="1" applyAlignment="1" applyProtection="1">
      <alignment vertical="center"/>
    </xf>
    <xf numFmtId="0" fontId="4" fillId="0" borderId="0" xfId="0" applyFont="1" applyBorder="1">
      <alignment vertical="center"/>
    </xf>
    <xf numFmtId="38" fontId="3" fillId="0" borderId="1" xfId="1" applyFont="1" applyFill="1" applyBorder="1" applyAlignment="1" applyProtection="1">
      <alignment vertical="center" shrinkToFit="1"/>
    </xf>
    <xf numFmtId="9" fontId="6" fillId="0" borderId="0" xfId="0" applyNumberFormat="1" applyFont="1" applyBorder="1">
      <alignment vertical="center"/>
    </xf>
    <xf numFmtId="177" fontId="6" fillId="0" borderId="2" xfId="1" applyNumberFormat="1" applyFont="1" applyFill="1" applyBorder="1" applyAlignment="1" applyProtection="1">
      <alignment vertical="center"/>
    </xf>
    <xf numFmtId="9" fontId="6" fillId="0" borderId="0" xfId="0" applyNumberFormat="1" applyFont="1">
      <alignment vertical="center"/>
    </xf>
    <xf numFmtId="0" fontId="4" fillId="0" borderId="11" xfId="0" applyFont="1" applyBorder="1" applyAlignment="1">
      <alignment horizontal="center" vertical="center"/>
    </xf>
    <xf numFmtId="9" fontId="4" fillId="0" borderId="4" xfId="0" applyNumberFormat="1" applyFont="1" applyBorder="1">
      <alignment vertical="center"/>
    </xf>
    <xf numFmtId="178" fontId="4" fillId="0" borderId="0" xfId="1" applyNumberFormat="1" applyFont="1" applyFill="1" applyBorder="1" applyAlignment="1" applyProtection="1">
      <alignment horizontal="center" vertical="center" shrinkToFit="1"/>
    </xf>
    <xf numFmtId="178" fontId="4" fillId="0" borderId="7" xfId="0" applyNumberFormat="1" applyFont="1" applyBorder="1">
      <alignment vertical="center"/>
    </xf>
    <xf numFmtId="0" fontId="4" fillId="0" borderId="7" xfId="0" applyFont="1" applyBorder="1">
      <alignment vertical="center"/>
    </xf>
    <xf numFmtId="9" fontId="4" fillId="0" borderId="0" xfId="0" applyNumberFormat="1" applyFont="1" applyBorder="1" applyAlignment="1">
      <alignment horizontal="center" vertical="center"/>
    </xf>
    <xf numFmtId="178" fontId="4" fillId="0" borderId="11" xfId="1" applyNumberFormat="1" applyFont="1" applyFill="1" applyBorder="1" applyAlignment="1" applyProtection="1">
      <alignment horizontal="center" vertical="center" shrinkToFit="1"/>
    </xf>
    <xf numFmtId="179" fontId="4" fillId="0" borderId="11" xfId="1" applyNumberFormat="1" applyFont="1" applyFill="1" applyBorder="1" applyAlignment="1" applyProtection="1">
      <alignment horizontal="center" vertical="center" shrinkToFit="1"/>
    </xf>
    <xf numFmtId="9" fontId="4" fillId="0" borderId="14" xfId="0" applyNumberFormat="1" applyFont="1" applyBorder="1" applyAlignment="1">
      <alignment horizontal="center" vertical="center"/>
    </xf>
    <xf numFmtId="9" fontId="4" fillId="0" borderId="4" xfId="0" applyNumberFormat="1" applyFont="1" applyBorder="1" applyAlignment="1">
      <alignment horizontal="center" vertical="center"/>
    </xf>
    <xf numFmtId="178" fontId="4" fillId="0" borderId="3" xfId="1" applyNumberFormat="1" applyFont="1" applyFill="1" applyBorder="1" applyAlignment="1" applyProtection="1">
      <alignment horizontal="center" vertical="center" shrinkToFit="1"/>
    </xf>
    <xf numFmtId="178" fontId="4" fillId="0" borderId="10" xfId="1" applyNumberFormat="1" applyFont="1" applyFill="1" applyBorder="1" applyAlignment="1" applyProtection="1">
      <alignment horizontal="center" vertical="center" shrinkToFit="1"/>
    </xf>
    <xf numFmtId="38" fontId="4" fillId="0" borderId="14" xfId="0" applyNumberFormat="1" applyFont="1" applyBorder="1" applyAlignment="1">
      <alignment horizontal="center" vertical="center"/>
    </xf>
    <xf numFmtId="179" fontId="4" fillId="0" borderId="4" xfId="1" applyNumberFormat="1" applyFont="1" applyFill="1" applyBorder="1" applyAlignment="1" applyProtection="1">
      <alignment horizontal="center" vertical="center" shrinkToFit="1"/>
    </xf>
    <xf numFmtId="9" fontId="4" fillId="0" borderId="3" xfId="1" applyNumberFormat="1" applyFont="1" applyFill="1" applyBorder="1" applyAlignment="1" applyProtection="1">
      <alignment horizontal="center" vertical="center"/>
    </xf>
    <xf numFmtId="38" fontId="4" fillId="0" borderId="0" xfId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8" fontId="4" fillId="0" borderId="0" xfId="1" applyFont="1" applyFill="1" applyBorder="1" applyAlignment="1" applyProtection="1">
      <alignment horizontal="center" vertical="center" wrapText="1"/>
    </xf>
    <xf numFmtId="38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79" fontId="4" fillId="0" borderId="0" xfId="1" applyNumberFormat="1" applyFont="1" applyFill="1" applyBorder="1" applyAlignment="1" applyProtection="1">
      <alignment horizontal="center" vertical="center" shrinkToFit="1"/>
    </xf>
    <xf numFmtId="9" fontId="4" fillId="0" borderId="0" xfId="1" applyNumberFormat="1" applyFont="1" applyFill="1" applyBorder="1" applyAlignment="1" applyProtection="1">
      <alignment horizontal="center" vertical="center"/>
    </xf>
    <xf numFmtId="38" fontId="3" fillId="0" borderId="0" xfId="1" applyFont="1" applyFill="1" applyBorder="1" applyAlignment="1" applyProtection="1">
      <alignment vertical="center"/>
    </xf>
    <xf numFmtId="9" fontId="3" fillId="0" borderId="0" xfId="1" applyNumberFormat="1" applyFont="1" applyFill="1" applyBorder="1" applyAlignment="1" applyProtection="1">
      <alignment vertical="center"/>
    </xf>
    <xf numFmtId="38" fontId="3" fillId="0" borderId="0" xfId="1" applyFont="1" applyFill="1" applyBorder="1" applyAlignment="1" applyProtection="1">
      <alignment horizontal="right" vertical="center"/>
    </xf>
    <xf numFmtId="178" fontId="3" fillId="0" borderId="0" xfId="1" applyNumberFormat="1" applyFont="1" applyFill="1" applyBorder="1" applyAlignment="1" applyProtection="1">
      <alignment horizontal="right" vertical="center" shrinkToFit="1"/>
    </xf>
    <xf numFmtId="178" fontId="3" fillId="0" borderId="0" xfId="1" applyNumberFormat="1" applyFont="1" applyFill="1" applyBorder="1" applyAlignment="1" applyProtection="1">
      <alignment vertical="center"/>
    </xf>
    <xf numFmtId="38" fontId="3" fillId="0" borderId="0" xfId="1" applyFont="1" applyFill="1" applyBorder="1" applyAlignment="1" applyProtection="1">
      <alignment horizontal="right" vertical="center" shrinkToFit="1"/>
    </xf>
    <xf numFmtId="179" fontId="3" fillId="0" borderId="0" xfId="1" applyNumberFormat="1" applyFont="1" applyFill="1" applyBorder="1" applyAlignment="1" applyProtection="1">
      <alignment horizontal="right" vertical="center" shrinkToFit="1"/>
    </xf>
    <xf numFmtId="0" fontId="3" fillId="0" borderId="0" xfId="0" applyFont="1" applyFill="1">
      <alignment vertical="center"/>
    </xf>
    <xf numFmtId="38" fontId="4" fillId="0" borderId="9" xfId="1" applyFont="1" applyFill="1" applyBorder="1" applyAlignment="1" applyProtection="1">
      <alignment vertical="center"/>
    </xf>
    <xf numFmtId="38" fontId="4" fillId="3" borderId="11" xfId="1" applyFont="1" applyFill="1" applyBorder="1" applyAlignment="1" applyProtection="1">
      <alignment vertical="center"/>
    </xf>
    <xf numFmtId="38" fontId="3" fillId="0" borderId="3" xfId="1" applyFont="1" applyFill="1" applyBorder="1" applyAlignment="1" applyProtection="1">
      <alignment vertical="center"/>
    </xf>
    <xf numFmtId="9" fontId="9" fillId="0" borderId="4" xfId="1" applyNumberFormat="1" applyFont="1" applyFill="1" applyBorder="1" applyAlignment="1" applyProtection="1">
      <alignment vertical="center"/>
    </xf>
    <xf numFmtId="38" fontId="9" fillId="0" borderId="3" xfId="1" applyFont="1" applyFill="1" applyBorder="1" applyAlignment="1" applyProtection="1">
      <alignment vertical="center"/>
    </xf>
    <xf numFmtId="38" fontId="9" fillId="0" borderId="3" xfId="1" applyFont="1" applyFill="1" applyBorder="1" applyAlignment="1" applyProtection="1">
      <alignment horizontal="right" vertical="center"/>
    </xf>
    <xf numFmtId="178" fontId="9" fillId="0" borderId="3" xfId="1" applyNumberFormat="1" applyFont="1" applyFill="1" applyBorder="1" applyAlignment="1" applyProtection="1">
      <alignment horizontal="right" vertical="center" shrinkToFit="1"/>
    </xf>
    <xf numFmtId="178" fontId="9" fillId="0" borderId="4" xfId="1" applyNumberFormat="1" applyFont="1" applyFill="1" applyBorder="1" applyAlignment="1" applyProtection="1">
      <alignment horizontal="right" vertical="center" shrinkToFit="1"/>
    </xf>
    <xf numFmtId="178" fontId="4" fillId="2" borderId="3" xfId="1" applyNumberFormat="1" applyFont="1" applyFill="1" applyBorder="1" applyAlignment="1" applyProtection="1">
      <alignment vertical="center"/>
    </xf>
    <xf numFmtId="38" fontId="4" fillId="0" borderId="3" xfId="1" applyFont="1" applyFill="1" applyBorder="1" applyAlignment="1" applyProtection="1">
      <alignment vertical="center"/>
    </xf>
    <xf numFmtId="38" fontId="4" fillId="0" borderId="14" xfId="1" applyFont="1" applyFill="1" applyBorder="1" applyAlignment="1" applyProtection="1">
      <alignment vertical="center"/>
    </xf>
    <xf numFmtId="38" fontId="4" fillId="4" borderId="3" xfId="1" applyFont="1" applyFill="1" applyBorder="1" applyAlignment="1" applyProtection="1">
      <alignment vertical="center"/>
    </xf>
    <xf numFmtId="178" fontId="9" fillId="0" borderId="11" xfId="1" applyNumberFormat="1" applyFont="1" applyFill="1" applyBorder="1" applyAlignment="1" applyProtection="1">
      <alignment horizontal="right" vertical="center" shrinkToFit="1"/>
    </xf>
    <xf numFmtId="38" fontId="9" fillId="0" borderId="3" xfId="1" applyFont="1" applyFill="1" applyBorder="1" applyAlignment="1" applyProtection="1">
      <alignment horizontal="right" vertical="center" shrinkToFit="1"/>
    </xf>
    <xf numFmtId="179" fontId="9" fillId="0" borderId="11" xfId="1" applyNumberFormat="1" applyFont="1" applyFill="1" applyBorder="1" applyAlignment="1" applyProtection="1">
      <alignment horizontal="right" vertical="center" shrinkToFit="1"/>
    </xf>
    <xf numFmtId="9" fontId="9" fillId="2" borderId="3" xfId="1" applyNumberFormat="1" applyFont="1" applyFill="1" applyBorder="1" applyAlignment="1" applyProtection="1">
      <alignment vertical="center"/>
    </xf>
    <xf numFmtId="38" fontId="9" fillId="0" borderId="4" xfId="1" applyFont="1" applyFill="1" applyBorder="1" applyAlignment="1" applyProtection="1">
      <alignment vertical="center"/>
    </xf>
    <xf numFmtId="0" fontId="4" fillId="0" borderId="0" xfId="0" applyFont="1" applyFill="1">
      <alignment vertical="center"/>
    </xf>
    <xf numFmtId="38" fontId="3" fillId="3" borderId="0" xfId="1" applyFont="1" applyFill="1" applyBorder="1" applyAlignment="1" applyProtection="1">
      <alignment vertical="center"/>
    </xf>
    <xf numFmtId="178" fontId="9" fillId="0" borderId="9" xfId="1" applyNumberFormat="1" applyFont="1" applyFill="1" applyBorder="1" applyAlignment="1" applyProtection="1">
      <alignment horizontal="right" vertical="center" shrinkToFit="1"/>
    </xf>
    <xf numFmtId="38" fontId="9" fillId="0" borderId="9" xfId="1" applyFont="1" applyFill="1" applyBorder="1" applyAlignment="1" applyProtection="1">
      <alignment vertical="center"/>
    </xf>
    <xf numFmtId="178" fontId="9" fillId="0" borderId="14" xfId="1" applyNumberFormat="1" applyFont="1" applyFill="1" applyBorder="1" applyAlignment="1" applyProtection="1">
      <alignment horizontal="right" vertical="center" shrinkToFit="1"/>
    </xf>
    <xf numFmtId="179" fontId="9" fillId="0" borderId="0" xfId="1" applyNumberFormat="1" applyFont="1" applyFill="1" applyBorder="1" applyAlignment="1" applyProtection="1">
      <alignment horizontal="right" vertical="center" shrinkToFit="1"/>
    </xf>
    <xf numFmtId="38" fontId="4" fillId="3" borderId="0" xfId="1" applyFont="1" applyFill="1" applyBorder="1" applyAlignment="1" applyProtection="1">
      <alignment vertical="center"/>
    </xf>
    <xf numFmtId="9" fontId="9" fillId="0" borderId="0" xfId="1" applyNumberFormat="1" applyFont="1" applyFill="1" applyBorder="1" applyAlignment="1" applyProtection="1">
      <alignment vertical="center"/>
    </xf>
    <xf numFmtId="38" fontId="9" fillId="0" borderId="0" xfId="1" applyFont="1" applyFill="1" applyBorder="1" applyAlignment="1" applyProtection="1">
      <alignment horizontal="right" vertical="center"/>
    </xf>
    <xf numFmtId="178" fontId="9" fillId="0" borderId="0" xfId="1" applyNumberFormat="1" applyFont="1" applyFill="1" applyBorder="1" applyAlignment="1" applyProtection="1">
      <alignment horizontal="right" vertical="center" shrinkToFit="1"/>
    </xf>
    <xf numFmtId="38" fontId="9" fillId="0" borderId="0" xfId="1" applyFont="1" applyFill="1" applyBorder="1" applyAlignment="1" applyProtection="1">
      <alignment vertical="center"/>
    </xf>
    <xf numFmtId="178" fontId="4" fillId="0" borderId="0" xfId="1" applyNumberFormat="1" applyFont="1" applyFill="1" applyBorder="1" applyAlignment="1" applyProtection="1">
      <alignment vertical="center"/>
    </xf>
    <xf numFmtId="38" fontId="9" fillId="0" borderId="0" xfId="1" applyFont="1" applyFill="1" applyBorder="1" applyAlignment="1" applyProtection="1">
      <alignment horizontal="right" vertical="center" shrinkToFit="1"/>
    </xf>
    <xf numFmtId="38" fontId="3" fillId="3" borderId="3" xfId="1" applyFont="1" applyFill="1" applyBorder="1" applyAlignment="1" applyProtection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9" fontId="3" fillId="3" borderId="0" xfId="1" applyNumberFormat="1" applyFont="1" applyFill="1" applyBorder="1" applyAlignment="1" applyProtection="1">
      <alignment vertical="center"/>
    </xf>
    <xf numFmtId="38" fontId="9" fillId="3" borderId="3" xfId="1" applyFont="1" applyFill="1" applyBorder="1" applyAlignment="1" applyProtection="1">
      <alignment vertical="center"/>
    </xf>
    <xf numFmtId="178" fontId="9" fillId="3" borderId="9" xfId="1" applyNumberFormat="1" applyFont="1" applyFill="1" applyBorder="1" applyAlignment="1" applyProtection="1">
      <alignment horizontal="right" vertical="center" shrinkToFit="1"/>
    </xf>
    <xf numFmtId="38" fontId="9" fillId="3" borderId="3" xfId="1" applyFont="1" applyFill="1" applyBorder="1" applyAlignment="1" applyProtection="1">
      <alignment vertical="center" shrinkToFit="1"/>
    </xf>
    <xf numFmtId="38" fontId="9" fillId="3" borderId="4" xfId="1" applyFont="1" applyFill="1" applyBorder="1" applyAlignment="1" applyProtection="1">
      <alignment vertical="center"/>
    </xf>
    <xf numFmtId="9" fontId="4" fillId="3" borderId="3" xfId="1" applyNumberFormat="1" applyFont="1" applyFill="1" applyBorder="1" applyAlignment="1" applyProtection="1">
      <alignment vertical="center"/>
    </xf>
    <xf numFmtId="38" fontId="4" fillId="3" borderId="3" xfId="1" applyFont="1" applyFill="1" applyBorder="1" applyAlignment="1" applyProtection="1">
      <alignment vertical="center"/>
    </xf>
    <xf numFmtId="38" fontId="9" fillId="3" borderId="14" xfId="1" applyFont="1" applyFill="1" applyBorder="1" applyAlignment="1" applyProtection="1">
      <alignment vertical="center"/>
    </xf>
    <xf numFmtId="38" fontId="9" fillId="3" borderId="11" xfId="1" applyFont="1" applyFill="1" applyBorder="1" applyAlignment="1" applyProtection="1">
      <alignment vertical="center"/>
    </xf>
    <xf numFmtId="9" fontId="9" fillId="3" borderId="3" xfId="1" applyNumberFormat="1" applyFont="1" applyFill="1" applyBorder="1" applyAlignment="1" applyProtection="1">
      <alignment horizontal="right" vertical="center" shrinkToFit="1"/>
    </xf>
    <xf numFmtId="178" fontId="9" fillId="3" borderId="11" xfId="1" applyNumberFormat="1" applyFont="1" applyFill="1" applyBorder="1" applyAlignment="1" applyProtection="1">
      <alignment horizontal="right" vertical="center" shrinkToFit="1"/>
    </xf>
    <xf numFmtId="9" fontId="9" fillId="3" borderId="14" xfId="1" applyNumberFormat="1" applyFont="1" applyFill="1" applyBorder="1" applyAlignment="1" applyProtection="1">
      <alignment vertical="center"/>
    </xf>
    <xf numFmtId="38" fontId="4" fillId="5" borderId="11" xfId="1" applyFont="1" applyFill="1" applyBorder="1" applyAlignment="1" applyProtection="1">
      <alignment vertical="center"/>
    </xf>
    <xf numFmtId="178" fontId="9" fillId="0" borderId="14" xfId="1" applyNumberFormat="1" applyFont="1" applyFill="1" applyBorder="1" applyAlignment="1" applyProtection="1">
      <alignment horizontal="center" vertical="center" shrinkToFit="1"/>
    </xf>
    <xf numFmtId="9" fontId="9" fillId="0" borderId="3" xfId="1" applyNumberFormat="1" applyFont="1" applyFill="1" applyBorder="1" applyAlignment="1" applyProtection="1">
      <alignment vertical="center"/>
    </xf>
    <xf numFmtId="38" fontId="4" fillId="5" borderId="0" xfId="1" applyFont="1" applyFill="1" applyBorder="1" applyAlignment="1" applyProtection="1">
      <alignment vertical="center"/>
    </xf>
    <xf numFmtId="178" fontId="9" fillId="0" borderId="0" xfId="1" applyNumberFormat="1" applyFont="1" applyFill="1" applyBorder="1" applyAlignment="1" applyProtection="1">
      <alignment horizontal="center" vertical="center" shrinkToFit="1"/>
    </xf>
    <xf numFmtId="38" fontId="9" fillId="0" borderId="3" xfId="1" applyNumberFormat="1" applyFont="1" applyFill="1" applyBorder="1" applyAlignment="1" applyProtection="1">
      <alignment vertical="center"/>
    </xf>
    <xf numFmtId="38" fontId="3" fillId="0" borderId="15" xfId="1" applyFont="1" applyFill="1" applyBorder="1" applyAlignment="1" applyProtection="1">
      <alignment vertical="center"/>
    </xf>
    <xf numFmtId="38" fontId="9" fillId="0" borderId="15" xfId="1" applyFont="1" applyFill="1" applyBorder="1" applyAlignment="1" applyProtection="1">
      <alignment vertical="center"/>
    </xf>
    <xf numFmtId="38" fontId="9" fillId="0" borderId="15" xfId="1" applyFont="1" applyFill="1" applyBorder="1" applyAlignment="1" applyProtection="1">
      <alignment horizontal="right" vertical="center"/>
    </xf>
    <xf numFmtId="178" fontId="9" fillId="0" borderId="15" xfId="1" applyNumberFormat="1" applyFont="1" applyFill="1" applyBorder="1" applyAlignment="1" applyProtection="1">
      <alignment horizontal="right" vertical="center" shrinkToFit="1"/>
    </xf>
    <xf numFmtId="0" fontId="4" fillId="0" borderId="0" xfId="0" applyFont="1" applyFill="1" applyBorder="1">
      <alignment vertical="center"/>
    </xf>
    <xf numFmtId="38" fontId="3" fillId="5" borderId="0" xfId="1" applyFont="1" applyFill="1" applyBorder="1" applyAlignment="1" applyProtection="1">
      <alignment vertical="center"/>
    </xf>
    <xf numFmtId="38" fontId="3" fillId="5" borderId="3" xfId="1" applyFont="1" applyFill="1" applyBorder="1" applyAlignment="1" applyProtection="1">
      <alignment vertical="center"/>
    </xf>
    <xf numFmtId="9" fontId="3" fillId="5" borderId="0" xfId="1" applyNumberFormat="1" applyFont="1" applyFill="1" applyBorder="1" applyAlignment="1" applyProtection="1">
      <alignment vertical="center"/>
    </xf>
    <xf numFmtId="38" fontId="9" fillId="5" borderId="3" xfId="1" applyFont="1" applyFill="1" applyBorder="1" applyAlignment="1" applyProtection="1">
      <alignment vertical="center"/>
    </xf>
    <xf numFmtId="178" fontId="9" fillId="5" borderId="3" xfId="1" applyNumberFormat="1" applyFont="1" applyFill="1" applyBorder="1" applyAlignment="1" applyProtection="1">
      <alignment vertical="center" shrinkToFit="1"/>
    </xf>
    <xf numFmtId="9" fontId="9" fillId="5" borderId="4" xfId="1" applyNumberFormat="1" applyFont="1" applyFill="1" applyBorder="1" applyAlignment="1" applyProtection="1">
      <alignment vertical="center"/>
    </xf>
    <xf numFmtId="9" fontId="4" fillId="5" borderId="3" xfId="1" applyNumberFormat="1" applyFont="1" applyFill="1" applyBorder="1" applyAlignment="1" applyProtection="1">
      <alignment vertical="center"/>
    </xf>
    <xf numFmtId="38" fontId="9" fillId="5" borderId="14" xfId="1" applyFont="1" applyFill="1" applyBorder="1" applyAlignment="1" applyProtection="1">
      <alignment vertical="center"/>
    </xf>
    <xf numFmtId="38" fontId="9" fillId="5" borderId="11" xfId="1" applyFont="1" applyFill="1" applyBorder="1" applyAlignment="1" applyProtection="1">
      <alignment vertical="center"/>
    </xf>
    <xf numFmtId="9" fontId="9" fillId="5" borderId="14" xfId="1" applyNumberFormat="1" applyFont="1" applyFill="1" applyBorder="1" applyAlignment="1" applyProtection="1">
      <alignment horizontal="center" vertical="center"/>
    </xf>
    <xf numFmtId="9" fontId="9" fillId="5" borderId="11" xfId="1" applyNumberFormat="1" applyFont="1" applyFill="1" applyBorder="1" applyAlignment="1" applyProtection="1">
      <alignment vertical="center"/>
    </xf>
    <xf numFmtId="179" fontId="9" fillId="5" borderId="4" xfId="1" applyNumberFormat="1" applyFont="1" applyFill="1" applyBorder="1" applyAlignment="1" applyProtection="1">
      <alignment vertical="center"/>
    </xf>
    <xf numFmtId="9" fontId="9" fillId="5" borderId="14" xfId="1" applyNumberFormat="1" applyFont="1" applyFill="1" applyBorder="1" applyAlignment="1" applyProtection="1">
      <alignment vertical="center"/>
    </xf>
    <xf numFmtId="178" fontId="3" fillId="0" borderId="0" xfId="1" applyNumberFormat="1" applyFont="1" applyFill="1" applyBorder="1" applyAlignment="1" applyProtection="1">
      <alignment horizontal="center" vertical="center" shrinkToFit="1"/>
    </xf>
    <xf numFmtId="38" fontId="3" fillId="0" borderId="3" xfId="1" applyFont="1" applyFill="1" applyBorder="1" applyAlignment="1" applyProtection="1">
      <alignment horizontal="right" vertical="center"/>
    </xf>
    <xf numFmtId="179" fontId="3" fillId="0" borderId="3" xfId="1" applyNumberFormat="1" applyFont="1" applyFill="1" applyBorder="1" applyAlignment="1" applyProtection="1">
      <alignment horizontal="right" vertical="center" shrinkToFit="1"/>
    </xf>
    <xf numFmtId="178" fontId="3" fillId="0" borderId="3" xfId="1" applyNumberFormat="1" applyFont="1" applyFill="1" applyBorder="1" applyAlignment="1" applyProtection="1">
      <alignment horizontal="right" vertical="center" shrinkToFit="1"/>
    </xf>
    <xf numFmtId="9" fontId="3" fillId="0" borderId="3" xfId="1" applyNumberFormat="1" applyFont="1" applyFill="1" applyBorder="1" applyAlignment="1" applyProtection="1">
      <alignment vertical="center"/>
    </xf>
    <xf numFmtId="178" fontId="3" fillId="0" borderId="14" xfId="1" applyNumberFormat="1" applyFont="1" applyFill="1" applyBorder="1" applyAlignment="1" applyProtection="1">
      <alignment horizontal="center" vertical="center" shrinkToFit="1"/>
    </xf>
    <xf numFmtId="38" fontId="3" fillId="0" borderId="0" xfId="1" applyFont="1" applyFill="1" applyBorder="1" applyAlignment="1" applyProtection="1">
      <alignment horizontal="center" vertical="center"/>
    </xf>
    <xf numFmtId="38" fontId="4" fillId="0" borderId="0" xfId="1" applyFont="1" applyFill="1" applyBorder="1" applyAlignment="1" applyProtection="1">
      <alignment horizontal="left" vertical="center"/>
    </xf>
    <xf numFmtId="38" fontId="3" fillId="0" borderId="11" xfId="1" applyFont="1" applyFill="1" applyBorder="1" applyAlignment="1" applyProtection="1">
      <alignment vertical="center"/>
    </xf>
    <xf numFmtId="38" fontId="3" fillId="0" borderId="10" xfId="1" applyFont="1" applyFill="1" applyBorder="1" applyAlignment="1" applyProtection="1">
      <alignment vertical="center"/>
    </xf>
    <xf numFmtId="178" fontId="3" fillId="0" borderId="0" xfId="1" applyNumberFormat="1" applyFont="1" applyFill="1" applyBorder="1" applyAlignment="1" applyProtection="1">
      <alignment horizontal="center" vertical="center"/>
    </xf>
    <xf numFmtId="38" fontId="4" fillId="0" borderId="0" xfId="1" applyFont="1" applyFill="1" applyBorder="1" applyAlignment="1" applyProtection="1">
      <alignment horizontal="right" vertical="center" shrinkToFit="1"/>
    </xf>
    <xf numFmtId="38" fontId="10" fillId="6" borderId="3" xfId="1" applyFont="1" applyFill="1" applyBorder="1" applyAlignment="1" applyProtection="1">
      <alignment vertical="center"/>
    </xf>
    <xf numFmtId="38" fontId="5" fillId="6" borderId="3" xfId="1" applyFont="1" applyFill="1" applyBorder="1" applyAlignment="1" applyProtection="1">
      <alignment vertical="center"/>
    </xf>
    <xf numFmtId="9" fontId="10" fillId="6" borderId="0" xfId="1" applyNumberFormat="1" applyFont="1" applyFill="1" applyBorder="1" applyAlignment="1" applyProtection="1">
      <alignment vertical="center"/>
    </xf>
    <xf numFmtId="38" fontId="10" fillId="6" borderId="9" xfId="1" applyFont="1" applyFill="1" applyBorder="1" applyAlignment="1" applyProtection="1">
      <alignment vertical="center"/>
    </xf>
    <xf numFmtId="178" fontId="9" fillId="6" borderId="3" xfId="1" applyNumberFormat="1" applyFont="1" applyFill="1" applyBorder="1" applyAlignment="1" applyProtection="1">
      <alignment vertical="center" shrinkToFit="1"/>
    </xf>
    <xf numFmtId="38" fontId="10" fillId="6" borderId="16" xfId="1" applyFont="1" applyFill="1" applyBorder="1" applyAlignment="1" applyProtection="1">
      <alignment vertical="center"/>
    </xf>
    <xf numFmtId="178" fontId="9" fillId="6" borderId="16" xfId="1" applyNumberFormat="1" applyFont="1" applyFill="1" applyBorder="1" applyAlignment="1" applyProtection="1">
      <alignment vertical="center" shrinkToFit="1"/>
    </xf>
    <xf numFmtId="38" fontId="9" fillId="0" borderId="17" xfId="1" applyFont="1" applyFill="1" applyBorder="1" applyAlignment="1" applyProtection="1">
      <alignment vertical="center"/>
    </xf>
    <xf numFmtId="38" fontId="9" fillId="0" borderId="16" xfId="1" applyFont="1" applyFill="1" applyBorder="1" applyAlignment="1" applyProtection="1">
      <alignment vertical="center"/>
    </xf>
    <xf numFmtId="9" fontId="4" fillId="0" borderId="0" xfId="1" applyNumberFormat="1" applyFont="1" applyFill="1" applyBorder="1" applyAlignment="1" applyProtection="1">
      <alignment vertical="center"/>
    </xf>
    <xf numFmtId="38" fontId="4" fillId="0" borderId="0" xfId="1" applyFont="1" applyFill="1" applyBorder="1" applyAlignment="1" applyProtection="1">
      <alignment horizontal="right" vertical="center"/>
    </xf>
    <xf numFmtId="178" fontId="4" fillId="0" borderId="0" xfId="1" applyNumberFormat="1" applyFont="1" applyFill="1" applyBorder="1" applyAlignment="1" applyProtection="1">
      <alignment horizontal="right" vertical="center" shrinkToFit="1"/>
    </xf>
    <xf numFmtId="179" fontId="4" fillId="0" borderId="0" xfId="1" applyNumberFormat="1" applyFont="1" applyFill="1" applyBorder="1" applyAlignment="1" applyProtection="1">
      <alignment horizontal="right" vertical="center" shrinkToFit="1"/>
    </xf>
    <xf numFmtId="0" fontId="3" fillId="0" borderId="0" xfId="0" applyFont="1">
      <alignment vertical="center"/>
    </xf>
    <xf numFmtId="178" fontId="4" fillId="0" borderId="0" xfId="0" applyNumberFormat="1" applyFont="1" applyBorder="1">
      <alignment vertical="center"/>
    </xf>
    <xf numFmtId="38" fontId="4" fillId="0" borderId="0" xfId="0" applyNumberFormat="1" applyFont="1">
      <alignment vertical="center"/>
    </xf>
    <xf numFmtId="0" fontId="4" fillId="0" borderId="2" xfId="0" applyFont="1" applyFill="1" applyBorder="1" applyAlignment="1">
      <alignment vertical="center" shrinkToFit="1"/>
    </xf>
    <xf numFmtId="176" fontId="4" fillId="0" borderId="0" xfId="1" applyNumberFormat="1" applyFont="1" applyFill="1" applyBorder="1" applyAlignment="1" applyProtection="1">
      <alignment vertical="center" shrinkToFit="1"/>
    </xf>
    <xf numFmtId="0" fontId="4" fillId="0" borderId="3" xfId="0" applyFont="1" applyFill="1" applyBorder="1" applyAlignment="1">
      <alignment vertical="center" shrinkToFit="1"/>
    </xf>
    <xf numFmtId="38" fontId="4" fillId="0" borderId="1" xfId="1" applyFont="1" applyFill="1" applyBorder="1" applyAlignment="1" applyProtection="1">
      <alignment vertical="center" shrinkToFit="1"/>
    </xf>
    <xf numFmtId="0" fontId="4" fillId="0" borderId="1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178" fontId="4" fillId="0" borderId="3" xfId="0" applyNumberFormat="1" applyFont="1" applyFill="1" applyBorder="1" applyAlignment="1">
      <alignment vertical="center" shrinkToFit="1"/>
    </xf>
    <xf numFmtId="38" fontId="4" fillId="0" borderId="21" xfId="1" applyFont="1" applyFill="1" applyBorder="1" applyAlignment="1" applyProtection="1">
      <alignment vertical="center" shrinkToFit="1"/>
    </xf>
    <xf numFmtId="38" fontId="4" fillId="0" borderId="22" xfId="1" applyFont="1" applyFill="1" applyBorder="1" applyAlignment="1" applyProtection="1">
      <alignment vertical="center" shrinkToFit="1"/>
    </xf>
    <xf numFmtId="176" fontId="0" fillId="0" borderId="0" xfId="0" applyNumberFormat="1">
      <alignment vertical="center"/>
    </xf>
    <xf numFmtId="176" fontId="4" fillId="0" borderId="0" xfId="0" applyNumberFormat="1" applyFont="1" applyAlignment="1">
      <alignment horizontal="center" vertical="center"/>
    </xf>
    <xf numFmtId="9" fontId="0" fillId="0" borderId="0" xfId="2" applyFont="1">
      <alignment vertical="center"/>
    </xf>
    <xf numFmtId="38" fontId="2" fillId="0" borderId="0" xfId="1">
      <alignment vertical="center"/>
    </xf>
    <xf numFmtId="38" fontId="0" fillId="0" borderId="0" xfId="1" applyFont="1">
      <alignment vertical="center"/>
    </xf>
    <xf numFmtId="38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vertical="center"/>
    </xf>
    <xf numFmtId="178" fontId="4" fillId="0" borderId="0" xfId="2" applyNumberFormat="1" applyFont="1">
      <alignment vertical="center"/>
    </xf>
    <xf numFmtId="181" fontId="4" fillId="0" borderId="0" xfId="0" applyNumberFormat="1" applyFont="1">
      <alignment vertical="center"/>
    </xf>
    <xf numFmtId="9" fontId="4" fillId="0" borderId="0" xfId="2" applyFont="1">
      <alignment vertical="center"/>
    </xf>
    <xf numFmtId="0" fontId="4" fillId="0" borderId="0" xfId="0" applyNumberFormat="1" applyFont="1">
      <alignment vertical="center"/>
    </xf>
    <xf numFmtId="9" fontId="6" fillId="0" borderId="0" xfId="2" applyFont="1">
      <alignment vertical="center"/>
    </xf>
    <xf numFmtId="176" fontId="3" fillId="0" borderId="0" xfId="0" applyNumberFormat="1" applyFont="1">
      <alignment vertical="center"/>
    </xf>
    <xf numFmtId="176" fontId="4" fillId="0" borderId="0" xfId="0" applyNumberFormat="1" applyFont="1" applyAlignment="1">
      <alignment horizontal="center" vertical="center" shrinkToFit="1"/>
    </xf>
    <xf numFmtId="176" fontId="4" fillId="0" borderId="0" xfId="0" applyNumberFormat="1" applyFont="1" applyAlignment="1">
      <alignment vertical="center" shrinkToFit="1"/>
    </xf>
    <xf numFmtId="176" fontId="4" fillId="0" borderId="19" xfId="0" applyNumberFormat="1" applyFont="1" applyBorder="1" applyAlignment="1">
      <alignment vertical="center" shrinkToFit="1"/>
    </xf>
    <xf numFmtId="176" fontId="6" fillId="11" borderId="19" xfId="0" applyNumberFormat="1" applyFont="1" applyFill="1" applyBorder="1" applyAlignment="1">
      <alignment vertical="center" shrinkToFit="1"/>
    </xf>
    <xf numFmtId="178" fontId="4" fillId="10" borderId="19" xfId="2" applyNumberFormat="1" applyFont="1" applyFill="1" applyBorder="1" applyAlignment="1">
      <alignment vertical="center" shrinkToFit="1"/>
    </xf>
    <xf numFmtId="181" fontId="4" fillId="10" borderId="19" xfId="0" applyNumberFormat="1" applyFont="1" applyFill="1" applyBorder="1" applyAlignment="1">
      <alignment vertical="center" shrinkToFit="1"/>
    </xf>
    <xf numFmtId="9" fontId="4" fillId="0" borderId="0" xfId="2" applyFont="1" applyAlignment="1">
      <alignment vertical="center" shrinkToFit="1"/>
    </xf>
    <xf numFmtId="9" fontId="4" fillId="10" borderId="19" xfId="2" applyFont="1" applyFill="1" applyBorder="1" applyAlignment="1">
      <alignment vertical="center" shrinkToFit="1"/>
    </xf>
    <xf numFmtId="0" fontId="4" fillId="10" borderId="19" xfId="0" applyNumberFormat="1" applyFont="1" applyFill="1" applyBorder="1" applyAlignment="1">
      <alignment vertical="center" shrinkToFit="1"/>
    </xf>
    <xf numFmtId="176" fontId="4" fillId="10" borderId="19" xfId="0" applyNumberFormat="1" applyFont="1" applyFill="1" applyBorder="1" applyAlignment="1">
      <alignment vertical="center" shrinkToFit="1"/>
    </xf>
    <xf numFmtId="176" fontId="4" fillId="8" borderId="19" xfId="0" applyNumberFormat="1" applyFont="1" applyFill="1" applyBorder="1" applyAlignment="1">
      <alignment vertical="center" shrinkToFit="1"/>
    </xf>
    <xf numFmtId="176" fontId="4" fillId="9" borderId="19" xfId="0" applyNumberFormat="1" applyFont="1" applyFill="1" applyBorder="1" applyAlignment="1">
      <alignment vertical="center" shrinkToFit="1"/>
    </xf>
    <xf numFmtId="176" fontId="4" fillId="0" borderId="19" xfId="0" applyNumberFormat="1" applyFont="1" applyBorder="1" applyAlignment="1">
      <alignment horizontal="right" vertical="center" shrinkToFit="1"/>
    </xf>
    <xf numFmtId="176" fontId="4" fillId="11" borderId="19" xfId="0" applyNumberFormat="1" applyFont="1" applyFill="1" applyBorder="1" applyAlignment="1">
      <alignment vertical="center" shrinkToFit="1"/>
    </xf>
    <xf numFmtId="9" fontId="6" fillId="0" borderId="19" xfId="2" applyFont="1" applyBorder="1" applyAlignment="1">
      <alignment vertical="center" shrinkToFit="1"/>
    </xf>
    <xf numFmtId="176" fontId="6" fillId="0" borderId="19" xfId="0" applyNumberFormat="1" applyFont="1" applyBorder="1" applyAlignment="1">
      <alignment vertical="center" shrinkToFit="1"/>
    </xf>
    <xf numFmtId="176" fontId="3" fillId="0" borderId="19" xfId="0" applyNumberFormat="1" applyFont="1" applyBorder="1" applyAlignment="1">
      <alignment vertical="center" shrinkToFit="1"/>
    </xf>
    <xf numFmtId="176" fontId="3" fillId="0" borderId="25" xfId="0" applyNumberFormat="1" applyFont="1" applyBorder="1" applyAlignment="1">
      <alignment vertical="center" shrinkToFit="1"/>
    </xf>
    <xf numFmtId="9" fontId="3" fillId="0" borderId="19" xfId="2" applyFont="1" applyBorder="1" applyAlignment="1">
      <alignment vertical="center" shrinkToFit="1"/>
    </xf>
    <xf numFmtId="176" fontId="4" fillId="0" borderId="0" xfId="0" applyNumberFormat="1" applyFont="1" applyAlignment="1">
      <alignment horizontal="center" vertical="center" textRotation="255" shrinkToFit="1"/>
    </xf>
    <xf numFmtId="176" fontId="4" fillId="0" borderId="0" xfId="0" applyNumberFormat="1" applyFont="1" applyAlignment="1">
      <alignment vertical="center" textRotation="255" shrinkToFit="1"/>
    </xf>
    <xf numFmtId="9" fontId="4" fillId="0" borderId="0" xfId="2" applyFont="1" applyAlignment="1">
      <alignment vertical="center" textRotation="255" shrinkToFit="1"/>
    </xf>
    <xf numFmtId="176" fontId="3" fillId="0" borderId="0" xfId="0" applyNumberFormat="1" applyFont="1" applyAlignment="1">
      <alignment vertical="center" textRotation="255" shrinkToFit="1"/>
    </xf>
    <xf numFmtId="176" fontId="4" fillId="0" borderId="19" xfId="0" applyNumberFormat="1" applyFont="1" applyBorder="1" applyAlignment="1">
      <alignment horizontal="center" vertical="center" shrinkToFit="1"/>
    </xf>
    <xf numFmtId="38" fontId="4" fillId="10" borderId="19" xfId="1" applyFont="1" applyFill="1" applyBorder="1" applyAlignment="1">
      <alignment vertical="center" shrinkToFit="1"/>
    </xf>
    <xf numFmtId="0" fontId="4" fillId="10" borderId="19" xfId="2" applyNumberFormat="1" applyFont="1" applyFill="1" applyBorder="1" applyAlignment="1">
      <alignment vertical="center" shrinkToFit="1"/>
    </xf>
    <xf numFmtId="176" fontId="4" fillId="0" borderId="19" xfId="0" applyNumberFormat="1" applyFont="1" applyFill="1" applyBorder="1" applyAlignment="1">
      <alignment vertical="center" shrinkToFit="1"/>
    </xf>
    <xf numFmtId="176" fontId="3" fillId="0" borderId="19" xfId="0" applyNumberFormat="1" applyFont="1" applyBorder="1" applyAlignment="1">
      <alignment horizontal="center" vertical="center" shrinkToFit="1"/>
    </xf>
    <xf numFmtId="0" fontId="0" fillId="0" borderId="0" xfId="0" applyAlignment="1">
      <alignment vertical="center" textRotation="255"/>
    </xf>
    <xf numFmtId="176" fontId="4" fillId="7" borderId="3" xfId="0" applyNumberFormat="1" applyFont="1" applyFill="1" applyBorder="1">
      <alignment vertical="center"/>
    </xf>
    <xf numFmtId="38" fontId="4" fillId="7" borderId="4" xfId="1" applyFont="1" applyFill="1" applyBorder="1" applyAlignment="1" applyProtection="1">
      <alignment vertical="center" shrinkToFit="1"/>
    </xf>
    <xf numFmtId="38" fontId="4" fillId="7" borderId="2" xfId="1" applyFont="1" applyFill="1" applyBorder="1" applyAlignment="1" applyProtection="1">
      <alignment vertical="center" shrinkToFit="1"/>
    </xf>
    <xf numFmtId="38" fontId="3" fillId="7" borderId="4" xfId="1" applyFont="1" applyFill="1" applyBorder="1" applyAlignment="1" applyProtection="1">
      <alignment vertical="center" shrinkToFit="1"/>
    </xf>
    <xf numFmtId="176" fontId="4" fillId="12" borderId="1" xfId="0" applyNumberFormat="1" applyFont="1" applyFill="1" applyBorder="1" applyAlignment="1">
      <alignment horizontal="center" vertical="center"/>
    </xf>
    <xf numFmtId="176" fontId="4" fillId="12" borderId="3" xfId="0" applyNumberFormat="1" applyFont="1" applyFill="1" applyBorder="1">
      <alignment vertical="center"/>
    </xf>
    <xf numFmtId="0" fontId="4" fillId="12" borderId="3" xfId="0" applyFont="1" applyFill="1" applyBorder="1" applyAlignment="1" applyProtection="1">
      <alignment vertical="center" shrinkToFit="1"/>
      <protection locked="0"/>
    </xf>
    <xf numFmtId="176" fontId="4" fillId="0" borderId="28" xfId="0" applyNumberFormat="1" applyFont="1" applyBorder="1">
      <alignment vertical="center"/>
    </xf>
    <xf numFmtId="0" fontId="4" fillId="0" borderId="28" xfId="0" applyFont="1" applyBorder="1" applyAlignment="1" applyProtection="1">
      <alignment vertical="center" shrinkToFit="1"/>
      <protection locked="0"/>
    </xf>
    <xf numFmtId="176" fontId="4" fillId="0" borderId="6" xfId="0" applyNumberFormat="1" applyFont="1" applyBorder="1">
      <alignment vertical="center"/>
    </xf>
    <xf numFmtId="0" fontId="4" fillId="0" borderId="6" xfId="0" applyFont="1" applyBorder="1" applyAlignment="1" applyProtection="1">
      <alignment vertical="center" shrinkToFit="1"/>
      <protection locked="0"/>
    </xf>
    <xf numFmtId="176" fontId="4" fillId="0" borderId="21" xfId="0" applyNumberFormat="1" applyFont="1" applyBorder="1">
      <alignment vertical="center"/>
    </xf>
    <xf numFmtId="0" fontId="4" fillId="0" borderId="21" xfId="0" applyFont="1" applyBorder="1" applyAlignment="1" applyProtection="1">
      <alignment vertical="center" shrinkToFit="1"/>
      <protection locked="0"/>
    </xf>
    <xf numFmtId="38" fontId="4" fillId="0" borderId="28" xfId="1" applyFont="1" applyFill="1" applyBorder="1" applyAlignment="1" applyProtection="1">
      <alignment vertical="center" shrinkToFit="1"/>
    </xf>
    <xf numFmtId="178" fontId="0" fillId="0" borderId="0" xfId="2" applyNumberFormat="1" applyFont="1">
      <alignment vertical="center"/>
    </xf>
    <xf numFmtId="38" fontId="4" fillId="0" borderId="22" xfId="1" applyFont="1" applyFill="1" applyBorder="1" applyAlignment="1" applyProtection="1">
      <alignment vertical="center"/>
    </xf>
    <xf numFmtId="177" fontId="4" fillId="0" borderId="22" xfId="1" applyNumberFormat="1" applyFont="1" applyFill="1" applyBorder="1" applyAlignment="1" applyProtection="1">
      <alignment vertical="center"/>
    </xf>
    <xf numFmtId="38" fontId="4" fillId="0" borderId="5" xfId="1" applyFont="1" applyFill="1" applyBorder="1" applyAlignment="1" applyProtection="1">
      <alignment horizontal="left" vertical="center" shrinkToFit="1"/>
    </xf>
    <xf numFmtId="176" fontId="4" fillId="0" borderId="5" xfId="0" applyNumberFormat="1" applyFont="1" applyBorder="1">
      <alignment vertical="center"/>
    </xf>
    <xf numFmtId="0" fontId="4" fillId="0" borderId="5" xfId="0" applyFont="1" applyBorder="1" applyAlignment="1" applyProtection="1">
      <alignment vertical="center" shrinkToFit="1"/>
      <protection locked="0"/>
    </xf>
    <xf numFmtId="38" fontId="4" fillId="0" borderId="29" xfId="1" applyFont="1" applyFill="1" applyBorder="1" applyAlignment="1" applyProtection="1">
      <alignment vertical="center" shrinkToFit="1"/>
    </xf>
    <xf numFmtId="177" fontId="4" fillId="0" borderId="3" xfId="1" applyNumberFormat="1" applyFont="1" applyFill="1" applyBorder="1" applyAlignment="1" applyProtection="1">
      <alignment horizontal="center" vertical="center"/>
    </xf>
    <xf numFmtId="38" fontId="4" fillId="0" borderId="0" xfId="1" applyFont="1" applyFill="1" applyBorder="1" applyAlignment="1" applyProtection="1">
      <alignment vertical="center" shrinkToFit="1"/>
    </xf>
    <xf numFmtId="38" fontId="3" fillId="0" borderId="13" xfId="1" applyFont="1" applyFill="1" applyBorder="1" applyAlignment="1" applyProtection="1">
      <alignment vertical="center" shrinkToFit="1"/>
    </xf>
    <xf numFmtId="38" fontId="4" fillId="0" borderId="30" xfId="1" applyFont="1" applyFill="1" applyBorder="1" applyAlignment="1" applyProtection="1">
      <alignment vertical="center" shrinkToFit="1"/>
    </xf>
    <xf numFmtId="38" fontId="4" fillId="0" borderId="31" xfId="1" applyFont="1" applyFill="1" applyBorder="1" applyAlignment="1" applyProtection="1">
      <alignment vertical="center" shrinkToFit="1"/>
    </xf>
    <xf numFmtId="38" fontId="3" fillId="0" borderId="12" xfId="1" applyFont="1" applyFill="1" applyBorder="1" applyAlignment="1" applyProtection="1">
      <alignment vertical="center" shrinkToFit="1"/>
    </xf>
    <xf numFmtId="38" fontId="4" fillId="0" borderId="32" xfId="1" applyFont="1" applyFill="1" applyBorder="1" applyAlignment="1" applyProtection="1">
      <alignment vertical="center" shrinkToFit="1"/>
    </xf>
    <xf numFmtId="38" fontId="4" fillId="0" borderId="33" xfId="1" applyFont="1" applyFill="1" applyBorder="1" applyAlignment="1" applyProtection="1">
      <alignment vertical="center" shrinkToFit="1"/>
    </xf>
    <xf numFmtId="38" fontId="4" fillId="0" borderId="35" xfId="1" applyFont="1" applyFill="1" applyBorder="1" applyAlignment="1" applyProtection="1">
      <alignment vertical="center" shrinkToFit="1"/>
    </xf>
    <xf numFmtId="38" fontId="4" fillId="0" borderId="36" xfId="1" applyFont="1" applyFill="1" applyBorder="1" applyAlignment="1" applyProtection="1">
      <alignment vertical="center" shrinkToFit="1"/>
    </xf>
    <xf numFmtId="38" fontId="4" fillId="0" borderId="37" xfId="1" applyFont="1" applyFill="1" applyBorder="1" applyAlignment="1" applyProtection="1">
      <alignment vertical="center" shrinkToFit="1"/>
    </xf>
    <xf numFmtId="38" fontId="4" fillId="0" borderId="14" xfId="1" applyFont="1" applyFill="1" applyBorder="1" applyAlignment="1" applyProtection="1">
      <alignment vertical="center" shrinkToFit="1"/>
    </xf>
    <xf numFmtId="38" fontId="4" fillId="0" borderId="12" xfId="1" applyFont="1" applyFill="1" applyBorder="1" applyAlignment="1" applyProtection="1">
      <alignment vertical="center" shrinkToFit="1"/>
    </xf>
    <xf numFmtId="9" fontId="4" fillId="0" borderId="11" xfId="0" applyNumberFormat="1" applyFont="1" applyBorder="1">
      <alignment vertical="center"/>
    </xf>
    <xf numFmtId="38" fontId="4" fillId="0" borderId="13" xfId="1" applyFont="1" applyFill="1" applyBorder="1" applyAlignment="1" applyProtection="1">
      <alignment vertical="center" shrinkToFit="1"/>
    </xf>
    <xf numFmtId="182" fontId="4" fillId="0" borderId="0" xfId="1" applyNumberFormat="1" applyFont="1" applyFill="1" applyBorder="1" applyAlignment="1" applyProtection="1">
      <alignment vertical="center" shrinkToFit="1"/>
    </xf>
    <xf numFmtId="38" fontId="5" fillId="13" borderId="2" xfId="1" applyFont="1" applyFill="1" applyBorder="1" applyAlignment="1" applyProtection="1">
      <alignment vertical="center" shrinkToFit="1"/>
    </xf>
    <xf numFmtId="38" fontId="4" fillId="13" borderId="24" xfId="1" applyFont="1" applyFill="1" applyBorder="1" applyAlignment="1" applyProtection="1">
      <alignment vertical="center" shrinkToFit="1"/>
    </xf>
    <xf numFmtId="38" fontId="3" fillId="13" borderId="12" xfId="1" applyFont="1" applyFill="1" applyBorder="1" applyAlignment="1" applyProtection="1">
      <alignment vertical="center" shrinkToFit="1"/>
    </xf>
    <xf numFmtId="38" fontId="4" fillId="13" borderId="19" xfId="1" applyFont="1" applyFill="1" applyBorder="1" applyAlignment="1" applyProtection="1">
      <alignment vertical="center" shrinkToFit="1"/>
    </xf>
    <xf numFmtId="38" fontId="5" fillId="13" borderId="4" xfId="1" applyFont="1" applyFill="1" applyBorder="1" applyAlignment="1" applyProtection="1">
      <alignment vertical="center" shrinkToFit="1"/>
    </xf>
    <xf numFmtId="38" fontId="4" fillId="13" borderId="23" xfId="1" applyFont="1" applyFill="1" applyBorder="1" applyAlignment="1" applyProtection="1">
      <alignment vertical="center" shrinkToFit="1"/>
    </xf>
    <xf numFmtId="38" fontId="3" fillId="13" borderId="13" xfId="1" applyFont="1" applyFill="1" applyBorder="1" applyAlignment="1" applyProtection="1">
      <alignment vertical="center" shrinkToFit="1"/>
    </xf>
    <xf numFmtId="38" fontId="4" fillId="13" borderId="32" xfId="1" applyFont="1" applyFill="1" applyBorder="1" applyAlignment="1" applyProtection="1">
      <alignment vertical="center" shrinkToFit="1"/>
    </xf>
    <xf numFmtId="38" fontId="4" fillId="13" borderId="2" xfId="1" applyFont="1" applyFill="1" applyBorder="1" applyAlignment="1" applyProtection="1">
      <alignment vertical="center" shrinkToFit="1"/>
    </xf>
    <xf numFmtId="38" fontId="3" fillId="13" borderId="2" xfId="1" applyFont="1" applyFill="1" applyBorder="1" applyAlignment="1" applyProtection="1">
      <alignment vertical="center" shrinkToFit="1"/>
    </xf>
    <xf numFmtId="0" fontId="4" fillId="13" borderId="34" xfId="0" applyFont="1" applyFill="1" applyBorder="1">
      <alignment vertical="center"/>
    </xf>
    <xf numFmtId="38" fontId="6" fillId="13" borderId="2" xfId="1" applyFont="1" applyFill="1" applyBorder="1" applyAlignment="1" applyProtection="1">
      <alignment vertical="center"/>
    </xf>
    <xf numFmtId="38" fontId="6" fillId="13" borderId="4" xfId="1" applyFont="1" applyFill="1" applyBorder="1" applyAlignment="1" applyProtection="1">
      <alignment vertical="center"/>
    </xf>
    <xf numFmtId="38" fontId="4" fillId="13" borderId="2" xfId="1" applyFont="1" applyFill="1" applyBorder="1" applyAlignment="1" applyProtection="1">
      <alignment vertical="center"/>
    </xf>
    <xf numFmtId="38" fontId="3" fillId="13" borderId="14" xfId="1" applyFont="1" applyFill="1" applyBorder="1" applyAlignment="1" applyProtection="1">
      <alignment vertical="center" shrinkToFit="1"/>
    </xf>
    <xf numFmtId="38" fontId="4" fillId="13" borderId="33" xfId="1" applyFont="1" applyFill="1" applyBorder="1" applyAlignment="1" applyProtection="1">
      <alignment vertical="center" shrinkToFit="1"/>
    </xf>
    <xf numFmtId="38" fontId="4" fillId="13" borderId="34" xfId="1" applyFont="1" applyFill="1" applyBorder="1" applyAlignment="1" applyProtection="1">
      <alignment vertical="center" shrinkToFit="1"/>
    </xf>
    <xf numFmtId="38" fontId="3" fillId="13" borderId="1" xfId="1" applyFont="1" applyFill="1" applyBorder="1" applyAlignment="1" applyProtection="1">
      <alignment horizontal="center" vertical="center"/>
    </xf>
    <xf numFmtId="38" fontId="3" fillId="13" borderId="4" xfId="1" applyFont="1" applyFill="1" applyBorder="1" applyAlignment="1" applyProtection="1">
      <alignment horizontal="center" vertical="center"/>
    </xf>
    <xf numFmtId="38" fontId="3" fillId="13" borderId="20" xfId="1" applyFont="1" applyFill="1" applyBorder="1" applyAlignment="1" applyProtection="1">
      <alignment horizontal="center" vertical="center" shrinkToFit="1"/>
    </xf>
    <xf numFmtId="38" fontId="3" fillId="13" borderId="14" xfId="1" applyFont="1" applyFill="1" applyBorder="1" applyAlignment="1" applyProtection="1">
      <alignment horizontal="center" vertical="center" shrinkToFit="1"/>
    </xf>
    <xf numFmtId="38" fontId="3" fillId="13" borderId="33" xfId="1" applyFont="1" applyFill="1" applyBorder="1" applyAlignment="1" applyProtection="1">
      <alignment horizontal="center" vertical="center" shrinkToFit="1"/>
    </xf>
    <xf numFmtId="0" fontId="4" fillId="0" borderId="0" xfId="0" applyFont="1" applyFill="1" applyBorder="1" applyAlignment="1">
      <alignment vertical="center" shrinkToFit="1"/>
    </xf>
    <xf numFmtId="38" fontId="4" fillId="0" borderId="41" xfId="1" applyFont="1" applyFill="1" applyBorder="1" applyAlignment="1" applyProtection="1">
      <alignment vertical="center" shrinkToFit="1"/>
    </xf>
    <xf numFmtId="9" fontId="4" fillId="0" borderId="42" xfId="0" applyNumberFormat="1" applyFont="1" applyBorder="1">
      <alignment vertical="center"/>
    </xf>
    <xf numFmtId="38" fontId="4" fillId="13" borderId="20" xfId="1" applyFont="1" applyFill="1" applyBorder="1" applyAlignment="1" applyProtection="1">
      <alignment vertical="center" shrinkToFit="1"/>
    </xf>
    <xf numFmtId="9" fontId="4" fillId="0" borderId="17" xfId="0" applyNumberFormat="1" applyFont="1" applyBorder="1">
      <alignment vertical="center"/>
    </xf>
    <xf numFmtId="0" fontId="3" fillId="0" borderId="0" xfId="0" applyNumberFormat="1" applyFont="1">
      <alignment vertical="center"/>
    </xf>
    <xf numFmtId="176" fontId="3" fillId="0" borderId="34" xfId="0" applyNumberFormat="1" applyFont="1" applyBorder="1" applyAlignment="1">
      <alignment horizontal="center" vertical="center" shrinkToFit="1"/>
    </xf>
    <xf numFmtId="176" fontId="3" fillId="0" borderId="26" xfId="0" applyNumberFormat="1" applyFont="1" applyBorder="1" applyAlignment="1">
      <alignment horizontal="center" vertical="center" shrinkToFit="1"/>
    </xf>
    <xf numFmtId="176" fontId="3" fillId="0" borderId="43" xfId="0" applyNumberFormat="1" applyFont="1" applyBorder="1">
      <alignment vertical="center"/>
    </xf>
    <xf numFmtId="176" fontId="3" fillId="0" borderId="45" xfId="0" applyNumberFormat="1" applyFont="1" applyBorder="1">
      <alignment vertical="center"/>
    </xf>
    <xf numFmtId="176" fontId="3" fillId="0" borderId="34" xfId="0" applyNumberFormat="1" applyFont="1" applyBorder="1" applyAlignment="1">
      <alignment vertical="center" shrinkToFit="1"/>
    </xf>
    <xf numFmtId="176" fontId="3" fillId="0" borderId="46" xfId="0" applyNumberFormat="1" applyFont="1" applyBorder="1">
      <alignment vertical="center"/>
    </xf>
    <xf numFmtId="176" fontId="3" fillId="0" borderId="35" xfId="0" applyNumberFormat="1" applyFont="1" applyBorder="1" applyAlignment="1">
      <alignment vertical="center" shrinkToFit="1"/>
    </xf>
    <xf numFmtId="176" fontId="3" fillId="0" borderId="17" xfId="0" applyNumberFormat="1" applyFont="1" applyBorder="1" applyAlignment="1">
      <alignment horizontal="center" vertical="center" shrinkToFit="1"/>
    </xf>
    <xf numFmtId="176" fontId="3" fillId="0" borderId="32" xfId="0" applyNumberFormat="1" applyFont="1" applyBorder="1" applyAlignment="1">
      <alignment vertical="center" shrinkToFit="1"/>
    </xf>
    <xf numFmtId="176" fontId="3" fillId="0" borderId="39" xfId="0" applyNumberFormat="1" applyFont="1" applyBorder="1" applyAlignment="1">
      <alignment horizontal="center" vertical="center" shrinkToFit="1"/>
    </xf>
    <xf numFmtId="176" fontId="3" fillId="0" borderId="38" xfId="0" applyNumberFormat="1" applyFont="1" applyBorder="1" applyAlignment="1">
      <alignment vertical="center" shrinkToFit="1"/>
    </xf>
    <xf numFmtId="176" fontId="3" fillId="0" borderId="43" xfId="0" applyNumberFormat="1" applyFont="1" applyBorder="1" applyAlignment="1">
      <alignment vertical="center" shrinkToFit="1"/>
    </xf>
    <xf numFmtId="9" fontId="3" fillId="14" borderId="52" xfId="2" applyFont="1" applyFill="1" applyBorder="1" applyAlignment="1">
      <alignment vertical="center" shrinkToFit="1"/>
    </xf>
    <xf numFmtId="9" fontId="3" fillId="0" borderId="53" xfId="2" applyFont="1" applyBorder="1" applyAlignment="1">
      <alignment vertical="center" shrinkToFit="1"/>
    </xf>
    <xf numFmtId="9" fontId="3" fillId="0" borderId="54" xfId="2" applyFont="1" applyBorder="1" applyAlignment="1">
      <alignment vertical="center" shrinkToFit="1"/>
    </xf>
    <xf numFmtId="9" fontId="3" fillId="14" borderId="55" xfId="2" applyFont="1" applyFill="1" applyBorder="1" applyAlignment="1">
      <alignment vertical="center" shrinkToFit="1"/>
    </xf>
    <xf numFmtId="176" fontId="3" fillId="0" borderId="39" xfId="0" applyNumberFormat="1" applyFont="1" applyBorder="1">
      <alignment vertical="center"/>
    </xf>
    <xf numFmtId="176" fontId="3" fillId="0" borderId="0" xfId="0" applyNumberFormat="1" applyFont="1" applyBorder="1">
      <alignment vertical="center"/>
    </xf>
    <xf numFmtId="176" fontId="3" fillId="0" borderId="47" xfId="0" applyNumberFormat="1" applyFont="1" applyBorder="1">
      <alignment vertical="center"/>
    </xf>
    <xf numFmtId="176" fontId="3" fillId="0" borderId="17" xfId="0" applyNumberFormat="1" applyFont="1" applyBorder="1">
      <alignment vertical="center"/>
    </xf>
    <xf numFmtId="176" fontId="2" fillId="0" borderId="56" xfId="1" applyNumberFormat="1" applyBorder="1">
      <alignment vertical="center"/>
    </xf>
    <xf numFmtId="176" fontId="3" fillId="0" borderId="57" xfId="0" applyNumberFormat="1" applyFont="1" applyBorder="1" applyAlignment="1">
      <alignment vertical="center" shrinkToFit="1"/>
    </xf>
    <xf numFmtId="0" fontId="4" fillId="0" borderId="57" xfId="0" applyFont="1" applyBorder="1">
      <alignment vertical="center"/>
    </xf>
    <xf numFmtId="176" fontId="3" fillId="0" borderId="57" xfId="0" applyNumberFormat="1" applyFont="1" applyBorder="1">
      <alignment vertical="center"/>
    </xf>
    <xf numFmtId="176" fontId="2" fillId="0" borderId="58" xfId="1" applyNumberFormat="1" applyBorder="1">
      <alignment vertical="center"/>
    </xf>
    <xf numFmtId="0" fontId="4" fillId="0" borderId="43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44" xfId="0" applyFont="1" applyBorder="1">
      <alignment vertical="center"/>
    </xf>
    <xf numFmtId="0" fontId="4" fillId="0" borderId="17" xfId="0" applyFont="1" applyBorder="1">
      <alignment vertical="center"/>
    </xf>
    <xf numFmtId="176" fontId="3" fillId="0" borderId="27" xfId="0" applyNumberFormat="1" applyFont="1" applyBorder="1" applyAlignment="1">
      <alignment horizontal="center" vertical="center" shrinkToFit="1"/>
    </xf>
    <xf numFmtId="176" fontId="3" fillId="0" borderId="19" xfId="0" applyNumberFormat="1" applyFont="1" applyBorder="1" applyAlignment="1">
      <alignment horizontal="center" vertical="center" shrinkToFit="1"/>
    </xf>
    <xf numFmtId="176" fontId="3" fillId="0" borderId="43" xfId="0" applyNumberFormat="1" applyFont="1" applyBorder="1" applyAlignment="1">
      <alignment horizontal="left" vertical="center" shrinkToFit="1"/>
    </xf>
    <xf numFmtId="176" fontId="3" fillId="0" borderId="17" xfId="0" applyNumberFormat="1" applyFont="1" applyBorder="1" applyAlignment="1">
      <alignment horizontal="left" vertical="center" shrinkToFit="1"/>
    </xf>
    <xf numFmtId="176" fontId="3" fillId="0" borderId="57" xfId="0" applyNumberFormat="1" applyFont="1" applyBorder="1" applyAlignment="1">
      <alignment horizontal="left" vertical="center" shrinkToFit="1"/>
    </xf>
    <xf numFmtId="176" fontId="3" fillId="0" borderId="0" xfId="0" applyNumberFormat="1" applyFont="1" applyBorder="1" applyAlignment="1">
      <alignment horizontal="left" vertical="center" shrinkToFit="1"/>
    </xf>
    <xf numFmtId="176" fontId="3" fillId="0" borderId="58" xfId="0" applyNumberFormat="1" applyFont="1" applyBorder="1">
      <alignment vertical="center"/>
    </xf>
    <xf numFmtId="176" fontId="3" fillId="0" borderId="59" xfId="0" applyNumberFormat="1" applyFont="1" applyBorder="1">
      <alignment vertical="center"/>
    </xf>
    <xf numFmtId="176" fontId="3" fillId="0" borderId="47" xfId="0" applyNumberFormat="1" applyFont="1" applyBorder="1" applyAlignment="1">
      <alignment horizontal="left" vertical="center" shrinkToFit="1"/>
    </xf>
    <xf numFmtId="176" fontId="3" fillId="0" borderId="39" xfId="0" applyNumberFormat="1" applyFont="1" applyBorder="1" applyAlignment="1">
      <alignment vertical="center" shrinkToFit="1"/>
    </xf>
    <xf numFmtId="176" fontId="3" fillId="0" borderId="44" xfId="0" applyNumberFormat="1" applyFont="1" applyBorder="1" applyAlignment="1">
      <alignment vertical="center" shrinkToFit="1"/>
    </xf>
    <xf numFmtId="176" fontId="12" fillId="0" borderId="43" xfId="1" applyNumberFormat="1" applyFont="1" applyBorder="1">
      <alignment vertical="center"/>
    </xf>
    <xf numFmtId="176" fontId="3" fillId="7" borderId="48" xfId="0" applyNumberFormat="1" applyFont="1" applyFill="1" applyBorder="1" applyAlignment="1">
      <alignment horizontal="left" vertical="center" shrinkToFit="1"/>
    </xf>
    <xf numFmtId="176" fontId="3" fillId="7" borderId="48" xfId="0" applyNumberFormat="1" applyFont="1" applyFill="1" applyBorder="1">
      <alignment vertical="center"/>
    </xf>
    <xf numFmtId="176" fontId="3" fillId="7" borderId="19" xfId="0" applyNumberFormat="1" applyFont="1" applyFill="1" applyBorder="1" applyAlignment="1">
      <alignment vertical="center" shrinkToFit="1"/>
    </xf>
    <xf numFmtId="176" fontId="3" fillId="7" borderId="27" xfId="0" applyNumberFormat="1" applyFont="1" applyFill="1" applyBorder="1">
      <alignment vertical="center"/>
    </xf>
    <xf numFmtId="176" fontId="3" fillId="7" borderId="25" xfId="0" applyNumberFormat="1" applyFont="1" applyFill="1" applyBorder="1" applyAlignment="1">
      <alignment vertical="center" shrinkToFit="1"/>
    </xf>
    <xf numFmtId="176" fontId="3" fillId="7" borderId="48" xfId="0" applyNumberFormat="1" applyFont="1" applyFill="1" applyBorder="1" applyAlignment="1">
      <alignment horizontal="left" vertical="center"/>
    </xf>
    <xf numFmtId="176" fontId="3" fillId="7" borderId="57" xfId="0" applyNumberFormat="1" applyFont="1" applyFill="1" applyBorder="1" applyAlignment="1">
      <alignment vertical="center" shrinkToFit="1"/>
    </xf>
    <xf numFmtId="9" fontId="3" fillId="7" borderId="53" xfId="2" applyFont="1" applyFill="1" applyBorder="1" applyAlignment="1">
      <alignment vertical="center" shrinkToFit="1"/>
    </xf>
    <xf numFmtId="176" fontId="4" fillId="0" borderId="0" xfId="2" applyNumberFormat="1" applyFont="1">
      <alignment vertical="center"/>
    </xf>
    <xf numFmtId="9" fontId="3" fillId="14" borderId="54" xfId="2" applyFont="1" applyFill="1" applyBorder="1" applyAlignment="1">
      <alignment vertical="center" shrinkToFit="1"/>
    </xf>
    <xf numFmtId="176" fontId="3" fillId="0" borderId="58" xfId="0" applyNumberFormat="1" applyFont="1" applyBorder="1" applyAlignment="1">
      <alignment vertical="center" shrinkToFit="1"/>
    </xf>
    <xf numFmtId="0" fontId="4" fillId="0" borderId="38" xfId="0" applyFont="1" applyBorder="1">
      <alignment vertical="center"/>
    </xf>
    <xf numFmtId="9" fontId="4" fillId="0" borderId="17" xfId="2" applyFont="1" applyBorder="1">
      <alignment vertical="center"/>
    </xf>
    <xf numFmtId="0" fontId="4" fillId="0" borderId="44" xfId="0" applyFont="1" applyBorder="1">
      <alignment vertical="center"/>
    </xf>
    <xf numFmtId="176" fontId="4" fillId="0" borderId="17" xfId="0" applyNumberFormat="1" applyFont="1" applyBorder="1">
      <alignment vertical="center"/>
    </xf>
    <xf numFmtId="178" fontId="4" fillId="0" borderId="17" xfId="2" applyNumberFormat="1" applyFont="1" applyBorder="1">
      <alignment vertical="center"/>
    </xf>
    <xf numFmtId="9" fontId="3" fillId="0" borderId="63" xfId="2" applyFont="1" applyBorder="1" applyAlignment="1">
      <alignment vertical="center" shrinkToFit="1"/>
    </xf>
    <xf numFmtId="9" fontId="3" fillId="14" borderId="65" xfId="2" applyFont="1" applyFill="1" applyBorder="1" applyAlignment="1">
      <alignment vertical="center" shrinkToFit="1"/>
    </xf>
    <xf numFmtId="9" fontId="3" fillId="0" borderId="66" xfId="2" applyFont="1" applyBorder="1" applyAlignment="1">
      <alignment vertical="center" shrinkToFit="1"/>
    </xf>
    <xf numFmtId="9" fontId="3" fillId="14" borderId="63" xfId="2" applyFont="1" applyFill="1" applyBorder="1" applyAlignment="1">
      <alignment vertical="center" shrinkToFit="1"/>
    </xf>
    <xf numFmtId="9" fontId="3" fillId="14" borderId="67" xfId="2" applyFont="1" applyFill="1" applyBorder="1" applyAlignment="1">
      <alignment vertical="center" shrinkToFit="1"/>
    </xf>
    <xf numFmtId="9" fontId="3" fillId="7" borderId="66" xfId="2" applyFont="1" applyFill="1" applyBorder="1" applyAlignment="1">
      <alignment vertical="center" shrinkToFit="1"/>
    </xf>
    <xf numFmtId="176" fontId="3" fillId="0" borderId="0" xfId="0" applyNumberFormat="1" applyFont="1" applyBorder="1" applyAlignment="1">
      <alignment vertical="center" shrinkToFit="1"/>
    </xf>
    <xf numFmtId="176" fontId="3" fillId="0" borderId="17" xfId="0" applyNumberFormat="1" applyFont="1" applyBorder="1" applyAlignment="1">
      <alignment vertical="center" shrinkToFit="1"/>
    </xf>
    <xf numFmtId="176" fontId="3" fillId="7" borderId="0" xfId="0" applyNumberFormat="1" applyFont="1" applyFill="1" applyBorder="1" applyAlignment="1">
      <alignment vertical="center" shrinkToFit="1"/>
    </xf>
    <xf numFmtId="176" fontId="2" fillId="0" borderId="47" xfId="1" applyNumberFormat="1" applyBorder="1">
      <alignment vertical="center"/>
    </xf>
    <xf numFmtId="176" fontId="3" fillId="7" borderId="27" xfId="0" applyNumberFormat="1" applyFont="1" applyFill="1" applyBorder="1" applyAlignment="1">
      <alignment vertical="center" shrinkToFit="1"/>
    </xf>
    <xf numFmtId="176" fontId="3" fillId="0" borderId="59" xfId="0" applyNumberFormat="1" applyFont="1" applyBorder="1" applyAlignment="1">
      <alignment vertical="center" shrinkToFit="1"/>
    </xf>
    <xf numFmtId="176" fontId="3" fillId="0" borderId="40" xfId="0" applyNumberFormat="1" applyFont="1" applyBorder="1" applyAlignment="1">
      <alignment vertical="center" shrinkToFit="1"/>
    </xf>
    <xf numFmtId="176" fontId="3" fillId="0" borderId="46" xfId="0" applyNumberFormat="1" applyFont="1" applyBorder="1" applyAlignment="1">
      <alignment vertical="center" shrinkToFit="1"/>
    </xf>
    <xf numFmtId="176" fontId="3" fillId="7" borderId="44" xfId="0" applyNumberFormat="1" applyFont="1" applyFill="1" applyBorder="1" applyAlignment="1">
      <alignment vertical="center" shrinkToFit="1"/>
    </xf>
    <xf numFmtId="9" fontId="4" fillId="0" borderId="44" xfId="2" applyFont="1" applyBorder="1">
      <alignment vertical="center"/>
    </xf>
    <xf numFmtId="176" fontId="4" fillId="0" borderId="43" xfId="0" applyNumberFormat="1" applyFont="1" applyBorder="1">
      <alignment vertical="center"/>
    </xf>
    <xf numFmtId="178" fontId="4" fillId="0" borderId="44" xfId="2" applyNumberFormat="1" applyFont="1" applyBorder="1">
      <alignment vertical="center"/>
    </xf>
    <xf numFmtId="176" fontId="3" fillId="0" borderId="33" xfId="0" applyNumberFormat="1" applyFont="1" applyBorder="1" applyAlignment="1">
      <alignment vertical="center" shrinkToFit="1"/>
    </xf>
    <xf numFmtId="176" fontId="3" fillId="7" borderId="33" xfId="0" applyNumberFormat="1" applyFont="1" applyFill="1" applyBorder="1" applyAlignment="1">
      <alignment vertical="center" shrinkToFit="1"/>
    </xf>
    <xf numFmtId="0" fontId="4" fillId="0" borderId="47" xfId="0" applyFont="1" applyBorder="1">
      <alignment vertical="center"/>
    </xf>
    <xf numFmtId="0" fontId="3" fillId="0" borderId="47" xfId="0" applyFont="1" applyBorder="1" applyAlignment="1">
      <alignment horizontal="right" vertical="center"/>
    </xf>
    <xf numFmtId="176" fontId="12" fillId="0" borderId="58" xfId="1" applyNumberFormat="1" applyFont="1" applyBorder="1">
      <alignment vertical="center"/>
    </xf>
    <xf numFmtId="9" fontId="3" fillId="0" borderId="59" xfId="2" applyFont="1" applyBorder="1">
      <alignment vertical="center"/>
    </xf>
    <xf numFmtId="176" fontId="12" fillId="0" borderId="47" xfId="1" applyNumberFormat="1" applyFont="1" applyBorder="1">
      <alignment vertical="center"/>
    </xf>
    <xf numFmtId="9" fontId="3" fillId="0" borderId="47" xfId="2" applyFont="1" applyBorder="1">
      <alignment vertical="center"/>
    </xf>
    <xf numFmtId="0" fontId="3" fillId="0" borderId="47" xfId="0" applyFont="1" applyBorder="1">
      <alignment vertical="center"/>
    </xf>
    <xf numFmtId="0" fontId="3" fillId="0" borderId="59" xfId="0" applyFont="1" applyBorder="1">
      <alignment vertical="center"/>
    </xf>
    <xf numFmtId="0" fontId="4" fillId="0" borderId="60" xfId="0" applyFont="1" applyBorder="1">
      <alignment vertical="center"/>
    </xf>
    <xf numFmtId="0" fontId="4" fillId="0" borderId="50" xfId="0" applyFont="1" applyBorder="1">
      <alignment vertical="center"/>
    </xf>
    <xf numFmtId="9" fontId="4" fillId="0" borderId="61" xfId="2" applyFont="1" applyBorder="1">
      <alignment vertical="center"/>
    </xf>
    <xf numFmtId="9" fontId="4" fillId="0" borderId="60" xfId="2" applyFont="1" applyBorder="1">
      <alignment vertical="center"/>
    </xf>
    <xf numFmtId="0" fontId="4" fillId="0" borderId="61" xfId="0" applyFont="1" applyBorder="1">
      <alignment vertical="center"/>
    </xf>
    <xf numFmtId="0" fontId="4" fillId="0" borderId="58" xfId="0" applyFont="1" applyBorder="1">
      <alignment vertical="center"/>
    </xf>
    <xf numFmtId="9" fontId="4" fillId="0" borderId="59" xfId="2" applyFont="1" applyBorder="1">
      <alignment vertical="center"/>
    </xf>
    <xf numFmtId="9" fontId="4" fillId="0" borderId="47" xfId="2" applyFont="1" applyBorder="1">
      <alignment vertical="center"/>
    </xf>
    <xf numFmtId="0" fontId="4" fillId="0" borderId="59" xfId="0" applyFont="1" applyBorder="1">
      <alignment vertical="center"/>
    </xf>
    <xf numFmtId="176" fontId="4" fillId="0" borderId="50" xfId="0" applyNumberFormat="1" applyFont="1" applyBorder="1">
      <alignment vertical="center"/>
    </xf>
    <xf numFmtId="178" fontId="4" fillId="0" borderId="60" xfId="2" applyNumberFormat="1" applyFont="1" applyBorder="1">
      <alignment vertical="center"/>
    </xf>
    <xf numFmtId="0" fontId="4" fillId="7" borderId="26" xfId="0" applyFont="1" applyFill="1" applyBorder="1">
      <alignment vertical="center"/>
    </xf>
    <xf numFmtId="0" fontId="4" fillId="7" borderId="48" xfId="0" applyFont="1" applyFill="1" applyBorder="1">
      <alignment vertical="center"/>
    </xf>
    <xf numFmtId="0" fontId="4" fillId="7" borderId="27" xfId="0" applyFont="1" applyFill="1" applyBorder="1">
      <alignment vertical="center"/>
    </xf>
    <xf numFmtId="176" fontId="4" fillId="7" borderId="26" xfId="0" applyNumberFormat="1" applyFont="1" applyFill="1" applyBorder="1">
      <alignment vertical="center"/>
    </xf>
    <xf numFmtId="0" fontId="4" fillId="7" borderId="38" xfId="0" applyFont="1" applyFill="1" applyBorder="1">
      <alignment vertical="center"/>
    </xf>
    <xf numFmtId="0" fontId="4" fillId="7" borderId="60" xfId="0" applyFont="1" applyFill="1" applyBorder="1">
      <alignment vertical="center"/>
    </xf>
    <xf numFmtId="0" fontId="4" fillId="7" borderId="61" xfId="0" applyFont="1" applyFill="1" applyBorder="1">
      <alignment vertical="center"/>
    </xf>
    <xf numFmtId="176" fontId="2" fillId="7" borderId="50" xfId="1" applyNumberFormat="1" applyFill="1" applyBorder="1">
      <alignment vertical="center"/>
    </xf>
    <xf numFmtId="176" fontId="3" fillId="0" borderId="35" xfId="2" applyNumberFormat="1" applyFont="1" applyBorder="1" applyAlignment="1">
      <alignment vertical="center" shrinkToFit="1"/>
    </xf>
    <xf numFmtId="176" fontId="3" fillId="0" borderId="32" xfId="2" applyNumberFormat="1" applyFont="1" applyFill="1" applyBorder="1" applyAlignment="1">
      <alignment vertical="center" shrinkToFit="1"/>
    </xf>
    <xf numFmtId="176" fontId="3" fillId="0" borderId="33" xfId="2" applyNumberFormat="1" applyFont="1" applyFill="1" applyBorder="1" applyAlignment="1">
      <alignment vertical="center" shrinkToFit="1"/>
    </xf>
    <xf numFmtId="176" fontId="3" fillId="0" borderId="35" xfId="2" applyNumberFormat="1" applyFont="1" applyFill="1" applyBorder="1" applyAlignment="1">
      <alignment vertical="center" shrinkToFit="1"/>
    </xf>
    <xf numFmtId="176" fontId="3" fillId="0" borderId="34" xfId="2" applyNumberFormat="1" applyFont="1" applyFill="1" applyBorder="1" applyAlignment="1">
      <alignment vertical="center" shrinkToFit="1"/>
    </xf>
    <xf numFmtId="176" fontId="3" fillId="7" borderId="33" xfId="2" applyNumberFormat="1" applyFont="1" applyFill="1" applyBorder="1" applyAlignment="1">
      <alignment vertical="center" shrinkToFit="1"/>
    </xf>
    <xf numFmtId="176" fontId="3" fillId="0" borderId="35" xfId="2" applyNumberFormat="1" applyFont="1" applyBorder="1">
      <alignment vertical="center"/>
    </xf>
    <xf numFmtId="176" fontId="4" fillId="0" borderId="25" xfId="2" applyNumberFormat="1" applyFont="1" applyBorder="1">
      <alignment vertical="center"/>
    </xf>
    <xf numFmtId="176" fontId="4" fillId="0" borderId="35" xfId="2" applyNumberFormat="1" applyFont="1" applyBorder="1">
      <alignment vertical="center"/>
    </xf>
    <xf numFmtId="176" fontId="4" fillId="0" borderId="34" xfId="2" applyNumberFormat="1" applyFont="1" applyBorder="1">
      <alignment vertical="center"/>
    </xf>
    <xf numFmtId="9" fontId="9" fillId="7" borderId="48" xfId="2" applyFont="1" applyFill="1" applyBorder="1">
      <alignment vertical="center"/>
    </xf>
    <xf numFmtId="9" fontId="9" fillId="7" borderId="27" xfId="2" applyFont="1" applyFill="1" applyBorder="1">
      <alignment vertical="center"/>
    </xf>
    <xf numFmtId="9" fontId="9" fillId="7" borderId="60" xfId="2" applyFont="1" applyFill="1" applyBorder="1">
      <alignment vertical="center"/>
    </xf>
    <xf numFmtId="9" fontId="9" fillId="7" borderId="61" xfId="2" applyFont="1" applyFill="1" applyBorder="1">
      <alignment vertical="center"/>
    </xf>
    <xf numFmtId="9" fontId="9" fillId="7" borderId="62" xfId="2" applyFont="1" applyFill="1" applyBorder="1" applyAlignment="1">
      <alignment vertical="center" shrinkToFit="1"/>
    </xf>
    <xf numFmtId="9" fontId="9" fillId="7" borderId="49" xfId="2" applyFont="1" applyFill="1" applyBorder="1" applyAlignment="1">
      <alignment vertical="center" shrinkToFit="1"/>
    </xf>
    <xf numFmtId="9" fontId="9" fillId="7" borderId="64" xfId="2" applyFont="1" applyFill="1" applyBorder="1" applyAlignment="1">
      <alignment vertical="center" shrinkToFit="1"/>
    </xf>
    <xf numFmtId="9" fontId="9" fillId="7" borderId="51" xfId="2" applyFont="1" applyFill="1" applyBorder="1" applyAlignment="1">
      <alignment vertical="center" shrinkToFit="1"/>
    </xf>
    <xf numFmtId="176" fontId="10" fillId="7" borderId="26" xfId="0" applyNumberFormat="1" applyFont="1" applyFill="1" applyBorder="1">
      <alignment vertical="center"/>
    </xf>
    <xf numFmtId="176" fontId="10" fillId="7" borderId="50" xfId="0" applyNumberFormat="1" applyFont="1" applyFill="1" applyBorder="1" applyAlignment="1">
      <alignment vertical="center" shrinkToFit="1"/>
    </xf>
    <xf numFmtId="176" fontId="10" fillId="7" borderId="26" xfId="0" applyNumberFormat="1" applyFont="1" applyFill="1" applyBorder="1" applyAlignment="1">
      <alignment vertical="center" shrinkToFit="1"/>
    </xf>
    <xf numFmtId="176" fontId="13" fillId="7" borderId="50" xfId="1" applyNumberFormat="1" applyFont="1" applyFill="1" applyBorder="1">
      <alignment vertical="center"/>
    </xf>
    <xf numFmtId="176" fontId="10" fillId="7" borderId="48" xfId="0" applyNumberFormat="1" applyFont="1" applyFill="1" applyBorder="1">
      <alignment vertical="center"/>
    </xf>
    <xf numFmtId="176" fontId="10" fillId="7" borderId="60" xfId="0" applyNumberFormat="1" applyFont="1" applyFill="1" applyBorder="1" applyAlignment="1">
      <alignment vertical="center" shrinkToFit="1"/>
    </xf>
    <xf numFmtId="176" fontId="10" fillId="7" borderId="48" xfId="0" applyNumberFormat="1" applyFont="1" applyFill="1" applyBorder="1" applyAlignment="1">
      <alignment vertical="center" shrinkToFit="1"/>
    </xf>
    <xf numFmtId="176" fontId="13" fillId="7" borderId="60" xfId="1" applyNumberFormat="1" applyFont="1" applyFill="1" applyBorder="1">
      <alignment vertical="center"/>
    </xf>
    <xf numFmtId="176" fontId="10" fillId="7" borderId="19" xfId="2" applyNumberFormat="1" applyFont="1" applyFill="1" applyBorder="1" applyAlignment="1">
      <alignment vertical="center" shrinkToFit="1"/>
    </xf>
    <xf numFmtId="176" fontId="10" fillId="7" borderId="25" xfId="2" applyNumberFormat="1" applyFont="1" applyFill="1" applyBorder="1" applyAlignment="1">
      <alignment vertical="center" shrinkToFit="1"/>
    </xf>
    <xf numFmtId="176" fontId="10" fillId="7" borderId="25" xfId="2" applyNumberFormat="1" applyFont="1" applyFill="1" applyBorder="1">
      <alignment vertical="center"/>
    </xf>
    <xf numFmtId="176" fontId="10" fillId="7" borderId="19" xfId="2" applyNumberFormat="1" applyFont="1" applyFill="1" applyBorder="1">
      <alignment vertical="center"/>
    </xf>
    <xf numFmtId="0" fontId="4" fillId="0" borderId="46" xfId="0" applyFont="1" applyBorder="1">
      <alignment vertical="center"/>
    </xf>
    <xf numFmtId="9" fontId="4" fillId="0" borderId="0" xfId="2" applyFont="1" applyBorder="1">
      <alignment vertical="center"/>
    </xf>
    <xf numFmtId="0" fontId="4" fillId="7" borderId="57" xfId="0" applyFont="1" applyFill="1" applyBorder="1">
      <alignment vertical="center"/>
    </xf>
    <xf numFmtId="0" fontId="4" fillId="7" borderId="0" xfId="0" applyFont="1" applyFill="1" applyBorder="1">
      <alignment vertical="center"/>
    </xf>
    <xf numFmtId="0" fontId="4" fillId="7" borderId="46" xfId="0" applyFont="1" applyFill="1" applyBorder="1">
      <alignment vertical="center"/>
    </xf>
    <xf numFmtId="176" fontId="6" fillId="7" borderId="57" xfId="0" applyNumberFormat="1" applyFont="1" applyFill="1" applyBorder="1">
      <alignment vertical="center"/>
    </xf>
    <xf numFmtId="9" fontId="6" fillId="7" borderId="0" xfId="2" applyFont="1" applyFill="1" applyBorder="1">
      <alignment vertical="center"/>
    </xf>
    <xf numFmtId="9" fontId="6" fillId="7" borderId="46" xfId="2" applyFont="1" applyFill="1" applyBorder="1">
      <alignment vertical="center"/>
    </xf>
    <xf numFmtId="176" fontId="6" fillId="7" borderId="0" xfId="0" applyNumberFormat="1" applyFont="1" applyFill="1" applyBorder="1">
      <alignment vertical="center"/>
    </xf>
    <xf numFmtId="176" fontId="6" fillId="7" borderId="33" xfId="2" applyNumberFormat="1" applyFont="1" applyFill="1" applyBorder="1">
      <alignment vertical="center"/>
    </xf>
    <xf numFmtId="0" fontId="4" fillId="7" borderId="69" xfId="0" applyFont="1" applyFill="1" applyBorder="1">
      <alignment vertical="center"/>
    </xf>
    <xf numFmtId="0" fontId="4" fillId="7" borderId="68" xfId="0" applyFont="1" applyFill="1" applyBorder="1">
      <alignment vertical="center"/>
    </xf>
    <xf numFmtId="176" fontId="6" fillId="7" borderId="70" xfId="0" applyNumberFormat="1" applyFont="1" applyFill="1" applyBorder="1">
      <alignment vertical="center"/>
    </xf>
    <xf numFmtId="9" fontId="6" fillId="7" borderId="69" xfId="2" applyFont="1" applyFill="1" applyBorder="1">
      <alignment vertical="center"/>
    </xf>
    <xf numFmtId="9" fontId="6" fillId="7" borderId="68" xfId="2" applyFont="1" applyFill="1" applyBorder="1">
      <alignment vertical="center"/>
    </xf>
    <xf numFmtId="176" fontId="6" fillId="7" borderId="69" xfId="0" applyNumberFormat="1" applyFont="1" applyFill="1" applyBorder="1">
      <alignment vertical="center"/>
    </xf>
    <xf numFmtId="176" fontId="6" fillId="7" borderId="36" xfId="2" applyNumberFormat="1" applyFont="1" applyFill="1" applyBorder="1">
      <alignment vertical="center"/>
    </xf>
    <xf numFmtId="176" fontId="4" fillId="0" borderId="26" xfId="0" applyNumberFormat="1" applyFont="1" applyBorder="1">
      <alignment vertical="center"/>
    </xf>
    <xf numFmtId="176" fontId="4" fillId="0" borderId="48" xfId="0" applyNumberFormat="1" applyFont="1" applyBorder="1">
      <alignment vertical="center"/>
    </xf>
    <xf numFmtId="176" fontId="3" fillId="0" borderId="48" xfId="0" applyNumberFormat="1" applyFont="1" applyBorder="1">
      <alignment vertical="center"/>
    </xf>
    <xf numFmtId="176" fontId="3" fillId="0" borderId="26" xfId="0" applyNumberFormat="1" applyFont="1" applyBorder="1">
      <alignment vertical="center"/>
    </xf>
    <xf numFmtId="176" fontId="3" fillId="0" borderId="27" xfId="0" applyNumberFormat="1" applyFont="1" applyBorder="1">
      <alignment vertical="center"/>
    </xf>
    <xf numFmtId="176" fontId="12" fillId="0" borderId="27" xfId="1" applyNumberFormat="1" applyFont="1" applyBorder="1">
      <alignment vertical="center"/>
    </xf>
    <xf numFmtId="176" fontId="12" fillId="0" borderId="48" xfId="1" applyNumberFormat="1" applyFont="1" applyBorder="1">
      <alignment vertical="center"/>
    </xf>
    <xf numFmtId="176" fontId="12" fillId="0" borderId="26" xfId="1" applyNumberFormat="1" applyFont="1" applyBorder="1">
      <alignment vertical="center"/>
    </xf>
    <xf numFmtId="176" fontId="3" fillId="0" borderId="27" xfId="2" applyNumberFormat="1" applyFont="1" applyBorder="1">
      <alignment vertical="center"/>
    </xf>
    <xf numFmtId="176" fontId="3" fillId="0" borderId="19" xfId="2" applyNumberFormat="1" applyFont="1" applyBorder="1">
      <alignment vertical="center"/>
    </xf>
    <xf numFmtId="176" fontId="12" fillId="0" borderId="57" xfId="1" applyNumberFormat="1" applyFont="1" applyBorder="1">
      <alignment vertical="center"/>
    </xf>
    <xf numFmtId="0" fontId="3" fillId="0" borderId="0" xfId="0" applyFont="1" applyBorder="1">
      <alignment vertical="center"/>
    </xf>
    <xf numFmtId="0" fontId="3" fillId="0" borderId="46" xfId="0" applyFont="1" applyBorder="1">
      <alignment vertical="center"/>
    </xf>
    <xf numFmtId="0" fontId="3" fillId="0" borderId="17" xfId="0" applyFont="1" applyBorder="1" applyAlignment="1">
      <alignment horizontal="right" vertical="center"/>
    </xf>
    <xf numFmtId="9" fontId="3" fillId="0" borderId="17" xfId="2" applyFont="1" applyBorder="1">
      <alignment vertical="center"/>
    </xf>
    <xf numFmtId="9" fontId="3" fillId="0" borderId="44" xfId="2" applyFont="1" applyBorder="1">
      <alignment vertical="center"/>
    </xf>
    <xf numFmtId="176" fontId="12" fillId="0" borderId="17" xfId="1" applyNumberFormat="1" applyFont="1" applyBorder="1">
      <alignment vertical="center"/>
    </xf>
    <xf numFmtId="176" fontId="3" fillId="0" borderId="34" xfId="2" applyNumberFormat="1" applyFont="1" applyBorder="1">
      <alignment vertical="center"/>
    </xf>
    <xf numFmtId="0" fontId="4" fillId="0" borderId="26" xfId="0" applyFont="1" applyBorder="1">
      <alignment vertical="center"/>
    </xf>
    <xf numFmtId="0" fontId="4" fillId="0" borderId="48" xfId="0" applyFont="1" applyBorder="1">
      <alignment vertical="center"/>
    </xf>
    <xf numFmtId="0" fontId="3" fillId="0" borderId="48" xfId="0" applyFont="1" applyBorder="1" applyAlignment="1">
      <alignment horizontal="right" vertical="center"/>
    </xf>
    <xf numFmtId="9" fontId="3" fillId="0" borderId="48" xfId="2" applyFont="1" applyBorder="1">
      <alignment vertical="center"/>
    </xf>
    <xf numFmtId="9" fontId="3" fillId="0" borderId="27" xfId="2" applyFont="1" applyBorder="1">
      <alignment vertical="center"/>
    </xf>
    <xf numFmtId="176" fontId="3" fillId="0" borderId="56" xfId="0" applyNumberFormat="1" applyFont="1" applyBorder="1" applyAlignment="1">
      <alignment vertical="center" shrinkToFit="1"/>
    </xf>
    <xf numFmtId="38" fontId="4" fillId="0" borderId="0" xfId="1" applyFont="1" applyFill="1" applyBorder="1" applyAlignment="1" applyProtection="1">
      <alignment horizontal="center" vertical="center" shrinkToFit="1"/>
    </xf>
    <xf numFmtId="179" fontId="4" fillId="0" borderId="2" xfId="1" applyNumberFormat="1" applyFont="1" applyFill="1" applyBorder="1" applyAlignment="1" applyProtection="1">
      <alignment vertical="center" shrinkToFit="1"/>
    </xf>
    <xf numFmtId="179" fontId="4" fillId="0" borderId="3" xfId="1" applyNumberFormat="1" applyFont="1" applyFill="1" applyBorder="1" applyAlignment="1" applyProtection="1">
      <alignment vertical="center" shrinkToFit="1"/>
    </xf>
    <xf numFmtId="179" fontId="4" fillId="0" borderId="0" xfId="1" applyNumberFormat="1" applyFont="1" applyFill="1" applyBorder="1" applyAlignment="1" applyProtection="1">
      <alignment vertical="center" shrinkToFit="1"/>
    </xf>
    <xf numFmtId="180" fontId="4" fillId="0" borderId="19" xfId="1" applyNumberFormat="1" applyFont="1" applyFill="1" applyBorder="1" applyAlignment="1" applyProtection="1">
      <alignment vertical="center" shrinkToFit="1"/>
    </xf>
    <xf numFmtId="0" fontId="4" fillId="0" borderId="33" xfId="0" applyFont="1" applyFill="1" applyBorder="1" applyAlignment="1">
      <alignment vertical="center" shrinkToFit="1"/>
    </xf>
    <xf numFmtId="180" fontId="4" fillId="0" borderId="34" xfId="1" applyNumberFormat="1" applyFont="1" applyFill="1" applyBorder="1" applyAlignment="1" applyProtection="1">
      <alignment vertical="center" shrinkToFit="1"/>
    </xf>
    <xf numFmtId="180" fontId="4" fillId="0" borderId="33" xfId="1" applyNumberFormat="1" applyFont="1" applyFill="1" applyBorder="1" applyAlignment="1" applyProtection="1">
      <alignment vertical="center" shrinkToFit="1"/>
    </xf>
    <xf numFmtId="180" fontId="4" fillId="0" borderId="0" xfId="1" applyNumberFormat="1" applyFont="1" applyFill="1" applyBorder="1" applyAlignment="1" applyProtection="1">
      <alignment vertical="center" shrinkToFit="1"/>
    </xf>
    <xf numFmtId="38" fontId="14" fillId="0" borderId="0" xfId="1" applyFont="1" applyFill="1" applyBorder="1" applyAlignment="1" applyProtection="1">
      <alignment horizontal="center" vertical="center" shrinkToFit="1"/>
    </xf>
    <xf numFmtId="38" fontId="14" fillId="0" borderId="19" xfId="1" applyFont="1" applyFill="1" applyBorder="1" applyAlignment="1" applyProtection="1">
      <alignment horizontal="center" vertical="center" shrinkToFit="1"/>
    </xf>
    <xf numFmtId="38" fontId="14" fillId="0" borderId="32" xfId="1" applyFont="1" applyFill="1" applyBorder="1" applyAlignment="1" applyProtection="1">
      <alignment vertical="center" shrinkToFit="1"/>
    </xf>
    <xf numFmtId="38" fontId="14" fillId="0" borderId="33" xfId="1" applyFont="1" applyFill="1" applyBorder="1" applyAlignment="1" applyProtection="1">
      <alignment vertical="center" shrinkToFit="1"/>
    </xf>
    <xf numFmtId="0" fontId="14" fillId="0" borderId="33" xfId="0" applyFont="1" applyFill="1" applyBorder="1" applyAlignment="1">
      <alignment vertical="center" shrinkToFit="1"/>
    </xf>
    <xf numFmtId="0" fontId="14" fillId="0" borderId="0" xfId="0" applyFont="1" applyFill="1" applyAlignment="1">
      <alignment vertical="center" shrinkToFit="1"/>
    </xf>
    <xf numFmtId="0" fontId="14" fillId="0" borderId="0" xfId="0" applyFont="1" applyFill="1">
      <alignment vertical="center"/>
    </xf>
    <xf numFmtId="180" fontId="14" fillId="0" borderId="32" xfId="1" applyNumberFormat="1" applyFont="1" applyFill="1" applyBorder="1" applyAlignment="1" applyProtection="1">
      <alignment vertical="center" shrinkToFit="1"/>
    </xf>
    <xf numFmtId="180" fontId="14" fillId="0" borderId="33" xfId="1" applyNumberFormat="1" applyFont="1" applyFill="1" applyBorder="1" applyAlignment="1" applyProtection="1">
      <alignment vertical="center" shrinkToFit="1"/>
    </xf>
    <xf numFmtId="180" fontId="14" fillId="0" borderId="0" xfId="1" applyNumberFormat="1" applyFont="1" applyFill="1" applyBorder="1" applyAlignment="1" applyProtection="1">
      <alignment vertical="center" shrinkToFit="1"/>
    </xf>
    <xf numFmtId="0" fontId="15" fillId="0" borderId="0" xfId="0" applyFont="1">
      <alignment vertical="center"/>
    </xf>
    <xf numFmtId="38" fontId="15" fillId="0" borderId="73" xfId="1" applyNumberFormat="1" applyFont="1" applyBorder="1" applyAlignment="1">
      <alignment horizontal="center" vertical="center"/>
    </xf>
    <xf numFmtId="38" fontId="15" fillId="0" borderId="74" xfId="1" applyNumberFormat="1" applyFont="1" applyBorder="1" applyAlignment="1">
      <alignment horizontal="center" vertical="center"/>
    </xf>
    <xf numFmtId="38" fontId="15" fillId="0" borderId="52" xfId="1" applyNumberFormat="1" applyFont="1" applyBorder="1" applyAlignment="1">
      <alignment horizontal="center" vertical="center"/>
    </xf>
    <xf numFmtId="0" fontId="15" fillId="0" borderId="26" xfId="0" applyFont="1" applyBorder="1">
      <alignment vertical="center"/>
    </xf>
    <xf numFmtId="0" fontId="15" fillId="0" borderId="48" xfId="0" applyFont="1" applyBorder="1">
      <alignment vertical="center"/>
    </xf>
    <xf numFmtId="0" fontId="15" fillId="0" borderId="27" xfId="0" applyFont="1" applyBorder="1">
      <alignment vertical="center"/>
    </xf>
    <xf numFmtId="0" fontId="15" fillId="7" borderId="48" xfId="0" applyFont="1" applyFill="1" applyBorder="1">
      <alignment vertical="center"/>
    </xf>
    <xf numFmtId="0" fontId="15" fillId="7" borderId="27" xfId="0" applyFont="1" applyFill="1" applyBorder="1">
      <alignment vertical="center"/>
    </xf>
    <xf numFmtId="38" fontId="15" fillId="0" borderId="0" xfId="1" applyFont="1">
      <alignment vertical="center"/>
    </xf>
    <xf numFmtId="38" fontId="15" fillId="0" borderId="0" xfId="1" applyNumberFormat="1" applyFont="1">
      <alignment vertical="center"/>
    </xf>
    <xf numFmtId="0" fontId="15" fillId="7" borderId="26" xfId="0" applyFont="1" applyFill="1" applyBorder="1" applyAlignment="1">
      <alignment horizontal="center" vertical="center"/>
    </xf>
    <xf numFmtId="38" fontId="15" fillId="0" borderId="19" xfId="1" applyFont="1" applyBorder="1" applyAlignment="1">
      <alignment vertical="center" shrinkToFit="1"/>
    </xf>
    <xf numFmtId="38" fontId="15" fillId="0" borderId="71" xfId="1" applyNumberFormat="1" applyFont="1" applyBorder="1" applyAlignment="1">
      <alignment vertical="center" shrinkToFit="1"/>
    </xf>
    <xf numFmtId="38" fontId="15" fillId="0" borderId="72" xfId="1" applyNumberFormat="1" applyFont="1" applyBorder="1" applyAlignment="1">
      <alignment vertical="center" shrinkToFit="1"/>
    </xf>
    <xf numFmtId="38" fontId="15" fillId="0" borderId="72" xfId="2" applyNumberFormat="1" applyFont="1" applyBorder="1" applyAlignment="1">
      <alignment vertical="center" shrinkToFit="1"/>
    </xf>
    <xf numFmtId="38" fontId="15" fillId="0" borderId="49" xfId="1" applyNumberFormat="1" applyFont="1" applyBorder="1" applyAlignment="1">
      <alignment vertical="center" shrinkToFit="1"/>
    </xf>
    <xf numFmtId="38" fontId="16" fillId="7" borderId="19" xfId="1" applyFont="1" applyFill="1" applyBorder="1" applyAlignment="1">
      <alignment vertical="center" shrinkToFit="1"/>
    </xf>
    <xf numFmtId="38" fontId="16" fillId="7" borderId="71" xfId="1" applyNumberFormat="1" applyFont="1" applyFill="1" applyBorder="1" applyAlignment="1">
      <alignment vertical="center" shrinkToFit="1"/>
    </xf>
    <xf numFmtId="38" fontId="16" fillId="7" borderId="72" xfId="1" applyNumberFormat="1" applyFont="1" applyFill="1" applyBorder="1" applyAlignment="1">
      <alignment vertical="center" shrinkToFit="1"/>
    </xf>
    <xf numFmtId="38" fontId="16" fillId="7" borderId="49" xfId="1" applyNumberFormat="1" applyFont="1" applyFill="1" applyBorder="1" applyAlignment="1">
      <alignment vertical="center" shrinkToFit="1"/>
    </xf>
    <xf numFmtId="38" fontId="15" fillId="0" borderId="49" xfId="2" applyNumberFormat="1" applyFont="1" applyBorder="1" applyAlignment="1">
      <alignment vertical="center" shrinkToFit="1"/>
    </xf>
    <xf numFmtId="9" fontId="15" fillId="0" borderId="72" xfId="2" applyFont="1" applyBorder="1" applyAlignment="1">
      <alignment vertical="center" shrinkToFit="1"/>
    </xf>
    <xf numFmtId="9" fontId="16" fillId="7" borderId="72" xfId="2" applyFont="1" applyFill="1" applyBorder="1" applyAlignment="1">
      <alignment vertical="center" shrinkToFit="1"/>
    </xf>
    <xf numFmtId="183" fontId="15" fillId="0" borderId="0" xfId="1" applyNumberFormat="1" applyFont="1">
      <alignment vertical="center"/>
    </xf>
    <xf numFmtId="180" fontId="2" fillId="0" borderId="19" xfId="1" applyNumberFormat="1" applyBorder="1">
      <alignment vertical="center"/>
    </xf>
    <xf numFmtId="180" fontId="2" fillId="7" borderId="19" xfId="1" applyNumberFormat="1" applyFill="1" applyBorder="1">
      <alignment vertical="center"/>
    </xf>
    <xf numFmtId="9" fontId="15" fillId="0" borderId="0" xfId="2" applyFont="1">
      <alignment vertical="center"/>
    </xf>
    <xf numFmtId="0" fontId="4" fillId="0" borderId="75" xfId="0" applyFont="1" applyBorder="1">
      <alignment vertical="center"/>
    </xf>
    <xf numFmtId="0" fontId="4" fillId="0" borderId="6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15" borderId="66" xfId="0" applyFont="1" applyFill="1" applyBorder="1" applyAlignment="1">
      <alignment horizontal="center" vertical="center"/>
    </xf>
    <xf numFmtId="0" fontId="4" fillId="15" borderId="77" xfId="0" applyFont="1" applyFill="1" applyBorder="1" applyAlignment="1">
      <alignment horizontal="center" vertical="center"/>
    </xf>
    <xf numFmtId="38" fontId="4" fillId="0" borderId="0" xfId="1" applyFont="1">
      <alignment vertical="center"/>
    </xf>
    <xf numFmtId="0" fontId="4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15" borderId="78" xfId="0" applyFont="1" applyFill="1" applyBorder="1" applyAlignment="1">
      <alignment horizontal="center" vertical="center"/>
    </xf>
    <xf numFmtId="0" fontId="4" fillId="15" borderId="79" xfId="0" applyFont="1" applyFill="1" applyBorder="1" applyAlignment="1">
      <alignment horizontal="center" vertical="center"/>
    </xf>
    <xf numFmtId="38" fontId="4" fillId="0" borderId="75" xfId="1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 wrapText="1"/>
    </xf>
    <xf numFmtId="38" fontId="4" fillId="0" borderId="75" xfId="1" applyFont="1" applyBorder="1" applyAlignment="1">
      <alignment horizontal="center" vertical="center" wrapText="1"/>
    </xf>
    <xf numFmtId="0" fontId="4" fillId="0" borderId="75" xfId="0" applyFont="1" applyBorder="1" applyAlignment="1"/>
    <xf numFmtId="38" fontId="4" fillId="0" borderId="78" xfId="0" applyNumberFormat="1" applyFont="1" applyBorder="1" applyAlignment="1"/>
    <xf numFmtId="38" fontId="4" fillId="0" borderId="79" xfId="0" applyNumberFormat="1" applyFont="1" applyBorder="1" applyAlignment="1"/>
    <xf numFmtId="38" fontId="4" fillId="0" borderId="75" xfId="0" applyNumberFormat="1" applyFont="1" applyBorder="1" applyAlignment="1"/>
    <xf numFmtId="38" fontId="4" fillId="15" borderId="78" xfId="0" applyNumberFormat="1" applyFont="1" applyFill="1" applyBorder="1" applyAlignment="1"/>
    <xf numFmtId="38" fontId="4" fillId="15" borderId="81" xfId="0" applyNumberFormat="1" applyFont="1" applyFill="1" applyBorder="1" applyAlignment="1"/>
    <xf numFmtId="0" fontId="4" fillId="0" borderId="76" xfId="0" applyFont="1" applyBorder="1">
      <alignment vertical="center"/>
    </xf>
    <xf numFmtId="9" fontId="4" fillId="0" borderId="76" xfId="2" applyFont="1" applyBorder="1" applyAlignment="1"/>
    <xf numFmtId="38" fontId="4" fillId="0" borderId="75" xfId="1" applyFont="1" applyBorder="1" applyAlignment="1"/>
    <xf numFmtId="0" fontId="4" fillId="0" borderId="0" xfId="0" applyFont="1" applyAlignment="1"/>
    <xf numFmtId="38" fontId="4" fillId="0" borderId="76" xfId="1" applyFont="1" applyBorder="1" applyAlignment="1"/>
    <xf numFmtId="184" fontId="4" fillId="0" borderId="76" xfId="0" applyNumberFormat="1" applyFont="1" applyBorder="1" applyAlignment="1"/>
    <xf numFmtId="0" fontId="4" fillId="0" borderId="76" xfId="0" applyFont="1" applyBorder="1" applyAlignment="1"/>
    <xf numFmtId="38" fontId="4" fillId="0" borderId="80" xfId="0" applyNumberFormat="1" applyFont="1" applyBorder="1" applyAlignment="1"/>
    <xf numFmtId="38" fontId="4" fillId="0" borderId="81" xfId="0" applyNumberFormat="1" applyFont="1" applyBorder="1" applyAlignment="1"/>
    <xf numFmtId="38" fontId="4" fillId="0" borderId="76" xfId="0" applyNumberFormat="1" applyFont="1" applyBorder="1" applyAlignment="1"/>
    <xf numFmtId="38" fontId="4" fillId="15" borderId="80" xfId="0" applyNumberFormat="1" applyFont="1" applyFill="1" applyBorder="1" applyAlignment="1"/>
    <xf numFmtId="9" fontId="4" fillId="0" borderId="76" xfId="2" applyFont="1" applyBorder="1" applyAlignment="1">
      <alignment horizontal="center"/>
    </xf>
    <xf numFmtId="38" fontId="4" fillId="0" borderId="66" xfId="0" applyNumberFormat="1" applyFont="1" applyBorder="1">
      <alignment vertical="center"/>
    </xf>
    <xf numFmtId="38" fontId="4" fillId="0" borderId="77" xfId="0" applyNumberFormat="1" applyFont="1" applyBorder="1">
      <alignment vertical="center"/>
    </xf>
    <xf numFmtId="38" fontId="4" fillId="0" borderId="0" xfId="0" applyNumberFormat="1" applyFont="1" applyAlignment="1">
      <alignment vertical="center"/>
    </xf>
    <xf numFmtId="38" fontId="4" fillId="0" borderId="0" xfId="1" applyFont="1" applyAlignment="1"/>
    <xf numFmtId="0" fontId="4" fillId="0" borderId="82" xfId="0" applyFont="1" applyBorder="1" applyAlignment="1"/>
    <xf numFmtId="38" fontId="4" fillId="0" borderId="82" xfId="1" applyFont="1" applyBorder="1" applyAlignment="1"/>
    <xf numFmtId="184" fontId="4" fillId="0" borderId="82" xfId="0" applyNumberFormat="1" applyFont="1" applyBorder="1" applyAlignment="1"/>
    <xf numFmtId="0" fontId="4" fillId="0" borderId="83" xfId="0" applyFont="1" applyBorder="1" applyAlignment="1">
      <alignment horizontal="center" vertical="center"/>
    </xf>
    <xf numFmtId="38" fontId="4" fillId="0" borderId="84" xfId="1" applyFont="1" applyBorder="1" applyAlignment="1"/>
    <xf numFmtId="38" fontId="4" fillId="0" borderId="84" xfId="1" applyFont="1" applyBorder="1" applyAlignment="1">
      <alignment horizontal="center"/>
    </xf>
    <xf numFmtId="0" fontId="4" fillId="0" borderId="85" xfId="0" applyFont="1" applyBorder="1" applyAlignment="1"/>
    <xf numFmtId="0" fontId="4" fillId="0" borderId="85" xfId="0" applyFont="1" applyBorder="1">
      <alignment vertical="center"/>
    </xf>
    <xf numFmtId="38" fontId="4" fillId="0" borderId="86" xfId="0" applyNumberFormat="1" applyFont="1" applyBorder="1">
      <alignment vertical="center"/>
    </xf>
    <xf numFmtId="38" fontId="4" fillId="0" borderId="82" xfId="0" applyNumberFormat="1" applyFont="1" applyBorder="1" applyAlignment="1"/>
    <xf numFmtId="0" fontId="4" fillId="0" borderId="66" xfId="0" applyFont="1" applyBorder="1">
      <alignment vertical="center"/>
    </xf>
    <xf numFmtId="38" fontId="4" fillId="0" borderId="0" xfId="1" applyFont="1" applyBorder="1">
      <alignment vertical="center"/>
    </xf>
    <xf numFmtId="0" fontId="4" fillId="0" borderId="77" xfId="0" applyFont="1" applyBorder="1">
      <alignment vertical="center"/>
    </xf>
    <xf numFmtId="0" fontId="4" fillId="0" borderId="78" xfId="0" applyFont="1" applyBorder="1" applyAlignment="1">
      <alignment horizontal="center" vertical="center" wrapText="1"/>
    </xf>
    <xf numFmtId="38" fontId="4" fillId="0" borderId="80" xfId="1" applyFont="1" applyBorder="1" applyAlignment="1"/>
    <xf numFmtId="0" fontId="4" fillId="0" borderId="81" xfId="0" applyFont="1" applyBorder="1" applyAlignment="1"/>
    <xf numFmtId="0" fontId="4" fillId="0" borderId="66" xfId="0" applyFont="1" applyBorder="1" applyAlignment="1"/>
    <xf numFmtId="184" fontId="4" fillId="0" borderId="0" xfId="0" applyNumberFormat="1" applyFont="1" applyBorder="1" applyAlignment="1"/>
    <xf numFmtId="38" fontId="4" fillId="0" borderId="0" xfId="1" applyFont="1" applyBorder="1" applyAlignment="1"/>
    <xf numFmtId="0" fontId="4" fillId="0" borderId="77" xfId="0" applyFont="1" applyBorder="1" applyAlignment="1"/>
    <xf numFmtId="38" fontId="4" fillId="0" borderId="67" xfId="1" applyFont="1" applyBorder="1" applyAlignment="1"/>
    <xf numFmtId="0" fontId="4" fillId="0" borderId="88" xfId="0" applyFont="1" applyBorder="1" applyAlignment="1"/>
    <xf numFmtId="38" fontId="4" fillId="0" borderId="75" xfId="0" applyNumberFormat="1" applyFont="1" applyBorder="1">
      <alignment vertical="center"/>
    </xf>
    <xf numFmtId="9" fontId="4" fillId="0" borderId="75" xfId="2" applyFont="1" applyBorder="1" applyAlignment="1"/>
    <xf numFmtId="0" fontId="4" fillId="0" borderId="78" xfId="0" applyFont="1" applyBorder="1" applyAlignment="1"/>
    <xf numFmtId="184" fontId="4" fillId="0" borderId="75" xfId="0" applyNumberFormat="1" applyFont="1" applyBorder="1" applyAlignment="1"/>
    <xf numFmtId="0" fontId="4" fillId="0" borderId="79" xfId="0" applyFont="1" applyBorder="1" applyAlignment="1"/>
    <xf numFmtId="0" fontId="4" fillId="0" borderId="87" xfId="0" applyFont="1" applyBorder="1">
      <alignment vertical="center"/>
    </xf>
    <xf numFmtId="38" fontId="4" fillId="0" borderId="89" xfId="1" applyFont="1" applyBorder="1" applyAlignment="1"/>
    <xf numFmtId="176" fontId="2" fillId="0" borderId="0" xfId="1" applyNumberFormat="1">
      <alignment vertical="center"/>
    </xf>
    <xf numFmtId="38" fontId="0" fillId="16" borderId="0" xfId="0" applyNumberFormat="1" applyFill="1">
      <alignment vertical="center"/>
    </xf>
    <xf numFmtId="38" fontId="2" fillId="16" borderId="0" xfId="1" applyFill="1">
      <alignment vertical="center"/>
    </xf>
    <xf numFmtId="38" fontId="2" fillId="0" borderId="0" xfId="1" applyFill="1">
      <alignment vertical="center"/>
    </xf>
    <xf numFmtId="176" fontId="2" fillId="0" borderId="0" xfId="1" applyNumberFormat="1" applyFill="1">
      <alignment vertical="center"/>
    </xf>
    <xf numFmtId="38" fontId="2" fillId="0" borderId="0" xfId="1" applyAlignment="1">
      <alignment horizontal="center" vertical="center"/>
    </xf>
    <xf numFmtId="38" fontId="2" fillId="0" borderId="0" xfId="1">
      <alignment vertical="center"/>
    </xf>
    <xf numFmtId="38" fontId="2" fillId="0" borderId="0" xfId="1" applyAlignment="1">
      <alignment horizontal="center" vertical="center"/>
    </xf>
    <xf numFmtId="38" fontId="2" fillId="0" borderId="0" xfId="1">
      <alignment vertical="center"/>
    </xf>
    <xf numFmtId="38" fontId="0" fillId="16" borderId="0" xfId="1" applyFont="1" applyFill="1">
      <alignment vertical="center"/>
    </xf>
    <xf numFmtId="0" fontId="0" fillId="16" borderId="0" xfId="0" applyFill="1">
      <alignment vertical="center"/>
    </xf>
    <xf numFmtId="38" fontId="2" fillId="0" borderId="0" xfId="1">
      <alignment vertical="center"/>
    </xf>
    <xf numFmtId="38" fontId="2" fillId="0" borderId="0" xfId="1">
      <alignment vertical="center"/>
    </xf>
    <xf numFmtId="38" fontId="2" fillId="0" borderId="0" xfId="1">
      <alignment vertical="center"/>
    </xf>
    <xf numFmtId="38" fontId="2" fillId="0" borderId="0" xfId="1" applyAlignment="1">
      <alignment horizontal="center" vertical="center"/>
    </xf>
    <xf numFmtId="0" fontId="4" fillId="0" borderId="90" xfId="0" applyFont="1" applyFill="1" applyBorder="1" applyAlignment="1">
      <alignment vertical="center" shrinkToFit="1"/>
    </xf>
    <xf numFmtId="9" fontId="15" fillId="0" borderId="74" xfId="2" applyFont="1" applyBorder="1" applyAlignment="1">
      <alignment horizontal="center" vertical="center"/>
    </xf>
    <xf numFmtId="9" fontId="15" fillId="0" borderId="74" xfId="2" applyFont="1" applyBorder="1" applyAlignment="1">
      <alignment horizontal="center" vertical="center" wrapText="1"/>
    </xf>
    <xf numFmtId="38" fontId="4" fillId="0" borderId="19" xfId="1" applyFont="1" applyBorder="1">
      <alignment vertical="center"/>
    </xf>
    <xf numFmtId="9" fontId="4" fillId="0" borderId="19" xfId="2" applyFont="1" applyBorder="1">
      <alignment vertical="center"/>
    </xf>
    <xf numFmtId="9" fontId="4" fillId="0" borderId="19" xfId="0" applyNumberFormat="1" applyFont="1" applyBorder="1">
      <alignment vertical="center"/>
    </xf>
    <xf numFmtId="0" fontId="4" fillId="0" borderId="34" xfId="0" applyFont="1" applyBorder="1">
      <alignment vertical="center"/>
    </xf>
    <xf numFmtId="38" fontId="4" fillId="0" borderId="32" xfId="1" applyFont="1" applyFill="1" applyBorder="1" applyAlignment="1">
      <alignment horizontal="right" vertical="center"/>
    </xf>
    <xf numFmtId="180" fontId="4" fillId="0" borderId="32" xfId="1" applyNumberFormat="1" applyFont="1" applyFill="1" applyBorder="1">
      <alignment vertical="center"/>
    </xf>
    <xf numFmtId="38" fontId="4" fillId="0" borderId="19" xfId="1" applyFont="1" applyFill="1" applyBorder="1" applyAlignment="1">
      <alignment vertical="center" shrinkToFit="1"/>
    </xf>
    <xf numFmtId="38" fontId="4" fillId="0" borderId="71" xfId="1" applyNumberFormat="1" applyFont="1" applyFill="1" applyBorder="1" applyAlignment="1">
      <alignment vertical="center" shrinkToFit="1"/>
    </xf>
    <xf numFmtId="180" fontId="4" fillId="0" borderId="72" xfId="1" applyNumberFormat="1" applyFont="1" applyFill="1" applyBorder="1">
      <alignment vertical="center"/>
    </xf>
    <xf numFmtId="180" fontId="4" fillId="0" borderId="19" xfId="1" applyNumberFormat="1" applyFont="1" applyFill="1" applyBorder="1">
      <alignment vertical="center"/>
    </xf>
    <xf numFmtId="0" fontId="4" fillId="0" borderId="27" xfId="0" applyFont="1" applyBorder="1">
      <alignment vertical="center"/>
    </xf>
    <xf numFmtId="38" fontId="4" fillId="0" borderId="19" xfId="1" applyFont="1" applyBorder="1" applyAlignment="1">
      <alignment vertical="center" shrinkToFit="1"/>
    </xf>
    <xf numFmtId="38" fontId="4" fillId="0" borderId="71" xfId="1" applyNumberFormat="1" applyFont="1" applyBorder="1" applyAlignment="1">
      <alignment vertical="center" shrinkToFit="1"/>
    </xf>
    <xf numFmtId="180" fontId="4" fillId="0" borderId="72" xfId="1" applyNumberFormat="1" applyFont="1" applyBorder="1">
      <alignment vertical="center"/>
    </xf>
    <xf numFmtId="180" fontId="4" fillId="0" borderId="19" xfId="1" applyNumberFormat="1" applyFont="1" applyBorder="1">
      <alignment vertical="center"/>
    </xf>
    <xf numFmtId="38" fontId="3" fillId="7" borderId="71" xfId="1" applyNumberFormat="1" applyFont="1" applyFill="1" applyBorder="1" applyAlignment="1">
      <alignment vertical="center" shrinkToFit="1"/>
    </xf>
    <xf numFmtId="0" fontId="4" fillId="0" borderId="0" xfId="0" applyFont="1" applyAlignment="1">
      <alignment vertical="center" wrapText="1"/>
    </xf>
    <xf numFmtId="38" fontId="4" fillId="0" borderId="0" xfId="1" applyNumberFormat="1" applyFont="1">
      <alignment vertical="center"/>
    </xf>
    <xf numFmtId="180" fontId="4" fillId="0" borderId="0" xfId="1" applyNumberFormat="1" applyFont="1">
      <alignment vertical="center"/>
    </xf>
    <xf numFmtId="9" fontId="4" fillId="0" borderId="0" xfId="2" applyNumberFormat="1" applyFont="1" applyAlignment="1">
      <alignment horizontal="right" vertical="center"/>
    </xf>
    <xf numFmtId="38" fontId="4" fillId="0" borderId="19" xfId="1" applyNumberFormat="1" applyFont="1" applyBorder="1">
      <alignment vertical="center"/>
    </xf>
    <xf numFmtId="38" fontId="2" fillId="0" borderId="0" xfId="1">
      <alignment vertical="center"/>
    </xf>
    <xf numFmtId="0" fontId="4" fillId="0" borderId="48" xfId="0" applyFont="1" applyBorder="1" applyAlignment="1">
      <alignment horizontal="center" vertical="center"/>
    </xf>
    <xf numFmtId="9" fontId="4" fillId="0" borderId="19" xfId="2" applyFont="1" applyBorder="1" applyAlignment="1">
      <alignment horizontal="center" vertical="center"/>
    </xf>
    <xf numFmtId="38" fontId="2" fillId="0" borderId="19" xfId="1" applyBorder="1">
      <alignment vertical="center"/>
    </xf>
    <xf numFmtId="0" fontId="4" fillId="17" borderId="50" xfId="0" applyFont="1" applyFill="1" applyBorder="1" applyAlignment="1">
      <alignment vertical="center" wrapText="1"/>
    </xf>
    <xf numFmtId="0" fontId="4" fillId="17" borderId="61" xfId="0" applyFont="1" applyFill="1" applyBorder="1">
      <alignment vertical="center"/>
    </xf>
    <xf numFmtId="38" fontId="4" fillId="17" borderId="25" xfId="1" applyFont="1" applyFill="1" applyBorder="1" applyAlignment="1">
      <alignment vertical="center" shrinkToFit="1"/>
    </xf>
    <xf numFmtId="180" fontId="4" fillId="17" borderId="25" xfId="1" applyNumberFormat="1" applyFont="1" applyFill="1" applyBorder="1">
      <alignment vertical="center"/>
    </xf>
    <xf numFmtId="9" fontId="4" fillId="17" borderId="25" xfId="2" applyFont="1" applyFill="1" applyBorder="1">
      <alignment vertical="center"/>
    </xf>
    <xf numFmtId="38" fontId="2" fillId="17" borderId="25" xfId="1" applyFill="1" applyBorder="1">
      <alignment vertical="center"/>
    </xf>
    <xf numFmtId="0" fontId="4" fillId="17" borderId="95" xfId="0" applyFont="1" applyFill="1" applyBorder="1" applyAlignment="1">
      <alignment vertical="center" wrapText="1"/>
    </xf>
    <xf numFmtId="0" fontId="4" fillId="17" borderId="96" xfId="0" applyFont="1" applyFill="1" applyBorder="1">
      <alignment vertical="center"/>
    </xf>
    <xf numFmtId="38" fontId="4" fillId="17" borderId="37" xfId="1" applyFont="1" applyFill="1" applyBorder="1" applyAlignment="1">
      <alignment vertical="center" shrinkToFit="1"/>
    </xf>
    <xf numFmtId="180" fontId="4" fillId="17" borderId="37" xfId="1" applyNumberFormat="1" applyFont="1" applyFill="1" applyBorder="1">
      <alignment vertical="center"/>
    </xf>
    <xf numFmtId="9" fontId="4" fillId="17" borderId="37" xfId="2" applyFont="1" applyFill="1" applyBorder="1">
      <alignment vertical="center"/>
    </xf>
    <xf numFmtId="38" fontId="2" fillId="17" borderId="37" xfId="1" applyFill="1" applyBorder="1">
      <alignment vertical="center"/>
    </xf>
    <xf numFmtId="0" fontId="4" fillId="0" borderId="0" xfId="0" applyFont="1" applyFill="1" applyBorder="1" applyAlignment="1">
      <alignment horizontal="right" vertical="center"/>
    </xf>
    <xf numFmtId="38" fontId="4" fillId="0" borderId="33" xfId="1" applyFont="1" applyFill="1" applyBorder="1" applyAlignment="1">
      <alignment horizontal="center" vertical="center"/>
    </xf>
    <xf numFmtId="38" fontId="4" fillId="0" borderId="0" xfId="1" applyFont="1" applyFill="1" applyBorder="1">
      <alignment vertical="center"/>
    </xf>
    <xf numFmtId="0" fontId="9" fillId="0" borderId="0" xfId="0" applyFont="1" applyFill="1" applyBorder="1" applyAlignment="1">
      <alignment horizontal="center" vertical="center"/>
    </xf>
    <xf numFmtId="180" fontId="4" fillId="0" borderId="33" xfId="1" applyNumberFormat="1" applyFont="1" applyFill="1" applyBorder="1">
      <alignment vertical="center"/>
    </xf>
    <xf numFmtId="180" fontId="3" fillId="0" borderId="33" xfId="1" applyNumberFormat="1" applyFont="1" applyFill="1" applyBorder="1">
      <alignment vertical="center"/>
    </xf>
    <xf numFmtId="38" fontId="2" fillId="0" borderId="27" xfId="1" applyBorder="1" applyAlignment="1">
      <alignment vertical="center"/>
    </xf>
    <xf numFmtId="9" fontId="4" fillId="0" borderId="38" xfId="2" applyNumberFormat="1" applyFont="1" applyFill="1" applyBorder="1" applyAlignment="1">
      <alignment horizontal="right" vertical="center"/>
    </xf>
    <xf numFmtId="9" fontId="4" fillId="17" borderId="50" xfId="2" applyNumberFormat="1" applyFont="1" applyFill="1" applyBorder="1" applyAlignment="1">
      <alignment horizontal="right" vertical="center"/>
    </xf>
    <xf numFmtId="9" fontId="4" fillId="17" borderId="95" xfId="2" applyNumberFormat="1" applyFont="1" applyFill="1" applyBorder="1" applyAlignment="1">
      <alignment horizontal="right" vertical="center"/>
    </xf>
    <xf numFmtId="9" fontId="4" fillId="0" borderId="26" xfId="2" applyNumberFormat="1" applyFont="1" applyBorder="1" applyAlignment="1">
      <alignment vertical="center" shrinkToFit="1"/>
    </xf>
    <xf numFmtId="9" fontId="4" fillId="0" borderId="0" xfId="2" applyNumberFormat="1" applyFont="1">
      <alignment vertical="center"/>
    </xf>
    <xf numFmtId="0" fontId="4" fillId="0" borderId="33" xfId="0" applyFont="1" applyBorder="1" applyAlignment="1">
      <alignment vertical="center" wrapText="1"/>
    </xf>
    <xf numFmtId="0" fontId="4" fillId="0" borderId="57" xfId="0" applyFont="1" applyBorder="1" applyAlignment="1">
      <alignment vertical="center" wrapText="1"/>
    </xf>
    <xf numFmtId="38" fontId="4" fillId="0" borderId="27" xfId="1" applyNumberFormat="1" applyFont="1" applyBorder="1">
      <alignment vertical="center"/>
    </xf>
    <xf numFmtId="38" fontId="4" fillId="0" borderId="90" xfId="1" applyFont="1" applyFill="1" applyBorder="1" applyAlignment="1" applyProtection="1">
      <alignment vertical="center" shrinkToFit="1"/>
    </xf>
    <xf numFmtId="179" fontId="4" fillId="0" borderId="90" xfId="1" applyNumberFormat="1" applyFont="1" applyFill="1" applyBorder="1" applyAlignment="1" applyProtection="1">
      <alignment vertical="center" shrinkToFit="1"/>
    </xf>
    <xf numFmtId="0" fontId="4" fillId="0" borderId="0" xfId="0" applyFont="1" applyBorder="1" applyAlignment="1">
      <alignment vertical="center" shrinkToFit="1"/>
    </xf>
    <xf numFmtId="38" fontId="4" fillId="0" borderId="16" xfId="1" applyFont="1" applyFill="1" applyBorder="1" applyAlignment="1" applyProtection="1">
      <alignment horizontal="left" vertical="center" shrinkToFit="1"/>
    </xf>
    <xf numFmtId="179" fontId="4" fillId="0" borderId="16" xfId="1" applyNumberFormat="1" applyFont="1" applyFill="1" applyBorder="1" applyAlignment="1" applyProtection="1">
      <alignment vertical="center" shrinkToFit="1"/>
    </xf>
    <xf numFmtId="182" fontId="4" fillId="0" borderId="91" xfId="1" applyNumberFormat="1" applyFont="1" applyFill="1" applyBorder="1" applyAlignment="1" applyProtection="1">
      <alignment vertical="center" shrinkToFit="1"/>
    </xf>
    <xf numFmtId="0" fontId="4" fillId="0" borderId="91" xfId="0" applyFont="1" applyBorder="1" applyAlignment="1">
      <alignment vertical="center" shrinkToFit="1"/>
    </xf>
    <xf numFmtId="38" fontId="9" fillId="0" borderId="0" xfId="1" applyFont="1">
      <alignment vertical="center"/>
    </xf>
    <xf numFmtId="0" fontId="4" fillId="0" borderId="19" xfId="0" applyFont="1" applyBorder="1">
      <alignment vertical="center"/>
    </xf>
    <xf numFmtId="38" fontId="9" fillId="0" borderId="19" xfId="1" applyFont="1" applyBorder="1">
      <alignment vertical="center"/>
    </xf>
    <xf numFmtId="0" fontId="4" fillId="0" borderId="32" xfId="0" applyFont="1" applyBorder="1">
      <alignment vertical="center"/>
    </xf>
    <xf numFmtId="0" fontId="4" fillId="0" borderId="33" xfId="0" applyFont="1" applyBorder="1">
      <alignment vertical="center"/>
    </xf>
    <xf numFmtId="0" fontId="4" fillId="0" borderId="39" xfId="0" applyFont="1" applyBorder="1">
      <alignment vertical="center"/>
    </xf>
    <xf numFmtId="0" fontId="4" fillId="0" borderId="40" xfId="0" applyFont="1" applyBorder="1">
      <alignment vertical="center"/>
    </xf>
    <xf numFmtId="9" fontId="4" fillId="0" borderId="40" xfId="2" applyFont="1" applyBorder="1" applyAlignment="1">
      <alignment horizontal="center" vertical="center" wrapText="1"/>
    </xf>
    <xf numFmtId="9" fontId="4" fillId="0" borderId="19" xfId="2" applyFont="1" applyBorder="1" applyAlignment="1">
      <alignment horizontal="center" vertical="center" wrapText="1"/>
    </xf>
    <xf numFmtId="9" fontId="4" fillId="0" borderId="40" xfId="2" applyFont="1" applyBorder="1">
      <alignment vertical="center"/>
    </xf>
    <xf numFmtId="0" fontId="4" fillId="17" borderId="19" xfId="0" applyFont="1" applyFill="1" applyBorder="1">
      <alignment vertical="center"/>
    </xf>
    <xf numFmtId="38" fontId="9" fillId="17" borderId="19" xfId="1" applyFont="1" applyFill="1" applyBorder="1">
      <alignment vertical="center"/>
    </xf>
    <xf numFmtId="9" fontId="4" fillId="17" borderId="19" xfId="2" applyFont="1" applyFill="1" applyBorder="1">
      <alignment vertical="center"/>
    </xf>
    <xf numFmtId="180" fontId="9" fillId="0" borderId="19" xfId="1" applyNumberFormat="1" applyFont="1" applyBorder="1">
      <alignment vertical="center"/>
    </xf>
    <xf numFmtId="38" fontId="4" fillId="0" borderId="99" xfId="1" applyNumberFormat="1" applyFont="1" applyBorder="1" applyAlignment="1">
      <alignment horizontal="center" vertical="center"/>
    </xf>
    <xf numFmtId="38" fontId="4" fillId="17" borderId="94" xfId="1" applyNumberFormat="1" applyFont="1" applyFill="1" applyBorder="1" applyAlignment="1">
      <alignment vertical="center" shrinkToFit="1"/>
    </xf>
    <xf numFmtId="38" fontId="4" fillId="17" borderId="99" xfId="1" applyNumberFormat="1" applyFont="1" applyFill="1" applyBorder="1" applyAlignment="1">
      <alignment vertical="center" shrinkToFit="1"/>
    </xf>
    <xf numFmtId="38" fontId="4" fillId="0" borderId="101" xfId="1" applyNumberFormat="1" applyFont="1" applyFill="1" applyBorder="1" applyAlignment="1">
      <alignment vertical="center" shrinkToFit="1"/>
    </xf>
    <xf numFmtId="38" fontId="3" fillId="7" borderId="101" xfId="1" applyNumberFormat="1" applyFont="1" applyFill="1" applyBorder="1" applyAlignment="1">
      <alignment vertical="center" shrinkToFit="1"/>
    </xf>
    <xf numFmtId="38" fontId="4" fillId="0" borderId="101" xfId="1" applyNumberFormat="1" applyFont="1" applyBorder="1" applyAlignment="1">
      <alignment vertical="center" shrinkToFit="1"/>
    </xf>
    <xf numFmtId="38" fontId="4" fillId="0" borderId="0" xfId="1" applyNumberFormat="1" applyFont="1" applyBorder="1">
      <alignment vertical="center"/>
    </xf>
    <xf numFmtId="38" fontId="4" fillId="0" borderId="108" xfId="1" applyNumberFormat="1" applyFont="1" applyBorder="1" applyAlignment="1">
      <alignment horizontal="center" vertical="center"/>
    </xf>
    <xf numFmtId="38" fontId="4" fillId="0" borderId="77" xfId="1" applyNumberFormat="1" applyFont="1" applyFill="1" applyBorder="1" applyAlignment="1">
      <alignment horizontal="right" vertical="center"/>
    </xf>
    <xf numFmtId="38" fontId="3" fillId="7" borderId="73" xfId="1" applyNumberFormat="1" applyFont="1" applyFill="1" applyBorder="1" applyAlignment="1">
      <alignment vertical="center" shrinkToFit="1"/>
    </xf>
    <xf numFmtId="38" fontId="3" fillId="7" borderId="100" xfId="1" applyNumberFormat="1" applyFont="1" applyFill="1" applyBorder="1" applyAlignment="1">
      <alignment vertical="center" shrinkToFit="1"/>
    </xf>
    <xf numFmtId="180" fontId="3" fillId="7" borderId="74" xfId="1" applyNumberFormat="1" applyFont="1" applyFill="1" applyBorder="1">
      <alignment vertical="center"/>
    </xf>
    <xf numFmtId="0" fontId="4" fillId="15" borderId="26" xfId="0" applyFont="1" applyFill="1" applyBorder="1" applyAlignment="1">
      <alignment vertical="center" wrapText="1"/>
    </xf>
    <xf numFmtId="38" fontId="4" fillId="15" borderId="71" xfId="1" applyNumberFormat="1" applyFont="1" applyFill="1" applyBorder="1" applyAlignment="1">
      <alignment vertical="center" shrinkToFit="1"/>
    </xf>
    <xf numFmtId="38" fontId="4" fillId="15" borderId="101" xfId="1" applyNumberFormat="1" applyFont="1" applyFill="1" applyBorder="1" applyAlignment="1">
      <alignment vertical="center" shrinkToFit="1"/>
    </xf>
    <xf numFmtId="180" fontId="4" fillId="15" borderId="72" xfId="1" applyNumberFormat="1" applyFont="1" applyFill="1" applyBorder="1">
      <alignment vertical="center"/>
    </xf>
    <xf numFmtId="0" fontId="4" fillId="15" borderId="48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9" fontId="4" fillId="0" borderId="40" xfId="2" applyNumberFormat="1" applyFont="1" applyBorder="1" applyAlignment="1">
      <alignment horizontal="center" vertical="center"/>
    </xf>
    <xf numFmtId="9" fontId="4" fillId="0" borderId="97" xfId="2" applyNumberFormat="1" applyFont="1" applyBorder="1">
      <alignment vertical="center"/>
    </xf>
    <xf numFmtId="0" fontId="4" fillId="15" borderId="50" xfId="0" applyFont="1" applyFill="1" applyBorder="1" applyAlignment="1">
      <alignment horizontal="left" vertical="center" wrapText="1"/>
    </xf>
    <xf numFmtId="0" fontId="4" fillId="15" borderId="61" xfId="0" applyFont="1" applyFill="1" applyBorder="1" applyAlignment="1">
      <alignment horizontal="left" vertical="center" wrapText="1"/>
    </xf>
    <xf numFmtId="38" fontId="4" fillId="15" borderId="25" xfId="1" applyFont="1" applyFill="1" applyBorder="1" applyAlignment="1">
      <alignment vertical="center" shrinkToFit="1"/>
    </xf>
    <xf numFmtId="9" fontId="4" fillId="15" borderId="50" xfId="2" applyNumberFormat="1" applyFont="1" applyFill="1" applyBorder="1" applyAlignment="1">
      <alignment horizontal="right" vertical="center"/>
    </xf>
    <xf numFmtId="38" fontId="4" fillId="15" borderId="94" xfId="1" applyNumberFormat="1" applyFont="1" applyFill="1" applyBorder="1" applyAlignment="1">
      <alignment vertical="center" shrinkToFit="1"/>
    </xf>
    <xf numFmtId="180" fontId="4" fillId="15" borderId="25" xfId="1" applyNumberFormat="1" applyFont="1" applyFill="1" applyBorder="1">
      <alignment vertical="center"/>
    </xf>
    <xf numFmtId="0" fontId="4" fillId="15" borderId="95" xfId="0" applyFont="1" applyFill="1" applyBorder="1" applyAlignment="1">
      <alignment horizontal="left" vertical="center" wrapText="1"/>
    </xf>
    <xf numFmtId="0" fontId="4" fillId="15" borderId="96" xfId="0" applyFont="1" applyFill="1" applyBorder="1" applyAlignment="1">
      <alignment horizontal="left" vertical="center" wrapText="1"/>
    </xf>
    <xf numFmtId="38" fontId="4" fillId="15" borderId="37" xfId="1" applyFont="1" applyFill="1" applyBorder="1" applyAlignment="1">
      <alignment vertical="center" shrinkToFit="1"/>
    </xf>
    <xf numFmtId="9" fontId="4" fillId="15" borderId="95" xfId="2" applyNumberFormat="1" applyFont="1" applyFill="1" applyBorder="1" applyAlignment="1">
      <alignment horizontal="right" vertical="center"/>
    </xf>
    <xf numFmtId="38" fontId="4" fillId="15" borderId="99" xfId="1" applyNumberFormat="1" applyFont="1" applyFill="1" applyBorder="1" applyAlignment="1">
      <alignment vertical="center" shrinkToFit="1"/>
    </xf>
    <xf numFmtId="180" fontId="4" fillId="15" borderId="37" xfId="1" applyNumberFormat="1" applyFont="1" applyFill="1" applyBorder="1">
      <alignment vertical="center"/>
    </xf>
    <xf numFmtId="38" fontId="4" fillId="0" borderId="102" xfId="1" applyNumberFormat="1" applyFont="1" applyBorder="1" applyAlignment="1">
      <alignment horizontal="center" vertical="center"/>
    </xf>
    <xf numFmtId="38" fontId="4" fillId="0" borderId="38" xfId="1" applyNumberFormat="1" applyFont="1" applyFill="1" applyBorder="1" applyAlignment="1">
      <alignment horizontal="right" vertical="center"/>
    </xf>
    <xf numFmtId="38" fontId="4" fillId="17" borderId="60" xfId="1" applyNumberFormat="1" applyFont="1" applyFill="1" applyBorder="1" applyAlignment="1">
      <alignment vertical="center" shrinkToFit="1"/>
    </xf>
    <xf numFmtId="38" fontId="4" fillId="17" borderId="102" xfId="1" applyNumberFormat="1" applyFont="1" applyFill="1" applyBorder="1" applyAlignment="1">
      <alignment vertical="center" shrinkToFit="1"/>
    </xf>
    <xf numFmtId="38" fontId="4" fillId="0" borderId="48" xfId="1" applyNumberFormat="1" applyFont="1" applyFill="1" applyBorder="1" applyAlignment="1">
      <alignment vertical="center" shrinkToFit="1"/>
    </xf>
    <xf numFmtId="38" fontId="4" fillId="0" borderId="26" xfId="1" applyNumberFormat="1" applyFont="1" applyFill="1" applyBorder="1" applyAlignment="1">
      <alignment vertical="center" shrinkToFit="1"/>
    </xf>
    <xf numFmtId="38" fontId="4" fillId="15" borderId="60" xfId="1" applyNumberFormat="1" applyFont="1" applyFill="1" applyBorder="1" applyAlignment="1">
      <alignment vertical="center" shrinkToFit="1"/>
    </xf>
    <xf numFmtId="38" fontId="4" fillId="15" borderId="102" xfId="1" applyNumberFormat="1" applyFont="1" applyFill="1" applyBorder="1" applyAlignment="1">
      <alignment vertical="center" shrinkToFit="1"/>
    </xf>
    <xf numFmtId="38" fontId="4" fillId="0" borderId="26" xfId="1" applyFont="1" applyBorder="1">
      <alignment vertical="center"/>
    </xf>
    <xf numFmtId="38" fontId="4" fillId="0" borderId="48" xfId="1" applyNumberFormat="1" applyFont="1" applyBorder="1" applyAlignment="1">
      <alignment vertical="center" shrinkToFit="1"/>
    </xf>
    <xf numFmtId="38" fontId="4" fillId="0" borderId="27" xfId="1" applyFont="1" applyBorder="1">
      <alignment vertical="center"/>
    </xf>
    <xf numFmtId="9" fontId="4" fillId="0" borderId="40" xfId="2" applyFont="1" applyBorder="1" applyAlignment="1">
      <alignment horizontal="center" vertical="center"/>
    </xf>
    <xf numFmtId="9" fontId="4" fillId="0" borderId="33" xfId="2" applyFont="1" applyFill="1" applyBorder="1" applyAlignment="1">
      <alignment horizontal="right" vertical="center"/>
    </xf>
    <xf numFmtId="9" fontId="4" fillId="17" borderId="25" xfId="2" applyFont="1" applyFill="1" applyBorder="1" applyAlignment="1">
      <alignment vertical="center" shrinkToFit="1"/>
    </xf>
    <xf numFmtId="9" fontId="4" fillId="17" borderId="37" xfId="2" applyFont="1" applyFill="1" applyBorder="1" applyAlignment="1">
      <alignment vertical="center" shrinkToFit="1"/>
    </xf>
    <xf numFmtId="9" fontId="4" fillId="0" borderId="19" xfId="2" applyFont="1" applyFill="1" applyBorder="1" applyAlignment="1">
      <alignment vertical="center" shrinkToFit="1"/>
    </xf>
    <xf numFmtId="9" fontId="4" fillId="15" borderId="25" xfId="2" applyFont="1" applyFill="1" applyBorder="1" applyAlignment="1">
      <alignment vertical="center" shrinkToFit="1"/>
    </xf>
    <xf numFmtId="9" fontId="4" fillId="15" borderId="37" xfId="2" applyFont="1" applyFill="1" applyBorder="1" applyAlignment="1">
      <alignment vertical="center" shrinkToFit="1"/>
    </xf>
    <xf numFmtId="38" fontId="4" fillId="0" borderId="40" xfId="1" applyNumberFormat="1" applyFont="1" applyFill="1" applyBorder="1" applyAlignment="1">
      <alignment horizontal="right" vertical="center"/>
    </xf>
    <xf numFmtId="38" fontId="4" fillId="17" borderId="61" xfId="1" applyNumberFormat="1" applyFont="1" applyFill="1" applyBorder="1" applyAlignment="1">
      <alignment vertical="center" shrinkToFit="1"/>
    </xf>
    <xf numFmtId="38" fontId="4" fillId="17" borderId="96" xfId="1" applyNumberFormat="1" applyFont="1" applyFill="1" applyBorder="1" applyAlignment="1">
      <alignment vertical="center" shrinkToFit="1"/>
    </xf>
    <xf numFmtId="38" fontId="4" fillId="0" borderId="27" xfId="1" applyNumberFormat="1" applyFont="1" applyFill="1" applyBorder="1" applyAlignment="1">
      <alignment vertical="center" shrinkToFit="1"/>
    </xf>
    <xf numFmtId="38" fontId="4" fillId="15" borderId="61" xfId="1" applyNumberFormat="1" applyFont="1" applyFill="1" applyBorder="1" applyAlignment="1">
      <alignment vertical="center" shrinkToFit="1"/>
    </xf>
    <xf numFmtId="38" fontId="4" fillId="15" borderId="96" xfId="1" applyNumberFormat="1" applyFont="1" applyFill="1" applyBorder="1" applyAlignment="1">
      <alignment vertical="center" shrinkToFit="1"/>
    </xf>
    <xf numFmtId="38" fontId="4" fillId="0" borderId="27" xfId="2" applyNumberFormat="1" applyFont="1" applyBorder="1" applyAlignment="1">
      <alignment vertical="center" shrinkToFit="1"/>
    </xf>
    <xf numFmtId="38" fontId="4" fillId="0" borderId="0" xfId="1" applyNumberFormat="1" applyFont="1" applyFill="1" applyBorder="1" applyAlignment="1">
      <alignment horizontal="right" vertical="center"/>
    </xf>
    <xf numFmtId="38" fontId="4" fillId="17" borderId="50" xfId="1" applyNumberFormat="1" applyFont="1" applyFill="1" applyBorder="1" applyAlignment="1">
      <alignment vertical="center" shrinkToFit="1"/>
    </xf>
    <xf numFmtId="38" fontId="4" fillId="17" borderId="95" xfId="1" applyNumberFormat="1" applyFont="1" applyFill="1" applyBorder="1" applyAlignment="1">
      <alignment vertical="center" shrinkToFit="1"/>
    </xf>
    <xf numFmtId="38" fontId="4" fillId="15" borderId="50" xfId="1" applyNumberFormat="1" applyFont="1" applyFill="1" applyBorder="1" applyAlignment="1">
      <alignment vertical="center" shrinkToFit="1"/>
    </xf>
    <xf numFmtId="38" fontId="4" fillId="15" borderId="95" xfId="1" applyNumberFormat="1" applyFont="1" applyFill="1" applyBorder="1" applyAlignment="1">
      <alignment vertical="center" shrinkToFit="1"/>
    </xf>
    <xf numFmtId="38" fontId="4" fillId="0" borderId="26" xfId="1" applyNumberFormat="1" applyFont="1" applyBorder="1" applyAlignment="1">
      <alignment vertical="center" shrinkToFit="1"/>
    </xf>
    <xf numFmtId="38" fontId="2" fillId="15" borderId="25" xfId="1" applyFill="1" applyBorder="1">
      <alignment vertical="center"/>
    </xf>
    <xf numFmtId="9" fontId="4" fillId="15" borderId="25" xfId="2" applyFont="1" applyFill="1" applyBorder="1">
      <alignment vertical="center"/>
    </xf>
    <xf numFmtId="38" fontId="2" fillId="15" borderId="37" xfId="1" applyFill="1" applyBorder="1">
      <alignment vertical="center"/>
    </xf>
    <xf numFmtId="9" fontId="4" fillId="15" borderId="37" xfId="2" applyFont="1" applyFill="1" applyBorder="1">
      <alignment vertical="center"/>
    </xf>
    <xf numFmtId="0" fontId="4" fillId="15" borderId="50" xfId="0" applyFont="1" applyFill="1" applyBorder="1" applyAlignment="1">
      <alignment vertical="center" wrapText="1"/>
    </xf>
    <xf numFmtId="0" fontId="4" fillId="15" borderId="61" xfId="0" applyFont="1" applyFill="1" applyBorder="1">
      <alignment vertical="center"/>
    </xf>
    <xf numFmtId="38" fontId="4" fillId="15" borderId="50" xfId="1" applyFont="1" applyFill="1" applyBorder="1" applyAlignment="1">
      <alignment vertical="center" shrinkToFit="1"/>
    </xf>
    <xf numFmtId="38" fontId="4" fillId="15" borderId="60" xfId="1" applyFont="1" applyFill="1" applyBorder="1" applyAlignment="1">
      <alignment vertical="center" shrinkToFit="1"/>
    </xf>
    <xf numFmtId="0" fontId="4" fillId="15" borderId="70" xfId="0" applyFont="1" applyFill="1" applyBorder="1" applyAlignment="1">
      <alignment vertical="center" wrapText="1"/>
    </xf>
    <xf numFmtId="0" fontId="4" fillId="15" borderId="68" xfId="0" applyFont="1" applyFill="1" applyBorder="1">
      <alignment vertical="center"/>
    </xf>
    <xf numFmtId="38" fontId="4" fillId="15" borderId="36" xfId="1" applyFont="1" applyFill="1" applyBorder="1" applyAlignment="1">
      <alignment vertical="center" shrinkToFit="1"/>
    </xf>
    <xf numFmtId="9" fontId="4" fillId="15" borderId="70" xfId="2" applyNumberFormat="1" applyFont="1" applyFill="1" applyBorder="1" applyAlignment="1">
      <alignment horizontal="right" vertical="center"/>
    </xf>
    <xf numFmtId="38" fontId="4" fillId="15" borderId="70" xfId="1" applyFont="1" applyFill="1" applyBorder="1" applyAlignment="1">
      <alignment vertical="center" shrinkToFit="1"/>
    </xf>
    <xf numFmtId="9" fontId="4" fillId="15" borderId="36" xfId="2" applyFont="1" applyFill="1" applyBorder="1" applyAlignment="1">
      <alignment vertical="center" shrinkToFit="1"/>
    </xf>
    <xf numFmtId="38" fontId="4" fillId="15" borderId="76" xfId="1" applyFont="1" applyFill="1" applyBorder="1" applyAlignment="1">
      <alignment vertical="center" shrinkToFit="1"/>
    </xf>
    <xf numFmtId="180" fontId="4" fillId="15" borderId="36" xfId="1" applyNumberFormat="1" applyFont="1" applyFill="1" applyBorder="1">
      <alignment vertical="center"/>
    </xf>
    <xf numFmtId="38" fontId="4" fillId="15" borderId="76" xfId="1" applyNumberFormat="1" applyFont="1" applyFill="1" applyBorder="1" applyAlignment="1">
      <alignment vertical="center" shrinkToFit="1"/>
    </xf>
    <xf numFmtId="38" fontId="4" fillId="15" borderId="68" xfId="1" applyNumberFormat="1" applyFont="1" applyFill="1" applyBorder="1" applyAlignment="1">
      <alignment vertical="center" shrinkToFit="1"/>
    </xf>
    <xf numFmtId="0" fontId="4" fillId="15" borderId="95" xfId="0" applyFont="1" applyFill="1" applyBorder="1" applyAlignment="1">
      <alignment vertical="center" wrapText="1"/>
    </xf>
    <xf numFmtId="0" fontId="4" fillId="15" borderId="96" xfId="0" applyFont="1" applyFill="1" applyBorder="1">
      <alignment vertical="center"/>
    </xf>
    <xf numFmtId="38" fontId="4" fillId="15" borderId="95" xfId="1" applyFont="1" applyFill="1" applyBorder="1" applyAlignment="1">
      <alignment vertical="center" shrinkToFit="1"/>
    </xf>
    <xf numFmtId="38" fontId="4" fillId="15" borderId="102" xfId="1" applyFont="1" applyFill="1" applyBorder="1" applyAlignment="1">
      <alignment vertical="center" shrinkToFit="1"/>
    </xf>
    <xf numFmtId="38" fontId="2" fillId="15" borderId="36" xfId="1" applyFill="1" applyBorder="1">
      <alignment vertical="center"/>
    </xf>
    <xf numFmtId="9" fontId="4" fillId="15" borderId="36" xfId="2" applyFont="1" applyFill="1" applyBorder="1">
      <alignment vertical="center"/>
    </xf>
    <xf numFmtId="9" fontId="4" fillId="15" borderId="50" xfId="2" applyNumberFormat="1" applyFont="1" applyFill="1" applyBorder="1" applyAlignment="1">
      <alignment vertical="center" shrinkToFit="1"/>
    </xf>
    <xf numFmtId="38" fontId="4" fillId="15" borderId="70" xfId="1" applyNumberFormat="1" applyFont="1" applyFill="1" applyBorder="1" applyAlignment="1">
      <alignment vertical="center" shrinkToFit="1"/>
    </xf>
    <xf numFmtId="38" fontId="4" fillId="15" borderId="81" xfId="1" applyNumberFormat="1" applyFont="1" applyFill="1" applyBorder="1" applyAlignment="1">
      <alignment vertical="center" shrinkToFit="1"/>
    </xf>
    <xf numFmtId="9" fontId="4" fillId="15" borderId="70" xfId="2" applyNumberFormat="1" applyFont="1" applyFill="1" applyBorder="1" applyAlignment="1">
      <alignment vertical="center" shrinkToFit="1"/>
    </xf>
    <xf numFmtId="9" fontId="4" fillId="15" borderId="95" xfId="2" applyNumberFormat="1" applyFont="1" applyFill="1" applyBorder="1" applyAlignment="1">
      <alignment vertical="center" shrinkToFit="1"/>
    </xf>
    <xf numFmtId="38" fontId="2" fillId="17" borderId="19" xfId="1" applyFill="1" applyBorder="1">
      <alignment vertical="center"/>
    </xf>
    <xf numFmtId="0" fontId="4" fillId="17" borderId="27" xfId="0" applyFont="1" applyFill="1" applyBorder="1" applyAlignment="1">
      <alignment horizontal="center" vertical="center"/>
    </xf>
    <xf numFmtId="38" fontId="3" fillId="17" borderId="19" xfId="1" applyFont="1" applyFill="1" applyBorder="1" applyAlignment="1">
      <alignment vertical="center" shrinkToFit="1"/>
    </xf>
    <xf numFmtId="9" fontId="3" fillId="17" borderId="26" xfId="2" applyNumberFormat="1" applyFont="1" applyFill="1" applyBorder="1" applyAlignment="1">
      <alignment vertical="center" shrinkToFit="1"/>
    </xf>
    <xf numFmtId="38" fontId="3" fillId="17" borderId="26" xfId="1" applyNumberFormat="1" applyFont="1" applyFill="1" applyBorder="1" applyAlignment="1">
      <alignment vertical="center" shrinkToFit="1"/>
    </xf>
    <xf numFmtId="9" fontId="3" fillId="17" borderId="19" xfId="2" applyFont="1" applyFill="1" applyBorder="1" applyAlignment="1">
      <alignment vertical="center" shrinkToFit="1"/>
    </xf>
    <xf numFmtId="38" fontId="3" fillId="17" borderId="101" xfId="1" applyNumberFormat="1" applyFont="1" applyFill="1" applyBorder="1" applyAlignment="1">
      <alignment vertical="center" shrinkToFit="1"/>
    </xf>
    <xf numFmtId="38" fontId="3" fillId="17" borderId="48" xfId="1" applyNumberFormat="1" applyFont="1" applyFill="1" applyBorder="1" applyAlignment="1">
      <alignment vertical="center" shrinkToFit="1"/>
    </xf>
    <xf numFmtId="180" fontId="4" fillId="17" borderId="19" xfId="1" applyNumberFormat="1" applyFont="1" applyFill="1" applyBorder="1">
      <alignment vertical="center"/>
    </xf>
    <xf numFmtId="38" fontId="3" fillId="17" borderId="27" xfId="1" applyNumberFormat="1" applyFont="1" applyFill="1" applyBorder="1" applyAlignment="1">
      <alignment vertical="center" shrinkToFit="1"/>
    </xf>
    <xf numFmtId="0" fontId="4" fillId="17" borderId="48" xfId="0" applyFont="1" applyFill="1" applyBorder="1" applyAlignment="1">
      <alignment horizontal="center" vertical="center"/>
    </xf>
    <xf numFmtId="180" fontId="3" fillId="17" borderId="19" xfId="1" applyNumberFormat="1" applyFont="1" applyFill="1" applyBorder="1">
      <alignment vertical="center"/>
    </xf>
    <xf numFmtId="9" fontId="4" fillId="0" borderId="40" xfId="2" applyNumberFormat="1" applyFont="1" applyFill="1" applyBorder="1" applyAlignment="1">
      <alignment horizontal="right" vertical="center" wrapText="1"/>
    </xf>
    <xf numFmtId="9" fontId="4" fillId="17" borderId="61" xfId="2" applyNumberFormat="1" applyFont="1" applyFill="1" applyBorder="1" applyAlignment="1">
      <alignment horizontal="right" vertical="center" shrinkToFit="1"/>
    </xf>
    <xf numFmtId="9" fontId="4" fillId="17" borderId="96" xfId="2" applyNumberFormat="1" applyFont="1" applyFill="1" applyBorder="1" applyAlignment="1">
      <alignment horizontal="right" vertical="center" shrinkToFit="1"/>
    </xf>
    <xf numFmtId="9" fontId="4" fillId="0" borderId="27" xfId="2" applyNumberFormat="1" applyFont="1" applyFill="1" applyBorder="1" applyAlignment="1">
      <alignment horizontal="right" vertical="center" shrinkToFit="1"/>
    </xf>
    <xf numFmtId="9" fontId="4" fillId="15" borderId="61" xfId="2" applyNumberFormat="1" applyFont="1" applyFill="1" applyBorder="1" applyAlignment="1">
      <alignment horizontal="right" vertical="center" shrinkToFit="1"/>
    </xf>
    <xf numFmtId="9" fontId="4" fillId="15" borderId="96" xfId="2" applyNumberFormat="1" applyFont="1" applyFill="1" applyBorder="1" applyAlignment="1">
      <alignment horizontal="right" vertical="center" shrinkToFit="1"/>
    </xf>
    <xf numFmtId="9" fontId="4" fillId="15" borderId="68" xfId="2" applyNumberFormat="1" applyFont="1" applyFill="1" applyBorder="1" applyAlignment="1">
      <alignment horizontal="right" vertical="center" shrinkToFit="1"/>
    </xf>
    <xf numFmtId="9" fontId="4" fillId="0" borderId="27" xfId="2" applyNumberFormat="1" applyFont="1" applyBorder="1" applyAlignment="1">
      <alignment horizontal="right" vertical="center"/>
    </xf>
    <xf numFmtId="9" fontId="3" fillId="17" borderId="27" xfId="2" applyNumberFormat="1" applyFont="1" applyFill="1" applyBorder="1" applyAlignment="1">
      <alignment horizontal="right" vertical="center" shrinkToFit="1"/>
    </xf>
    <xf numFmtId="9" fontId="4" fillId="0" borderId="27" xfId="2" applyNumberFormat="1" applyFont="1" applyBorder="1" applyAlignment="1">
      <alignment horizontal="right" vertical="center" shrinkToFit="1"/>
    </xf>
    <xf numFmtId="38" fontId="4" fillId="0" borderId="32" xfId="1" applyNumberFormat="1" applyFont="1" applyFill="1" applyBorder="1" applyAlignment="1">
      <alignment horizontal="right" vertical="center"/>
    </xf>
    <xf numFmtId="38" fontId="4" fillId="17" borderId="25" xfId="1" applyNumberFormat="1" applyFont="1" applyFill="1" applyBorder="1" applyAlignment="1">
      <alignment vertical="center" shrinkToFit="1"/>
    </xf>
    <xf numFmtId="38" fontId="4" fillId="17" borderId="37" xfId="1" applyNumberFormat="1" applyFont="1" applyFill="1" applyBorder="1" applyAlignment="1">
      <alignment vertical="center" shrinkToFit="1"/>
    </xf>
    <xf numFmtId="38" fontId="4" fillId="0" borderId="19" xfId="1" applyNumberFormat="1" applyFont="1" applyFill="1" applyBorder="1" applyAlignment="1">
      <alignment vertical="center" shrinkToFit="1"/>
    </xf>
    <xf numFmtId="38" fontId="4" fillId="15" borderId="25" xfId="1" applyNumberFormat="1" applyFont="1" applyFill="1" applyBorder="1" applyAlignment="1">
      <alignment vertical="center" shrinkToFit="1"/>
    </xf>
    <xf numFmtId="38" fontId="4" fillId="15" borderId="37" xfId="1" applyNumberFormat="1" applyFont="1" applyFill="1" applyBorder="1" applyAlignment="1">
      <alignment vertical="center" shrinkToFit="1"/>
    </xf>
    <xf numFmtId="38" fontId="4" fillId="15" borderId="36" xfId="1" applyNumberFormat="1" applyFont="1" applyFill="1" applyBorder="1" applyAlignment="1">
      <alignment vertical="center" shrinkToFit="1"/>
    </xf>
    <xf numFmtId="38" fontId="3" fillId="17" borderId="19" xfId="1" applyNumberFormat="1" applyFont="1" applyFill="1" applyBorder="1" applyAlignment="1">
      <alignment vertical="center" shrinkToFit="1"/>
    </xf>
    <xf numFmtId="38" fontId="4" fillId="0" borderId="19" xfId="2" applyNumberFormat="1" applyFont="1" applyBorder="1" applyAlignment="1">
      <alignment vertical="center" shrinkToFit="1"/>
    </xf>
    <xf numFmtId="38" fontId="19" fillId="0" borderId="26" xfId="1" applyNumberFormat="1" applyFont="1" applyBorder="1" applyAlignment="1">
      <alignment vertical="center" shrinkToFit="1"/>
    </xf>
    <xf numFmtId="9" fontId="19" fillId="0" borderId="19" xfId="2" applyFont="1" applyBorder="1" applyAlignment="1">
      <alignment vertical="center" shrinkToFit="1"/>
    </xf>
    <xf numFmtId="38" fontId="2" fillId="0" borderId="39" xfId="1" applyBorder="1">
      <alignment vertical="center"/>
    </xf>
    <xf numFmtId="38" fontId="2" fillId="15" borderId="19" xfId="1" applyFill="1" applyBorder="1">
      <alignment vertical="center"/>
    </xf>
    <xf numFmtId="38" fontId="2" fillId="0" borderId="19" xfId="1" applyFill="1" applyBorder="1">
      <alignment vertical="center"/>
    </xf>
    <xf numFmtId="38" fontId="2" fillId="0" borderId="0" xfId="1" applyFill="1" applyBorder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9" fontId="4" fillId="0" borderId="27" xfId="2" applyNumberFormat="1" applyFont="1" applyBorder="1" applyAlignment="1">
      <alignment vertical="center"/>
    </xf>
    <xf numFmtId="38" fontId="4" fillId="0" borderId="19" xfId="1" applyFont="1" applyBorder="1" applyAlignment="1">
      <alignment horizontal="center" vertical="center" wrapText="1"/>
    </xf>
    <xf numFmtId="38" fontId="4" fillId="17" borderId="27" xfId="1" applyFont="1" applyFill="1" applyBorder="1" applyAlignment="1">
      <alignment vertical="center" shrinkToFit="1"/>
    </xf>
    <xf numFmtId="38" fontId="4" fillId="17" borderId="19" xfId="1" applyFont="1" applyFill="1" applyBorder="1" applyAlignment="1">
      <alignment vertical="center" shrinkToFit="1"/>
    </xf>
    <xf numFmtId="38" fontId="4" fillId="0" borderId="0" xfId="1" applyFont="1" applyAlignment="1">
      <alignment vertical="center" shrinkToFit="1"/>
    </xf>
    <xf numFmtId="38" fontId="4" fillId="17" borderId="33" xfId="1" applyFont="1" applyFill="1" applyBorder="1" applyAlignment="1">
      <alignment vertical="center" shrinkToFit="1"/>
    </xf>
    <xf numFmtId="38" fontId="4" fillId="0" borderId="25" xfId="1" applyFont="1" applyBorder="1" applyAlignment="1">
      <alignment vertical="center" shrinkToFit="1"/>
    </xf>
    <xf numFmtId="38" fontId="4" fillId="0" borderId="36" xfId="1" applyFont="1" applyBorder="1" applyAlignment="1">
      <alignment vertical="center" shrinkToFit="1"/>
    </xf>
    <xf numFmtId="38" fontId="4" fillId="17" borderId="34" xfId="1" applyFont="1" applyFill="1" applyBorder="1" applyAlignment="1">
      <alignment vertical="center" shrinkToFit="1"/>
    </xf>
    <xf numFmtId="38" fontId="4" fillId="0" borderId="37" xfId="1" applyFont="1" applyBorder="1" applyAlignment="1">
      <alignment vertical="center" shrinkToFit="1"/>
    </xf>
    <xf numFmtId="38" fontId="4" fillId="0" borderId="38" xfId="1" applyFont="1" applyBorder="1" applyAlignment="1">
      <alignment vertical="center" shrinkToFit="1"/>
    </xf>
    <xf numFmtId="38" fontId="4" fillId="0" borderId="27" xfId="1" applyFont="1" applyBorder="1" applyAlignment="1">
      <alignment vertical="center" shrinkToFit="1"/>
    </xf>
    <xf numFmtId="38" fontId="4" fillId="0" borderId="33" xfId="1" applyFont="1" applyBorder="1" applyAlignment="1">
      <alignment vertical="center" shrinkToFit="1"/>
    </xf>
    <xf numFmtId="38" fontId="4" fillId="0" borderId="35" xfId="1" applyFont="1" applyBorder="1" applyAlignment="1">
      <alignment vertical="center" shrinkToFit="1"/>
    </xf>
    <xf numFmtId="38" fontId="4" fillId="0" borderId="34" xfId="1" applyFont="1" applyBorder="1" applyAlignment="1">
      <alignment vertical="center" shrinkToFit="1"/>
    </xf>
    <xf numFmtId="38" fontId="4" fillId="17" borderId="38" xfId="1" applyFont="1" applyFill="1" applyBorder="1" applyAlignment="1">
      <alignment vertical="center"/>
    </xf>
    <xf numFmtId="38" fontId="4" fillId="17" borderId="26" xfId="1" applyFont="1" applyFill="1" applyBorder="1" applyAlignment="1">
      <alignment vertical="center"/>
    </xf>
    <xf numFmtId="38" fontId="4" fillId="0" borderId="25" xfId="1" applyFont="1" applyFill="1" applyBorder="1" applyAlignment="1">
      <alignment vertical="center" shrinkToFit="1"/>
    </xf>
    <xf numFmtId="38" fontId="4" fillId="0" borderId="36" xfId="1" applyFont="1" applyFill="1" applyBorder="1" applyAlignment="1">
      <alignment vertical="center" shrinkToFit="1"/>
    </xf>
    <xf numFmtId="176" fontId="3" fillId="0" borderId="3" xfId="0" applyNumberFormat="1" applyFont="1" applyFill="1" applyBorder="1" applyAlignment="1">
      <alignment vertical="center" shrinkToFit="1"/>
    </xf>
    <xf numFmtId="9" fontId="4" fillId="0" borderId="76" xfId="2" applyFont="1" applyBorder="1" applyAlignment="1">
      <alignment horizontal="center" vertical="center"/>
    </xf>
    <xf numFmtId="9" fontId="4" fillId="0" borderId="93" xfId="2" applyFont="1" applyBorder="1" applyAlignment="1">
      <alignment horizontal="center" vertical="center"/>
    </xf>
    <xf numFmtId="9" fontId="4" fillId="15" borderId="101" xfId="2" applyFont="1" applyFill="1" applyBorder="1" applyAlignment="1">
      <alignment vertical="center" shrinkToFit="1"/>
    </xf>
    <xf numFmtId="9" fontId="4" fillId="0" borderId="101" xfId="2" applyFont="1" applyFill="1" applyBorder="1" applyAlignment="1">
      <alignment vertical="center" shrinkToFit="1"/>
    </xf>
    <xf numFmtId="9" fontId="3" fillId="7" borderId="100" xfId="2" applyFont="1" applyFill="1" applyBorder="1" applyAlignment="1">
      <alignment vertical="center" shrinkToFit="1"/>
    </xf>
    <xf numFmtId="9" fontId="4" fillId="0" borderId="101" xfId="2" applyFont="1" applyBorder="1" applyAlignment="1">
      <alignment vertical="center" shrinkToFit="1"/>
    </xf>
    <xf numFmtId="9" fontId="3" fillId="7" borderId="101" xfId="2" applyFont="1" applyFill="1" applyBorder="1" applyAlignment="1">
      <alignment vertical="center" shrinkToFit="1"/>
    </xf>
    <xf numFmtId="178" fontId="4" fillId="0" borderId="72" xfId="2" applyNumberFormat="1" applyFont="1" applyFill="1" applyBorder="1" applyAlignment="1">
      <alignment horizontal="right" vertical="center" shrinkToFit="1"/>
    </xf>
    <xf numFmtId="178" fontId="4" fillId="0" borderId="0" xfId="2" applyNumberFormat="1" applyFont="1" applyAlignment="1">
      <alignment horizontal="right" vertical="center"/>
    </xf>
    <xf numFmtId="38" fontId="4" fillId="0" borderId="109" xfId="1" applyFont="1" applyBorder="1" applyAlignment="1">
      <alignment vertical="center" shrinkToFit="1"/>
    </xf>
    <xf numFmtId="38" fontId="4" fillId="0" borderId="25" xfId="1" applyFont="1" applyFill="1" applyBorder="1" applyAlignment="1" applyProtection="1">
      <alignment vertical="center" shrinkToFit="1"/>
    </xf>
    <xf numFmtId="178" fontId="4" fillId="0" borderId="27" xfId="2" applyNumberFormat="1" applyFont="1" applyBorder="1" applyAlignment="1">
      <alignment horizontal="center" vertical="center"/>
    </xf>
    <xf numFmtId="178" fontId="4" fillId="0" borderId="38" xfId="2" applyNumberFormat="1" applyFont="1" applyFill="1" applyBorder="1" applyAlignment="1">
      <alignment horizontal="right" vertical="center"/>
    </xf>
    <xf numFmtId="178" fontId="4" fillId="15" borderId="38" xfId="2" applyNumberFormat="1" applyFont="1" applyFill="1" applyBorder="1" applyAlignment="1">
      <alignment horizontal="right" vertical="center"/>
    </xf>
    <xf numFmtId="178" fontId="4" fillId="15" borderId="26" xfId="2" applyNumberFormat="1" applyFont="1" applyFill="1" applyBorder="1" applyAlignment="1">
      <alignment vertical="center" shrinkToFit="1"/>
    </xf>
    <xf numFmtId="178" fontId="3" fillId="7" borderId="38" xfId="2" applyNumberFormat="1" applyFont="1" applyFill="1" applyBorder="1" applyAlignment="1">
      <alignment vertical="center" shrinkToFit="1"/>
    </xf>
    <xf numFmtId="178" fontId="4" fillId="0" borderId="26" xfId="2" applyNumberFormat="1" applyFont="1" applyBorder="1" applyAlignment="1">
      <alignment vertical="center" shrinkToFit="1"/>
    </xf>
    <xf numFmtId="38" fontId="4" fillId="0" borderId="35" xfId="1" applyFont="1" applyFill="1" applyBorder="1" applyAlignment="1">
      <alignment vertical="center" shrinkToFit="1"/>
    </xf>
    <xf numFmtId="38" fontId="4" fillId="0" borderId="0" xfId="1" applyFont="1" applyFill="1" applyBorder="1" applyAlignment="1">
      <alignment vertical="center" shrinkToFit="1"/>
    </xf>
    <xf numFmtId="38" fontId="4" fillId="0" borderId="68" xfId="1" applyFont="1" applyBorder="1" applyAlignment="1">
      <alignment vertical="center" shrinkToFit="1"/>
    </xf>
    <xf numFmtId="38" fontId="4" fillId="0" borderId="110" xfId="1" applyFont="1" applyBorder="1" applyAlignment="1">
      <alignment vertical="center" shrinkToFit="1"/>
    </xf>
    <xf numFmtId="38" fontId="4" fillId="0" borderId="59" xfId="1" applyFont="1" applyBorder="1" applyAlignment="1">
      <alignment vertical="center" shrinkToFit="1"/>
    </xf>
    <xf numFmtId="38" fontId="4" fillId="0" borderId="0" xfId="1" applyNumberFormat="1" applyFont="1" applyAlignment="1">
      <alignment vertical="center" shrinkToFit="1"/>
    </xf>
    <xf numFmtId="38" fontId="4" fillId="0" borderId="57" xfId="1" applyNumberFormat="1" applyFont="1" applyBorder="1" applyAlignment="1">
      <alignment vertical="center"/>
    </xf>
    <xf numFmtId="38" fontId="4" fillId="15" borderId="19" xfId="1" applyNumberFormat="1" applyFont="1" applyFill="1" applyBorder="1" applyAlignment="1">
      <alignment vertical="center" shrinkToFit="1"/>
    </xf>
    <xf numFmtId="38" fontId="3" fillId="7" borderId="32" xfId="1" applyNumberFormat="1" applyFont="1" applyFill="1" applyBorder="1" applyAlignment="1">
      <alignment vertical="center" shrinkToFit="1"/>
    </xf>
    <xf numFmtId="38" fontId="4" fillId="0" borderId="19" xfId="1" applyNumberFormat="1" applyFont="1" applyBorder="1" applyAlignment="1">
      <alignment vertical="center" shrinkToFit="1"/>
    </xf>
    <xf numFmtId="38" fontId="3" fillId="7" borderId="19" xfId="1" applyNumberFormat="1" applyFont="1" applyFill="1" applyBorder="1" applyAlignment="1">
      <alignment vertical="center" shrinkToFit="1"/>
    </xf>
    <xf numFmtId="0" fontId="4" fillId="0" borderId="26" xfId="0" applyFont="1" applyFill="1" applyBorder="1" applyAlignment="1">
      <alignment vertical="center" shrinkToFit="1"/>
    </xf>
    <xf numFmtId="176" fontId="4" fillId="0" borderId="48" xfId="1" applyNumberFormat="1" applyFont="1" applyFill="1" applyBorder="1" applyAlignment="1" applyProtection="1">
      <alignment vertical="center" shrinkToFit="1"/>
    </xf>
    <xf numFmtId="0" fontId="4" fillId="0" borderId="38" xfId="0" applyFont="1" applyFill="1" applyBorder="1" applyAlignment="1">
      <alignment vertical="center" shrinkToFit="1"/>
    </xf>
    <xf numFmtId="176" fontId="4" fillId="0" borderId="39" xfId="1" applyNumberFormat="1" applyFont="1" applyFill="1" applyBorder="1" applyAlignment="1" applyProtection="1">
      <alignment vertical="center" shrinkToFit="1"/>
    </xf>
    <xf numFmtId="0" fontId="4" fillId="0" borderId="57" xfId="0" applyFont="1" applyFill="1" applyBorder="1" applyAlignment="1">
      <alignment vertical="center" shrinkToFit="1"/>
    </xf>
    <xf numFmtId="176" fontId="4" fillId="0" borderId="82" xfId="1" applyNumberFormat="1" applyFont="1" applyFill="1" applyBorder="1" applyAlignment="1" applyProtection="1">
      <alignment vertical="center" shrinkToFit="1"/>
    </xf>
    <xf numFmtId="179" fontId="4" fillId="0" borderId="82" xfId="1" applyNumberFormat="1" applyFont="1" applyFill="1" applyBorder="1" applyAlignment="1" applyProtection="1">
      <alignment vertical="center" shrinkToFit="1"/>
    </xf>
    <xf numFmtId="179" fontId="4" fillId="0" borderId="1" xfId="1" applyNumberFormat="1" applyFont="1" applyFill="1" applyBorder="1" applyAlignment="1" applyProtection="1">
      <alignment vertical="center" shrinkToFit="1"/>
    </xf>
    <xf numFmtId="179" fontId="4" fillId="0" borderId="32" xfId="1" applyNumberFormat="1" applyFont="1" applyFill="1" applyBorder="1" applyAlignment="1" applyProtection="1">
      <alignment vertical="center" shrinkToFit="1"/>
    </xf>
    <xf numFmtId="179" fontId="4" fillId="0" borderId="33" xfId="1" applyNumberFormat="1" applyFont="1" applyFill="1" applyBorder="1" applyAlignment="1" applyProtection="1">
      <alignment vertical="center" shrinkToFit="1"/>
    </xf>
    <xf numFmtId="179" fontId="4" fillId="0" borderId="19" xfId="1" applyNumberFormat="1" applyFont="1" applyFill="1" applyBorder="1" applyAlignment="1" applyProtection="1">
      <alignment vertical="center" shrinkToFit="1"/>
    </xf>
    <xf numFmtId="0" fontId="4" fillId="0" borderId="82" xfId="0" applyFont="1" applyFill="1" applyBorder="1" applyAlignment="1">
      <alignment vertical="center" shrinkToFit="1"/>
    </xf>
    <xf numFmtId="38" fontId="2" fillId="0" borderId="2" xfId="1" applyFill="1" applyBorder="1" applyProtection="1">
      <alignment vertical="center"/>
    </xf>
    <xf numFmtId="38" fontId="2" fillId="0" borderId="3" xfId="1" applyFill="1" applyBorder="1" applyProtection="1">
      <alignment vertical="center"/>
    </xf>
    <xf numFmtId="38" fontId="2" fillId="0" borderId="90" xfId="1" applyFill="1" applyBorder="1" applyProtection="1">
      <alignment vertical="center"/>
    </xf>
    <xf numFmtId="38" fontId="2" fillId="0" borderId="16" xfId="1" applyFill="1" applyBorder="1" applyProtection="1">
      <alignment vertical="center"/>
    </xf>
    <xf numFmtId="38" fontId="2" fillId="0" borderId="1" xfId="1" applyFill="1" applyBorder="1" applyProtection="1">
      <alignment vertical="center"/>
    </xf>
    <xf numFmtId="38" fontId="4" fillId="18" borderId="37" xfId="1" applyFont="1" applyFill="1" applyBorder="1" applyAlignment="1">
      <alignment vertical="center" shrinkToFit="1"/>
    </xf>
    <xf numFmtId="38" fontId="4" fillId="18" borderId="95" xfId="1" applyFont="1" applyFill="1" applyBorder="1" applyAlignment="1">
      <alignment vertical="center" shrinkToFit="1"/>
    </xf>
    <xf numFmtId="38" fontId="4" fillId="18" borderId="97" xfId="1" applyFont="1" applyFill="1" applyBorder="1" applyAlignment="1">
      <alignment vertical="center" shrinkToFit="1"/>
    </xf>
    <xf numFmtId="38" fontId="4" fillId="18" borderId="34" xfId="1" applyFont="1" applyFill="1" applyBorder="1" applyAlignment="1">
      <alignment vertical="center" shrinkToFit="1"/>
    </xf>
    <xf numFmtId="38" fontId="4" fillId="18" borderId="19" xfId="1" applyFont="1" applyFill="1" applyBorder="1" applyAlignment="1">
      <alignment vertical="center" shrinkToFit="1"/>
    </xf>
    <xf numFmtId="38" fontId="4" fillId="18" borderId="27" xfId="1" applyFont="1" applyFill="1" applyBorder="1" applyAlignment="1">
      <alignment vertical="center" shrinkToFit="1"/>
    </xf>
    <xf numFmtId="38" fontId="4" fillId="0" borderId="70" xfId="1" applyFont="1" applyFill="1" applyBorder="1" applyAlignment="1" applyProtection="1">
      <alignment vertical="center" shrinkToFit="1"/>
    </xf>
    <xf numFmtId="38" fontId="4" fillId="18" borderId="43" xfId="1" applyFont="1" applyFill="1" applyBorder="1" applyAlignment="1">
      <alignment vertical="center" shrinkToFit="1"/>
    </xf>
    <xf numFmtId="38" fontId="4" fillId="18" borderId="26" xfId="1" applyFont="1" applyFill="1" applyBorder="1" applyAlignment="1">
      <alignment vertical="center" shrinkToFit="1"/>
    </xf>
    <xf numFmtId="38" fontId="4" fillId="18" borderId="57" xfId="1" applyFont="1" applyFill="1" applyBorder="1" applyAlignment="1">
      <alignment vertical="center" shrinkToFit="1"/>
    </xf>
    <xf numFmtId="38" fontId="4" fillId="18" borderId="33" xfId="1" applyFont="1" applyFill="1" applyBorder="1" applyAlignment="1">
      <alignment vertical="center" shrinkToFit="1"/>
    </xf>
    <xf numFmtId="38" fontId="4" fillId="18" borderId="38" xfId="1" applyFont="1" applyFill="1" applyBorder="1" applyAlignment="1">
      <alignment vertical="center"/>
    </xf>
    <xf numFmtId="38" fontId="4" fillId="0" borderId="0" xfId="1" applyFont="1" applyFill="1" applyAlignment="1">
      <alignment vertical="center" shrinkToFit="1"/>
    </xf>
    <xf numFmtId="178" fontId="4" fillId="0" borderId="0" xfId="2" applyNumberFormat="1" applyFont="1" applyFill="1" applyBorder="1" applyAlignment="1" applyProtection="1">
      <alignment vertical="center" shrinkToFit="1"/>
    </xf>
    <xf numFmtId="178" fontId="4" fillId="0" borderId="8" xfId="0" applyNumberFormat="1" applyFont="1" applyFill="1" applyBorder="1" applyAlignment="1">
      <alignment horizontal="center" vertical="center" shrinkToFit="1"/>
    </xf>
    <xf numFmtId="178" fontId="4" fillId="0" borderId="10" xfId="0" applyNumberFormat="1" applyFont="1" applyFill="1" applyBorder="1" applyAlignment="1">
      <alignment horizontal="center" vertical="center" shrinkToFit="1"/>
    </xf>
    <xf numFmtId="178" fontId="4" fillId="0" borderId="3" xfId="0" applyNumberFormat="1" applyFont="1" applyFill="1" applyBorder="1" applyAlignment="1">
      <alignment horizontal="center" vertical="center" shrinkToFit="1"/>
    </xf>
    <xf numFmtId="178" fontId="4" fillId="0" borderId="2" xfId="0" applyNumberFormat="1" applyFont="1" applyFill="1" applyBorder="1" applyAlignment="1">
      <alignment vertical="center" shrinkToFit="1"/>
    </xf>
    <xf numFmtId="178" fontId="4" fillId="0" borderId="11" xfId="0" applyNumberFormat="1" applyFont="1" applyFill="1" applyBorder="1" applyAlignment="1">
      <alignment vertical="center" shrinkToFit="1"/>
    </xf>
    <xf numFmtId="178" fontId="4" fillId="0" borderId="90" xfId="0" applyNumberFormat="1" applyFont="1" applyFill="1" applyBorder="1" applyAlignment="1">
      <alignment vertical="center" shrinkToFit="1"/>
    </xf>
    <xf numFmtId="178" fontId="4" fillId="0" borderId="0" xfId="0" applyNumberFormat="1" applyFont="1" applyFill="1" applyAlignment="1">
      <alignment vertical="center" shrinkToFit="1"/>
    </xf>
    <xf numFmtId="178" fontId="4" fillId="0" borderId="16" xfId="0" applyNumberFormat="1" applyFont="1" applyFill="1" applyBorder="1" applyAlignment="1">
      <alignment vertical="center" shrinkToFit="1"/>
    </xf>
    <xf numFmtId="178" fontId="4" fillId="0" borderId="98" xfId="0" applyNumberFormat="1" applyFont="1" applyFill="1" applyBorder="1" applyAlignment="1">
      <alignment vertical="center" shrinkToFit="1"/>
    </xf>
    <xf numFmtId="186" fontId="4" fillId="0" borderId="11" xfId="0" applyNumberFormat="1" applyFont="1" applyFill="1" applyBorder="1" applyAlignment="1">
      <alignment vertical="center" shrinkToFit="1"/>
    </xf>
    <xf numFmtId="185" fontId="4" fillId="0" borderId="11" xfId="2" applyNumberFormat="1" applyFont="1" applyFill="1" applyBorder="1" applyAlignment="1">
      <alignment vertical="center" shrinkToFit="1"/>
    </xf>
    <xf numFmtId="179" fontId="4" fillId="0" borderId="0" xfId="0" applyNumberFormat="1" applyFont="1" applyFill="1" applyAlignment="1">
      <alignment vertical="center" shrinkToFit="1"/>
    </xf>
    <xf numFmtId="38" fontId="2" fillId="0" borderId="11" xfId="1" applyFill="1" applyBorder="1">
      <alignment vertical="center"/>
    </xf>
    <xf numFmtId="178" fontId="4" fillId="0" borderId="1" xfId="0" applyNumberFormat="1" applyFont="1" applyFill="1" applyBorder="1" applyAlignment="1">
      <alignment vertical="center" shrinkToFit="1"/>
    </xf>
    <xf numFmtId="0" fontId="9" fillId="0" borderId="10" xfId="0" applyFont="1" applyFill="1" applyBorder="1" applyAlignment="1">
      <alignment horizontal="center" vertical="center" shrinkToFit="1"/>
    </xf>
    <xf numFmtId="179" fontId="3" fillId="0" borderId="3" xfId="0" applyNumberFormat="1" applyFont="1" applyFill="1" applyBorder="1" applyAlignment="1">
      <alignment vertical="center" shrinkToFit="1"/>
    </xf>
    <xf numFmtId="38" fontId="2" fillId="0" borderId="3" xfId="1" applyFill="1" applyBorder="1">
      <alignment vertical="center"/>
    </xf>
    <xf numFmtId="38" fontId="3" fillId="0" borderId="9" xfId="0" applyNumberFormat="1" applyFont="1" applyFill="1" applyBorder="1" applyAlignment="1">
      <alignment vertical="center" shrinkToFit="1"/>
    </xf>
    <xf numFmtId="182" fontId="3" fillId="0" borderId="2" xfId="1" applyNumberFormat="1" applyFont="1" applyFill="1" applyBorder="1" applyAlignment="1" applyProtection="1">
      <alignment vertical="center" shrinkToFit="1"/>
    </xf>
    <xf numFmtId="38" fontId="3" fillId="0" borderId="2" xfId="0" applyNumberFormat="1" applyFont="1" applyFill="1" applyBorder="1" applyAlignment="1">
      <alignment vertical="center" shrinkToFit="1"/>
    </xf>
    <xf numFmtId="38" fontId="2" fillId="0" borderId="40" xfId="1" applyFill="1" applyBorder="1">
      <alignment vertical="center"/>
    </xf>
    <xf numFmtId="38" fontId="2" fillId="0" borderId="46" xfId="1" applyFill="1" applyBorder="1">
      <alignment vertical="center"/>
    </xf>
    <xf numFmtId="0" fontId="4" fillId="0" borderId="43" xfId="0" applyFont="1" applyFill="1" applyBorder="1" applyAlignment="1">
      <alignment horizontal="right" vertical="center" shrinkToFit="1"/>
    </xf>
    <xf numFmtId="179" fontId="4" fillId="0" borderId="34" xfId="1" applyNumberFormat="1" applyFont="1" applyFill="1" applyBorder="1" applyAlignment="1" applyProtection="1">
      <alignment vertical="center" shrinkToFit="1"/>
    </xf>
    <xf numFmtId="38" fontId="2" fillId="0" borderId="97" xfId="1" applyFill="1" applyBorder="1">
      <alignment vertical="center"/>
    </xf>
    <xf numFmtId="38" fontId="2" fillId="0" borderId="82" xfId="1" applyFill="1" applyBorder="1">
      <alignment vertical="center"/>
    </xf>
    <xf numFmtId="178" fontId="4" fillId="0" borderId="0" xfId="0" applyNumberFormat="1" applyFont="1" applyFill="1" applyBorder="1" applyAlignment="1">
      <alignment vertical="center" shrinkToFit="1"/>
    </xf>
    <xf numFmtId="38" fontId="2" fillId="0" borderId="27" xfId="1" applyFill="1" applyBorder="1">
      <alignment vertical="center"/>
    </xf>
    <xf numFmtId="0" fontId="4" fillId="15" borderId="3" xfId="0" applyFont="1" applyFill="1" applyBorder="1" applyAlignment="1">
      <alignment horizontal="right" vertical="center" shrinkToFit="1"/>
    </xf>
    <xf numFmtId="0" fontId="4" fillId="15" borderId="3" xfId="0" applyFont="1" applyFill="1" applyBorder="1" applyAlignment="1">
      <alignment vertical="center" shrinkToFit="1"/>
    </xf>
    <xf numFmtId="179" fontId="4" fillId="15" borderId="3" xfId="1" applyNumberFormat="1" applyFont="1" applyFill="1" applyBorder="1" applyAlignment="1" applyProtection="1">
      <alignment vertical="center" shrinkToFit="1"/>
    </xf>
    <xf numFmtId="38" fontId="2" fillId="15" borderId="3" xfId="1" applyFill="1" applyBorder="1" applyProtection="1">
      <alignment vertical="center"/>
    </xf>
    <xf numFmtId="178" fontId="4" fillId="15" borderId="9" xfId="0" applyNumberFormat="1" applyFont="1" applyFill="1" applyBorder="1" applyAlignment="1">
      <alignment vertical="center" shrinkToFit="1"/>
    </xf>
    <xf numFmtId="182" fontId="4" fillId="15" borderId="3" xfId="1" applyNumberFormat="1" applyFont="1" applyFill="1" applyBorder="1" applyAlignment="1" applyProtection="1">
      <alignment vertical="center" shrinkToFit="1"/>
    </xf>
    <xf numFmtId="178" fontId="4" fillId="15" borderId="3" xfId="0" applyNumberFormat="1" applyFont="1" applyFill="1" applyBorder="1" applyAlignment="1">
      <alignment vertical="center" shrinkToFit="1"/>
    </xf>
    <xf numFmtId="179" fontId="4" fillId="15" borderId="12" xfId="1" applyNumberFormat="1" applyFont="1" applyFill="1" applyBorder="1" applyAlignment="1" applyProtection="1">
      <alignment vertical="center" shrinkToFit="1"/>
    </xf>
    <xf numFmtId="38" fontId="2" fillId="15" borderId="12" xfId="1" applyFill="1" applyBorder="1" applyProtection="1">
      <alignment vertical="center"/>
    </xf>
    <xf numFmtId="0" fontId="4" fillId="15" borderId="1" xfId="0" applyFont="1" applyFill="1" applyBorder="1" applyAlignment="1">
      <alignment horizontal="right" vertical="center" shrinkToFit="1"/>
    </xf>
    <xf numFmtId="0" fontId="4" fillId="15" borderId="1" xfId="0" applyFont="1" applyFill="1" applyBorder="1" applyAlignment="1">
      <alignment vertical="center" shrinkToFit="1"/>
    </xf>
    <xf numFmtId="176" fontId="4" fillId="15" borderId="1" xfId="1" applyNumberFormat="1" applyFont="1" applyFill="1" applyBorder="1" applyAlignment="1" applyProtection="1">
      <alignment vertical="center" shrinkToFit="1"/>
    </xf>
    <xf numFmtId="179" fontId="4" fillId="15" borderId="1" xfId="1" applyNumberFormat="1" applyFont="1" applyFill="1" applyBorder="1" applyAlignment="1" applyProtection="1">
      <alignment vertical="center" shrinkToFit="1"/>
    </xf>
    <xf numFmtId="38" fontId="2" fillId="15" borderId="1" xfId="1" applyFill="1" applyBorder="1" applyProtection="1">
      <alignment vertical="center"/>
    </xf>
    <xf numFmtId="178" fontId="4" fillId="15" borderId="13" xfId="0" applyNumberFormat="1" applyFont="1" applyFill="1" applyBorder="1" applyAlignment="1">
      <alignment vertical="center" shrinkToFit="1"/>
    </xf>
    <xf numFmtId="38" fontId="4" fillId="0" borderId="109" xfId="1" applyFont="1" applyFill="1" applyBorder="1" applyAlignment="1">
      <alignment vertical="center" shrinkToFit="1"/>
    </xf>
    <xf numFmtId="38" fontId="4" fillId="0" borderId="112" xfId="1" applyFont="1" applyBorder="1" applyAlignment="1">
      <alignment vertical="center" shrinkToFit="1"/>
    </xf>
    <xf numFmtId="38" fontId="4" fillId="0" borderId="57" xfId="1" applyFont="1" applyFill="1" applyBorder="1" applyAlignment="1" applyProtection="1">
      <alignment vertical="center" shrinkToFit="1"/>
    </xf>
    <xf numFmtId="0" fontId="4" fillId="0" borderId="38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38" fontId="2" fillId="0" borderId="0" xfId="1">
      <alignment vertical="center"/>
    </xf>
    <xf numFmtId="38" fontId="4" fillId="9" borderId="0" xfId="1" applyFont="1" applyFill="1" applyAlignment="1">
      <alignment vertical="center" shrinkToFit="1"/>
    </xf>
    <xf numFmtId="9" fontId="4" fillId="0" borderId="40" xfId="2" applyFont="1" applyBorder="1" applyAlignment="1">
      <alignment vertical="center"/>
    </xf>
    <xf numFmtId="180" fontId="4" fillId="0" borderId="0" xfId="1" applyNumberFormat="1" applyFont="1" applyFill="1" applyBorder="1">
      <alignment vertical="center"/>
    </xf>
    <xf numFmtId="0" fontId="18" fillId="0" borderId="0" xfId="0" applyFont="1" applyFill="1" applyBorder="1" applyAlignment="1">
      <alignment horizontal="center" vertical="center"/>
    </xf>
    <xf numFmtId="180" fontId="4" fillId="0" borderId="57" xfId="1" applyNumberFormat="1" applyFont="1" applyFill="1" applyBorder="1" applyAlignment="1">
      <alignment horizontal="center" vertical="center"/>
    </xf>
    <xf numFmtId="180" fontId="3" fillId="0" borderId="0" xfId="1" applyNumberFormat="1" applyFont="1" applyFill="1" applyBorder="1">
      <alignment vertical="center"/>
    </xf>
    <xf numFmtId="180" fontId="21" fillId="0" borderId="0" xfId="1" applyNumberFormat="1" applyFont="1" applyFill="1" applyBorder="1">
      <alignment vertical="center"/>
    </xf>
    <xf numFmtId="38" fontId="4" fillId="0" borderId="0" xfId="1" applyFont="1" applyFill="1">
      <alignment vertical="center"/>
    </xf>
    <xf numFmtId="38" fontId="2" fillId="0" borderId="0" xfId="1">
      <alignment vertical="center"/>
    </xf>
    <xf numFmtId="38" fontId="2" fillId="0" borderId="0" xfId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57" xfId="0" applyFont="1" applyFill="1" applyBorder="1">
      <alignment vertical="center"/>
    </xf>
    <xf numFmtId="0" fontId="4" fillId="0" borderId="39" xfId="0" applyFont="1" applyFill="1" applyBorder="1" applyAlignment="1">
      <alignment vertical="center" wrapText="1"/>
    </xf>
    <xf numFmtId="9" fontId="14" fillId="0" borderId="0" xfId="2" applyFont="1">
      <alignment vertical="center"/>
    </xf>
    <xf numFmtId="9" fontId="4" fillId="0" borderId="19" xfId="2" applyFont="1" applyFill="1" applyBorder="1">
      <alignment vertical="center"/>
    </xf>
    <xf numFmtId="38" fontId="2" fillId="0" borderId="0" xfId="1">
      <alignment vertical="center"/>
    </xf>
    <xf numFmtId="0" fontId="0" fillId="0" borderId="0" xfId="0" applyAlignment="1">
      <alignment horizontal="right" vertical="center"/>
    </xf>
    <xf numFmtId="0" fontId="0" fillId="7" borderId="0" xfId="0" applyFill="1">
      <alignment vertical="center"/>
    </xf>
    <xf numFmtId="0" fontId="0" fillId="7" borderId="0" xfId="0" applyFill="1" applyAlignment="1">
      <alignment horizontal="right" vertical="center"/>
    </xf>
    <xf numFmtId="38" fontId="2" fillId="7" borderId="0" xfId="1" applyFill="1">
      <alignment vertical="center"/>
    </xf>
    <xf numFmtId="38" fontId="2" fillId="19" borderId="0" xfId="1" applyFill="1">
      <alignment vertical="center"/>
    </xf>
    <xf numFmtId="38" fontId="2" fillId="19" borderId="82" xfId="1" applyFill="1" applyBorder="1">
      <alignment vertical="center"/>
    </xf>
    <xf numFmtId="38" fontId="2" fillId="0" borderId="82" xfId="1" applyBorder="1">
      <alignment vertical="center"/>
    </xf>
    <xf numFmtId="0" fontId="0" fillId="0" borderId="82" xfId="0" applyBorder="1" applyAlignment="1">
      <alignment horizontal="right" vertical="center"/>
    </xf>
    <xf numFmtId="0" fontId="0" fillId="7" borderId="82" xfId="0" applyFill="1" applyBorder="1">
      <alignment vertical="center"/>
    </xf>
    <xf numFmtId="38" fontId="2" fillId="7" borderId="82" xfId="1" applyFill="1" applyBorder="1">
      <alignment vertical="center"/>
    </xf>
    <xf numFmtId="0" fontId="0" fillId="0" borderId="48" xfId="0" applyBorder="1">
      <alignment vertical="center"/>
    </xf>
    <xf numFmtId="38" fontId="2" fillId="0" borderId="48" xfId="1" applyBorder="1" applyAlignment="1">
      <alignment horizontal="center" vertical="center"/>
    </xf>
    <xf numFmtId="38" fontId="2" fillId="19" borderId="48" xfId="1" applyFill="1" applyBorder="1" applyAlignment="1">
      <alignment horizontal="center" vertical="center"/>
    </xf>
    <xf numFmtId="38" fontId="0" fillId="0" borderId="48" xfId="1" applyFont="1" applyBorder="1" applyAlignment="1">
      <alignment horizontal="center" vertical="center"/>
    </xf>
    <xf numFmtId="38" fontId="2" fillId="0" borderId="26" xfId="1" applyBorder="1" applyAlignment="1">
      <alignment horizontal="center" vertical="center"/>
    </xf>
    <xf numFmtId="38" fontId="2" fillId="0" borderId="57" xfId="1" applyBorder="1">
      <alignment vertical="center"/>
    </xf>
    <xf numFmtId="38" fontId="2" fillId="0" borderId="43" xfId="1" applyBorder="1">
      <alignment vertical="center"/>
    </xf>
    <xf numFmtId="38" fontId="2" fillId="7" borderId="57" xfId="1" applyFill="1" applyBorder="1">
      <alignment vertical="center"/>
    </xf>
    <xf numFmtId="38" fontId="2" fillId="7" borderId="43" xfId="1" applyFill="1" applyBorder="1">
      <alignment vertical="center"/>
    </xf>
    <xf numFmtId="38" fontId="2" fillId="7" borderId="111" xfId="1" applyFill="1" applyBorder="1">
      <alignment vertical="center"/>
    </xf>
    <xf numFmtId="38" fontId="25" fillId="0" borderId="57" xfId="1" applyFont="1" applyBorder="1" applyAlignment="1">
      <alignment horizontal="right" vertical="center"/>
    </xf>
    <xf numFmtId="38" fontId="25" fillId="0" borderId="0" xfId="1" applyFont="1" applyAlignment="1">
      <alignment horizontal="right" vertical="center"/>
    </xf>
    <xf numFmtId="38" fontId="25" fillId="19" borderId="0" xfId="1" applyFont="1" applyFill="1" applyAlignment="1">
      <alignment horizontal="right" vertical="center"/>
    </xf>
    <xf numFmtId="38" fontId="26" fillId="0" borderId="0" xfId="1" applyFont="1">
      <alignment vertical="center"/>
    </xf>
    <xf numFmtId="38" fontId="26" fillId="19" borderId="0" xfId="1" applyFont="1" applyFill="1">
      <alignment vertical="center"/>
    </xf>
    <xf numFmtId="0" fontId="27" fillId="0" borderId="0" xfId="0" applyFont="1" applyAlignment="1">
      <alignment horizontal="right" vertical="center"/>
    </xf>
    <xf numFmtId="0" fontId="27" fillId="0" borderId="82" xfId="0" applyFont="1" applyBorder="1" applyAlignment="1">
      <alignment horizontal="right" vertical="center"/>
    </xf>
    <xf numFmtId="38" fontId="27" fillId="0" borderId="43" xfId="1" applyFont="1" applyBorder="1" applyAlignment="1">
      <alignment horizontal="right" vertical="center"/>
    </xf>
    <xf numFmtId="38" fontId="27" fillId="0" borderId="82" xfId="1" applyFont="1" applyBorder="1" applyAlignment="1">
      <alignment horizontal="right" vertical="center"/>
    </xf>
    <xf numFmtId="38" fontId="28" fillId="19" borderId="82" xfId="1" applyFont="1" applyFill="1" applyBorder="1">
      <alignment vertical="center"/>
    </xf>
    <xf numFmtId="38" fontId="28" fillId="0" borderId="82" xfId="1" applyFont="1" applyBorder="1">
      <alignment vertical="center"/>
    </xf>
    <xf numFmtId="38" fontId="2" fillId="0" borderId="0" xfId="1" applyBorder="1">
      <alignment vertical="center"/>
    </xf>
    <xf numFmtId="38" fontId="2" fillId="19" borderId="111" xfId="1" applyFill="1" applyBorder="1">
      <alignment vertical="center"/>
    </xf>
    <xf numFmtId="0" fontId="3" fillId="0" borderId="19" xfId="0" applyFont="1" applyBorder="1" applyAlignment="1">
      <alignment horizontal="center" vertical="center"/>
    </xf>
    <xf numFmtId="38" fontId="2" fillId="0" borderId="0" xfId="1">
      <alignment vertical="center"/>
    </xf>
    <xf numFmtId="38" fontId="2" fillId="0" borderId="0" xfId="1">
      <alignment vertical="center"/>
    </xf>
    <xf numFmtId="38" fontId="2" fillId="0" borderId="4" xfId="1" applyFill="1" applyBorder="1" applyProtection="1">
      <alignment vertical="center"/>
    </xf>
    <xf numFmtId="178" fontId="4" fillId="0" borderId="4" xfId="0" applyNumberFormat="1" applyFont="1" applyFill="1" applyBorder="1" applyAlignment="1">
      <alignment vertical="center" shrinkToFit="1"/>
    </xf>
    <xf numFmtId="179" fontId="4" fillId="0" borderId="10" xfId="1" applyNumberFormat="1" applyFont="1" applyFill="1" applyBorder="1" applyAlignment="1" applyProtection="1">
      <alignment vertical="center" shrinkToFit="1"/>
    </xf>
    <xf numFmtId="0" fontId="4" fillId="0" borderId="4" xfId="0" applyFont="1" applyFill="1" applyBorder="1" applyAlignment="1">
      <alignment vertical="center" shrinkToFit="1"/>
    </xf>
    <xf numFmtId="0" fontId="4" fillId="15" borderId="4" xfId="0" applyFont="1" applyFill="1" applyBorder="1" applyAlignment="1">
      <alignment horizontal="right" vertical="center" shrinkToFit="1"/>
    </xf>
    <xf numFmtId="0" fontId="4" fillId="15" borderId="4" xfId="0" applyFont="1" applyFill="1" applyBorder="1" applyAlignment="1">
      <alignment vertical="center" shrinkToFit="1"/>
    </xf>
    <xf numFmtId="0" fontId="4" fillId="0" borderId="19" xfId="0" applyFont="1" applyFill="1" applyBorder="1" applyAlignment="1">
      <alignment vertical="center" shrinkToFit="1"/>
    </xf>
    <xf numFmtId="38" fontId="2" fillId="0" borderId="10" xfId="1" applyFill="1" applyBorder="1" applyProtection="1">
      <alignment vertical="center"/>
    </xf>
    <xf numFmtId="38" fontId="2" fillId="0" borderId="0" xfId="1">
      <alignment vertical="center"/>
    </xf>
    <xf numFmtId="180" fontId="14" fillId="0" borderId="19" xfId="1" applyNumberFormat="1" applyFont="1" applyFill="1" applyBorder="1" applyAlignment="1" applyProtection="1">
      <alignment horizontal="center" vertical="center" shrinkToFit="1"/>
    </xf>
    <xf numFmtId="38" fontId="4" fillId="0" borderId="1" xfId="1" applyFont="1" applyFill="1" applyBorder="1" applyAlignment="1" applyProtection="1">
      <alignment horizontal="left" vertical="center" shrinkToFit="1"/>
    </xf>
    <xf numFmtId="182" fontId="4" fillId="20" borderId="0" xfId="1" applyNumberFormat="1" applyFont="1" applyFill="1" applyBorder="1" applyAlignment="1" applyProtection="1">
      <alignment vertical="center" shrinkToFit="1"/>
    </xf>
    <xf numFmtId="176" fontId="4" fillId="0" borderId="91" xfId="1" applyNumberFormat="1" applyFont="1" applyFill="1" applyBorder="1" applyAlignment="1" applyProtection="1">
      <alignment vertical="center" shrinkToFit="1"/>
    </xf>
    <xf numFmtId="0" fontId="4" fillId="0" borderId="40" xfId="0" applyFont="1" applyFill="1" applyBorder="1" applyAlignment="1">
      <alignment vertical="center"/>
    </xf>
    <xf numFmtId="0" fontId="4" fillId="0" borderId="97" xfId="0" applyFont="1" applyFill="1" applyBorder="1" applyAlignment="1">
      <alignment vertical="center"/>
    </xf>
    <xf numFmtId="0" fontId="4" fillId="0" borderId="34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38" fontId="4" fillId="18" borderId="109" xfId="1" applyFont="1" applyFill="1" applyBorder="1" applyAlignment="1">
      <alignment vertical="center" shrinkToFit="1"/>
    </xf>
    <xf numFmtId="38" fontId="4" fillId="0" borderId="46" xfId="1" applyFont="1" applyFill="1" applyBorder="1" applyAlignment="1">
      <alignment vertical="center" shrinkToFit="1"/>
    </xf>
    <xf numFmtId="38" fontId="4" fillId="18" borderId="19" xfId="1" applyNumberFormat="1" applyFont="1" applyFill="1" applyBorder="1" applyAlignment="1">
      <alignment vertical="center" shrinkToFit="1"/>
    </xf>
    <xf numFmtId="38" fontId="4" fillId="0" borderId="0" xfId="1" applyNumberFormat="1" applyFont="1" applyFill="1" applyBorder="1" applyAlignment="1">
      <alignment vertical="center" shrinkToFit="1"/>
    </xf>
    <xf numFmtId="38" fontId="4" fillId="0" borderId="0" xfId="1" applyNumberFormat="1" applyFont="1" applyFill="1" applyAlignment="1">
      <alignment vertical="center" shrinkToFit="1"/>
    </xf>
    <xf numFmtId="38" fontId="4" fillId="18" borderId="19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38" fontId="4" fillId="0" borderId="33" xfId="1" applyNumberFormat="1" applyFont="1" applyFill="1" applyBorder="1" applyAlignment="1">
      <alignment vertical="center" shrinkToFit="1"/>
    </xf>
    <xf numFmtId="0" fontId="4" fillId="0" borderId="113" xfId="0" applyFont="1" applyFill="1" applyBorder="1" applyAlignment="1">
      <alignment vertical="center" shrinkToFit="1"/>
    </xf>
    <xf numFmtId="0" fontId="4" fillId="0" borderId="39" xfId="0" applyFont="1" applyBorder="1" applyAlignment="1">
      <alignment vertical="center" shrinkToFit="1"/>
    </xf>
    <xf numFmtId="0" fontId="4" fillId="0" borderId="113" xfId="0" applyFont="1" applyFill="1" applyBorder="1" applyAlignment="1">
      <alignment horizontal="right" vertical="center" shrinkToFit="1"/>
    </xf>
    <xf numFmtId="0" fontId="4" fillId="0" borderId="48" xfId="0" applyFont="1" applyFill="1" applyBorder="1" applyAlignment="1">
      <alignment horizontal="right" vertical="center" shrinkToFit="1"/>
    </xf>
    <xf numFmtId="0" fontId="4" fillId="0" borderId="48" xfId="0" applyFont="1" applyBorder="1" applyAlignment="1">
      <alignment horizontal="center" vertical="center" shrinkToFit="1"/>
    </xf>
    <xf numFmtId="0" fontId="4" fillId="0" borderId="48" xfId="0" applyFont="1" applyBorder="1" applyAlignment="1">
      <alignment vertical="center" shrinkToFit="1"/>
    </xf>
    <xf numFmtId="179" fontId="4" fillId="0" borderId="48" xfId="1" applyNumberFormat="1" applyFont="1" applyFill="1" applyBorder="1" applyAlignment="1" applyProtection="1">
      <alignment vertical="center" shrinkToFit="1"/>
    </xf>
    <xf numFmtId="38" fontId="4" fillId="0" borderId="39" xfId="1" applyNumberFormat="1" applyFont="1" applyFill="1" applyBorder="1" applyAlignment="1">
      <alignment vertical="center"/>
    </xf>
    <xf numFmtId="180" fontId="4" fillId="0" borderId="113" xfId="1" applyNumberFormat="1" applyFont="1" applyFill="1" applyBorder="1" applyAlignment="1" applyProtection="1">
      <alignment vertical="center" shrinkToFit="1"/>
    </xf>
    <xf numFmtId="180" fontId="4" fillId="0" borderId="32" xfId="1" applyNumberFormat="1" applyFont="1" applyFill="1" applyBorder="1" applyAlignment="1" applyProtection="1">
      <alignment vertical="center" shrinkToFit="1"/>
    </xf>
    <xf numFmtId="38" fontId="14" fillId="0" borderId="0" xfId="1" applyFont="1" applyFill="1" applyBorder="1" applyAlignment="1" applyProtection="1">
      <alignment horizontal="right" vertical="center" shrinkToFit="1"/>
    </xf>
    <xf numFmtId="0" fontId="14" fillId="0" borderId="0" xfId="0" applyFont="1" applyFill="1" applyBorder="1">
      <alignment vertical="center"/>
    </xf>
    <xf numFmtId="0" fontId="14" fillId="0" borderId="46" xfId="0" applyFont="1" applyFill="1" applyBorder="1">
      <alignment vertical="center"/>
    </xf>
    <xf numFmtId="9" fontId="14" fillId="0" borderId="61" xfId="2" applyFont="1" applyBorder="1" applyAlignment="1">
      <alignment horizontal="center" vertical="center"/>
    </xf>
    <xf numFmtId="178" fontId="14" fillId="0" borderId="49" xfId="2" applyNumberFormat="1" applyFont="1" applyFill="1" applyBorder="1">
      <alignment vertical="center"/>
    </xf>
    <xf numFmtId="178" fontId="14" fillId="15" borderId="49" xfId="2" applyNumberFormat="1" applyFont="1" applyFill="1" applyBorder="1">
      <alignment vertical="center"/>
    </xf>
    <xf numFmtId="178" fontId="14" fillId="7" borderId="52" xfId="2" applyNumberFormat="1" applyFont="1" applyFill="1" applyBorder="1">
      <alignment vertical="center"/>
    </xf>
    <xf numFmtId="178" fontId="14" fillId="0" borderId="49" xfId="2" applyNumberFormat="1" applyFont="1" applyBorder="1">
      <alignment vertical="center"/>
    </xf>
    <xf numFmtId="178" fontId="14" fillId="0" borderId="0" xfId="2" applyNumberFormat="1" applyFont="1" applyFill="1" applyBorder="1">
      <alignment vertical="center"/>
    </xf>
    <xf numFmtId="180" fontId="4" fillId="0" borderId="27" xfId="1" applyNumberFormat="1" applyFont="1" applyFill="1" applyBorder="1">
      <alignment vertical="center"/>
    </xf>
    <xf numFmtId="9" fontId="14" fillId="0" borderId="0" xfId="2" applyFont="1" applyFill="1" applyBorder="1" applyAlignment="1">
      <alignment horizontal="center" vertical="center"/>
    </xf>
    <xf numFmtId="178" fontId="14" fillId="0" borderId="0" xfId="2" applyNumberFormat="1" applyFont="1" applyFill="1" applyBorder="1" applyAlignment="1">
      <alignment horizontal="center" vertical="center" wrapText="1"/>
    </xf>
    <xf numFmtId="9" fontId="14" fillId="0" borderId="0" xfId="2" applyFont="1" applyFill="1" applyBorder="1">
      <alignment vertical="center"/>
    </xf>
    <xf numFmtId="178" fontId="4" fillId="0" borderId="39" xfId="2" applyNumberFormat="1" applyFont="1" applyFill="1" applyBorder="1" applyAlignment="1">
      <alignment horizontal="right" vertical="center"/>
    </xf>
    <xf numFmtId="9" fontId="4" fillId="0" borderId="48" xfId="2" applyFont="1" applyFill="1" applyBorder="1" applyAlignment="1">
      <alignment vertical="center" shrinkToFit="1"/>
    </xf>
    <xf numFmtId="180" fontId="4" fillId="0" borderId="48" xfId="1" applyNumberFormat="1" applyFont="1" applyFill="1" applyBorder="1">
      <alignment vertical="center"/>
    </xf>
    <xf numFmtId="178" fontId="14" fillId="0" borderId="48" xfId="2" applyNumberFormat="1" applyFont="1" applyFill="1" applyBorder="1">
      <alignment vertical="center"/>
    </xf>
    <xf numFmtId="9" fontId="4" fillId="0" borderId="48" xfId="2" applyFont="1" applyBorder="1">
      <alignment vertical="center"/>
    </xf>
    <xf numFmtId="180" fontId="3" fillId="7" borderId="97" xfId="1" applyNumberFormat="1" applyFont="1" applyFill="1" applyBorder="1">
      <alignment vertical="center"/>
    </xf>
    <xf numFmtId="38" fontId="4" fillId="7" borderId="48" xfId="1" applyNumberFormat="1" applyFont="1" applyFill="1" applyBorder="1" applyAlignment="1">
      <alignment vertical="center" shrinkToFit="1"/>
    </xf>
    <xf numFmtId="178" fontId="14" fillId="7" borderId="48" xfId="2" applyNumberFormat="1" applyFont="1" applyFill="1" applyBorder="1">
      <alignment vertical="center"/>
    </xf>
    <xf numFmtId="178" fontId="3" fillId="0" borderId="0" xfId="2" applyNumberFormat="1" applyFont="1" applyFill="1" applyBorder="1" applyAlignment="1">
      <alignment horizontal="right" vertical="center" shrinkToFit="1"/>
    </xf>
    <xf numFmtId="38" fontId="4" fillId="0" borderId="71" xfId="1" applyNumberFormat="1" applyFont="1" applyFill="1" applyBorder="1">
      <alignment vertical="center"/>
    </xf>
    <xf numFmtId="38" fontId="4" fillId="0" borderId="0" xfId="1" applyNumberFormat="1" applyFont="1" applyFill="1" applyBorder="1">
      <alignment vertical="center"/>
    </xf>
    <xf numFmtId="38" fontId="4" fillId="0" borderId="115" xfId="0" applyNumberFormat="1" applyFont="1" applyBorder="1" applyAlignment="1">
      <alignment horizontal="center" vertical="center"/>
    </xf>
    <xf numFmtId="180" fontId="4" fillId="0" borderId="86" xfId="1" applyNumberFormat="1" applyFont="1" applyFill="1" applyBorder="1" applyAlignment="1">
      <alignment vertical="center" shrinkToFit="1"/>
    </xf>
    <xf numFmtId="0" fontId="4" fillId="0" borderId="40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15" borderId="27" xfId="0" applyFont="1" applyFill="1" applyBorder="1" applyAlignment="1">
      <alignment horizontal="center" vertical="center" wrapText="1"/>
    </xf>
    <xf numFmtId="0" fontId="4" fillId="15" borderId="27" xfId="0" applyFont="1" applyFill="1" applyBorder="1" applyAlignment="1">
      <alignment horizontal="center" vertical="center"/>
    </xf>
    <xf numFmtId="0" fontId="4" fillId="7" borderId="48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7" borderId="39" xfId="0" applyFont="1" applyFill="1" applyBorder="1" applyAlignment="1">
      <alignment horizontal="center" vertical="center"/>
    </xf>
    <xf numFmtId="178" fontId="4" fillId="0" borderId="19" xfId="2" applyNumberFormat="1" applyFont="1" applyFill="1" applyBorder="1" applyAlignment="1">
      <alignment horizontal="right" vertical="center" shrinkToFit="1"/>
    </xf>
    <xf numFmtId="180" fontId="3" fillId="7" borderId="19" xfId="1" applyNumberFormat="1" applyFont="1" applyFill="1" applyBorder="1">
      <alignment vertical="center"/>
    </xf>
    <xf numFmtId="180" fontId="4" fillId="7" borderId="19" xfId="1" applyNumberFormat="1" applyFont="1" applyFill="1" applyBorder="1">
      <alignment vertical="center"/>
    </xf>
    <xf numFmtId="180" fontId="3" fillId="7" borderId="19" xfId="2" applyNumberFormat="1" applyFont="1" applyFill="1" applyBorder="1" applyAlignment="1">
      <alignment horizontal="right" vertical="center" shrinkToFit="1"/>
    </xf>
    <xf numFmtId="180" fontId="4" fillId="0" borderId="0" xfId="0" applyNumberFormat="1" applyFont="1">
      <alignment vertical="center"/>
    </xf>
    <xf numFmtId="178" fontId="4" fillId="7" borderId="19" xfId="2" applyNumberFormat="1" applyFont="1" applyFill="1" applyBorder="1" applyAlignment="1">
      <alignment horizontal="right" vertical="center"/>
    </xf>
    <xf numFmtId="178" fontId="3" fillId="7" borderId="26" xfId="2" applyNumberFormat="1" applyFont="1" applyFill="1" applyBorder="1" applyAlignment="1">
      <alignment vertical="center" shrinkToFit="1"/>
    </xf>
    <xf numFmtId="183" fontId="4" fillId="0" borderId="19" xfId="1" applyNumberFormat="1" applyFont="1" applyFill="1" applyBorder="1">
      <alignment vertical="center"/>
    </xf>
    <xf numFmtId="183" fontId="4" fillId="0" borderId="19" xfId="2" applyNumberFormat="1" applyFont="1" applyFill="1" applyBorder="1" applyAlignment="1">
      <alignment horizontal="right" vertical="center" shrinkToFit="1"/>
    </xf>
    <xf numFmtId="38" fontId="4" fillId="15" borderId="117" xfId="1" applyNumberFormat="1" applyFont="1" applyFill="1" applyBorder="1">
      <alignment vertical="center"/>
    </xf>
    <xf numFmtId="178" fontId="4" fillId="15" borderId="118" xfId="2" applyNumberFormat="1" applyFont="1" applyFill="1" applyBorder="1" applyAlignment="1">
      <alignment horizontal="right" vertical="center" shrinkToFit="1"/>
    </xf>
    <xf numFmtId="180" fontId="4" fillId="15" borderId="120" xfId="1" applyNumberFormat="1" applyFont="1" applyFill="1" applyBorder="1">
      <alignment vertical="center"/>
    </xf>
    <xf numFmtId="180" fontId="3" fillId="0" borderId="0" xfId="1" applyNumberFormat="1" applyFont="1" applyFill="1" applyBorder="1" applyAlignment="1">
      <alignment vertical="center" shrinkToFit="1"/>
    </xf>
    <xf numFmtId="180" fontId="4" fillId="0" borderId="0" xfId="0" applyNumberFormat="1" applyFont="1" applyBorder="1">
      <alignment vertical="center"/>
    </xf>
    <xf numFmtId="0" fontId="3" fillId="7" borderId="27" xfId="0" applyFont="1" applyFill="1" applyBorder="1" applyAlignment="1">
      <alignment horizontal="center" vertical="center"/>
    </xf>
    <xf numFmtId="180" fontId="3" fillId="7" borderId="72" xfId="1" applyNumberFormat="1" applyFont="1" applyFill="1" applyBorder="1">
      <alignment vertical="center"/>
    </xf>
    <xf numFmtId="178" fontId="3" fillId="7" borderId="49" xfId="2" applyNumberFormat="1" applyFont="1" applyFill="1" applyBorder="1">
      <alignment vertical="center"/>
    </xf>
    <xf numFmtId="38" fontId="3" fillId="7" borderId="19" xfId="1" applyNumberFormat="1" applyFont="1" applyFill="1" applyBorder="1">
      <alignment vertical="center"/>
    </xf>
    <xf numFmtId="180" fontId="3" fillId="0" borderId="19" xfId="1" applyNumberFormat="1" applyFont="1" applyFill="1" applyBorder="1">
      <alignment vertical="center"/>
    </xf>
    <xf numFmtId="9" fontId="3" fillId="0" borderId="19" xfId="2" applyFont="1" applyBorder="1">
      <alignment vertical="center"/>
    </xf>
    <xf numFmtId="180" fontId="3" fillId="0" borderId="0" xfId="0" applyNumberFormat="1" applyFont="1">
      <alignment vertical="center"/>
    </xf>
    <xf numFmtId="178" fontId="3" fillId="0" borderId="0" xfId="2" applyNumberFormat="1" applyFont="1" applyFill="1" applyBorder="1">
      <alignment vertical="center"/>
    </xf>
    <xf numFmtId="38" fontId="4" fillId="7" borderId="32" xfId="1" applyNumberFormat="1" applyFont="1" applyFill="1" applyBorder="1" applyAlignment="1">
      <alignment vertical="center" shrinkToFit="1"/>
    </xf>
    <xf numFmtId="178" fontId="4" fillId="7" borderId="38" xfId="2" applyNumberFormat="1" applyFont="1" applyFill="1" applyBorder="1" applyAlignment="1">
      <alignment vertical="center" shrinkToFit="1"/>
    </xf>
    <xf numFmtId="38" fontId="4" fillId="7" borderId="73" xfId="1" applyNumberFormat="1" applyFont="1" applyFill="1" applyBorder="1" applyAlignment="1">
      <alignment vertical="center" shrinkToFit="1"/>
    </xf>
    <xf numFmtId="38" fontId="4" fillId="7" borderId="100" xfId="1" applyNumberFormat="1" applyFont="1" applyFill="1" applyBorder="1" applyAlignment="1">
      <alignment vertical="center" shrinkToFit="1"/>
    </xf>
    <xf numFmtId="9" fontId="4" fillId="7" borderId="100" xfId="2" applyFont="1" applyFill="1" applyBorder="1" applyAlignment="1">
      <alignment vertical="center" shrinkToFit="1"/>
    </xf>
    <xf numFmtId="180" fontId="4" fillId="7" borderId="74" xfId="1" applyNumberFormat="1" applyFont="1" applyFill="1" applyBorder="1">
      <alignment vertical="center"/>
    </xf>
    <xf numFmtId="178" fontId="4" fillId="7" borderId="52" xfId="2" applyNumberFormat="1" applyFont="1" applyFill="1" applyBorder="1">
      <alignment vertical="center"/>
    </xf>
    <xf numFmtId="178" fontId="4" fillId="0" borderId="0" xfId="2" applyNumberFormat="1" applyFont="1" applyFill="1" applyBorder="1">
      <alignment vertical="center"/>
    </xf>
    <xf numFmtId="38" fontId="4" fillId="0" borderId="116" xfId="1" applyNumberFormat="1" applyFont="1" applyBorder="1">
      <alignment vertical="center"/>
    </xf>
    <xf numFmtId="180" fontId="4" fillId="0" borderId="116" xfId="1" applyNumberFormat="1" applyFont="1" applyFill="1" applyBorder="1">
      <alignment vertical="center"/>
    </xf>
    <xf numFmtId="180" fontId="21" fillId="0" borderId="121" xfId="1" applyNumberFormat="1" applyFont="1" applyFill="1" applyBorder="1">
      <alignment vertical="center"/>
    </xf>
    <xf numFmtId="38" fontId="3" fillId="7" borderId="116" xfId="1" applyNumberFormat="1" applyFont="1" applyFill="1" applyBorder="1">
      <alignment vertical="center"/>
    </xf>
    <xf numFmtId="38" fontId="29" fillId="7" borderId="117" xfId="1" applyNumberFormat="1" applyFont="1" applyFill="1" applyBorder="1" applyAlignment="1">
      <alignment vertical="center" shrinkToFit="1"/>
    </xf>
    <xf numFmtId="180" fontId="4" fillId="7" borderId="26" xfId="1" applyNumberFormat="1" applyFont="1" applyFill="1" applyBorder="1">
      <alignment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8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38" fontId="3" fillId="7" borderId="122" xfId="1" applyNumberFormat="1" applyFont="1" applyFill="1" applyBorder="1" applyAlignment="1">
      <alignment vertical="center" shrinkToFit="1"/>
    </xf>
    <xf numFmtId="9" fontId="3" fillId="7" borderId="122" xfId="2" applyFont="1" applyFill="1" applyBorder="1" applyAlignment="1">
      <alignment vertical="center" shrinkToFit="1"/>
    </xf>
    <xf numFmtId="180" fontId="3" fillId="7" borderId="118" xfId="1" applyNumberFormat="1" applyFont="1" applyFill="1" applyBorder="1">
      <alignment vertical="center"/>
    </xf>
    <xf numFmtId="178" fontId="3" fillId="7" borderId="119" xfId="2" applyNumberFormat="1" applyFont="1" applyFill="1" applyBorder="1">
      <alignment vertical="center"/>
    </xf>
    <xf numFmtId="178" fontId="3" fillId="0" borderId="123" xfId="2" applyNumberFormat="1" applyFont="1" applyFill="1" applyBorder="1">
      <alignment vertical="center"/>
    </xf>
    <xf numFmtId="178" fontId="4" fillId="0" borderId="116" xfId="2" applyNumberFormat="1" applyFont="1" applyFill="1" applyBorder="1" applyAlignment="1">
      <alignment horizontal="right" vertical="center" shrinkToFit="1"/>
    </xf>
    <xf numFmtId="180" fontId="3" fillId="7" borderId="111" xfId="1" applyNumberFormat="1" applyFont="1" applyFill="1" applyBorder="1">
      <alignment vertical="center"/>
    </xf>
    <xf numFmtId="178" fontId="4" fillId="0" borderId="60" xfId="2" applyNumberFormat="1" applyFont="1" applyBorder="1" applyAlignment="1">
      <alignment vertical="center"/>
    </xf>
    <xf numFmtId="183" fontId="4" fillId="0" borderId="26" xfId="2" applyNumberFormat="1" applyFont="1" applyFill="1" applyBorder="1" applyAlignment="1">
      <alignment horizontal="right" vertical="center" shrinkToFit="1"/>
    </xf>
    <xf numFmtId="180" fontId="4" fillId="0" borderId="19" xfId="1" applyNumberFormat="1" applyFont="1" applyFill="1" applyBorder="1" applyAlignment="1">
      <alignment vertical="center" shrinkToFit="1"/>
    </xf>
    <xf numFmtId="180" fontId="4" fillId="15" borderId="116" xfId="1" applyNumberFormat="1" applyFont="1" applyFill="1" applyBorder="1" applyAlignment="1">
      <alignment vertical="center" shrinkToFit="1"/>
    </xf>
    <xf numFmtId="180" fontId="3" fillId="0" borderId="57" xfId="1" applyNumberFormat="1" applyFont="1" applyFill="1" applyBorder="1" applyAlignment="1">
      <alignment vertical="center" shrinkToFit="1"/>
    </xf>
    <xf numFmtId="38" fontId="2" fillId="0" borderId="0" xfId="1">
      <alignment vertical="center"/>
    </xf>
    <xf numFmtId="38" fontId="4" fillId="0" borderId="16" xfId="1" applyFont="1" applyFill="1" applyBorder="1" applyAlignment="1" applyProtection="1">
      <alignment vertical="center" shrinkToFit="1"/>
    </xf>
    <xf numFmtId="38" fontId="0" fillId="0" borderId="3" xfId="1" applyFont="1" applyFill="1" applyBorder="1" applyProtection="1">
      <alignment vertical="center"/>
    </xf>
    <xf numFmtId="38" fontId="4" fillId="0" borderId="24" xfId="1" applyFont="1" applyFill="1" applyBorder="1" applyAlignment="1" applyProtection="1">
      <alignment horizontal="left" vertical="center" shrinkToFit="1"/>
    </xf>
    <xf numFmtId="179" fontId="4" fillId="0" borderId="24" xfId="1" applyNumberFormat="1" applyFont="1" applyFill="1" applyBorder="1" applyAlignment="1" applyProtection="1">
      <alignment vertical="center" shrinkToFit="1"/>
    </xf>
    <xf numFmtId="38" fontId="2" fillId="0" borderId="0" xfId="1">
      <alignment vertical="center"/>
    </xf>
    <xf numFmtId="182" fontId="4" fillId="15" borderId="0" xfId="1" applyNumberFormat="1" applyFont="1" applyFill="1" applyBorder="1" applyAlignment="1" applyProtection="1">
      <alignment vertical="center" shrinkToFit="1"/>
    </xf>
    <xf numFmtId="178" fontId="4" fillId="15" borderId="11" xfId="0" applyNumberFormat="1" applyFont="1" applyFill="1" applyBorder="1" applyAlignment="1">
      <alignment vertical="center" shrinkToFit="1"/>
    </xf>
    <xf numFmtId="0" fontId="4" fillId="0" borderId="113" xfId="0" applyFont="1" applyFill="1" applyBorder="1" applyAlignment="1">
      <alignment horizontal="center" vertical="center"/>
    </xf>
    <xf numFmtId="38" fontId="4" fillId="0" borderId="0" xfId="1" applyFont="1" applyBorder="1" applyAlignment="1">
      <alignment vertical="center" shrinkToFit="1"/>
    </xf>
    <xf numFmtId="38" fontId="0" fillId="0" borderId="0" xfId="1" applyFont="1" applyFill="1">
      <alignment vertical="center"/>
    </xf>
    <xf numFmtId="180" fontId="4" fillId="0" borderId="0" xfId="1" applyNumberFormat="1" applyFont="1" applyFill="1" applyBorder="1" applyAlignment="1">
      <alignment vertical="center" shrinkToFit="1"/>
    </xf>
    <xf numFmtId="0" fontId="4" fillId="0" borderId="26" xfId="0" applyFont="1" applyFill="1" applyBorder="1" applyAlignment="1">
      <alignment horizontal="left" vertical="center"/>
    </xf>
    <xf numFmtId="178" fontId="14" fillId="0" borderId="57" xfId="2" applyNumberFormat="1" applyFont="1" applyFill="1" applyBorder="1">
      <alignment vertical="center"/>
    </xf>
    <xf numFmtId="9" fontId="4" fillId="7" borderId="101" xfId="2" applyFont="1" applyFill="1" applyBorder="1" applyAlignment="1">
      <alignment vertical="center" shrinkToFit="1"/>
    </xf>
    <xf numFmtId="38" fontId="4" fillId="7" borderId="27" xfId="1" applyNumberFormat="1" applyFont="1" applyFill="1" applyBorder="1" applyAlignment="1">
      <alignment vertical="center" shrinkToFit="1"/>
    </xf>
    <xf numFmtId="9" fontId="4" fillId="7" borderId="101" xfId="2" applyNumberFormat="1" applyFont="1" applyFill="1" applyBorder="1" applyAlignment="1">
      <alignment vertical="center" shrinkToFit="1"/>
    </xf>
    <xf numFmtId="178" fontId="4" fillId="0" borderId="19" xfId="2" applyNumberFormat="1" applyFont="1" applyFill="1" applyBorder="1" applyAlignment="1">
      <alignment horizontal="right" vertical="center"/>
    </xf>
    <xf numFmtId="0" fontId="4" fillId="0" borderId="48" xfId="0" applyFont="1" applyFill="1" applyBorder="1" applyAlignment="1">
      <alignment horizontal="left" vertical="center" wrapText="1"/>
    </xf>
    <xf numFmtId="180" fontId="3" fillId="0" borderId="97" xfId="1" applyNumberFormat="1" applyFont="1" applyFill="1" applyBorder="1">
      <alignment vertical="center"/>
    </xf>
    <xf numFmtId="38" fontId="2" fillId="0" borderId="0" xfId="1">
      <alignment vertical="center"/>
    </xf>
    <xf numFmtId="38" fontId="2" fillId="0" borderId="13" xfId="1" applyFill="1" applyBorder="1" applyProtection="1">
      <alignment vertical="center"/>
    </xf>
    <xf numFmtId="38" fontId="2" fillId="0" borderId="9" xfId="1" applyFill="1" applyBorder="1" applyProtection="1">
      <alignment vertical="center"/>
    </xf>
    <xf numFmtId="38" fontId="2" fillId="0" borderId="0" xfId="1">
      <alignment vertical="center"/>
    </xf>
    <xf numFmtId="38" fontId="30" fillId="0" borderId="25" xfId="1" applyFont="1" applyBorder="1" applyAlignment="1">
      <alignment vertical="center" shrinkToFit="1"/>
    </xf>
    <xf numFmtId="38" fontId="4" fillId="18" borderId="113" xfId="1" applyFont="1" applyFill="1" applyBorder="1" applyAlignment="1">
      <alignment vertical="center" shrinkToFit="1"/>
    </xf>
    <xf numFmtId="38" fontId="4" fillId="0" borderId="76" xfId="1" applyFont="1" applyBorder="1" applyAlignment="1">
      <alignment vertical="center" shrinkToFit="1"/>
    </xf>
    <xf numFmtId="38" fontId="4" fillId="0" borderId="70" xfId="1" applyFont="1" applyBorder="1" applyAlignment="1">
      <alignment vertical="center" shrinkToFit="1"/>
    </xf>
    <xf numFmtId="38" fontId="4" fillId="0" borderId="95" xfId="1" applyFont="1" applyBorder="1" applyAlignment="1">
      <alignment vertical="center" shrinkToFit="1"/>
    </xf>
    <xf numFmtId="178" fontId="4" fillId="0" borderId="0" xfId="2" applyNumberFormat="1" applyFont="1" applyBorder="1">
      <alignment vertical="center"/>
    </xf>
    <xf numFmtId="38" fontId="4" fillId="0" borderId="0" xfId="1" applyNumberFormat="1" applyFont="1" applyBorder="1" applyAlignment="1">
      <alignment vertical="center"/>
    </xf>
    <xf numFmtId="178" fontId="4" fillId="15" borderId="72" xfId="2" applyNumberFormat="1" applyFont="1" applyFill="1" applyBorder="1" applyAlignment="1">
      <alignment horizontal="right" vertical="center" shrinkToFit="1"/>
    </xf>
    <xf numFmtId="180" fontId="4" fillId="15" borderId="27" xfId="1" applyNumberFormat="1" applyFont="1" applyFill="1" applyBorder="1">
      <alignment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48" xfId="0" applyFont="1" applyBorder="1" applyAlignment="1">
      <alignment horizontal="center" vertical="center"/>
    </xf>
    <xf numFmtId="180" fontId="3" fillId="7" borderId="97" xfId="1" applyNumberFormat="1" applyFont="1" applyFill="1" applyBorder="1" applyAlignment="1">
      <alignment vertical="center" shrinkToFit="1"/>
    </xf>
    <xf numFmtId="180" fontId="3" fillId="0" borderId="19" xfId="1" applyNumberFormat="1" applyFont="1" applyFill="1" applyBorder="1" applyAlignment="1">
      <alignment vertical="center" shrinkToFit="1"/>
    </xf>
    <xf numFmtId="178" fontId="4" fillId="0" borderId="25" xfId="2" applyNumberFormat="1" applyFont="1" applyBorder="1" applyAlignment="1">
      <alignment vertical="center"/>
    </xf>
    <xf numFmtId="38" fontId="4" fillId="0" borderId="19" xfId="1" applyNumberFormat="1" applyFont="1" applyFill="1" applyBorder="1">
      <alignment vertical="center"/>
    </xf>
    <xf numFmtId="38" fontId="4" fillId="15" borderId="116" xfId="1" applyNumberFormat="1" applyFont="1" applyFill="1" applyBorder="1">
      <alignment vertical="center"/>
    </xf>
    <xf numFmtId="178" fontId="4" fillId="15" borderId="116" xfId="2" applyNumberFormat="1" applyFont="1" applyFill="1" applyBorder="1" applyAlignment="1">
      <alignment horizontal="right" vertical="center" shrinkToFit="1"/>
    </xf>
    <xf numFmtId="178" fontId="4" fillId="15" borderId="19" xfId="2" applyNumberFormat="1" applyFont="1" applyFill="1" applyBorder="1" applyAlignment="1">
      <alignment horizontal="right" vertical="center" shrinkToFit="1"/>
    </xf>
    <xf numFmtId="38" fontId="4" fillId="7" borderId="19" xfId="1" applyNumberFormat="1" applyFont="1" applyFill="1" applyBorder="1" applyAlignment="1">
      <alignment vertical="center" shrinkToFit="1"/>
    </xf>
    <xf numFmtId="9" fontId="4" fillId="7" borderId="19" xfId="2" applyNumberFormat="1" applyFont="1" applyFill="1" applyBorder="1" applyAlignment="1">
      <alignment vertical="center" shrinkToFit="1"/>
    </xf>
    <xf numFmtId="180" fontId="21" fillId="0" borderId="116" xfId="1" applyNumberFormat="1" applyFont="1" applyFill="1" applyBorder="1">
      <alignment vertical="center"/>
    </xf>
    <xf numFmtId="0" fontId="4" fillId="0" borderId="91" xfId="0" applyFont="1" applyBorder="1" applyAlignment="1">
      <alignment horizontal="center" vertical="center"/>
    </xf>
    <xf numFmtId="38" fontId="2" fillId="20" borderId="3" xfId="1" applyFill="1" applyBorder="1" applyProtection="1">
      <alignment vertical="center"/>
    </xf>
    <xf numFmtId="179" fontId="4" fillId="20" borderId="90" xfId="1" applyNumberFormat="1" applyFont="1" applyFill="1" applyBorder="1" applyAlignment="1" applyProtection="1">
      <alignment vertical="center" shrinkToFit="1"/>
    </xf>
    <xf numFmtId="0" fontId="4" fillId="15" borderId="38" xfId="0" applyFont="1" applyFill="1" applyBorder="1" applyAlignment="1">
      <alignment vertical="center" wrapText="1"/>
    </xf>
    <xf numFmtId="0" fontId="4" fillId="15" borderId="40" xfId="0" applyFont="1" applyFill="1" applyBorder="1" applyAlignment="1">
      <alignment horizontal="center" vertical="center"/>
    </xf>
    <xf numFmtId="38" fontId="4" fillId="15" borderId="32" xfId="1" applyNumberFormat="1" applyFont="1" applyFill="1" applyBorder="1" applyAlignment="1">
      <alignment vertical="center" shrinkToFit="1"/>
    </xf>
    <xf numFmtId="178" fontId="4" fillId="15" borderId="38" xfId="2" applyNumberFormat="1" applyFont="1" applyFill="1" applyBorder="1" applyAlignment="1">
      <alignment vertical="center" shrinkToFit="1"/>
    </xf>
    <xf numFmtId="38" fontId="4" fillId="15" borderId="73" xfId="1" applyNumberFormat="1" applyFont="1" applyFill="1" applyBorder="1" applyAlignment="1">
      <alignment vertical="center" shrinkToFit="1"/>
    </xf>
    <xf numFmtId="38" fontId="4" fillId="15" borderId="100" xfId="1" applyNumberFormat="1" applyFont="1" applyFill="1" applyBorder="1" applyAlignment="1">
      <alignment vertical="center" shrinkToFit="1"/>
    </xf>
    <xf numFmtId="9" fontId="4" fillId="15" borderId="100" xfId="2" applyFont="1" applyFill="1" applyBorder="1" applyAlignment="1">
      <alignment vertical="center" shrinkToFit="1"/>
    </xf>
    <xf numFmtId="180" fontId="4" fillId="15" borderId="74" xfId="1" applyNumberFormat="1" applyFont="1" applyFill="1" applyBorder="1">
      <alignment vertical="center"/>
    </xf>
    <xf numFmtId="178" fontId="14" fillId="15" borderId="52" xfId="2" applyNumberFormat="1" applyFont="1" applyFill="1" applyBorder="1">
      <alignment vertical="center"/>
    </xf>
    <xf numFmtId="183" fontId="4" fillId="0" borderId="32" xfId="1" applyNumberFormat="1" applyFont="1" applyFill="1" applyBorder="1">
      <alignment vertical="center"/>
    </xf>
    <xf numFmtId="183" fontId="4" fillId="0" borderId="32" xfId="2" applyNumberFormat="1" applyFont="1" applyFill="1" applyBorder="1" applyAlignment="1">
      <alignment horizontal="right" vertical="center" shrinkToFit="1"/>
    </xf>
    <xf numFmtId="38" fontId="4" fillId="0" borderId="34" xfId="1" applyNumberFormat="1" applyFont="1" applyBorder="1" applyAlignment="1">
      <alignment vertical="center" shrinkToFit="1"/>
    </xf>
    <xf numFmtId="178" fontId="4" fillId="0" borderId="113" xfId="2" applyNumberFormat="1" applyFont="1" applyBorder="1" applyAlignment="1">
      <alignment vertical="center" shrinkToFit="1"/>
    </xf>
    <xf numFmtId="38" fontId="4" fillId="0" borderId="129" xfId="1" applyNumberFormat="1" applyFont="1" applyBorder="1" applyAlignment="1">
      <alignment vertical="center" shrinkToFit="1"/>
    </xf>
    <xf numFmtId="38" fontId="4" fillId="0" borderId="130" xfId="1" applyNumberFormat="1" applyFont="1" applyBorder="1" applyAlignment="1">
      <alignment vertical="center" shrinkToFit="1"/>
    </xf>
    <xf numFmtId="9" fontId="4" fillId="0" borderId="130" xfId="2" applyFont="1" applyBorder="1" applyAlignment="1">
      <alignment vertical="center" shrinkToFit="1"/>
    </xf>
    <xf numFmtId="180" fontId="4" fillId="0" borderId="106" xfId="1" applyNumberFormat="1" applyFont="1" applyBorder="1">
      <alignment vertical="center"/>
    </xf>
    <xf numFmtId="178" fontId="14" fillId="0" borderId="55" xfId="2" applyNumberFormat="1" applyFont="1" applyBorder="1">
      <alignment vertical="center"/>
    </xf>
    <xf numFmtId="38" fontId="4" fillId="0" borderId="34" xfId="1" applyNumberFormat="1" applyFont="1" applyBorder="1">
      <alignment vertical="center"/>
    </xf>
    <xf numFmtId="178" fontId="4" fillId="0" borderId="34" xfId="2" applyNumberFormat="1" applyFont="1" applyFill="1" applyBorder="1" applyAlignment="1">
      <alignment horizontal="right" vertical="center" shrinkToFit="1"/>
    </xf>
    <xf numFmtId="180" fontId="4" fillId="0" borderId="34" xfId="1" applyNumberFormat="1" applyFont="1" applyFill="1" applyBorder="1">
      <alignment vertical="center"/>
    </xf>
    <xf numFmtId="180" fontId="21" fillId="0" borderId="34" xfId="1" applyNumberFormat="1" applyFont="1" applyFill="1" applyBorder="1">
      <alignment vertical="center"/>
    </xf>
    <xf numFmtId="0" fontId="4" fillId="7" borderId="48" xfId="0" applyFont="1" applyFill="1" applyBorder="1" applyAlignment="1">
      <alignment horizontal="center" vertical="center"/>
    </xf>
    <xf numFmtId="178" fontId="14" fillId="7" borderId="49" xfId="2" applyNumberFormat="1" applyFont="1" applyFill="1" applyBorder="1">
      <alignment vertical="center"/>
    </xf>
    <xf numFmtId="38" fontId="4" fillId="15" borderId="19" xfId="1" applyNumberFormat="1" applyFont="1" applyFill="1" applyBorder="1">
      <alignment vertical="center"/>
    </xf>
    <xf numFmtId="180" fontId="4" fillId="15" borderId="19" xfId="1" applyNumberFormat="1" applyFont="1" applyFill="1" applyBorder="1" applyAlignment="1">
      <alignment vertical="center" shrinkToFit="1"/>
    </xf>
    <xf numFmtId="38" fontId="2" fillId="0" borderId="0" xfId="1">
      <alignment vertical="center"/>
    </xf>
    <xf numFmtId="0" fontId="4" fillId="0" borderId="3" xfId="0" applyFont="1" applyFill="1" applyBorder="1" applyAlignment="1">
      <alignment horizontal="center" vertical="center" shrinkToFit="1"/>
    </xf>
    <xf numFmtId="38" fontId="4" fillId="0" borderId="3" xfId="1" applyFont="1" applyFill="1" applyBorder="1" applyAlignment="1" applyProtection="1">
      <alignment horizontal="center" vertical="center" shrinkToFit="1"/>
    </xf>
    <xf numFmtId="179" fontId="4" fillId="0" borderId="2" xfId="1" applyNumberFormat="1" applyFont="1" applyFill="1" applyBorder="1" applyAlignment="1" applyProtection="1">
      <alignment horizontal="center" vertical="center" shrinkToFit="1"/>
    </xf>
    <xf numFmtId="38" fontId="2" fillId="0" borderId="12" xfId="1" applyFill="1" applyBorder="1" applyProtection="1">
      <alignment vertical="center"/>
    </xf>
    <xf numFmtId="182" fontId="4" fillId="0" borderId="9" xfId="1" applyNumberFormat="1" applyFont="1" applyFill="1" applyBorder="1" applyAlignment="1" applyProtection="1">
      <alignment horizontal="center" vertical="center" shrinkToFit="1"/>
    </xf>
    <xf numFmtId="38" fontId="4" fillId="18" borderId="26" xfId="1" applyNumberFormat="1" applyFont="1" applyFill="1" applyBorder="1" applyAlignment="1">
      <alignment horizontal="center" vertical="center" shrinkToFit="1"/>
    </xf>
    <xf numFmtId="38" fontId="4" fillId="18" borderId="27" xfId="1" applyNumberFormat="1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48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91" xfId="0" applyFont="1" applyBorder="1" applyAlignment="1">
      <alignment horizontal="center" vertical="center" shrinkToFit="1"/>
    </xf>
    <xf numFmtId="176" fontId="4" fillId="0" borderId="48" xfId="1" applyNumberFormat="1" applyFont="1" applyFill="1" applyBorder="1" applyAlignment="1" applyProtection="1">
      <alignment horizontal="center" vertical="center" shrinkToFit="1"/>
    </xf>
    <xf numFmtId="176" fontId="4" fillId="0" borderId="91" xfId="1" applyNumberFormat="1" applyFont="1" applyFill="1" applyBorder="1" applyAlignment="1" applyProtection="1">
      <alignment horizontal="center" vertical="center" shrinkToFit="1"/>
    </xf>
    <xf numFmtId="176" fontId="4" fillId="0" borderId="39" xfId="1" applyNumberFormat="1" applyFont="1" applyFill="1" applyBorder="1" applyAlignment="1" applyProtection="1">
      <alignment horizontal="center" vertical="center" shrinkToFit="1"/>
    </xf>
    <xf numFmtId="176" fontId="4" fillId="0" borderId="0" xfId="1" applyNumberFormat="1" applyFont="1" applyFill="1" applyBorder="1" applyAlignment="1" applyProtection="1">
      <alignment horizontal="center" vertical="center" shrinkToFit="1"/>
    </xf>
    <xf numFmtId="0" fontId="4" fillId="0" borderId="26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113" xfId="0" applyFont="1" applyBorder="1" applyAlignment="1">
      <alignment horizontal="center" vertical="center" wrapText="1"/>
    </xf>
    <xf numFmtId="0" fontId="4" fillId="0" borderId="97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38" fontId="4" fillId="0" borderId="32" xfId="1" applyFont="1" applyFill="1" applyBorder="1" applyAlignment="1">
      <alignment horizontal="center" vertical="center" wrapText="1"/>
    </xf>
    <xf numFmtId="38" fontId="4" fillId="0" borderId="34" xfId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38" fontId="4" fillId="18" borderId="19" xfId="1" applyFont="1" applyFill="1" applyBorder="1" applyAlignment="1">
      <alignment horizontal="left" vertical="center" shrinkToFit="1"/>
    </xf>
    <xf numFmtId="0" fontId="4" fillId="0" borderId="32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38" fontId="4" fillId="18" borderId="26" xfId="1" applyFont="1" applyFill="1" applyBorder="1" applyAlignment="1">
      <alignment horizontal="left" vertical="center" shrinkToFit="1"/>
    </xf>
    <xf numFmtId="38" fontId="4" fillId="18" borderId="27" xfId="1" applyFont="1" applyFill="1" applyBorder="1" applyAlignment="1">
      <alignment horizontal="left" vertical="center" shrinkToFit="1"/>
    </xf>
    <xf numFmtId="0" fontId="17" fillId="0" borderId="0" xfId="0" applyFont="1" applyAlignment="1">
      <alignment horizontal="center" vertical="center"/>
    </xf>
    <xf numFmtId="183" fontId="15" fillId="0" borderId="19" xfId="1" applyNumberFormat="1" applyFont="1" applyBorder="1" applyAlignment="1">
      <alignment horizontal="center" vertical="center"/>
    </xf>
    <xf numFmtId="183" fontId="15" fillId="0" borderId="32" xfId="1" applyNumberFormat="1" applyFont="1" applyBorder="1" applyAlignment="1">
      <alignment horizontal="center" vertical="center"/>
    </xf>
    <xf numFmtId="38" fontId="15" fillId="0" borderId="19" xfId="1" applyFont="1" applyBorder="1" applyAlignment="1">
      <alignment horizontal="center" vertical="center"/>
    </xf>
    <xf numFmtId="38" fontId="15" fillId="0" borderId="32" xfId="1" applyFont="1" applyBorder="1" applyAlignment="1">
      <alignment horizontal="center" vertical="center"/>
    </xf>
    <xf numFmtId="38" fontId="15" fillId="0" borderId="19" xfId="1" applyNumberFormat="1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17" xfId="0" applyFont="1" applyBorder="1" applyAlignment="1">
      <alignment horizontal="right" vertical="center"/>
    </xf>
    <xf numFmtId="0" fontId="4" fillId="0" borderId="124" xfId="0" applyFont="1" applyBorder="1" applyAlignment="1">
      <alignment horizontal="center" vertical="center"/>
    </xf>
    <xf numFmtId="0" fontId="4" fillId="0" borderId="125" xfId="0" applyFont="1" applyBorder="1" applyAlignment="1">
      <alignment horizontal="center" vertical="center"/>
    </xf>
    <xf numFmtId="0" fontId="4" fillId="0" borderId="126" xfId="0" applyFont="1" applyBorder="1" applyAlignment="1">
      <alignment horizontal="center" vertical="center"/>
    </xf>
    <xf numFmtId="38" fontId="4" fillId="0" borderId="38" xfId="1" applyFont="1" applyBorder="1" applyAlignment="1">
      <alignment horizontal="center" vertical="center" wrapText="1"/>
    </xf>
    <xf numFmtId="38" fontId="4" fillId="0" borderId="45" xfId="1" applyFont="1" applyBorder="1" applyAlignment="1">
      <alignment horizontal="center" vertical="center"/>
    </xf>
    <xf numFmtId="38" fontId="4" fillId="0" borderId="43" xfId="1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180" fontId="4" fillId="0" borderId="19" xfId="0" applyNumberFormat="1" applyFont="1" applyFill="1" applyBorder="1" applyAlignment="1">
      <alignment horizontal="center" vertical="center"/>
    </xf>
    <xf numFmtId="38" fontId="4" fillId="0" borderId="38" xfId="1" applyFont="1" applyFill="1" applyBorder="1" applyAlignment="1">
      <alignment horizontal="center" vertical="center" wrapText="1"/>
    </xf>
    <xf numFmtId="38" fontId="4" fillId="0" borderId="45" xfId="1" applyFont="1" applyFill="1" applyBorder="1" applyAlignment="1">
      <alignment horizontal="center" vertical="center"/>
    </xf>
    <xf numFmtId="38" fontId="4" fillId="0" borderId="43" xfId="1" applyFont="1" applyFill="1" applyBorder="1" applyAlignment="1">
      <alignment horizontal="center" vertical="center"/>
    </xf>
    <xf numFmtId="9" fontId="4" fillId="0" borderId="32" xfId="2" applyFont="1" applyBorder="1" applyAlignment="1">
      <alignment horizontal="center" vertical="center"/>
    </xf>
    <xf numFmtId="9" fontId="4" fillId="0" borderId="34" xfId="2" applyFont="1" applyBorder="1" applyAlignment="1">
      <alignment horizontal="center" vertical="center"/>
    </xf>
    <xf numFmtId="178" fontId="14" fillId="0" borderId="114" xfId="2" applyNumberFormat="1" applyFont="1" applyBorder="1" applyAlignment="1">
      <alignment horizontal="center" vertical="center" wrapText="1"/>
    </xf>
    <xf numFmtId="178" fontId="14" fillId="0" borderId="55" xfId="2" applyNumberFormat="1" applyFont="1" applyBorder="1" applyAlignment="1">
      <alignment horizontal="center" vertical="center" wrapText="1"/>
    </xf>
    <xf numFmtId="38" fontId="3" fillId="0" borderId="127" xfId="1" applyFont="1" applyBorder="1" applyAlignment="1">
      <alignment horizontal="center" vertical="center"/>
    </xf>
    <xf numFmtId="38" fontId="3" fillId="0" borderId="128" xfId="1" applyFont="1" applyBorder="1" applyAlignment="1">
      <alignment horizontal="center" vertical="center"/>
    </xf>
    <xf numFmtId="0" fontId="4" fillId="0" borderId="26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7" borderId="26" xfId="0" applyFont="1" applyFill="1" applyBorder="1" applyAlignment="1">
      <alignment horizontal="right" vertical="center" wrapText="1"/>
    </xf>
    <xf numFmtId="0" fontId="4" fillId="7" borderId="48" xfId="0" applyFont="1" applyFill="1" applyBorder="1" applyAlignment="1">
      <alignment horizontal="right" vertical="center" wrapText="1"/>
    </xf>
    <xf numFmtId="0" fontId="4" fillId="0" borderId="113" xfId="0" applyFont="1" applyBorder="1" applyAlignment="1">
      <alignment horizontal="left" vertical="center" wrapText="1"/>
    </xf>
    <xf numFmtId="0" fontId="4" fillId="0" borderId="91" xfId="0" applyFont="1" applyBorder="1" applyAlignment="1">
      <alignment horizontal="left" vertical="center" wrapText="1"/>
    </xf>
    <xf numFmtId="0" fontId="3" fillId="7" borderId="26" xfId="0" applyFont="1" applyFill="1" applyBorder="1" applyAlignment="1">
      <alignment horizontal="right" vertical="center" wrapText="1"/>
    </xf>
    <xf numFmtId="0" fontId="3" fillId="7" borderId="48" xfId="0" applyFont="1" applyFill="1" applyBorder="1" applyAlignment="1">
      <alignment horizontal="righ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4" fillId="0" borderId="91" xfId="0" applyFont="1" applyBorder="1" applyAlignment="1">
      <alignment horizontal="right" vertical="center"/>
    </xf>
    <xf numFmtId="0" fontId="4" fillId="0" borderId="82" xfId="0" applyFont="1" applyBorder="1" applyAlignment="1">
      <alignment horizontal="right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/>
    </xf>
    <xf numFmtId="0" fontId="4" fillId="0" borderId="97" xfId="0" applyFont="1" applyBorder="1" applyAlignment="1">
      <alignment horizontal="center" vertical="center"/>
    </xf>
    <xf numFmtId="38" fontId="4" fillId="0" borderId="26" xfId="1" applyNumberFormat="1" applyFont="1" applyBorder="1" applyAlignment="1">
      <alignment horizontal="center" vertical="center"/>
    </xf>
    <xf numFmtId="38" fontId="4" fillId="0" borderId="32" xfId="1" applyNumberFormat="1" applyFont="1" applyBorder="1" applyAlignment="1">
      <alignment horizontal="center" vertical="center"/>
    </xf>
    <xf numFmtId="38" fontId="4" fillId="0" borderId="48" xfId="1" applyNumberFormat="1" applyFont="1" applyBorder="1" applyAlignment="1">
      <alignment horizontal="center" vertical="center"/>
    </xf>
    <xf numFmtId="38" fontId="4" fillId="0" borderId="27" xfId="1" applyNumberFormat="1" applyFont="1" applyBorder="1" applyAlignment="1">
      <alignment horizontal="center" vertical="center"/>
    </xf>
    <xf numFmtId="180" fontId="4" fillId="0" borderId="32" xfId="1" applyNumberFormat="1" applyFont="1" applyBorder="1" applyAlignment="1">
      <alignment horizontal="center" vertical="center"/>
    </xf>
    <xf numFmtId="180" fontId="4" fillId="0" borderId="46" xfId="1" applyNumberFormat="1" applyFont="1" applyBorder="1" applyAlignment="1">
      <alignment horizontal="center" vertical="center"/>
    </xf>
    <xf numFmtId="180" fontId="4" fillId="0" borderId="97" xfId="1" applyNumberFormat="1" applyFont="1" applyBorder="1" applyAlignment="1">
      <alignment horizontal="center" vertical="center"/>
    </xf>
    <xf numFmtId="180" fontId="4" fillId="0" borderId="25" xfId="1" applyNumberFormat="1" applyFont="1" applyBorder="1" applyAlignment="1">
      <alignment horizontal="center" vertical="center"/>
    </xf>
    <xf numFmtId="180" fontId="4" fillId="0" borderId="33" xfId="1" applyNumberFormat="1" applyFont="1" applyBorder="1" applyAlignment="1">
      <alignment horizontal="center" vertical="center"/>
    </xf>
    <xf numFmtId="180" fontId="4" fillId="0" borderId="37" xfId="1" applyNumberFormat="1" applyFont="1" applyBorder="1" applyAlignment="1">
      <alignment horizontal="center" vertical="center"/>
    </xf>
    <xf numFmtId="38" fontId="4" fillId="0" borderId="50" xfId="1" applyNumberFormat="1" applyFont="1" applyBorder="1" applyAlignment="1">
      <alignment horizontal="center" vertical="center"/>
    </xf>
    <xf numFmtId="38" fontId="4" fillId="0" borderId="103" xfId="1" applyNumberFormat="1" applyFont="1" applyBorder="1" applyAlignment="1">
      <alignment horizontal="center" vertical="center"/>
    </xf>
    <xf numFmtId="38" fontId="4" fillId="0" borderId="92" xfId="1" applyNumberFormat="1" applyFont="1" applyBorder="1" applyAlignment="1">
      <alignment horizontal="center" vertical="center"/>
    </xf>
    <xf numFmtId="180" fontId="4" fillId="0" borderId="64" xfId="1" applyNumberFormat="1" applyFont="1" applyBorder="1" applyAlignment="1">
      <alignment horizontal="center" vertical="center"/>
    </xf>
    <xf numFmtId="180" fontId="4" fillId="0" borderId="104" xfId="1" applyNumberFormat="1" applyFont="1" applyBorder="1" applyAlignment="1">
      <alignment horizontal="center" vertical="center"/>
    </xf>
    <xf numFmtId="180" fontId="4" fillId="0" borderId="93" xfId="1" applyNumberFormat="1" applyFont="1" applyBorder="1" applyAlignment="1">
      <alignment horizontal="center" vertical="center"/>
    </xf>
    <xf numFmtId="178" fontId="4" fillId="0" borderId="32" xfId="2" applyNumberFormat="1" applyFont="1" applyBorder="1" applyAlignment="1">
      <alignment horizontal="center" vertical="center"/>
    </xf>
    <xf numFmtId="178" fontId="4" fillId="0" borderId="33" xfId="2" applyNumberFormat="1" applyFont="1" applyBorder="1" applyAlignment="1">
      <alignment horizontal="center" vertical="center"/>
    </xf>
    <xf numFmtId="178" fontId="4" fillId="0" borderId="34" xfId="2" applyNumberFormat="1" applyFont="1" applyBorder="1" applyAlignment="1">
      <alignment horizontal="center" vertical="center"/>
    </xf>
    <xf numFmtId="38" fontId="4" fillId="0" borderId="25" xfId="1" applyNumberFormat="1" applyFont="1" applyBorder="1" applyAlignment="1">
      <alignment horizontal="center" vertical="center" wrapText="1"/>
    </xf>
    <xf numFmtId="38" fontId="4" fillId="0" borderId="33" xfId="1" applyNumberFormat="1" applyFont="1" applyBorder="1" applyAlignment="1">
      <alignment horizontal="center" vertical="center"/>
    </xf>
    <xf numFmtId="38" fontId="4" fillId="0" borderId="37" xfId="1" applyNumberFormat="1" applyFont="1" applyBorder="1" applyAlignment="1">
      <alignment horizontal="center" vertical="center"/>
    </xf>
    <xf numFmtId="38" fontId="4" fillId="0" borderId="105" xfId="1" applyNumberFormat="1" applyFont="1" applyBorder="1" applyAlignment="1">
      <alignment horizontal="center" vertical="center"/>
    </xf>
    <xf numFmtId="38" fontId="4" fillId="0" borderId="106" xfId="1" applyNumberFormat="1" applyFont="1" applyBorder="1" applyAlignment="1">
      <alignment horizontal="center" vertical="center"/>
    </xf>
    <xf numFmtId="38" fontId="4" fillId="0" borderId="107" xfId="1" applyNumberFormat="1" applyFont="1" applyBorder="1" applyAlignment="1">
      <alignment horizontal="center" vertical="center"/>
    </xf>
    <xf numFmtId="38" fontId="4" fillId="0" borderId="60" xfId="1" applyNumberFormat="1" applyFont="1" applyBorder="1" applyAlignment="1">
      <alignment horizontal="center" vertical="center"/>
    </xf>
    <xf numFmtId="38" fontId="4" fillId="0" borderId="94" xfId="1" applyNumberFormat="1" applyFont="1" applyBorder="1" applyAlignment="1">
      <alignment horizontal="center" vertical="center"/>
    </xf>
    <xf numFmtId="178" fontId="4" fillId="0" borderId="109" xfId="2" applyNumberFormat="1" applyFont="1" applyBorder="1" applyAlignment="1">
      <alignment horizontal="center" vertical="center" wrapText="1"/>
    </xf>
    <xf numFmtId="178" fontId="4" fillId="0" borderId="34" xfId="2" applyNumberFormat="1" applyFont="1" applyBorder="1" applyAlignment="1">
      <alignment horizontal="center" vertical="center" wrapText="1"/>
    </xf>
    <xf numFmtId="38" fontId="0" fillId="0" borderId="38" xfId="1" applyFont="1" applyBorder="1" applyAlignment="1">
      <alignment horizontal="center" vertical="center"/>
    </xf>
    <xf numFmtId="38" fontId="0" fillId="0" borderId="57" xfId="1" applyFont="1" applyBorder="1" applyAlignment="1">
      <alignment horizontal="center" vertical="center"/>
    </xf>
    <xf numFmtId="38" fontId="0" fillId="0" borderId="43" xfId="1" applyFont="1" applyBorder="1" applyAlignment="1">
      <alignment horizontal="center" vertical="center"/>
    </xf>
    <xf numFmtId="0" fontId="4" fillId="0" borderId="27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38" fontId="4" fillId="0" borderId="26" xfId="1" applyFont="1" applyBorder="1" applyAlignment="1">
      <alignment horizontal="center" vertical="center"/>
    </xf>
    <xf numFmtId="38" fontId="4" fillId="0" borderId="38" xfId="1" applyFont="1" applyBorder="1" applyAlignment="1">
      <alignment horizontal="center" vertical="center"/>
    </xf>
    <xf numFmtId="38" fontId="4" fillId="0" borderId="32" xfId="1" applyFont="1" applyBorder="1" applyAlignment="1">
      <alignment horizontal="center" vertical="center"/>
    </xf>
    <xf numFmtId="38" fontId="4" fillId="0" borderId="40" xfId="1" applyNumberFormat="1" applyFont="1" applyBorder="1" applyAlignment="1">
      <alignment horizontal="center" vertical="center"/>
    </xf>
    <xf numFmtId="38" fontId="4" fillId="0" borderId="33" xfId="1" applyFont="1" applyBorder="1" applyAlignment="1">
      <alignment horizontal="center" vertical="center"/>
    </xf>
    <xf numFmtId="38" fontId="4" fillId="0" borderId="34" xfId="1" applyFont="1" applyBorder="1" applyAlignment="1">
      <alignment horizontal="center" vertical="center"/>
    </xf>
    <xf numFmtId="38" fontId="4" fillId="0" borderId="38" xfId="1" applyNumberFormat="1" applyFont="1" applyBorder="1" applyAlignment="1">
      <alignment horizontal="center" vertical="center"/>
    </xf>
    <xf numFmtId="38" fontId="4" fillId="0" borderId="43" xfId="1" applyNumberFormat="1" applyFont="1" applyBorder="1" applyAlignment="1">
      <alignment horizontal="center" vertical="center"/>
    </xf>
    <xf numFmtId="38" fontId="4" fillId="0" borderId="39" xfId="1" applyNumberFormat="1" applyFont="1" applyBorder="1" applyAlignment="1">
      <alignment horizontal="center" vertical="center"/>
    </xf>
    <xf numFmtId="9" fontId="4" fillId="0" borderId="32" xfId="2" applyNumberFormat="1" applyFont="1" applyBorder="1" applyAlignment="1">
      <alignment horizontal="center" vertical="center"/>
    </xf>
    <xf numFmtId="9" fontId="4" fillId="0" borderId="34" xfId="2" applyNumberFormat="1" applyFont="1" applyBorder="1" applyAlignment="1">
      <alignment horizontal="center" vertical="center"/>
    </xf>
    <xf numFmtId="9" fontId="4" fillId="0" borderId="40" xfId="2" applyNumberFormat="1" applyFont="1" applyBorder="1" applyAlignment="1">
      <alignment horizontal="center" vertical="center" wrapText="1"/>
    </xf>
    <xf numFmtId="9" fontId="4" fillId="0" borderId="97" xfId="2" applyNumberFormat="1" applyFont="1" applyBorder="1" applyAlignment="1">
      <alignment horizontal="center" vertical="center" wrapText="1"/>
    </xf>
    <xf numFmtId="9" fontId="4" fillId="0" borderId="26" xfId="2" applyFont="1" applyBorder="1" applyAlignment="1">
      <alignment horizontal="center" vertical="center"/>
    </xf>
    <xf numFmtId="9" fontId="4" fillId="0" borderId="27" xfId="2" applyFont="1" applyBorder="1" applyAlignment="1">
      <alignment horizontal="center" vertical="center"/>
    </xf>
    <xf numFmtId="0" fontId="4" fillId="17" borderId="26" xfId="0" applyFont="1" applyFill="1" applyBorder="1" applyAlignment="1">
      <alignment horizontal="center" vertical="center" wrapText="1"/>
    </xf>
    <xf numFmtId="0" fontId="4" fillId="17" borderId="48" xfId="0" applyFont="1" applyFill="1" applyBorder="1" applyAlignment="1">
      <alignment horizontal="center" vertical="center" wrapText="1"/>
    </xf>
    <xf numFmtId="38" fontId="4" fillId="0" borderId="35" xfId="1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left" vertical="center" wrapText="1"/>
    </xf>
    <xf numFmtId="38" fontId="4" fillId="0" borderId="57" xfId="1" applyNumberFormat="1" applyFont="1" applyBorder="1" applyAlignment="1">
      <alignment horizontal="center" vertical="center"/>
    </xf>
    <xf numFmtId="38" fontId="4" fillId="0" borderId="95" xfId="1" applyNumberFormat="1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15" borderId="78" xfId="0" applyFont="1" applyFill="1" applyBorder="1" applyAlignment="1">
      <alignment horizontal="center" vertical="center"/>
    </xf>
    <xf numFmtId="0" fontId="4" fillId="15" borderId="79" xfId="0" applyFont="1" applyFill="1" applyBorder="1" applyAlignment="1">
      <alignment horizontal="center" vertical="center"/>
    </xf>
    <xf numFmtId="38" fontId="3" fillId="0" borderId="3" xfId="1" applyFont="1" applyFill="1" applyBorder="1" applyAlignment="1" applyProtection="1">
      <alignment horizontal="center" vertical="center" shrinkToFit="1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38" fontId="3" fillId="0" borderId="3" xfId="1" applyFont="1" applyFill="1" applyBorder="1" applyAlignment="1" applyProtection="1">
      <alignment horizontal="left" vertical="center" shrinkToFit="1"/>
    </xf>
    <xf numFmtId="38" fontId="3" fillId="12" borderId="3" xfId="1" applyFont="1" applyFill="1" applyBorder="1" applyAlignment="1" applyProtection="1">
      <alignment horizontal="left" vertical="center" shrinkToFit="1"/>
    </xf>
    <xf numFmtId="38" fontId="3" fillId="12" borderId="1" xfId="1" applyFont="1" applyFill="1" applyBorder="1" applyAlignment="1" applyProtection="1">
      <alignment horizontal="left" vertical="center" shrinkToFit="1"/>
    </xf>
    <xf numFmtId="176" fontId="3" fillId="0" borderId="26" xfId="0" applyNumberFormat="1" applyFont="1" applyBorder="1" applyAlignment="1">
      <alignment horizontal="left" vertical="center" shrinkToFit="1"/>
    </xf>
    <xf numFmtId="176" fontId="3" fillId="0" borderId="27" xfId="0" applyNumberFormat="1" applyFont="1" applyBorder="1" applyAlignment="1">
      <alignment horizontal="left" vertical="center" shrinkToFit="1"/>
    </xf>
    <xf numFmtId="176" fontId="4" fillId="0" borderId="19" xfId="0" applyNumberFormat="1" applyFont="1" applyBorder="1" applyAlignment="1">
      <alignment horizontal="center" vertical="center" textRotation="255" shrinkToFit="1"/>
    </xf>
    <xf numFmtId="178" fontId="4" fillId="0" borderId="19" xfId="2" applyNumberFormat="1" applyFont="1" applyBorder="1" applyAlignment="1">
      <alignment horizontal="center" vertical="center" textRotation="255" shrinkToFit="1"/>
    </xf>
    <xf numFmtId="176" fontId="3" fillId="0" borderId="38" xfId="0" applyNumberFormat="1" applyFont="1" applyBorder="1" applyAlignment="1">
      <alignment horizontal="center" vertical="center" shrinkToFit="1"/>
    </xf>
    <xf numFmtId="176" fontId="3" fillId="0" borderId="40" xfId="0" applyNumberFormat="1" applyFont="1" applyBorder="1" applyAlignment="1">
      <alignment horizontal="center" vertical="center" shrinkToFit="1"/>
    </xf>
    <xf numFmtId="176" fontId="3" fillId="0" borderId="43" xfId="0" applyNumberFormat="1" applyFont="1" applyBorder="1" applyAlignment="1">
      <alignment horizontal="center" vertical="center" shrinkToFit="1"/>
    </xf>
    <xf numFmtId="176" fontId="3" fillId="0" borderId="44" xfId="0" applyNumberFormat="1" applyFont="1" applyBorder="1" applyAlignment="1">
      <alignment horizontal="center" vertical="center" shrinkToFit="1"/>
    </xf>
    <xf numFmtId="176" fontId="3" fillId="0" borderId="32" xfId="0" applyNumberFormat="1" applyFont="1" applyBorder="1" applyAlignment="1">
      <alignment horizontal="center" vertical="center" shrinkToFit="1"/>
    </xf>
    <xf numFmtId="176" fontId="3" fillId="0" borderId="34" xfId="0" applyNumberFormat="1" applyFont="1" applyBorder="1" applyAlignment="1">
      <alignment horizontal="center" vertical="center" shrinkToFit="1"/>
    </xf>
    <xf numFmtId="176" fontId="3" fillId="7" borderId="26" xfId="0" applyNumberFormat="1" applyFont="1" applyFill="1" applyBorder="1" applyAlignment="1">
      <alignment horizontal="left" vertical="center" shrinkToFit="1"/>
    </xf>
    <xf numFmtId="176" fontId="3" fillId="7" borderId="48" xfId="0" applyNumberFormat="1" applyFont="1" applyFill="1" applyBorder="1" applyAlignment="1">
      <alignment horizontal="left" vertical="center" shrinkToFit="1"/>
    </xf>
    <xf numFmtId="176" fontId="3" fillId="7" borderId="26" xfId="0" applyNumberFormat="1" applyFont="1" applyFill="1" applyBorder="1" applyAlignment="1">
      <alignment horizontal="left" vertical="center"/>
    </xf>
    <xf numFmtId="176" fontId="3" fillId="7" borderId="48" xfId="0" applyNumberFormat="1" applyFont="1" applyFill="1" applyBorder="1" applyAlignment="1">
      <alignment horizontal="left" vertical="center"/>
    </xf>
    <xf numFmtId="176" fontId="3" fillId="0" borderId="48" xfId="0" applyNumberFormat="1" applyFont="1" applyBorder="1" applyAlignment="1">
      <alignment horizontal="center" vertical="center" shrinkToFit="1"/>
    </xf>
    <xf numFmtId="176" fontId="3" fillId="0" borderId="27" xfId="0" applyNumberFormat="1" applyFont="1" applyBorder="1" applyAlignment="1">
      <alignment horizontal="center" vertical="center" shrinkToFit="1"/>
    </xf>
    <xf numFmtId="176" fontId="3" fillId="0" borderId="39" xfId="0" applyNumberFormat="1" applyFont="1" applyBorder="1" applyAlignment="1">
      <alignment horizontal="center" vertical="center" shrinkToFit="1"/>
    </xf>
    <xf numFmtId="176" fontId="3" fillId="0" borderId="17" xfId="0" applyNumberFormat="1" applyFont="1" applyBorder="1" applyAlignment="1">
      <alignment horizontal="center" vertical="center" shrinkToFit="1"/>
    </xf>
    <xf numFmtId="176" fontId="3" fillId="7" borderId="38" xfId="0" applyNumberFormat="1" applyFont="1" applyFill="1" applyBorder="1" applyAlignment="1">
      <alignment horizontal="left" vertical="center" shrinkToFit="1"/>
    </xf>
    <xf numFmtId="176" fontId="3" fillId="7" borderId="39" xfId="0" applyNumberFormat="1" applyFont="1" applyFill="1" applyBorder="1" applyAlignment="1">
      <alignment horizontal="left" vertical="center" shrinkToFit="1"/>
    </xf>
    <xf numFmtId="0" fontId="0" fillId="0" borderId="19" xfId="0" applyBorder="1" applyAlignment="1">
      <alignment horizontal="center" vertical="center" textRotation="255"/>
    </xf>
    <xf numFmtId="176" fontId="3" fillId="0" borderId="19" xfId="0" applyNumberFormat="1" applyFont="1" applyBorder="1" applyAlignment="1">
      <alignment horizontal="center" vertical="center" shrinkToFit="1"/>
    </xf>
    <xf numFmtId="38" fontId="4" fillId="0" borderId="3" xfId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4" fillId="0" borderId="9" xfId="1" applyFont="1" applyFill="1" applyBorder="1" applyAlignment="1" applyProtection="1">
      <alignment horizontal="center" vertical="center"/>
    </xf>
    <xf numFmtId="178" fontId="4" fillId="0" borderId="10" xfId="1" applyNumberFormat="1" applyFont="1" applyFill="1" applyBorder="1" applyAlignment="1" applyProtection="1">
      <alignment horizontal="center" vertical="center" shrinkToFit="1"/>
    </xf>
    <xf numFmtId="9" fontId="9" fillId="0" borderId="17" xfId="1" applyNumberFormat="1" applyFont="1" applyFill="1" applyBorder="1" applyAlignment="1" applyProtection="1">
      <alignment horizontal="center" vertical="center"/>
    </xf>
    <xf numFmtId="9" fontId="9" fillId="0" borderId="18" xfId="1" applyNumberFormat="1" applyFont="1" applyFill="1" applyBorder="1" applyAlignment="1" applyProtection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9" fontId="4" fillId="0" borderId="10" xfId="1" applyNumberFormat="1" applyFont="1" applyFill="1" applyBorder="1" applyAlignment="1" applyProtection="1">
      <alignment horizontal="center" vertical="center"/>
    </xf>
    <xf numFmtId="38" fontId="4" fillId="0" borderId="3" xfId="1" applyFont="1" applyFill="1" applyBorder="1" applyAlignment="1" applyProtection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 shrinkToFit="1"/>
    </xf>
    <xf numFmtId="9" fontId="4" fillId="0" borderId="2" xfId="0" applyNumberFormat="1" applyFont="1" applyBorder="1" applyAlignment="1">
      <alignment horizontal="center" vertical="center" shrinkToFit="1"/>
    </xf>
    <xf numFmtId="38" fontId="4" fillId="0" borderId="2" xfId="0" applyNumberFormat="1" applyFont="1" applyBorder="1" applyAlignment="1">
      <alignment horizontal="center" vertical="center"/>
    </xf>
    <xf numFmtId="38" fontId="9" fillId="0" borderId="3" xfId="1" applyFont="1" applyFill="1" applyBorder="1" applyAlignment="1" applyProtection="1">
      <alignment horizontal="center" vertical="center"/>
    </xf>
    <xf numFmtId="38" fontId="7" fillId="0" borderId="0" xfId="1" applyFont="1" applyFill="1" applyBorder="1" applyAlignment="1" applyProtection="1">
      <alignment horizontal="center" vertical="center" shrinkToFit="1"/>
    </xf>
    <xf numFmtId="38" fontId="4" fillId="0" borderId="0" xfId="1" applyFont="1" applyFill="1" applyBorder="1" applyAlignment="1" applyProtection="1">
      <alignment horizontal="center" vertical="center" shrinkToFit="1"/>
    </xf>
    <xf numFmtId="180" fontId="14" fillId="0" borderId="48" xfId="1" applyNumberFormat="1" applyFont="1" applyFill="1" applyBorder="1" applyAlignment="1" applyProtection="1">
      <alignment horizontal="center" vertical="center" shrinkToFit="1"/>
    </xf>
    <xf numFmtId="180" fontId="14" fillId="0" borderId="27" xfId="1" applyNumberFormat="1" applyFont="1" applyFill="1" applyBorder="1" applyAlignment="1" applyProtection="1">
      <alignment horizontal="center" vertical="center" shrinkToFit="1"/>
    </xf>
    <xf numFmtId="0" fontId="4" fillId="0" borderId="26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38" fontId="3" fillId="0" borderId="26" xfId="1" applyFont="1" applyBorder="1" applyAlignment="1">
      <alignment horizontal="center" vertical="center"/>
    </xf>
    <xf numFmtId="38" fontId="3" fillId="0" borderId="27" xfId="1" applyFont="1" applyBorder="1" applyAlignment="1">
      <alignment horizontal="center" vertical="center"/>
    </xf>
    <xf numFmtId="0" fontId="4" fillId="7" borderId="38" xfId="0" applyFont="1" applyFill="1" applyBorder="1" applyAlignment="1">
      <alignment horizontal="right" vertical="center" wrapText="1"/>
    </xf>
    <xf numFmtId="0" fontId="4" fillId="7" borderId="39" xfId="0" applyFont="1" applyFill="1" applyBorder="1" applyAlignment="1">
      <alignment horizontal="righ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48" xfId="0" applyFont="1" applyBorder="1" applyAlignment="1">
      <alignment horizontal="left" vertical="center" wrapText="1"/>
    </xf>
    <xf numFmtId="178" fontId="4" fillId="0" borderId="107" xfId="2" applyNumberFormat="1" applyFont="1" applyBorder="1" applyAlignment="1">
      <alignment horizontal="center" vertical="center" wrapText="1"/>
    </xf>
    <xf numFmtId="178" fontId="4" fillId="0" borderId="67" xfId="2" applyNumberFormat="1" applyFont="1" applyBorder="1" applyAlignment="1">
      <alignment horizontal="center" vertical="center" wrapText="1"/>
    </xf>
    <xf numFmtId="38" fontId="4" fillId="0" borderId="50" xfId="1" applyNumberFormat="1" applyFont="1" applyBorder="1" applyAlignment="1">
      <alignment horizontal="center" vertical="center" wrapText="1"/>
    </xf>
    <xf numFmtId="0" fontId="18" fillId="0" borderId="82" xfId="0" applyFont="1" applyBorder="1" applyAlignment="1">
      <alignment horizontal="center" vertical="center"/>
    </xf>
    <xf numFmtId="38" fontId="4" fillId="0" borderId="43" xfId="1" applyFont="1" applyBorder="1" applyAlignment="1">
      <alignment horizontal="center" vertical="center" wrapText="1"/>
    </xf>
    <xf numFmtId="0" fontId="4" fillId="17" borderId="19" xfId="0" applyFont="1" applyFill="1" applyBorder="1" applyAlignment="1">
      <alignment horizontal="left" vertical="center"/>
    </xf>
    <xf numFmtId="0" fontId="4" fillId="17" borderId="26" xfId="0" applyFont="1" applyFill="1" applyBorder="1" applyAlignment="1">
      <alignment horizontal="left" vertical="center"/>
    </xf>
    <xf numFmtId="0" fontId="4" fillId="17" borderId="27" xfId="0" applyFont="1" applyFill="1" applyBorder="1" applyAlignment="1">
      <alignment horizontal="left" vertical="center"/>
    </xf>
    <xf numFmtId="38" fontId="3" fillId="13" borderId="9" xfId="1" applyFont="1" applyFill="1" applyBorder="1" applyAlignment="1" applyProtection="1">
      <alignment horizontal="center" vertical="center" shrinkToFit="1"/>
    </xf>
    <xf numFmtId="38" fontId="3" fillId="13" borderId="3" xfId="1" applyFont="1" applyFill="1" applyBorder="1" applyAlignment="1" applyProtection="1">
      <alignment horizontal="center" vertical="center" shrinkToFit="1"/>
    </xf>
    <xf numFmtId="38" fontId="3" fillId="13" borderId="38" xfId="1" applyFont="1" applyFill="1" applyBorder="1" applyAlignment="1" applyProtection="1">
      <alignment horizontal="center" vertical="center" shrinkToFit="1"/>
    </xf>
    <xf numFmtId="38" fontId="3" fillId="13" borderId="39" xfId="1" applyFont="1" applyFill="1" applyBorder="1" applyAlignment="1" applyProtection="1">
      <alignment horizontal="center" vertical="center" shrinkToFit="1"/>
    </xf>
    <xf numFmtId="38" fontId="3" fillId="13" borderId="40" xfId="1" applyFont="1" applyFill="1" applyBorder="1" applyAlignment="1" applyProtection="1">
      <alignment horizontal="center" vertical="center" shrinkToFit="1"/>
    </xf>
    <xf numFmtId="38" fontId="2" fillId="0" borderId="0" xfId="1" applyAlignment="1">
      <alignment horizontal="center" vertical="center"/>
    </xf>
    <xf numFmtId="38" fontId="0" fillId="0" borderId="0" xfId="1" applyFont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1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6.xml"/><Relationship Id="rId26" Type="http://schemas.openxmlformats.org/officeDocument/2006/relationships/worksheet" Target="worksheets/sheet2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1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hartsheet" Target="chartsheets/sheet2.xml"/><Relationship Id="rId25" Type="http://schemas.openxmlformats.org/officeDocument/2006/relationships/worksheet" Target="worksheets/sheet23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1.xml"/><Relationship Id="rId20" Type="http://schemas.openxmlformats.org/officeDocument/2006/relationships/worksheet" Target="worksheets/sheet18.xml"/><Relationship Id="rId29" Type="http://schemas.openxmlformats.org/officeDocument/2006/relationships/worksheet" Target="worksheets/sheet2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2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1.xml"/><Relationship Id="rId28" Type="http://schemas.openxmlformats.org/officeDocument/2006/relationships/worksheet" Target="worksheets/sheet2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7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0.xml"/><Relationship Id="rId27" Type="http://schemas.openxmlformats.org/officeDocument/2006/relationships/worksheet" Target="worksheets/sheet25.xml"/><Relationship Id="rId30" Type="http://schemas.openxmlformats.org/officeDocument/2006/relationships/theme" Target="theme/theme1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ふれあい給食!$C$2</c:f>
              <c:strCache>
                <c:ptCount val="1"/>
                <c:pt idx="0">
                  <c:v>2014決算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D15-4291-9EC7-582176E60CE0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D15-4291-9EC7-582176E60CE0}"/>
              </c:ext>
            </c:extLst>
          </c:dPt>
          <c:cat>
            <c:strRef>
              <c:f>ふれあい給食!$B$3:$B$5</c:f>
              <c:strCache>
                <c:ptCount val="3"/>
                <c:pt idx="0">
                  <c:v>収益</c:v>
                </c:pt>
                <c:pt idx="1">
                  <c:v>費用</c:v>
                </c:pt>
                <c:pt idx="2">
                  <c:v>収益増減</c:v>
                </c:pt>
              </c:strCache>
            </c:strRef>
          </c:cat>
          <c:val>
            <c:numRef>
              <c:f>ふれあい給食!$C$3:$C$5</c:f>
              <c:numCache>
                <c:formatCode>#,##0_);[Red]\(#,##0\)</c:formatCode>
                <c:ptCount val="3"/>
                <c:pt idx="0">
                  <c:v>9167000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D15-4291-9EC7-582176E60C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603520"/>
        <c:axId val="90605056"/>
      </c:barChart>
      <c:catAx>
        <c:axId val="906035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0605056"/>
        <c:crosses val="autoZero"/>
        <c:auto val="1"/>
        <c:lblAlgn val="ctr"/>
        <c:lblOffset val="100"/>
        <c:noMultiLvlLbl val="0"/>
      </c:catAx>
      <c:valAx>
        <c:axId val="90605056"/>
        <c:scaling>
          <c:orientation val="minMax"/>
          <c:max val="12000000"/>
        </c:scaling>
        <c:delete val="0"/>
        <c:axPos val="l"/>
        <c:majorGridlines/>
        <c:numFmt formatCode="#,##0;&quot;▲ &quot;#,##0" sourceLinked="0"/>
        <c:majorTickMark val="out"/>
        <c:minorTickMark val="none"/>
        <c:tickLblPos val="nextTo"/>
        <c:crossAx val="90603520"/>
        <c:crosses val="autoZero"/>
        <c:crossBetween val="between"/>
        <c:dispUnits>
          <c:builtInUnit val="thousands"/>
          <c:dispUnitsLbl/>
        </c:dispUnits>
      </c:valAx>
      <c:dTable>
        <c:showHorzBorder val="1"/>
        <c:showVertBorder val="1"/>
        <c:showOutline val="1"/>
        <c:showKeys val="0"/>
      </c:dTable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en-US" altLang="ja-JP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2015</a:t>
            </a:r>
            <a:r>
              <a:rPr lang="ja-JP" altLang="en-US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実績（累計）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障がい就労!$E$11</c:f>
              <c:strCache>
                <c:ptCount val="1"/>
                <c:pt idx="0">
                  <c:v>収益</c:v>
                </c:pt>
              </c:strCache>
            </c:strRef>
          </c:tx>
          <c:invertIfNegative val="0"/>
          <c:cat>
            <c:strRef>
              <c:f>障がい就労!$I$10:$T$10</c:f>
              <c:strCache>
                <c:ptCount val="12"/>
                <c:pt idx="0">
                  <c:v>１２月</c:v>
                </c:pt>
                <c:pt idx="1">
                  <c:v>１月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</c:strCache>
            </c:strRef>
          </c:cat>
          <c:val>
            <c:numRef>
              <c:f>障がい就労!$I$11:$T$11</c:f>
              <c:numCache>
                <c:formatCode>#,##0,</c:formatCode>
                <c:ptCount val="12"/>
                <c:pt idx="0">
                  <c:v>14692000</c:v>
                </c:pt>
                <c:pt idx="1">
                  <c:v>15823000</c:v>
                </c:pt>
                <c:pt idx="2">
                  <c:v>16998000</c:v>
                </c:pt>
                <c:pt idx="3">
                  <c:v>18315000</c:v>
                </c:pt>
                <c:pt idx="4">
                  <c:v>1624000</c:v>
                </c:pt>
                <c:pt idx="5">
                  <c:v>2888000</c:v>
                </c:pt>
                <c:pt idx="6">
                  <c:v>4197000</c:v>
                </c:pt>
                <c:pt idx="7">
                  <c:v>5616000</c:v>
                </c:pt>
                <c:pt idx="8">
                  <c:v>6895000</c:v>
                </c:pt>
                <c:pt idx="9">
                  <c:v>8145000</c:v>
                </c:pt>
                <c:pt idx="10">
                  <c:v>9669000</c:v>
                </c:pt>
                <c:pt idx="11">
                  <c:v>11211000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48-4B2D-93A9-6B41366DC15A}"/>
            </c:ext>
          </c:extLst>
        </c:ser>
        <c:ser>
          <c:idx val="1"/>
          <c:order val="1"/>
          <c:tx>
            <c:strRef>
              <c:f>障がい就労!$E$12</c:f>
              <c:strCache>
                <c:ptCount val="1"/>
                <c:pt idx="0">
                  <c:v>費用</c:v>
                </c:pt>
              </c:strCache>
            </c:strRef>
          </c:tx>
          <c:invertIfNegative val="0"/>
          <c:cat>
            <c:strRef>
              <c:f>障がい就労!$I$10:$T$10</c:f>
              <c:strCache>
                <c:ptCount val="12"/>
                <c:pt idx="0">
                  <c:v>１２月</c:v>
                </c:pt>
                <c:pt idx="1">
                  <c:v>１月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</c:strCache>
            </c:strRef>
          </c:cat>
          <c:val>
            <c:numRef>
              <c:f>障がい就労!$I$12:$T$12</c:f>
              <c:numCache>
                <c:formatCode>#,##0,</c:formatCode>
                <c:ptCount val="12"/>
                <c:pt idx="0">
                  <c:v>16777000</c:v>
                </c:pt>
                <c:pt idx="1">
                  <c:v>18212000</c:v>
                </c:pt>
                <c:pt idx="2">
                  <c:v>19983000</c:v>
                </c:pt>
                <c:pt idx="3">
                  <c:v>22368000</c:v>
                </c:pt>
                <c:pt idx="4">
                  <c:v>1774000</c:v>
                </c:pt>
                <c:pt idx="5">
                  <c:v>3680000</c:v>
                </c:pt>
                <c:pt idx="6">
                  <c:v>5732000</c:v>
                </c:pt>
                <c:pt idx="7">
                  <c:v>8110000</c:v>
                </c:pt>
                <c:pt idx="8">
                  <c:v>10514000</c:v>
                </c:pt>
                <c:pt idx="9">
                  <c:v>12869000</c:v>
                </c:pt>
                <c:pt idx="10">
                  <c:v>14818000</c:v>
                </c:pt>
                <c:pt idx="11">
                  <c:v>16753000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248-4B2D-93A9-6B41366DC15A}"/>
            </c:ext>
          </c:extLst>
        </c:ser>
        <c:ser>
          <c:idx val="2"/>
          <c:order val="2"/>
          <c:tx>
            <c:strRef>
              <c:f>障がい就労!$E$13</c:f>
              <c:strCache>
                <c:ptCount val="1"/>
                <c:pt idx="0">
                  <c:v>収益増減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障がい就労!$I$10:$T$10</c:f>
              <c:strCache>
                <c:ptCount val="12"/>
                <c:pt idx="0">
                  <c:v>１２月</c:v>
                </c:pt>
                <c:pt idx="1">
                  <c:v>１月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</c:strCache>
            </c:strRef>
          </c:cat>
          <c:val>
            <c:numRef>
              <c:f>障がい就労!$I$13:$T$13</c:f>
              <c:numCache>
                <c:formatCode>#,##0,</c:formatCode>
                <c:ptCount val="12"/>
                <c:pt idx="0">
                  <c:v>-2085000</c:v>
                </c:pt>
                <c:pt idx="1">
                  <c:v>-2389000</c:v>
                </c:pt>
                <c:pt idx="2">
                  <c:v>-2985000</c:v>
                </c:pt>
                <c:pt idx="3">
                  <c:v>-4053000</c:v>
                </c:pt>
                <c:pt idx="4">
                  <c:v>-150000</c:v>
                </c:pt>
                <c:pt idx="5">
                  <c:v>-792000</c:v>
                </c:pt>
                <c:pt idx="6">
                  <c:v>-1535000</c:v>
                </c:pt>
                <c:pt idx="7">
                  <c:v>-2494000</c:v>
                </c:pt>
                <c:pt idx="8">
                  <c:v>-3619000</c:v>
                </c:pt>
                <c:pt idx="9">
                  <c:v>-4724000</c:v>
                </c:pt>
                <c:pt idx="10">
                  <c:v>-5149000</c:v>
                </c:pt>
                <c:pt idx="11">
                  <c:v>-5542000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248-4B2D-93A9-6B41366DC1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724800"/>
        <c:axId val="87726336"/>
      </c:barChart>
      <c:lineChart>
        <c:grouping val="standard"/>
        <c:varyColors val="0"/>
        <c:ser>
          <c:idx val="3"/>
          <c:order val="3"/>
          <c:tx>
            <c:strRef>
              <c:f>障がい就労!$E$14</c:f>
              <c:strCache>
                <c:ptCount val="1"/>
                <c:pt idx="0">
                  <c:v>予算収益ライン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障がい就労!$I$10:$T$10</c:f>
              <c:strCache>
                <c:ptCount val="12"/>
                <c:pt idx="0">
                  <c:v>１２月</c:v>
                </c:pt>
                <c:pt idx="1">
                  <c:v>１月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</c:strCache>
            </c:strRef>
          </c:cat>
          <c:val>
            <c:numRef>
              <c:f>障がい就労!$I$14:$T$14</c:f>
              <c:numCache>
                <c:formatCode>#,##0_);[Red]\(#,##0\)</c:formatCode>
                <c:ptCount val="12"/>
                <c:pt idx="4" formatCode="#,##0,">
                  <c:v>0</c:v>
                </c:pt>
                <c:pt idx="5" formatCode="#,##0,">
                  <c:v>0</c:v>
                </c:pt>
                <c:pt idx="6" formatCode="#,##0,">
                  <c:v>0</c:v>
                </c:pt>
                <c:pt idx="7" formatCode="#,##0,">
                  <c:v>0</c:v>
                </c:pt>
                <c:pt idx="8" formatCode="#,##0,">
                  <c:v>0</c:v>
                </c:pt>
                <c:pt idx="9" formatCode="#,##0,">
                  <c:v>0</c:v>
                </c:pt>
                <c:pt idx="10" formatCode="#,##0,">
                  <c:v>0</c:v>
                </c:pt>
                <c:pt idx="11" formatCode="#,##0,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248-4B2D-93A9-6B41366DC15A}"/>
            </c:ext>
          </c:extLst>
        </c:ser>
        <c:ser>
          <c:idx val="4"/>
          <c:order val="4"/>
          <c:tx>
            <c:strRef>
              <c:f>障がい就労!$E$15</c:f>
              <c:strCache>
                <c:ptCount val="1"/>
                <c:pt idx="0">
                  <c:v>予算費用ライン</c:v>
                </c:pt>
              </c:strCache>
            </c:strRef>
          </c:tx>
          <c:spPr>
            <a:ln>
              <a:solidFill>
                <a:schemeClr val="accent2"/>
              </a:solidFill>
              <a:prstDash val="sysDot"/>
            </a:ln>
          </c:spPr>
          <c:marker>
            <c:symbol val="none"/>
          </c:marker>
          <c:cat>
            <c:strRef>
              <c:f>障がい就労!$I$10:$T$10</c:f>
              <c:strCache>
                <c:ptCount val="12"/>
                <c:pt idx="0">
                  <c:v>１２月</c:v>
                </c:pt>
                <c:pt idx="1">
                  <c:v>１月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</c:strCache>
            </c:strRef>
          </c:cat>
          <c:val>
            <c:numRef>
              <c:f>障がい就労!$I$15:$T$15</c:f>
              <c:numCache>
                <c:formatCode>#,##0_);[Red]\(#,##0\)</c:formatCode>
                <c:ptCount val="12"/>
                <c:pt idx="4" formatCode="#,##0,">
                  <c:v>0</c:v>
                </c:pt>
                <c:pt idx="5" formatCode="#,##0,">
                  <c:v>0</c:v>
                </c:pt>
                <c:pt idx="6" formatCode="#,##0,">
                  <c:v>0</c:v>
                </c:pt>
                <c:pt idx="7" formatCode="#,##0,">
                  <c:v>0</c:v>
                </c:pt>
                <c:pt idx="8" formatCode="#,##0,">
                  <c:v>0</c:v>
                </c:pt>
                <c:pt idx="9" formatCode="#,##0,">
                  <c:v>0</c:v>
                </c:pt>
                <c:pt idx="10" formatCode="#,##0,">
                  <c:v>0</c:v>
                </c:pt>
                <c:pt idx="11" formatCode="#,##0,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E248-4B2D-93A9-6B41366DC15A}"/>
            </c:ext>
          </c:extLst>
        </c:ser>
        <c:ser>
          <c:idx val="5"/>
          <c:order val="5"/>
          <c:tx>
            <c:strRef>
              <c:f>障がい就労!$E$16</c:f>
              <c:strCache>
                <c:ptCount val="1"/>
                <c:pt idx="0">
                  <c:v>予算増減ライン</c:v>
                </c:pt>
              </c:strCache>
            </c:strRef>
          </c:tx>
          <c:spPr>
            <a:ln>
              <a:solidFill>
                <a:srgbClr val="FFC000"/>
              </a:solidFill>
              <a:prstDash val="dashDot"/>
            </a:ln>
          </c:spPr>
          <c:marker>
            <c:symbol val="none"/>
          </c:marker>
          <c:cat>
            <c:strRef>
              <c:f>障がい就労!$I$10:$T$10</c:f>
              <c:strCache>
                <c:ptCount val="12"/>
                <c:pt idx="0">
                  <c:v>１２月</c:v>
                </c:pt>
                <c:pt idx="1">
                  <c:v>１月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</c:strCache>
            </c:strRef>
          </c:cat>
          <c:val>
            <c:numRef>
              <c:f>障がい就労!$I$16:$T$16</c:f>
              <c:numCache>
                <c:formatCode>#,##0_);[Red]\(#,##0\)</c:formatCode>
                <c:ptCount val="12"/>
                <c:pt idx="4" formatCode="#,##0,">
                  <c:v>0</c:v>
                </c:pt>
                <c:pt idx="5" formatCode="#,##0,">
                  <c:v>0</c:v>
                </c:pt>
                <c:pt idx="6" formatCode="#,##0,">
                  <c:v>0</c:v>
                </c:pt>
                <c:pt idx="7" formatCode="#,##0,">
                  <c:v>0</c:v>
                </c:pt>
                <c:pt idx="8" formatCode="#,##0,">
                  <c:v>0</c:v>
                </c:pt>
                <c:pt idx="9" formatCode="#,##0,">
                  <c:v>0</c:v>
                </c:pt>
                <c:pt idx="10" formatCode="#,##0,">
                  <c:v>0</c:v>
                </c:pt>
                <c:pt idx="11" formatCode="#,##0,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E248-4B2D-93A9-6B41366DC1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724800"/>
        <c:axId val="87726336"/>
      </c:lineChart>
      <c:catAx>
        <c:axId val="877248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7726336"/>
        <c:crosses val="autoZero"/>
        <c:auto val="1"/>
        <c:lblAlgn val="ctr"/>
        <c:lblOffset val="100"/>
        <c:noMultiLvlLbl val="0"/>
      </c:catAx>
      <c:valAx>
        <c:axId val="87726336"/>
        <c:scaling>
          <c:orientation val="minMax"/>
          <c:max val="25000000"/>
        </c:scaling>
        <c:delete val="0"/>
        <c:axPos val="l"/>
        <c:majorGridlines/>
        <c:numFmt formatCode="#,##0;&quot;▲ &quot;#,##0" sourceLinked="0"/>
        <c:majorTickMark val="out"/>
        <c:minorTickMark val="none"/>
        <c:tickLblPos val="nextTo"/>
        <c:crossAx val="87724800"/>
        <c:crosses val="autoZero"/>
        <c:crossBetween val="between"/>
        <c:dispUnits>
          <c:builtInUnit val="thousands"/>
          <c:dispUnitsLbl/>
        </c:dispUnits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en-US" altLang="ja-JP"/>
              <a:t>2015</a:t>
            </a:r>
            <a:r>
              <a:rPr lang="ja-JP" altLang="en-US"/>
              <a:t>予算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障がい就労!$C$2</c:f>
              <c:strCache>
                <c:ptCount val="1"/>
                <c:pt idx="0">
                  <c:v>2014決算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6FE-4B9C-BDEF-89C29A0692E8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6FE-4B9C-BDEF-89C29A0692E8}"/>
              </c:ext>
            </c:extLst>
          </c:dPt>
          <c:cat>
            <c:strRef>
              <c:f>障がい就労!$B$11:$B$13</c:f>
              <c:strCache>
                <c:ptCount val="3"/>
                <c:pt idx="0">
                  <c:v>収益</c:v>
                </c:pt>
                <c:pt idx="1">
                  <c:v>費用</c:v>
                </c:pt>
                <c:pt idx="2">
                  <c:v>収益増減</c:v>
                </c:pt>
              </c:strCache>
            </c:strRef>
          </c:cat>
          <c:val>
            <c:numRef>
              <c:f>障がい就労!$C$11:$C$13</c:f>
              <c:numCache>
                <c:formatCode>#,##0_);[Red]\(#,##0\)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6FE-4B9C-BDEF-89C29A0692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757568"/>
        <c:axId val="87759104"/>
      </c:barChart>
      <c:catAx>
        <c:axId val="877575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7759104"/>
        <c:crosses val="autoZero"/>
        <c:auto val="1"/>
        <c:lblAlgn val="ctr"/>
        <c:lblOffset val="100"/>
        <c:noMultiLvlLbl val="0"/>
      </c:catAx>
      <c:valAx>
        <c:axId val="87759104"/>
        <c:scaling>
          <c:orientation val="minMax"/>
        </c:scaling>
        <c:delete val="0"/>
        <c:axPos val="l"/>
        <c:majorGridlines/>
        <c:numFmt formatCode="#,##0;&quot;▲ &quot;#,##0" sourceLinked="0"/>
        <c:majorTickMark val="out"/>
        <c:minorTickMark val="none"/>
        <c:tickLblPos val="nextTo"/>
        <c:crossAx val="87757568"/>
        <c:crosses val="autoZero"/>
        <c:crossBetween val="between"/>
        <c:dispUnits>
          <c:builtInUnit val="thousands"/>
          <c:dispUnitsLbl/>
        </c:dispUnits>
      </c:valAx>
      <c:dTable>
        <c:showHorzBorder val="1"/>
        <c:showVertBorder val="1"/>
        <c:showOutline val="1"/>
        <c:showKeys val="0"/>
      </c:dTable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en-US" altLang="ja-JP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2015</a:t>
            </a:r>
            <a:r>
              <a:rPr lang="ja-JP" altLang="en-US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実績（単月収支）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障がい就労!$E$3</c:f>
              <c:strCache>
                <c:ptCount val="1"/>
                <c:pt idx="0">
                  <c:v>収益</c:v>
                </c:pt>
              </c:strCache>
            </c:strRef>
          </c:tx>
          <c:invertIfNegative val="0"/>
          <c:cat>
            <c:strRef>
              <c:f>障がい就労!$I$2:$T$2</c:f>
              <c:strCache>
                <c:ptCount val="12"/>
                <c:pt idx="0">
                  <c:v>１２月</c:v>
                </c:pt>
                <c:pt idx="1">
                  <c:v>１月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</c:strCache>
            </c:strRef>
          </c:cat>
          <c:val>
            <c:numRef>
              <c:f>障がい就労!$I$3:$T$3</c:f>
              <c:numCache>
                <c:formatCode>#,##0_);[Red]\(#,##0\)</c:formatCode>
                <c:ptCount val="12"/>
                <c:pt idx="0">
                  <c:v>1425000</c:v>
                </c:pt>
                <c:pt idx="1">
                  <c:v>1131000</c:v>
                </c:pt>
                <c:pt idx="2">
                  <c:v>1175000</c:v>
                </c:pt>
                <c:pt idx="3">
                  <c:v>1317000</c:v>
                </c:pt>
                <c:pt idx="4">
                  <c:v>1624000</c:v>
                </c:pt>
                <c:pt idx="5">
                  <c:v>1264000</c:v>
                </c:pt>
                <c:pt idx="6">
                  <c:v>1309000</c:v>
                </c:pt>
                <c:pt idx="7">
                  <c:v>1419000</c:v>
                </c:pt>
                <c:pt idx="8">
                  <c:v>1279000</c:v>
                </c:pt>
                <c:pt idx="9">
                  <c:v>1250000</c:v>
                </c:pt>
                <c:pt idx="10">
                  <c:v>1524000</c:v>
                </c:pt>
                <c:pt idx="11">
                  <c:v>1542000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89-4A50-9087-112AA8C341F3}"/>
            </c:ext>
          </c:extLst>
        </c:ser>
        <c:ser>
          <c:idx val="1"/>
          <c:order val="1"/>
          <c:tx>
            <c:strRef>
              <c:f>障がい就労!$E$4</c:f>
              <c:strCache>
                <c:ptCount val="1"/>
                <c:pt idx="0">
                  <c:v>費用</c:v>
                </c:pt>
              </c:strCache>
            </c:strRef>
          </c:tx>
          <c:invertIfNegative val="0"/>
          <c:cat>
            <c:strRef>
              <c:f>障がい就労!$I$2:$T$2</c:f>
              <c:strCache>
                <c:ptCount val="12"/>
                <c:pt idx="0">
                  <c:v>１２月</c:v>
                </c:pt>
                <c:pt idx="1">
                  <c:v>１月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</c:strCache>
            </c:strRef>
          </c:cat>
          <c:val>
            <c:numRef>
              <c:f>障がい就労!$I$4:$T$4</c:f>
              <c:numCache>
                <c:formatCode>#,##0_);[Red]\(#,##0\)</c:formatCode>
                <c:ptCount val="12"/>
                <c:pt idx="0">
                  <c:v>2144000</c:v>
                </c:pt>
                <c:pt idx="1">
                  <c:v>1435000</c:v>
                </c:pt>
                <c:pt idx="2">
                  <c:v>1771000</c:v>
                </c:pt>
                <c:pt idx="3">
                  <c:v>2385000</c:v>
                </c:pt>
                <c:pt idx="4">
                  <c:v>1774000</c:v>
                </c:pt>
                <c:pt idx="5">
                  <c:v>1906000</c:v>
                </c:pt>
                <c:pt idx="6">
                  <c:v>2052000</c:v>
                </c:pt>
                <c:pt idx="7">
                  <c:v>2378000</c:v>
                </c:pt>
                <c:pt idx="8">
                  <c:v>2404000</c:v>
                </c:pt>
                <c:pt idx="9">
                  <c:v>2355000</c:v>
                </c:pt>
                <c:pt idx="10">
                  <c:v>1949000</c:v>
                </c:pt>
                <c:pt idx="11">
                  <c:v>1935000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E89-4A50-9087-112AA8C341F3}"/>
            </c:ext>
          </c:extLst>
        </c:ser>
        <c:ser>
          <c:idx val="2"/>
          <c:order val="2"/>
          <c:tx>
            <c:strRef>
              <c:f>障がい就労!$E$5</c:f>
              <c:strCache>
                <c:ptCount val="1"/>
                <c:pt idx="0">
                  <c:v>収益増減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障がい就労!$I$2:$T$2</c:f>
              <c:strCache>
                <c:ptCount val="12"/>
                <c:pt idx="0">
                  <c:v>１２月</c:v>
                </c:pt>
                <c:pt idx="1">
                  <c:v>１月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</c:strCache>
            </c:strRef>
          </c:cat>
          <c:val>
            <c:numRef>
              <c:f>障がい就労!$I$5:$T$5</c:f>
              <c:numCache>
                <c:formatCode>#,##0_);[Red]\(#,##0\)</c:formatCode>
                <c:ptCount val="12"/>
                <c:pt idx="0">
                  <c:v>-719000</c:v>
                </c:pt>
                <c:pt idx="1">
                  <c:v>-304000</c:v>
                </c:pt>
                <c:pt idx="2">
                  <c:v>-596000</c:v>
                </c:pt>
                <c:pt idx="3">
                  <c:v>-1068000</c:v>
                </c:pt>
                <c:pt idx="4">
                  <c:v>-150000</c:v>
                </c:pt>
                <c:pt idx="5">
                  <c:v>-642000</c:v>
                </c:pt>
                <c:pt idx="6">
                  <c:v>-743000</c:v>
                </c:pt>
                <c:pt idx="7">
                  <c:v>-959000</c:v>
                </c:pt>
                <c:pt idx="8">
                  <c:v>-1125000</c:v>
                </c:pt>
                <c:pt idx="9">
                  <c:v>-1105000</c:v>
                </c:pt>
                <c:pt idx="10">
                  <c:v>-425000</c:v>
                </c:pt>
                <c:pt idx="11">
                  <c:v>-393000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E89-4A50-9087-112AA8C341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813120"/>
        <c:axId val="87819008"/>
      </c:barChart>
      <c:lineChart>
        <c:grouping val="standard"/>
        <c:varyColors val="0"/>
        <c:ser>
          <c:idx val="3"/>
          <c:order val="3"/>
          <c:tx>
            <c:strRef>
              <c:f>障がい就労!$E$6</c:f>
              <c:strCache>
                <c:ptCount val="1"/>
                <c:pt idx="0">
                  <c:v>予算収益ライン</c:v>
                </c:pt>
              </c:strCache>
            </c:strRef>
          </c:tx>
          <c:spPr>
            <a:ln>
              <a:solidFill>
                <a:srgbClr val="0070C0"/>
              </a:solidFill>
              <a:prstDash val="sysDash"/>
            </a:ln>
          </c:spPr>
          <c:marker>
            <c:symbol val="none"/>
          </c:marker>
          <c:cat>
            <c:strRef>
              <c:f>障がい就労!$G$2:$R$2</c:f>
              <c:strCache>
                <c:ptCount val="12"/>
                <c:pt idx="0">
                  <c:v>１０月</c:v>
                </c:pt>
                <c:pt idx="1">
                  <c:v>１１月</c:v>
                </c:pt>
                <c:pt idx="2">
                  <c:v>１２月</c:v>
                </c:pt>
                <c:pt idx="3">
                  <c:v>１月</c:v>
                </c:pt>
                <c:pt idx="4">
                  <c:v>２月</c:v>
                </c:pt>
                <c:pt idx="5">
                  <c:v>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</c:strCache>
            </c:strRef>
          </c:cat>
          <c:val>
            <c:numRef>
              <c:f>障がい就労!$G$6:$R$6</c:f>
              <c:numCache>
                <c:formatCode>#,##0_);[Red]\(#,##0\)</c:formatCode>
                <c:ptCount val="12"/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E89-4A50-9087-112AA8C341F3}"/>
            </c:ext>
          </c:extLst>
        </c:ser>
        <c:ser>
          <c:idx val="4"/>
          <c:order val="4"/>
          <c:tx>
            <c:strRef>
              <c:f>障がい就労!$E$7</c:f>
              <c:strCache>
                <c:ptCount val="1"/>
                <c:pt idx="0">
                  <c:v>予算費用ライン</c:v>
                </c:pt>
              </c:strCache>
            </c:strRef>
          </c:tx>
          <c:spPr>
            <a:ln>
              <a:solidFill>
                <a:srgbClr val="C00000"/>
              </a:solidFill>
              <a:prstDash val="sysDot"/>
            </a:ln>
          </c:spPr>
          <c:marker>
            <c:symbol val="none"/>
          </c:marker>
          <c:cat>
            <c:strRef>
              <c:f>障がい就労!$G$2:$R$2</c:f>
              <c:strCache>
                <c:ptCount val="12"/>
                <c:pt idx="0">
                  <c:v>１０月</c:v>
                </c:pt>
                <c:pt idx="1">
                  <c:v>１１月</c:v>
                </c:pt>
                <c:pt idx="2">
                  <c:v>１２月</c:v>
                </c:pt>
                <c:pt idx="3">
                  <c:v>１月</c:v>
                </c:pt>
                <c:pt idx="4">
                  <c:v>２月</c:v>
                </c:pt>
                <c:pt idx="5">
                  <c:v>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</c:strCache>
            </c:strRef>
          </c:cat>
          <c:val>
            <c:numRef>
              <c:f>障がい就労!$G$7:$R$7</c:f>
              <c:numCache>
                <c:formatCode>#,##0_);[Red]\(#,##0\)</c:formatCode>
                <c:ptCount val="12"/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9E89-4A50-9087-112AA8C341F3}"/>
            </c:ext>
          </c:extLst>
        </c:ser>
        <c:ser>
          <c:idx val="5"/>
          <c:order val="5"/>
          <c:tx>
            <c:strRef>
              <c:f>障がい就労!$E$8</c:f>
              <c:strCache>
                <c:ptCount val="1"/>
                <c:pt idx="0">
                  <c:v>予算増減ライン</c:v>
                </c:pt>
              </c:strCache>
            </c:strRef>
          </c:tx>
          <c:spPr>
            <a:ln>
              <a:prstDash val="dashDot"/>
            </a:ln>
          </c:spPr>
          <c:marker>
            <c:symbol val="none"/>
          </c:marker>
          <c:cat>
            <c:strRef>
              <c:f>障がい就労!$G$2:$R$2</c:f>
              <c:strCache>
                <c:ptCount val="12"/>
                <c:pt idx="0">
                  <c:v>１０月</c:v>
                </c:pt>
                <c:pt idx="1">
                  <c:v>１１月</c:v>
                </c:pt>
                <c:pt idx="2">
                  <c:v>１２月</c:v>
                </c:pt>
                <c:pt idx="3">
                  <c:v>１月</c:v>
                </c:pt>
                <c:pt idx="4">
                  <c:v>２月</c:v>
                </c:pt>
                <c:pt idx="5">
                  <c:v>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</c:strCache>
            </c:strRef>
          </c:cat>
          <c:val>
            <c:numRef>
              <c:f>障がい就労!$G$8:$R$8</c:f>
              <c:numCache>
                <c:formatCode>#,##0_);[Red]\(#,##0\)</c:formatCode>
                <c:ptCount val="12"/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9E89-4A50-9087-112AA8C341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813120"/>
        <c:axId val="87819008"/>
      </c:lineChart>
      <c:catAx>
        <c:axId val="878131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7819008"/>
        <c:crosses val="autoZero"/>
        <c:auto val="1"/>
        <c:lblAlgn val="ctr"/>
        <c:lblOffset val="100"/>
        <c:noMultiLvlLbl val="0"/>
      </c:catAx>
      <c:valAx>
        <c:axId val="87819008"/>
        <c:scaling>
          <c:orientation val="minMax"/>
          <c:max val="2500000"/>
        </c:scaling>
        <c:delete val="0"/>
        <c:axPos val="l"/>
        <c:majorGridlines/>
        <c:numFmt formatCode="#,##0;&quot;▲ &quot;#,##0" sourceLinked="0"/>
        <c:majorTickMark val="out"/>
        <c:minorTickMark val="none"/>
        <c:tickLblPos val="nextTo"/>
        <c:crossAx val="87813120"/>
        <c:crosses val="autoZero"/>
        <c:crossBetween val="between"/>
        <c:dispUnits>
          <c:builtInUnit val="thousands"/>
          <c:dispUnitsLbl/>
        </c:dispUnits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グッドシーズン!$C$2</c:f>
              <c:strCache>
                <c:ptCount val="1"/>
                <c:pt idx="0">
                  <c:v>2014決算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85A-459F-A86E-131B545F79C9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85A-459F-A86E-131B545F79C9}"/>
              </c:ext>
            </c:extLst>
          </c:dPt>
          <c:cat>
            <c:strRef>
              <c:f>グッドシーズン!$B$3:$B$5</c:f>
              <c:strCache>
                <c:ptCount val="3"/>
                <c:pt idx="0">
                  <c:v>収益</c:v>
                </c:pt>
                <c:pt idx="1">
                  <c:v>費用</c:v>
                </c:pt>
                <c:pt idx="2">
                  <c:v>収益増減</c:v>
                </c:pt>
              </c:strCache>
            </c:strRef>
          </c:cat>
          <c:val>
            <c:numRef>
              <c:f>グッドシーズン!$C$3:$C$5</c:f>
              <c:numCache>
                <c:formatCode>#,##0_);[Red]\(#,##0\)</c:formatCode>
                <c:ptCount val="3"/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85A-459F-A86E-131B545F79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874944"/>
        <c:axId val="87876736"/>
      </c:barChart>
      <c:catAx>
        <c:axId val="878749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7876736"/>
        <c:crosses val="autoZero"/>
        <c:auto val="1"/>
        <c:lblAlgn val="ctr"/>
        <c:lblOffset val="100"/>
        <c:noMultiLvlLbl val="0"/>
      </c:catAx>
      <c:valAx>
        <c:axId val="87876736"/>
        <c:scaling>
          <c:orientation val="minMax"/>
          <c:max val="20000000"/>
        </c:scaling>
        <c:delete val="0"/>
        <c:axPos val="l"/>
        <c:majorGridlines/>
        <c:numFmt formatCode="#,##0;&quot;▲ &quot;#,##0" sourceLinked="0"/>
        <c:majorTickMark val="out"/>
        <c:minorTickMark val="none"/>
        <c:tickLblPos val="nextTo"/>
        <c:crossAx val="87874944"/>
        <c:crosses val="autoZero"/>
        <c:crossBetween val="between"/>
        <c:dispUnits>
          <c:builtInUnit val="thousands"/>
          <c:dispUnitsLbl/>
        </c:dispUnits>
      </c:valAx>
      <c:dTable>
        <c:showHorzBorder val="1"/>
        <c:showVertBorder val="1"/>
        <c:showOutline val="1"/>
        <c:showKeys val="0"/>
      </c:dTable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en-US" altLang="ja-JP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2015</a:t>
            </a:r>
            <a:r>
              <a:rPr lang="ja-JP" altLang="en-US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実績（累計）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グッドシーズン!$E$11</c:f>
              <c:strCache>
                <c:ptCount val="1"/>
                <c:pt idx="0">
                  <c:v>収益</c:v>
                </c:pt>
              </c:strCache>
            </c:strRef>
          </c:tx>
          <c:invertIfNegative val="0"/>
          <c:cat>
            <c:strRef>
              <c:f>グッドシーズン!$F$10:$Q$10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グッドシーズン!$F$11:$Q$11</c:f>
              <c:numCache>
                <c:formatCode>#,##0,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299000</c:v>
                </c:pt>
                <c:pt idx="5">
                  <c:v>1621000</c:v>
                </c:pt>
                <c:pt idx="6">
                  <c:v>5291000</c:v>
                </c:pt>
                <c:pt idx="7">
                  <c:v>7681000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B2C-42F5-A368-E2F57BCA85DE}"/>
            </c:ext>
          </c:extLst>
        </c:ser>
        <c:ser>
          <c:idx val="1"/>
          <c:order val="1"/>
          <c:tx>
            <c:strRef>
              <c:f>グッドシーズン!$E$12</c:f>
              <c:strCache>
                <c:ptCount val="1"/>
                <c:pt idx="0">
                  <c:v>費用</c:v>
                </c:pt>
              </c:strCache>
            </c:strRef>
          </c:tx>
          <c:invertIfNegative val="0"/>
          <c:cat>
            <c:strRef>
              <c:f>グッドシーズン!$F$10:$Q$10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グッドシーズン!$F$12:$Q$12</c:f>
              <c:numCache>
                <c:formatCode>#,##0,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279000</c:v>
                </c:pt>
                <c:pt idx="4">
                  <c:v>860000</c:v>
                </c:pt>
                <c:pt idx="5">
                  <c:v>3406000</c:v>
                </c:pt>
                <c:pt idx="6">
                  <c:v>5365000</c:v>
                </c:pt>
                <c:pt idx="7">
                  <c:v>7681000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B2C-42F5-A368-E2F57BCA85DE}"/>
            </c:ext>
          </c:extLst>
        </c:ser>
        <c:ser>
          <c:idx val="2"/>
          <c:order val="2"/>
          <c:tx>
            <c:strRef>
              <c:f>グッドシーズン!$E$13</c:f>
              <c:strCache>
                <c:ptCount val="1"/>
                <c:pt idx="0">
                  <c:v>収益増減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グッドシーズン!$F$10:$Q$10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グッドシーズン!$F$13:$Q$13</c:f>
              <c:numCache>
                <c:formatCode>#,##0,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-279000</c:v>
                </c:pt>
                <c:pt idx="4">
                  <c:v>-561000</c:v>
                </c:pt>
                <c:pt idx="5">
                  <c:v>-1785000</c:v>
                </c:pt>
                <c:pt idx="6">
                  <c:v>-74000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B2C-42F5-A368-E2F57BCA85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97216"/>
        <c:axId val="93498752"/>
      </c:barChart>
      <c:lineChart>
        <c:grouping val="standard"/>
        <c:varyColors val="0"/>
        <c:ser>
          <c:idx val="3"/>
          <c:order val="3"/>
          <c:tx>
            <c:strRef>
              <c:f>グッドシーズン!$E$14</c:f>
              <c:strCache>
                <c:ptCount val="1"/>
                <c:pt idx="0">
                  <c:v>予算収益ライン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グッドシーズン!$F$10:$Q$10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グッドシーズン!$F$14:$Q$14</c:f>
              <c:numCache>
                <c:formatCode>#,##0,</c:formatCode>
                <c:ptCount val="12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B2C-42F5-A368-E2F57BCA85DE}"/>
            </c:ext>
          </c:extLst>
        </c:ser>
        <c:ser>
          <c:idx val="4"/>
          <c:order val="4"/>
          <c:tx>
            <c:strRef>
              <c:f>グッドシーズン!$E$15</c:f>
              <c:strCache>
                <c:ptCount val="1"/>
                <c:pt idx="0">
                  <c:v>予算費用ライン</c:v>
                </c:pt>
              </c:strCache>
            </c:strRef>
          </c:tx>
          <c:spPr>
            <a:ln>
              <a:solidFill>
                <a:schemeClr val="accent2"/>
              </a:solidFill>
              <a:prstDash val="sysDot"/>
            </a:ln>
          </c:spPr>
          <c:marker>
            <c:symbol val="none"/>
          </c:marker>
          <c:cat>
            <c:strRef>
              <c:f>グッドシーズン!$F$10:$Q$10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グッドシーズン!$F$15:$Q$15</c:f>
              <c:numCache>
                <c:formatCode>#,##0,</c:formatCode>
                <c:ptCount val="12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B2C-42F5-A368-E2F57BCA85DE}"/>
            </c:ext>
          </c:extLst>
        </c:ser>
        <c:ser>
          <c:idx val="5"/>
          <c:order val="5"/>
          <c:tx>
            <c:strRef>
              <c:f>グッドシーズン!$E$16</c:f>
              <c:strCache>
                <c:ptCount val="1"/>
                <c:pt idx="0">
                  <c:v>予算増減ライン</c:v>
                </c:pt>
              </c:strCache>
            </c:strRef>
          </c:tx>
          <c:spPr>
            <a:ln>
              <a:solidFill>
                <a:srgbClr val="FFC000"/>
              </a:solidFill>
              <a:prstDash val="dashDot"/>
            </a:ln>
          </c:spPr>
          <c:marker>
            <c:symbol val="none"/>
          </c:marker>
          <c:cat>
            <c:strRef>
              <c:f>グッドシーズン!$F$10:$Q$10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グッドシーズン!$F$16:$Q$16</c:f>
              <c:numCache>
                <c:formatCode>#,##0,</c:formatCode>
                <c:ptCount val="12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6B2C-42F5-A368-E2F57BCA85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97216"/>
        <c:axId val="93498752"/>
      </c:lineChart>
      <c:catAx>
        <c:axId val="934972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3498752"/>
        <c:crosses val="autoZero"/>
        <c:auto val="1"/>
        <c:lblAlgn val="ctr"/>
        <c:lblOffset val="100"/>
        <c:noMultiLvlLbl val="0"/>
      </c:catAx>
      <c:valAx>
        <c:axId val="93498752"/>
        <c:scaling>
          <c:orientation val="minMax"/>
          <c:max val="9000000"/>
        </c:scaling>
        <c:delete val="0"/>
        <c:axPos val="l"/>
        <c:majorGridlines/>
        <c:numFmt formatCode="#,##0;&quot;▲ &quot;#,##0" sourceLinked="0"/>
        <c:majorTickMark val="out"/>
        <c:minorTickMark val="none"/>
        <c:tickLblPos val="nextTo"/>
        <c:crossAx val="93497216"/>
        <c:crosses val="autoZero"/>
        <c:crossBetween val="between"/>
        <c:dispUnits>
          <c:builtInUnit val="thousands"/>
          <c:dispUnitsLbl/>
        </c:dispUnits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en-US" altLang="ja-JP"/>
              <a:t>2015</a:t>
            </a:r>
            <a:r>
              <a:rPr lang="ja-JP" altLang="en-US"/>
              <a:t>予算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グッドシーズン!$C$2</c:f>
              <c:strCache>
                <c:ptCount val="1"/>
                <c:pt idx="0">
                  <c:v>2014決算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70A-4FAE-8282-838A13FF2546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70A-4FAE-8282-838A13FF2546}"/>
              </c:ext>
            </c:extLst>
          </c:dPt>
          <c:cat>
            <c:strRef>
              <c:f>グッドシーズン!$B$11:$B$13</c:f>
              <c:strCache>
                <c:ptCount val="3"/>
                <c:pt idx="0">
                  <c:v>収益</c:v>
                </c:pt>
                <c:pt idx="1">
                  <c:v>費用</c:v>
                </c:pt>
                <c:pt idx="2">
                  <c:v>収益増減</c:v>
                </c:pt>
              </c:strCache>
            </c:strRef>
          </c:cat>
          <c:val>
            <c:numRef>
              <c:f>グッドシーズン!$C$11:$C$13</c:f>
              <c:numCache>
                <c:formatCode>#,##0_);[Red]\(#,##0\)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70A-4FAE-8282-838A13FF25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50848"/>
        <c:axId val="93552640"/>
      </c:barChart>
      <c:catAx>
        <c:axId val="9355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3552640"/>
        <c:crosses val="autoZero"/>
        <c:auto val="1"/>
        <c:lblAlgn val="ctr"/>
        <c:lblOffset val="100"/>
        <c:noMultiLvlLbl val="0"/>
      </c:catAx>
      <c:valAx>
        <c:axId val="93552640"/>
        <c:scaling>
          <c:orientation val="minMax"/>
        </c:scaling>
        <c:delete val="0"/>
        <c:axPos val="l"/>
        <c:majorGridlines/>
        <c:numFmt formatCode="#,##0;&quot;▲ &quot;#,##0" sourceLinked="0"/>
        <c:majorTickMark val="out"/>
        <c:minorTickMark val="none"/>
        <c:tickLblPos val="nextTo"/>
        <c:crossAx val="93550848"/>
        <c:crosses val="autoZero"/>
        <c:crossBetween val="between"/>
        <c:dispUnits>
          <c:builtInUnit val="thousands"/>
          <c:dispUnitsLbl/>
        </c:dispUnits>
      </c:valAx>
      <c:dTable>
        <c:showHorzBorder val="1"/>
        <c:showVertBorder val="1"/>
        <c:showOutline val="1"/>
        <c:showKeys val="0"/>
      </c:dTable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en-US" altLang="ja-JP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2015</a:t>
            </a:r>
            <a:r>
              <a:rPr lang="ja-JP" altLang="en-US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実績（単月収支）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グッドシーズン!$E$3</c:f>
              <c:strCache>
                <c:ptCount val="1"/>
                <c:pt idx="0">
                  <c:v>収益</c:v>
                </c:pt>
              </c:strCache>
            </c:strRef>
          </c:tx>
          <c:invertIfNegative val="0"/>
          <c:cat>
            <c:strRef>
              <c:f>グッドシーズン!$F$2:$Q$2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グッドシーズン!$F$3:$Q$3</c:f>
              <c:numCache>
                <c:formatCode>#,##0_);[Red]\(#,##0\)</c:formatCode>
                <c:ptCount val="12"/>
                <c:pt idx="4">
                  <c:v>299000</c:v>
                </c:pt>
                <c:pt idx="5">
                  <c:v>1322000</c:v>
                </c:pt>
                <c:pt idx="6">
                  <c:v>3670000</c:v>
                </c:pt>
                <c:pt idx="7">
                  <c:v>2390000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A54-41B1-8C32-AF76FEB72B25}"/>
            </c:ext>
          </c:extLst>
        </c:ser>
        <c:ser>
          <c:idx val="1"/>
          <c:order val="1"/>
          <c:tx>
            <c:strRef>
              <c:f>グッドシーズン!$E$4</c:f>
              <c:strCache>
                <c:ptCount val="1"/>
                <c:pt idx="0">
                  <c:v>費用</c:v>
                </c:pt>
              </c:strCache>
            </c:strRef>
          </c:tx>
          <c:invertIfNegative val="0"/>
          <c:cat>
            <c:strRef>
              <c:f>グッドシーズン!$F$2:$Q$2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グッドシーズン!$F$4:$Q$4</c:f>
              <c:numCache>
                <c:formatCode>#,##0_);[Red]\(#,##0\)</c:formatCode>
                <c:ptCount val="12"/>
                <c:pt idx="3">
                  <c:v>279000</c:v>
                </c:pt>
                <c:pt idx="4">
                  <c:v>581000</c:v>
                </c:pt>
                <c:pt idx="5">
                  <c:v>2546000</c:v>
                </c:pt>
                <c:pt idx="6">
                  <c:v>1959000</c:v>
                </c:pt>
                <c:pt idx="7">
                  <c:v>2316000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A54-41B1-8C32-AF76FEB72B25}"/>
            </c:ext>
          </c:extLst>
        </c:ser>
        <c:ser>
          <c:idx val="2"/>
          <c:order val="2"/>
          <c:tx>
            <c:strRef>
              <c:f>グッドシーズン!$E$5</c:f>
              <c:strCache>
                <c:ptCount val="1"/>
                <c:pt idx="0">
                  <c:v>収益増減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グッドシーズン!$F$2:$Q$2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グッドシーズン!$F$5:$Q$5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-279000</c:v>
                </c:pt>
                <c:pt idx="4">
                  <c:v>-282000</c:v>
                </c:pt>
                <c:pt idx="5">
                  <c:v>-1224000</c:v>
                </c:pt>
                <c:pt idx="6">
                  <c:v>1711000</c:v>
                </c:pt>
                <c:pt idx="7">
                  <c:v>74000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A54-41B1-8C32-AF76FEB72B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851840"/>
        <c:axId val="94853376"/>
      </c:barChart>
      <c:lineChart>
        <c:grouping val="standard"/>
        <c:varyColors val="0"/>
        <c:ser>
          <c:idx val="3"/>
          <c:order val="3"/>
          <c:tx>
            <c:strRef>
              <c:f>グッドシーズン!$E$6</c:f>
              <c:strCache>
                <c:ptCount val="1"/>
                <c:pt idx="0">
                  <c:v>予算収益ライン</c:v>
                </c:pt>
              </c:strCache>
            </c:strRef>
          </c:tx>
          <c:spPr>
            <a:ln>
              <a:solidFill>
                <a:srgbClr val="0070C0"/>
              </a:solidFill>
              <a:prstDash val="sysDash"/>
            </a:ln>
          </c:spPr>
          <c:marker>
            <c:symbol val="none"/>
          </c:marker>
          <c:cat>
            <c:strRef>
              <c:f>グッドシーズン!$F$2:$Q$2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グッドシーズン!$G$6:$Q$6</c:f>
              <c:numCache>
                <c:formatCode>#,##0_);[Red]\(#,##0\)</c:formatCode>
                <c:ptCount val="11"/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A54-41B1-8C32-AF76FEB72B25}"/>
            </c:ext>
          </c:extLst>
        </c:ser>
        <c:ser>
          <c:idx val="4"/>
          <c:order val="4"/>
          <c:tx>
            <c:strRef>
              <c:f>グッドシーズン!$E$7</c:f>
              <c:strCache>
                <c:ptCount val="1"/>
                <c:pt idx="0">
                  <c:v>予算費用ライン</c:v>
                </c:pt>
              </c:strCache>
            </c:strRef>
          </c:tx>
          <c:spPr>
            <a:ln>
              <a:solidFill>
                <a:srgbClr val="C00000"/>
              </a:solidFill>
              <a:prstDash val="sysDot"/>
            </a:ln>
          </c:spPr>
          <c:marker>
            <c:symbol val="none"/>
          </c:marker>
          <c:cat>
            <c:strRef>
              <c:f>グッドシーズン!$F$2:$Q$2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グッドシーズン!$G$7:$Q$7</c:f>
              <c:numCache>
                <c:formatCode>#,##0_);[Red]\(#,##0\)</c:formatCode>
                <c:ptCount val="11"/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CA54-41B1-8C32-AF76FEB72B25}"/>
            </c:ext>
          </c:extLst>
        </c:ser>
        <c:ser>
          <c:idx val="5"/>
          <c:order val="5"/>
          <c:tx>
            <c:strRef>
              <c:f>グッドシーズン!$E$8</c:f>
              <c:strCache>
                <c:ptCount val="1"/>
                <c:pt idx="0">
                  <c:v>予算増減ライン</c:v>
                </c:pt>
              </c:strCache>
            </c:strRef>
          </c:tx>
          <c:spPr>
            <a:ln>
              <a:prstDash val="dashDot"/>
            </a:ln>
          </c:spPr>
          <c:marker>
            <c:symbol val="none"/>
          </c:marker>
          <c:cat>
            <c:strRef>
              <c:f>グッドシーズン!$F$2:$Q$2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グッドシーズン!$F$8:$Q$8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CA54-41B1-8C32-AF76FEB72B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1840"/>
        <c:axId val="94853376"/>
      </c:lineChart>
      <c:catAx>
        <c:axId val="94851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4853376"/>
        <c:crosses val="autoZero"/>
        <c:auto val="1"/>
        <c:lblAlgn val="ctr"/>
        <c:lblOffset val="100"/>
        <c:noMultiLvlLbl val="0"/>
      </c:catAx>
      <c:valAx>
        <c:axId val="94853376"/>
        <c:scaling>
          <c:orientation val="minMax"/>
          <c:max val="3500000"/>
        </c:scaling>
        <c:delete val="0"/>
        <c:axPos val="l"/>
        <c:majorGridlines/>
        <c:numFmt formatCode="#,##0;&quot;▲ &quot;#,##0" sourceLinked="0"/>
        <c:majorTickMark val="out"/>
        <c:minorTickMark val="none"/>
        <c:tickLblPos val="nextTo"/>
        <c:crossAx val="94851840"/>
        <c:crosses val="autoZero"/>
        <c:crossBetween val="between"/>
        <c:dispUnits>
          <c:builtInUnit val="thousands"/>
          <c:dispUnitsLbl/>
        </c:dispUnits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法人全体!$C$2</c:f>
              <c:strCache>
                <c:ptCount val="1"/>
                <c:pt idx="0">
                  <c:v>2014決算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3ED-4D32-8016-B2DCA929D046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3ED-4D32-8016-B2DCA929D046}"/>
              </c:ext>
            </c:extLst>
          </c:dPt>
          <c:cat>
            <c:strRef>
              <c:f>法人全体!$B$3:$B$5</c:f>
              <c:strCache>
                <c:ptCount val="3"/>
                <c:pt idx="0">
                  <c:v>収益</c:v>
                </c:pt>
                <c:pt idx="1">
                  <c:v>費用</c:v>
                </c:pt>
                <c:pt idx="2">
                  <c:v>収益増減</c:v>
                </c:pt>
              </c:strCache>
            </c:strRef>
          </c:cat>
          <c:val>
            <c:numRef>
              <c:f>法人全体!$C$3:$C$5</c:f>
              <c:numCache>
                <c:formatCode>#,##0_);[Red]\(#,##0\)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3ED-4D32-8016-B2DCA929D0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039488"/>
        <c:axId val="97041024"/>
      </c:barChart>
      <c:catAx>
        <c:axId val="9703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7041024"/>
        <c:crosses val="autoZero"/>
        <c:auto val="1"/>
        <c:lblAlgn val="ctr"/>
        <c:lblOffset val="100"/>
        <c:noMultiLvlLbl val="0"/>
      </c:catAx>
      <c:valAx>
        <c:axId val="97041024"/>
        <c:scaling>
          <c:orientation val="minMax"/>
          <c:max val="229999999.99999997"/>
        </c:scaling>
        <c:delete val="0"/>
        <c:axPos val="l"/>
        <c:majorGridlines/>
        <c:numFmt formatCode="#,##0;&quot;▲ &quot;#,##0" sourceLinked="0"/>
        <c:majorTickMark val="out"/>
        <c:minorTickMark val="none"/>
        <c:tickLblPos val="nextTo"/>
        <c:crossAx val="97039488"/>
        <c:crosses val="autoZero"/>
        <c:crossBetween val="between"/>
        <c:dispUnits>
          <c:builtInUnit val="thousands"/>
          <c:dispUnitsLbl/>
        </c:dispUnits>
      </c:valAx>
      <c:dTable>
        <c:showHorzBorder val="1"/>
        <c:showVertBorder val="1"/>
        <c:showOutline val="1"/>
        <c:showKeys val="0"/>
      </c:dTable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en-US" altLang="ja-JP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2015</a:t>
            </a:r>
            <a:r>
              <a:rPr lang="ja-JP" altLang="en-US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実績（累計）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法人全体!$E$11</c:f>
              <c:strCache>
                <c:ptCount val="1"/>
                <c:pt idx="0">
                  <c:v>収益</c:v>
                </c:pt>
              </c:strCache>
            </c:strRef>
          </c:tx>
          <c:invertIfNegative val="0"/>
          <c:cat>
            <c:strRef>
              <c:f>法人全体!$I$10:$T$10</c:f>
              <c:strCache>
                <c:ptCount val="12"/>
                <c:pt idx="0">
                  <c:v>１２月</c:v>
                </c:pt>
                <c:pt idx="1">
                  <c:v>１月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</c:strCache>
            </c:strRef>
          </c:cat>
          <c:val>
            <c:numRef>
              <c:f>法人全体!$I$11:$T$11</c:f>
              <c:numCache>
                <c:formatCode>#,##0,</c:formatCode>
                <c:ptCount val="12"/>
                <c:pt idx="0">
                  <c:v>137316000</c:v>
                </c:pt>
                <c:pt idx="1">
                  <c:v>150097000</c:v>
                </c:pt>
                <c:pt idx="2">
                  <c:v>163528000</c:v>
                </c:pt>
                <c:pt idx="3">
                  <c:v>180740000</c:v>
                </c:pt>
                <c:pt idx="4">
                  <c:v>14546000</c:v>
                </c:pt>
                <c:pt idx="5">
                  <c:v>29697000</c:v>
                </c:pt>
                <c:pt idx="6">
                  <c:v>43037000</c:v>
                </c:pt>
                <c:pt idx="7">
                  <c:v>60755000</c:v>
                </c:pt>
                <c:pt idx="8">
                  <c:v>75084000</c:v>
                </c:pt>
                <c:pt idx="9">
                  <c:v>91909000</c:v>
                </c:pt>
                <c:pt idx="10">
                  <c:v>113492000</c:v>
                </c:pt>
                <c:pt idx="11">
                  <c:v>129848000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B09-42CF-8FF7-E02952ACB112}"/>
            </c:ext>
          </c:extLst>
        </c:ser>
        <c:ser>
          <c:idx val="1"/>
          <c:order val="1"/>
          <c:tx>
            <c:strRef>
              <c:f>法人全体!$E$12</c:f>
              <c:strCache>
                <c:ptCount val="1"/>
                <c:pt idx="0">
                  <c:v>費用</c:v>
                </c:pt>
              </c:strCache>
            </c:strRef>
          </c:tx>
          <c:invertIfNegative val="0"/>
          <c:cat>
            <c:strRef>
              <c:f>法人全体!$I$10:$T$10</c:f>
              <c:strCache>
                <c:ptCount val="12"/>
                <c:pt idx="0">
                  <c:v>１２月</c:v>
                </c:pt>
                <c:pt idx="1">
                  <c:v>１月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</c:strCache>
            </c:strRef>
          </c:cat>
          <c:val>
            <c:numRef>
              <c:f>法人全体!$I$12:$T$12</c:f>
              <c:numCache>
                <c:formatCode>#,##0,</c:formatCode>
                <c:ptCount val="12"/>
                <c:pt idx="0">
                  <c:v>118953000</c:v>
                </c:pt>
                <c:pt idx="1">
                  <c:v>130665000</c:v>
                </c:pt>
                <c:pt idx="2">
                  <c:v>143748000</c:v>
                </c:pt>
                <c:pt idx="3">
                  <c:v>159625000</c:v>
                </c:pt>
                <c:pt idx="4">
                  <c:v>12828000</c:v>
                </c:pt>
                <c:pt idx="5">
                  <c:v>26060000</c:v>
                </c:pt>
                <c:pt idx="6">
                  <c:v>40541000</c:v>
                </c:pt>
                <c:pt idx="7">
                  <c:v>54728000</c:v>
                </c:pt>
                <c:pt idx="8">
                  <c:v>70325000</c:v>
                </c:pt>
                <c:pt idx="9">
                  <c:v>86076000</c:v>
                </c:pt>
                <c:pt idx="10">
                  <c:v>102432000</c:v>
                </c:pt>
                <c:pt idx="11">
                  <c:v>117293000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B09-42CF-8FF7-E02952ACB112}"/>
            </c:ext>
          </c:extLst>
        </c:ser>
        <c:ser>
          <c:idx val="2"/>
          <c:order val="2"/>
          <c:tx>
            <c:strRef>
              <c:f>法人全体!$E$13</c:f>
              <c:strCache>
                <c:ptCount val="1"/>
                <c:pt idx="0">
                  <c:v>収益増減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法人全体!$I$10:$T$10</c:f>
              <c:strCache>
                <c:ptCount val="12"/>
                <c:pt idx="0">
                  <c:v>１２月</c:v>
                </c:pt>
                <c:pt idx="1">
                  <c:v>１月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</c:strCache>
            </c:strRef>
          </c:cat>
          <c:val>
            <c:numRef>
              <c:f>法人全体!$G$13:$R$13</c:f>
              <c:numCache>
                <c:formatCode>#,##0,</c:formatCode>
                <c:ptCount val="12"/>
                <c:pt idx="0">
                  <c:v>17055000</c:v>
                </c:pt>
                <c:pt idx="1">
                  <c:v>19562000</c:v>
                </c:pt>
                <c:pt idx="2">
                  <c:v>18363000</c:v>
                </c:pt>
                <c:pt idx="3">
                  <c:v>19432000</c:v>
                </c:pt>
                <c:pt idx="4">
                  <c:v>19780000</c:v>
                </c:pt>
                <c:pt idx="5">
                  <c:v>21115000</c:v>
                </c:pt>
                <c:pt idx="6">
                  <c:v>1718000</c:v>
                </c:pt>
                <c:pt idx="7">
                  <c:v>3637000</c:v>
                </c:pt>
                <c:pt idx="8">
                  <c:v>2496000</c:v>
                </c:pt>
                <c:pt idx="9">
                  <c:v>6027000</c:v>
                </c:pt>
                <c:pt idx="10">
                  <c:v>4759000</c:v>
                </c:pt>
                <c:pt idx="11">
                  <c:v>5833000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B09-42CF-8FF7-E02952ACB1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492352"/>
        <c:axId val="97502336"/>
      </c:barChart>
      <c:lineChart>
        <c:grouping val="standard"/>
        <c:varyColors val="0"/>
        <c:ser>
          <c:idx val="3"/>
          <c:order val="3"/>
          <c:tx>
            <c:strRef>
              <c:f>法人全体!$E$14</c:f>
              <c:strCache>
                <c:ptCount val="1"/>
                <c:pt idx="0">
                  <c:v>予算収益ライン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法人全体!$G$10:$R$10</c:f>
              <c:strCache>
                <c:ptCount val="12"/>
                <c:pt idx="0">
                  <c:v>１０月</c:v>
                </c:pt>
                <c:pt idx="1">
                  <c:v>１１月</c:v>
                </c:pt>
                <c:pt idx="2">
                  <c:v>１２月</c:v>
                </c:pt>
                <c:pt idx="3">
                  <c:v>１月</c:v>
                </c:pt>
                <c:pt idx="4">
                  <c:v>２月</c:v>
                </c:pt>
                <c:pt idx="5">
                  <c:v>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</c:strCache>
            </c:strRef>
          </c:cat>
          <c:val>
            <c:numRef>
              <c:f>法人全体!$G$14:$R$14</c:f>
              <c:numCache>
                <c:formatCode>#,##0_);[Red]\(#,##0\)</c:formatCode>
                <c:ptCount val="12"/>
                <c:pt idx="6" formatCode="#,##0,">
                  <c:v>0</c:v>
                </c:pt>
                <c:pt idx="7" formatCode="#,##0,">
                  <c:v>0</c:v>
                </c:pt>
                <c:pt idx="8" formatCode="#,##0,">
                  <c:v>0</c:v>
                </c:pt>
                <c:pt idx="9" formatCode="#,##0,">
                  <c:v>0</c:v>
                </c:pt>
                <c:pt idx="10" formatCode="#,##0,">
                  <c:v>0</c:v>
                </c:pt>
                <c:pt idx="11" formatCode="#,##0,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B09-42CF-8FF7-E02952ACB112}"/>
            </c:ext>
          </c:extLst>
        </c:ser>
        <c:ser>
          <c:idx val="4"/>
          <c:order val="4"/>
          <c:tx>
            <c:strRef>
              <c:f>法人全体!$E$15</c:f>
              <c:strCache>
                <c:ptCount val="1"/>
                <c:pt idx="0">
                  <c:v>予算費用ライン</c:v>
                </c:pt>
              </c:strCache>
            </c:strRef>
          </c:tx>
          <c:spPr>
            <a:ln>
              <a:solidFill>
                <a:schemeClr val="accent2"/>
              </a:solidFill>
              <a:prstDash val="sysDot"/>
            </a:ln>
          </c:spPr>
          <c:marker>
            <c:symbol val="none"/>
          </c:marker>
          <c:cat>
            <c:strRef>
              <c:f>法人全体!$G$10:$R$10</c:f>
              <c:strCache>
                <c:ptCount val="12"/>
                <c:pt idx="0">
                  <c:v>１０月</c:v>
                </c:pt>
                <c:pt idx="1">
                  <c:v>１１月</c:v>
                </c:pt>
                <c:pt idx="2">
                  <c:v>１２月</c:v>
                </c:pt>
                <c:pt idx="3">
                  <c:v>１月</c:v>
                </c:pt>
                <c:pt idx="4">
                  <c:v>２月</c:v>
                </c:pt>
                <c:pt idx="5">
                  <c:v>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</c:strCache>
            </c:strRef>
          </c:cat>
          <c:val>
            <c:numRef>
              <c:f>法人全体!$G$15:$R$15</c:f>
              <c:numCache>
                <c:formatCode>#,##0_);[Red]\(#,##0\)</c:formatCode>
                <c:ptCount val="12"/>
                <c:pt idx="6" formatCode="#,##0,">
                  <c:v>0</c:v>
                </c:pt>
                <c:pt idx="7" formatCode="#,##0,">
                  <c:v>0</c:v>
                </c:pt>
                <c:pt idx="8" formatCode="#,##0,">
                  <c:v>0</c:v>
                </c:pt>
                <c:pt idx="9" formatCode="#,##0,">
                  <c:v>0</c:v>
                </c:pt>
                <c:pt idx="10" formatCode="#,##0,">
                  <c:v>0</c:v>
                </c:pt>
                <c:pt idx="11" formatCode="#,##0,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5B09-42CF-8FF7-E02952ACB112}"/>
            </c:ext>
          </c:extLst>
        </c:ser>
        <c:ser>
          <c:idx val="5"/>
          <c:order val="5"/>
          <c:tx>
            <c:strRef>
              <c:f>法人全体!$E$16</c:f>
              <c:strCache>
                <c:ptCount val="1"/>
                <c:pt idx="0">
                  <c:v>予算増減ライン</c:v>
                </c:pt>
              </c:strCache>
            </c:strRef>
          </c:tx>
          <c:spPr>
            <a:ln>
              <a:solidFill>
                <a:srgbClr val="FFC000"/>
              </a:solidFill>
              <a:prstDash val="dashDot"/>
            </a:ln>
          </c:spPr>
          <c:marker>
            <c:symbol val="none"/>
          </c:marker>
          <c:cat>
            <c:strRef>
              <c:f>法人全体!$G$10:$R$10</c:f>
              <c:strCache>
                <c:ptCount val="12"/>
                <c:pt idx="0">
                  <c:v>１０月</c:v>
                </c:pt>
                <c:pt idx="1">
                  <c:v>１１月</c:v>
                </c:pt>
                <c:pt idx="2">
                  <c:v>１２月</c:v>
                </c:pt>
                <c:pt idx="3">
                  <c:v>１月</c:v>
                </c:pt>
                <c:pt idx="4">
                  <c:v>２月</c:v>
                </c:pt>
                <c:pt idx="5">
                  <c:v>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</c:strCache>
            </c:strRef>
          </c:cat>
          <c:val>
            <c:numRef>
              <c:f>法人全体!$G$16:$R$16</c:f>
              <c:numCache>
                <c:formatCode>#,##0_);[Red]\(#,##0\)</c:formatCode>
                <c:ptCount val="12"/>
                <c:pt idx="6" formatCode="#,##0,">
                  <c:v>0</c:v>
                </c:pt>
                <c:pt idx="7" formatCode="#,##0,">
                  <c:v>0</c:v>
                </c:pt>
                <c:pt idx="8" formatCode="#,##0,">
                  <c:v>0</c:v>
                </c:pt>
                <c:pt idx="9" formatCode="#,##0,">
                  <c:v>0</c:v>
                </c:pt>
                <c:pt idx="10" formatCode="#,##0,">
                  <c:v>0</c:v>
                </c:pt>
                <c:pt idx="11" formatCode="#,##0,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5B09-42CF-8FF7-E02952ACB1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492352"/>
        <c:axId val="97502336"/>
      </c:lineChart>
      <c:catAx>
        <c:axId val="97492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7502336"/>
        <c:crosses val="autoZero"/>
        <c:auto val="1"/>
        <c:lblAlgn val="ctr"/>
        <c:lblOffset val="100"/>
        <c:noMultiLvlLbl val="0"/>
      </c:catAx>
      <c:valAx>
        <c:axId val="97502336"/>
        <c:scaling>
          <c:orientation val="minMax"/>
          <c:max val="220000000.00000003"/>
        </c:scaling>
        <c:delete val="0"/>
        <c:axPos val="l"/>
        <c:majorGridlines/>
        <c:numFmt formatCode="#,##0;&quot;▲ &quot;#,##0" sourceLinked="0"/>
        <c:majorTickMark val="out"/>
        <c:minorTickMark val="none"/>
        <c:tickLblPos val="nextTo"/>
        <c:crossAx val="97492352"/>
        <c:crosses val="autoZero"/>
        <c:crossBetween val="between"/>
        <c:dispUnits>
          <c:builtInUnit val="thousands"/>
          <c:dispUnitsLbl/>
        </c:dispUnits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en-US" altLang="ja-JP"/>
              <a:t>2015</a:t>
            </a:r>
            <a:r>
              <a:rPr lang="ja-JP" altLang="en-US"/>
              <a:t>予算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法人全体!$C$2</c:f>
              <c:strCache>
                <c:ptCount val="1"/>
                <c:pt idx="0">
                  <c:v>2014決算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78C-4A55-B4B8-5DCBF84E44C1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78C-4A55-B4B8-5DCBF84E44C1}"/>
              </c:ext>
            </c:extLst>
          </c:dPt>
          <c:cat>
            <c:strRef>
              <c:f>法人全体!$B$11:$B$13</c:f>
              <c:strCache>
                <c:ptCount val="3"/>
                <c:pt idx="0">
                  <c:v>収益</c:v>
                </c:pt>
                <c:pt idx="1">
                  <c:v>費用</c:v>
                </c:pt>
                <c:pt idx="2">
                  <c:v>収益増減</c:v>
                </c:pt>
              </c:strCache>
            </c:strRef>
          </c:cat>
          <c:val>
            <c:numRef>
              <c:f>法人全体!$C$11:$C$13</c:f>
              <c:numCache>
                <c:formatCode>#,##0_);[Red]\(#,##0\)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78C-4A55-B4B8-5DCBF84E44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537408"/>
        <c:axId val="97543296"/>
      </c:barChart>
      <c:catAx>
        <c:axId val="97537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7543296"/>
        <c:crosses val="autoZero"/>
        <c:auto val="1"/>
        <c:lblAlgn val="ctr"/>
        <c:lblOffset val="100"/>
        <c:noMultiLvlLbl val="0"/>
      </c:catAx>
      <c:valAx>
        <c:axId val="97543296"/>
        <c:scaling>
          <c:orientation val="minMax"/>
          <c:max val="229999999.99999997"/>
        </c:scaling>
        <c:delete val="0"/>
        <c:axPos val="l"/>
        <c:majorGridlines/>
        <c:numFmt formatCode="#,##0;&quot;▲ &quot;#,##0" sourceLinked="0"/>
        <c:majorTickMark val="out"/>
        <c:minorTickMark val="none"/>
        <c:tickLblPos val="nextTo"/>
        <c:crossAx val="97537408"/>
        <c:crosses val="autoZero"/>
        <c:crossBetween val="between"/>
        <c:dispUnits>
          <c:builtInUnit val="thousands"/>
          <c:dispUnitsLbl/>
        </c:dispUnits>
      </c:valAx>
      <c:dTable>
        <c:showHorzBorder val="1"/>
        <c:showVertBorder val="1"/>
        <c:showOutline val="1"/>
        <c:showKeys val="0"/>
      </c:dTable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en-US" altLang="ja-JP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2015</a:t>
            </a:r>
            <a:r>
              <a:rPr lang="ja-JP" altLang="en-US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実績（累計）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ふれあい給食!$E$11</c:f>
              <c:strCache>
                <c:ptCount val="1"/>
                <c:pt idx="0">
                  <c:v>収益</c:v>
                </c:pt>
              </c:strCache>
            </c:strRef>
          </c:tx>
          <c:invertIfNegative val="0"/>
          <c:cat>
            <c:strRef>
              <c:f>ふれあい給食!$I$10:$T$10</c:f>
              <c:strCache>
                <c:ptCount val="12"/>
                <c:pt idx="0">
                  <c:v>１２月</c:v>
                </c:pt>
                <c:pt idx="1">
                  <c:v>１月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</c:strCache>
            </c:strRef>
          </c:cat>
          <c:val>
            <c:numRef>
              <c:f>ふれあい給食!$I$11:$T$11</c:f>
              <c:numCache>
                <c:formatCode>#,##0,</c:formatCode>
                <c:ptCount val="12"/>
                <c:pt idx="0">
                  <c:v>8382000</c:v>
                </c:pt>
                <c:pt idx="1">
                  <c:v>9274000</c:v>
                </c:pt>
                <c:pt idx="2">
                  <c:v>10159000</c:v>
                </c:pt>
                <c:pt idx="3">
                  <c:v>11057000</c:v>
                </c:pt>
                <c:pt idx="4">
                  <c:v>993000</c:v>
                </c:pt>
                <c:pt idx="5">
                  <c:v>1866000</c:v>
                </c:pt>
                <c:pt idx="6">
                  <c:v>2772000</c:v>
                </c:pt>
                <c:pt idx="7">
                  <c:v>3806000</c:v>
                </c:pt>
                <c:pt idx="8">
                  <c:v>4773000</c:v>
                </c:pt>
                <c:pt idx="9">
                  <c:v>5661000</c:v>
                </c:pt>
                <c:pt idx="10">
                  <c:v>6590000</c:v>
                </c:pt>
                <c:pt idx="11">
                  <c:v>7529000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BB-4EF7-BB3D-6E85E8C34B27}"/>
            </c:ext>
          </c:extLst>
        </c:ser>
        <c:ser>
          <c:idx val="1"/>
          <c:order val="1"/>
          <c:tx>
            <c:strRef>
              <c:f>ふれあい給食!$E$12</c:f>
              <c:strCache>
                <c:ptCount val="1"/>
                <c:pt idx="0">
                  <c:v>費用</c:v>
                </c:pt>
              </c:strCache>
            </c:strRef>
          </c:tx>
          <c:invertIfNegative val="0"/>
          <c:cat>
            <c:strRef>
              <c:f>ふれあい給食!$I$10:$T$10</c:f>
              <c:strCache>
                <c:ptCount val="12"/>
                <c:pt idx="0">
                  <c:v>１２月</c:v>
                </c:pt>
                <c:pt idx="1">
                  <c:v>１月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</c:strCache>
            </c:strRef>
          </c:cat>
          <c:val>
            <c:numRef>
              <c:f>ふれあい給食!$I$12:$T$12</c:f>
              <c:numCache>
                <c:formatCode>#,##0,</c:formatCode>
                <c:ptCount val="12"/>
                <c:pt idx="0">
                  <c:v>7279000</c:v>
                </c:pt>
                <c:pt idx="1">
                  <c:v>7990000</c:v>
                </c:pt>
                <c:pt idx="2">
                  <c:v>8628000</c:v>
                </c:pt>
                <c:pt idx="3">
                  <c:v>9457000</c:v>
                </c:pt>
                <c:pt idx="4">
                  <c:v>752000</c:v>
                </c:pt>
                <c:pt idx="5">
                  <c:v>1494000</c:v>
                </c:pt>
                <c:pt idx="6">
                  <c:v>2411000</c:v>
                </c:pt>
                <c:pt idx="7">
                  <c:v>3260000</c:v>
                </c:pt>
                <c:pt idx="8">
                  <c:v>4069000</c:v>
                </c:pt>
                <c:pt idx="9">
                  <c:v>4867000</c:v>
                </c:pt>
                <c:pt idx="10">
                  <c:v>5421000</c:v>
                </c:pt>
                <c:pt idx="11">
                  <c:v>5924000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4BB-4EF7-BB3D-6E85E8C34B27}"/>
            </c:ext>
          </c:extLst>
        </c:ser>
        <c:ser>
          <c:idx val="2"/>
          <c:order val="2"/>
          <c:tx>
            <c:strRef>
              <c:f>ふれあい給食!$E$13</c:f>
              <c:strCache>
                <c:ptCount val="1"/>
                <c:pt idx="0">
                  <c:v>収益増減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ふれあい給食!$I$10:$T$10</c:f>
              <c:strCache>
                <c:ptCount val="12"/>
                <c:pt idx="0">
                  <c:v>１２月</c:v>
                </c:pt>
                <c:pt idx="1">
                  <c:v>１月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</c:strCache>
            </c:strRef>
          </c:cat>
          <c:val>
            <c:numRef>
              <c:f>ふれあい給食!$I$13:$T$13</c:f>
              <c:numCache>
                <c:formatCode>#,##0,</c:formatCode>
                <c:ptCount val="12"/>
                <c:pt idx="0">
                  <c:v>1103000</c:v>
                </c:pt>
                <c:pt idx="1">
                  <c:v>1284000</c:v>
                </c:pt>
                <c:pt idx="2">
                  <c:v>1531000</c:v>
                </c:pt>
                <c:pt idx="3">
                  <c:v>1600000</c:v>
                </c:pt>
                <c:pt idx="4">
                  <c:v>241000</c:v>
                </c:pt>
                <c:pt idx="5">
                  <c:v>372000</c:v>
                </c:pt>
                <c:pt idx="6">
                  <c:v>361000</c:v>
                </c:pt>
                <c:pt idx="7">
                  <c:v>546000</c:v>
                </c:pt>
                <c:pt idx="8">
                  <c:v>704000</c:v>
                </c:pt>
                <c:pt idx="9">
                  <c:v>794000</c:v>
                </c:pt>
                <c:pt idx="10">
                  <c:v>1169000</c:v>
                </c:pt>
                <c:pt idx="11">
                  <c:v>1605000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4BB-4EF7-BB3D-6E85E8C34B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76416"/>
        <c:axId val="93290496"/>
      </c:barChart>
      <c:lineChart>
        <c:grouping val="standard"/>
        <c:varyColors val="0"/>
        <c:ser>
          <c:idx val="3"/>
          <c:order val="3"/>
          <c:tx>
            <c:strRef>
              <c:f>ふれあい給食!$E$14</c:f>
              <c:strCache>
                <c:ptCount val="1"/>
                <c:pt idx="0">
                  <c:v>予算収益ライン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ふれあい給食!$I$10:$T$10</c:f>
              <c:strCache>
                <c:ptCount val="12"/>
                <c:pt idx="0">
                  <c:v>１２月</c:v>
                </c:pt>
                <c:pt idx="1">
                  <c:v>１月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</c:strCache>
            </c:strRef>
          </c:cat>
          <c:val>
            <c:numRef>
              <c:f>ふれあい給食!$I$14:$T$14</c:f>
              <c:numCache>
                <c:formatCode>#,##0_);[Red]\(#,##0\)</c:formatCode>
                <c:ptCount val="12"/>
                <c:pt idx="4" formatCode="#,##0,">
                  <c:v>0</c:v>
                </c:pt>
                <c:pt idx="5" formatCode="#,##0,">
                  <c:v>0</c:v>
                </c:pt>
                <c:pt idx="6" formatCode="#,##0,">
                  <c:v>0</c:v>
                </c:pt>
                <c:pt idx="7" formatCode="#,##0,">
                  <c:v>0</c:v>
                </c:pt>
                <c:pt idx="8" formatCode="#,##0,">
                  <c:v>0</c:v>
                </c:pt>
                <c:pt idx="9" formatCode="#,##0,">
                  <c:v>0</c:v>
                </c:pt>
                <c:pt idx="10" formatCode="#,##0,">
                  <c:v>0</c:v>
                </c:pt>
                <c:pt idx="11" formatCode="#,##0,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4BB-4EF7-BB3D-6E85E8C34B27}"/>
            </c:ext>
          </c:extLst>
        </c:ser>
        <c:ser>
          <c:idx val="4"/>
          <c:order val="4"/>
          <c:tx>
            <c:strRef>
              <c:f>ふれあい給食!$E$15</c:f>
              <c:strCache>
                <c:ptCount val="1"/>
                <c:pt idx="0">
                  <c:v>予算費用ライン</c:v>
                </c:pt>
              </c:strCache>
            </c:strRef>
          </c:tx>
          <c:spPr>
            <a:ln>
              <a:solidFill>
                <a:schemeClr val="accent2"/>
              </a:solidFill>
              <a:prstDash val="sysDot"/>
            </a:ln>
          </c:spPr>
          <c:marker>
            <c:symbol val="none"/>
          </c:marker>
          <c:cat>
            <c:strRef>
              <c:f>ふれあい給食!$I$10:$T$10</c:f>
              <c:strCache>
                <c:ptCount val="12"/>
                <c:pt idx="0">
                  <c:v>１２月</c:v>
                </c:pt>
                <c:pt idx="1">
                  <c:v>１月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</c:strCache>
            </c:strRef>
          </c:cat>
          <c:val>
            <c:numRef>
              <c:f>ふれあい給食!$I$15:$T$15</c:f>
              <c:numCache>
                <c:formatCode>#,##0_);[Red]\(#,##0\)</c:formatCode>
                <c:ptCount val="12"/>
                <c:pt idx="4" formatCode="#,##0,">
                  <c:v>0</c:v>
                </c:pt>
                <c:pt idx="5" formatCode="#,##0,">
                  <c:v>0</c:v>
                </c:pt>
                <c:pt idx="6" formatCode="#,##0,">
                  <c:v>0</c:v>
                </c:pt>
                <c:pt idx="7" formatCode="#,##0,">
                  <c:v>0</c:v>
                </c:pt>
                <c:pt idx="8" formatCode="#,##0,">
                  <c:v>0</c:v>
                </c:pt>
                <c:pt idx="9" formatCode="#,##0,">
                  <c:v>0</c:v>
                </c:pt>
                <c:pt idx="10" formatCode="#,##0,">
                  <c:v>0</c:v>
                </c:pt>
                <c:pt idx="11" formatCode="#,##0,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4BB-4EF7-BB3D-6E85E8C34B27}"/>
            </c:ext>
          </c:extLst>
        </c:ser>
        <c:ser>
          <c:idx val="5"/>
          <c:order val="5"/>
          <c:tx>
            <c:strRef>
              <c:f>ふれあい給食!$E$16</c:f>
              <c:strCache>
                <c:ptCount val="1"/>
                <c:pt idx="0">
                  <c:v>予算増減ライン</c:v>
                </c:pt>
              </c:strCache>
            </c:strRef>
          </c:tx>
          <c:spPr>
            <a:ln>
              <a:solidFill>
                <a:srgbClr val="FFC000"/>
              </a:solidFill>
              <a:prstDash val="dashDot"/>
            </a:ln>
          </c:spPr>
          <c:marker>
            <c:symbol val="none"/>
          </c:marker>
          <c:cat>
            <c:strRef>
              <c:f>ふれあい給食!$I$10:$T$10</c:f>
              <c:strCache>
                <c:ptCount val="12"/>
                <c:pt idx="0">
                  <c:v>１２月</c:v>
                </c:pt>
                <c:pt idx="1">
                  <c:v>１月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</c:strCache>
            </c:strRef>
          </c:cat>
          <c:val>
            <c:numRef>
              <c:f>ふれあい給食!$I$16:$T$16</c:f>
              <c:numCache>
                <c:formatCode>#,##0_);[Red]\(#,##0\)</c:formatCode>
                <c:ptCount val="12"/>
                <c:pt idx="4" formatCode="#,##0,">
                  <c:v>0</c:v>
                </c:pt>
                <c:pt idx="5" formatCode="#,##0,">
                  <c:v>0</c:v>
                </c:pt>
                <c:pt idx="6" formatCode="#,##0,">
                  <c:v>0</c:v>
                </c:pt>
                <c:pt idx="7" formatCode="#,##0,">
                  <c:v>0</c:v>
                </c:pt>
                <c:pt idx="8" formatCode="#,##0,">
                  <c:v>0</c:v>
                </c:pt>
                <c:pt idx="9" formatCode="#,##0,">
                  <c:v>0</c:v>
                </c:pt>
                <c:pt idx="10" formatCode="#,##0,">
                  <c:v>0</c:v>
                </c:pt>
                <c:pt idx="11" formatCode="#,##0,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4BB-4EF7-BB3D-6E85E8C34B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6416"/>
        <c:axId val="93290496"/>
      </c:lineChart>
      <c:catAx>
        <c:axId val="93276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3290496"/>
        <c:crosses val="autoZero"/>
        <c:auto val="1"/>
        <c:lblAlgn val="ctr"/>
        <c:lblOffset val="100"/>
        <c:noMultiLvlLbl val="0"/>
      </c:catAx>
      <c:valAx>
        <c:axId val="93290496"/>
        <c:scaling>
          <c:orientation val="minMax"/>
          <c:max val="12000000"/>
        </c:scaling>
        <c:delete val="0"/>
        <c:axPos val="l"/>
        <c:majorGridlines/>
        <c:numFmt formatCode="#,##0;&quot;▲ &quot;#,##0" sourceLinked="0"/>
        <c:majorTickMark val="out"/>
        <c:minorTickMark val="none"/>
        <c:tickLblPos val="nextTo"/>
        <c:crossAx val="93276416"/>
        <c:crosses val="autoZero"/>
        <c:crossBetween val="between"/>
        <c:dispUnits>
          <c:builtInUnit val="thousands"/>
          <c:dispUnitsLbl/>
        </c:dispUnits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en-US" altLang="ja-JP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2015</a:t>
            </a:r>
            <a:r>
              <a:rPr lang="ja-JP" altLang="en-US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実績（単月収支）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法人全体!$E$3</c:f>
              <c:strCache>
                <c:ptCount val="1"/>
                <c:pt idx="0">
                  <c:v>収益</c:v>
                </c:pt>
              </c:strCache>
            </c:strRef>
          </c:tx>
          <c:invertIfNegative val="0"/>
          <c:cat>
            <c:strRef>
              <c:f>法人全体!$I$2:$T$2</c:f>
              <c:strCache>
                <c:ptCount val="12"/>
                <c:pt idx="0">
                  <c:v>１２月</c:v>
                </c:pt>
                <c:pt idx="1">
                  <c:v>１月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</c:strCache>
            </c:strRef>
          </c:cat>
          <c:val>
            <c:numRef>
              <c:f>法人全体!$I$3:$T$3</c:f>
              <c:numCache>
                <c:formatCode>#,##0_);[Red]\(#,##0\)</c:formatCode>
                <c:ptCount val="12"/>
                <c:pt idx="0">
                  <c:v>14332000</c:v>
                </c:pt>
                <c:pt idx="1">
                  <c:v>12781000</c:v>
                </c:pt>
                <c:pt idx="2">
                  <c:v>13431000</c:v>
                </c:pt>
                <c:pt idx="3">
                  <c:v>17212000</c:v>
                </c:pt>
                <c:pt idx="4">
                  <c:v>14546000</c:v>
                </c:pt>
                <c:pt idx="5">
                  <c:v>15151000</c:v>
                </c:pt>
                <c:pt idx="6">
                  <c:v>13340000</c:v>
                </c:pt>
                <c:pt idx="7">
                  <c:v>17718000</c:v>
                </c:pt>
                <c:pt idx="8">
                  <c:v>14329000</c:v>
                </c:pt>
                <c:pt idx="9">
                  <c:v>16825000</c:v>
                </c:pt>
                <c:pt idx="10">
                  <c:v>21583000</c:v>
                </c:pt>
                <c:pt idx="11">
                  <c:v>16356000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DD-4D76-8D22-A56BEFE041BD}"/>
            </c:ext>
          </c:extLst>
        </c:ser>
        <c:ser>
          <c:idx val="1"/>
          <c:order val="1"/>
          <c:tx>
            <c:strRef>
              <c:f>法人全体!$E$4</c:f>
              <c:strCache>
                <c:ptCount val="1"/>
                <c:pt idx="0">
                  <c:v>費用</c:v>
                </c:pt>
              </c:strCache>
            </c:strRef>
          </c:tx>
          <c:invertIfNegative val="0"/>
          <c:cat>
            <c:strRef>
              <c:f>法人全体!$I$2:$T$2</c:f>
              <c:strCache>
                <c:ptCount val="12"/>
                <c:pt idx="0">
                  <c:v>１２月</c:v>
                </c:pt>
                <c:pt idx="1">
                  <c:v>１月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</c:strCache>
            </c:strRef>
          </c:cat>
          <c:val>
            <c:numRef>
              <c:f>法人全体!$G$4:$R$4</c:f>
              <c:numCache>
                <c:formatCode>#,##0_);[Red]\(#,##0\)</c:formatCode>
                <c:ptCount val="12"/>
                <c:pt idx="0">
                  <c:v>13969000</c:v>
                </c:pt>
                <c:pt idx="1">
                  <c:v>11991000</c:v>
                </c:pt>
                <c:pt idx="2">
                  <c:v>15531000</c:v>
                </c:pt>
                <c:pt idx="3">
                  <c:v>11712000</c:v>
                </c:pt>
                <c:pt idx="4">
                  <c:v>13083000</c:v>
                </c:pt>
                <c:pt idx="5">
                  <c:v>15877000</c:v>
                </c:pt>
                <c:pt idx="6">
                  <c:v>12828000</c:v>
                </c:pt>
                <c:pt idx="7">
                  <c:v>13232000</c:v>
                </c:pt>
                <c:pt idx="8">
                  <c:v>14481000</c:v>
                </c:pt>
                <c:pt idx="9">
                  <c:v>14187000</c:v>
                </c:pt>
                <c:pt idx="10">
                  <c:v>15597000</c:v>
                </c:pt>
                <c:pt idx="11">
                  <c:v>15751000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9DD-4D76-8D22-A56BEFE041BD}"/>
            </c:ext>
          </c:extLst>
        </c:ser>
        <c:ser>
          <c:idx val="2"/>
          <c:order val="2"/>
          <c:tx>
            <c:strRef>
              <c:f>法人全体!$E$5</c:f>
              <c:strCache>
                <c:ptCount val="1"/>
                <c:pt idx="0">
                  <c:v>収益増減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法人全体!$I$2:$T$2</c:f>
              <c:strCache>
                <c:ptCount val="12"/>
                <c:pt idx="0">
                  <c:v>１２月</c:v>
                </c:pt>
                <c:pt idx="1">
                  <c:v>１月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</c:strCache>
            </c:strRef>
          </c:cat>
          <c:val>
            <c:numRef>
              <c:f>法人全体!$G$5:$R$5</c:f>
              <c:numCache>
                <c:formatCode>#,##0_);[Red]\(#,##0\)</c:formatCode>
                <c:ptCount val="12"/>
                <c:pt idx="0">
                  <c:v>3831000</c:v>
                </c:pt>
                <c:pt idx="1">
                  <c:v>2507000</c:v>
                </c:pt>
                <c:pt idx="2">
                  <c:v>-1199000</c:v>
                </c:pt>
                <c:pt idx="3">
                  <c:v>1069000</c:v>
                </c:pt>
                <c:pt idx="4">
                  <c:v>348000</c:v>
                </c:pt>
                <c:pt idx="5">
                  <c:v>1335000</c:v>
                </c:pt>
                <c:pt idx="6">
                  <c:v>1718000</c:v>
                </c:pt>
                <c:pt idx="7">
                  <c:v>1919000</c:v>
                </c:pt>
                <c:pt idx="8">
                  <c:v>-1141000</c:v>
                </c:pt>
                <c:pt idx="9">
                  <c:v>3531000</c:v>
                </c:pt>
                <c:pt idx="10">
                  <c:v>-1268000</c:v>
                </c:pt>
                <c:pt idx="11">
                  <c:v>1074000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9DD-4D76-8D22-A56BEFE041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942016"/>
        <c:axId val="103943552"/>
      </c:barChart>
      <c:lineChart>
        <c:grouping val="standard"/>
        <c:varyColors val="0"/>
        <c:ser>
          <c:idx val="3"/>
          <c:order val="3"/>
          <c:tx>
            <c:strRef>
              <c:f>法人全体!$E$6</c:f>
              <c:strCache>
                <c:ptCount val="1"/>
                <c:pt idx="0">
                  <c:v>予算収益ライン</c:v>
                </c:pt>
              </c:strCache>
            </c:strRef>
          </c:tx>
          <c:spPr>
            <a:ln>
              <a:solidFill>
                <a:srgbClr val="0070C0"/>
              </a:solidFill>
              <a:prstDash val="sysDash"/>
            </a:ln>
          </c:spPr>
          <c:marker>
            <c:symbol val="none"/>
          </c:marker>
          <c:cat>
            <c:strRef>
              <c:f>法人全体!$G$2:$R$2</c:f>
              <c:strCache>
                <c:ptCount val="12"/>
                <c:pt idx="0">
                  <c:v>１０月</c:v>
                </c:pt>
                <c:pt idx="1">
                  <c:v>１１月</c:v>
                </c:pt>
                <c:pt idx="2">
                  <c:v>１２月</c:v>
                </c:pt>
                <c:pt idx="3">
                  <c:v>１月</c:v>
                </c:pt>
                <c:pt idx="4">
                  <c:v>２月</c:v>
                </c:pt>
                <c:pt idx="5">
                  <c:v>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</c:strCache>
            </c:strRef>
          </c:cat>
          <c:val>
            <c:numRef>
              <c:f>法人全体!$G$6:$R$6</c:f>
              <c:numCache>
                <c:formatCode>#,##0_);[Red]\(#,##0\)</c:formatCode>
                <c:ptCount val="12"/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9DD-4D76-8D22-A56BEFE041BD}"/>
            </c:ext>
          </c:extLst>
        </c:ser>
        <c:ser>
          <c:idx val="4"/>
          <c:order val="4"/>
          <c:tx>
            <c:strRef>
              <c:f>法人全体!$E$7</c:f>
              <c:strCache>
                <c:ptCount val="1"/>
                <c:pt idx="0">
                  <c:v>予算費用ライン</c:v>
                </c:pt>
              </c:strCache>
            </c:strRef>
          </c:tx>
          <c:spPr>
            <a:ln>
              <a:solidFill>
                <a:srgbClr val="C00000"/>
              </a:solidFill>
              <a:prstDash val="sysDot"/>
            </a:ln>
          </c:spPr>
          <c:marker>
            <c:symbol val="none"/>
          </c:marker>
          <c:cat>
            <c:strRef>
              <c:f>法人全体!$G$2:$R$2</c:f>
              <c:strCache>
                <c:ptCount val="12"/>
                <c:pt idx="0">
                  <c:v>１０月</c:v>
                </c:pt>
                <c:pt idx="1">
                  <c:v>１１月</c:v>
                </c:pt>
                <c:pt idx="2">
                  <c:v>１２月</c:v>
                </c:pt>
                <c:pt idx="3">
                  <c:v>１月</c:v>
                </c:pt>
                <c:pt idx="4">
                  <c:v>２月</c:v>
                </c:pt>
                <c:pt idx="5">
                  <c:v>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</c:strCache>
            </c:strRef>
          </c:cat>
          <c:val>
            <c:numRef>
              <c:f>法人全体!$G$7:$R$7</c:f>
              <c:numCache>
                <c:formatCode>#,##0_);[Red]\(#,##0\)</c:formatCode>
                <c:ptCount val="12"/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09DD-4D76-8D22-A56BEFE041BD}"/>
            </c:ext>
          </c:extLst>
        </c:ser>
        <c:ser>
          <c:idx val="5"/>
          <c:order val="5"/>
          <c:tx>
            <c:strRef>
              <c:f>法人全体!$E$8</c:f>
              <c:strCache>
                <c:ptCount val="1"/>
                <c:pt idx="0">
                  <c:v>予算増減ライン</c:v>
                </c:pt>
              </c:strCache>
            </c:strRef>
          </c:tx>
          <c:spPr>
            <a:ln>
              <a:prstDash val="dashDot"/>
            </a:ln>
          </c:spPr>
          <c:marker>
            <c:symbol val="none"/>
          </c:marker>
          <c:cat>
            <c:strRef>
              <c:f>法人全体!$G$2:$R$2</c:f>
              <c:strCache>
                <c:ptCount val="12"/>
                <c:pt idx="0">
                  <c:v>１０月</c:v>
                </c:pt>
                <c:pt idx="1">
                  <c:v>１１月</c:v>
                </c:pt>
                <c:pt idx="2">
                  <c:v>１２月</c:v>
                </c:pt>
                <c:pt idx="3">
                  <c:v>１月</c:v>
                </c:pt>
                <c:pt idx="4">
                  <c:v>２月</c:v>
                </c:pt>
                <c:pt idx="5">
                  <c:v>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</c:strCache>
            </c:strRef>
          </c:cat>
          <c:val>
            <c:numRef>
              <c:f>法人全体!$G$8:$R$8</c:f>
              <c:numCache>
                <c:formatCode>#,##0_);[Red]\(#,##0\)</c:formatCode>
                <c:ptCount val="12"/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09DD-4D76-8D22-A56BEFE041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942016"/>
        <c:axId val="103943552"/>
      </c:lineChart>
      <c:catAx>
        <c:axId val="1039420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3943552"/>
        <c:crosses val="autoZero"/>
        <c:auto val="1"/>
        <c:lblAlgn val="ctr"/>
        <c:lblOffset val="100"/>
        <c:noMultiLvlLbl val="0"/>
      </c:catAx>
      <c:valAx>
        <c:axId val="103943552"/>
        <c:scaling>
          <c:orientation val="minMax"/>
          <c:max val="18500000"/>
        </c:scaling>
        <c:delete val="0"/>
        <c:axPos val="l"/>
        <c:majorGridlines/>
        <c:numFmt formatCode="#,##0;&quot;▲ &quot;#,##0" sourceLinked="0"/>
        <c:majorTickMark val="out"/>
        <c:minorTickMark val="none"/>
        <c:tickLblPos val="nextTo"/>
        <c:crossAx val="103942016"/>
        <c:crosses val="autoZero"/>
        <c:crossBetween val="between"/>
        <c:dispUnits>
          <c:builtInUnit val="thousands"/>
          <c:dispUnitsLbl/>
        </c:dispUnits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216973170999613E-2"/>
          <c:y val="1.2738461963276699E-2"/>
          <c:w val="0.88802801141353971"/>
          <c:h val="0.743355707521941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グラフデータ!$B$3</c:f>
              <c:strCache>
                <c:ptCount val="1"/>
                <c:pt idx="0">
                  <c:v>事業収入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multiLvlStrRef>
              <c:f>グラフデータ!$C$1:$AF$2</c:f>
              <c:multiLvlStrCache>
                <c:ptCount val="30"/>
                <c:lvl>
                  <c:pt idx="0">
                    <c:v>収入</c:v>
                  </c:pt>
                  <c:pt idx="1">
                    <c:v>支出</c:v>
                  </c:pt>
                  <c:pt idx="2">
                    <c:v>収入</c:v>
                  </c:pt>
                  <c:pt idx="3">
                    <c:v>支出</c:v>
                  </c:pt>
                  <c:pt idx="5">
                    <c:v>収入</c:v>
                  </c:pt>
                  <c:pt idx="6">
                    <c:v>支出</c:v>
                  </c:pt>
                  <c:pt idx="8">
                    <c:v>収入</c:v>
                  </c:pt>
                  <c:pt idx="9">
                    <c:v>支出</c:v>
                  </c:pt>
                  <c:pt idx="10">
                    <c:v>収入</c:v>
                  </c:pt>
                  <c:pt idx="11">
                    <c:v>支出</c:v>
                  </c:pt>
                  <c:pt idx="13">
                    <c:v>収入</c:v>
                  </c:pt>
                  <c:pt idx="14">
                    <c:v>支出</c:v>
                  </c:pt>
                  <c:pt idx="16">
                    <c:v>収入</c:v>
                  </c:pt>
                  <c:pt idx="17">
                    <c:v>支出</c:v>
                  </c:pt>
                  <c:pt idx="19">
                    <c:v>収入</c:v>
                  </c:pt>
                  <c:pt idx="20">
                    <c:v>支出</c:v>
                  </c:pt>
                  <c:pt idx="22">
                    <c:v>収入</c:v>
                  </c:pt>
                  <c:pt idx="23">
                    <c:v>支出</c:v>
                  </c:pt>
                  <c:pt idx="25">
                    <c:v>収入</c:v>
                  </c:pt>
                  <c:pt idx="26">
                    <c:v>支出</c:v>
                  </c:pt>
                  <c:pt idx="28">
                    <c:v>収入</c:v>
                  </c:pt>
                  <c:pt idx="29">
                    <c:v>支出</c:v>
                  </c:pt>
                </c:lvl>
                <c:lvl>
                  <c:pt idx="0">
                    <c:v>本部</c:v>
                  </c:pt>
                  <c:pt idx="2">
                    <c:v>宅老所</c:v>
                  </c:pt>
                  <c:pt idx="5">
                    <c:v>宅配給食</c:v>
                  </c:pt>
                  <c:pt idx="8">
                    <c:v>学童保育</c:v>
                  </c:pt>
                  <c:pt idx="10">
                    <c:v>人材育成</c:v>
                  </c:pt>
                  <c:pt idx="13">
                    <c:v>高齢訪問</c:v>
                  </c:pt>
                  <c:pt idx="16">
                    <c:v>奥立願寺</c:v>
                  </c:pt>
                  <c:pt idx="19">
                    <c:v>中尾</c:v>
                  </c:pt>
                  <c:pt idx="22">
                    <c:v>居宅</c:v>
                  </c:pt>
                  <c:pt idx="25">
                    <c:v>障害訪問</c:v>
                  </c:pt>
                  <c:pt idx="28">
                    <c:v>障害就労</c:v>
                  </c:pt>
                </c:lvl>
              </c:multiLvlStrCache>
            </c:multiLvlStrRef>
          </c:cat>
          <c:val>
            <c:numRef>
              <c:f>グラフデータ!$C$3:$AF$3</c:f>
              <c:numCache>
                <c:formatCode>#,##0,</c:formatCode>
                <c:ptCount val="30"/>
                <c:pt idx="0">
                  <c:v>0</c:v>
                </c:pt>
                <c:pt idx="2">
                  <c:v>0</c:v>
                </c:pt>
                <c:pt idx="5">
                  <c:v>0</c:v>
                </c:pt>
                <c:pt idx="8">
                  <c:v>0</c:v>
                </c:pt>
                <c:pt idx="10">
                  <c:v>0</c:v>
                </c:pt>
                <c:pt idx="13">
                  <c:v>0</c:v>
                </c:pt>
                <c:pt idx="16">
                  <c:v>0</c:v>
                </c:pt>
                <c:pt idx="19">
                  <c:v>0</c:v>
                </c:pt>
                <c:pt idx="22">
                  <c:v>0</c:v>
                </c:pt>
                <c:pt idx="25">
                  <c:v>0</c:v>
                </c:pt>
                <c:pt idx="2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E31-4CEF-8CB0-54F81F2F2537}"/>
            </c:ext>
          </c:extLst>
        </c:ser>
        <c:ser>
          <c:idx val="1"/>
          <c:order val="1"/>
          <c:tx>
            <c:strRef>
              <c:f>グラフデータ!$B$4</c:f>
              <c:strCache>
                <c:ptCount val="1"/>
                <c:pt idx="0">
                  <c:v>事業費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グラフデータ!$C$1:$AF$2</c:f>
              <c:multiLvlStrCache>
                <c:ptCount val="30"/>
                <c:lvl>
                  <c:pt idx="0">
                    <c:v>収入</c:v>
                  </c:pt>
                  <c:pt idx="1">
                    <c:v>支出</c:v>
                  </c:pt>
                  <c:pt idx="2">
                    <c:v>収入</c:v>
                  </c:pt>
                  <c:pt idx="3">
                    <c:v>支出</c:v>
                  </c:pt>
                  <c:pt idx="5">
                    <c:v>収入</c:v>
                  </c:pt>
                  <c:pt idx="6">
                    <c:v>支出</c:v>
                  </c:pt>
                  <c:pt idx="8">
                    <c:v>収入</c:v>
                  </c:pt>
                  <c:pt idx="9">
                    <c:v>支出</c:v>
                  </c:pt>
                  <c:pt idx="10">
                    <c:v>収入</c:v>
                  </c:pt>
                  <c:pt idx="11">
                    <c:v>支出</c:v>
                  </c:pt>
                  <c:pt idx="13">
                    <c:v>収入</c:v>
                  </c:pt>
                  <c:pt idx="14">
                    <c:v>支出</c:v>
                  </c:pt>
                  <c:pt idx="16">
                    <c:v>収入</c:v>
                  </c:pt>
                  <c:pt idx="17">
                    <c:v>支出</c:v>
                  </c:pt>
                  <c:pt idx="19">
                    <c:v>収入</c:v>
                  </c:pt>
                  <c:pt idx="20">
                    <c:v>支出</c:v>
                  </c:pt>
                  <c:pt idx="22">
                    <c:v>収入</c:v>
                  </c:pt>
                  <c:pt idx="23">
                    <c:v>支出</c:v>
                  </c:pt>
                  <c:pt idx="25">
                    <c:v>収入</c:v>
                  </c:pt>
                  <c:pt idx="26">
                    <c:v>支出</c:v>
                  </c:pt>
                  <c:pt idx="28">
                    <c:v>収入</c:v>
                  </c:pt>
                  <c:pt idx="29">
                    <c:v>支出</c:v>
                  </c:pt>
                </c:lvl>
                <c:lvl>
                  <c:pt idx="0">
                    <c:v>本部</c:v>
                  </c:pt>
                  <c:pt idx="2">
                    <c:v>宅老所</c:v>
                  </c:pt>
                  <c:pt idx="5">
                    <c:v>宅配給食</c:v>
                  </c:pt>
                  <c:pt idx="8">
                    <c:v>学童保育</c:v>
                  </c:pt>
                  <c:pt idx="10">
                    <c:v>人材育成</c:v>
                  </c:pt>
                  <c:pt idx="13">
                    <c:v>高齢訪問</c:v>
                  </c:pt>
                  <c:pt idx="16">
                    <c:v>奥立願寺</c:v>
                  </c:pt>
                  <c:pt idx="19">
                    <c:v>中尾</c:v>
                  </c:pt>
                  <c:pt idx="22">
                    <c:v>居宅</c:v>
                  </c:pt>
                  <c:pt idx="25">
                    <c:v>障害訪問</c:v>
                  </c:pt>
                  <c:pt idx="28">
                    <c:v>障害就労</c:v>
                  </c:pt>
                </c:lvl>
              </c:multiLvlStrCache>
            </c:multiLvlStrRef>
          </c:cat>
          <c:val>
            <c:numRef>
              <c:f>グラフデータ!$C$4:$AF$4</c:f>
              <c:numCache>
                <c:formatCode>#,##0,</c:formatCode>
                <c:ptCount val="30"/>
                <c:pt idx="3">
                  <c:v>0</c:v>
                </c:pt>
                <c:pt idx="6">
                  <c:v>0</c:v>
                </c:pt>
                <c:pt idx="9">
                  <c:v>0</c:v>
                </c:pt>
                <c:pt idx="11">
                  <c:v>0</c:v>
                </c:pt>
                <c:pt idx="14">
                  <c:v>0</c:v>
                </c:pt>
                <c:pt idx="17">
                  <c:v>0</c:v>
                </c:pt>
                <c:pt idx="20">
                  <c:v>0</c:v>
                </c:pt>
                <c:pt idx="23">
                  <c:v>0</c:v>
                </c:pt>
                <c:pt idx="26">
                  <c:v>0</c:v>
                </c:pt>
                <c:pt idx="2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E31-4CEF-8CB0-54F81F2F2537}"/>
            </c:ext>
          </c:extLst>
        </c:ser>
        <c:ser>
          <c:idx val="2"/>
          <c:order val="2"/>
          <c:tx>
            <c:strRef>
              <c:f>グラフデータ!$B$5</c:f>
              <c:strCache>
                <c:ptCount val="1"/>
                <c:pt idx="0">
                  <c:v>管理費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グラフデータ!$C$1:$AF$2</c:f>
              <c:multiLvlStrCache>
                <c:ptCount val="30"/>
                <c:lvl>
                  <c:pt idx="0">
                    <c:v>収入</c:v>
                  </c:pt>
                  <c:pt idx="1">
                    <c:v>支出</c:v>
                  </c:pt>
                  <c:pt idx="2">
                    <c:v>収入</c:v>
                  </c:pt>
                  <c:pt idx="3">
                    <c:v>支出</c:v>
                  </c:pt>
                  <c:pt idx="5">
                    <c:v>収入</c:v>
                  </c:pt>
                  <c:pt idx="6">
                    <c:v>支出</c:v>
                  </c:pt>
                  <c:pt idx="8">
                    <c:v>収入</c:v>
                  </c:pt>
                  <c:pt idx="9">
                    <c:v>支出</c:v>
                  </c:pt>
                  <c:pt idx="10">
                    <c:v>収入</c:v>
                  </c:pt>
                  <c:pt idx="11">
                    <c:v>支出</c:v>
                  </c:pt>
                  <c:pt idx="13">
                    <c:v>収入</c:v>
                  </c:pt>
                  <c:pt idx="14">
                    <c:v>支出</c:v>
                  </c:pt>
                  <c:pt idx="16">
                    <c:v>収入</c:v>
                  </c:pt>
                  <c:pt idx="17">
                    <c:v>支出</c:v>
                  </c:pt>
                  <c:pt idx="19">
                    <c:v>収入</c:v>
                  </c:pt>
                  <c:pt idx="20">
                    <c:v>支出</c:v>
                  </c:pt>
                  <c:pt idx="22">
                    <c:v>収入</c:v>
                  </c:pt>
                  <c:pt idx="23">
                    <c:v>支出</c:v>
                  </c:pt>
                  <c:pt idx="25">
                    <c:v>収入</c:v>
                  </c:pt>
                  <c:pt idx="26">
                    <c:v>支出</c:v>
                  </c:pt>
                  <c:pt idx="28">
                    <c:v>収入</c:v>
                  </c:pt>
                  <c:pt idx="29">
                    <c:v>支出</c:v>
                  </c:pt>
                </c:lvl>
                <c:lvl>
                  <c:pt idx="0">
                    <c:v>本部</c:v>
                  </c:pt>
                  <c:pt idx="2">
                    <c:v>宅老所</c:v>
                  </c:pt>
                  <c:pt idx="5">
                    <c:v>宅配給食</c:v>
                  </c:pt>
                  <c:pt idx="8">
                    <c:v>学童保育</c:v>
                  </c:pt>
                  <c:pt idx="10">
                    <c:v>人材育成</c:v>
                  </c:pt>
                  <c:pt idx="13">
                    <c:v>高齢訪問</c:v>
                  </c:pt>
                  <c:pt idx="16">
                    <c:v>奥立願寺</c:v>
                  </c:pt>
                  <c:pt idx="19">
                    <c:v>中尾</c:v>
                  </c:pt>
                  <c:pt idx="22">
                    <c:v>居宅</c:v>
                  </c:pt>
                  <c:pt idx="25">
                    <c:v>障害訪問</c:v>
                  </c:pt>
                  <c:pt idx="28">
                    <c:v>障害就労</c:v>
                  </c:pt>
                </c:lvl>
              </c:multiLvlStrCache>
            </c:multiLvlStrRef>
          </c:cat>
          <c:val>
            <c:numRef>
              <c:f>グラフデータ!$C$5:$AF$5</c:f>
              <c:numCache>
                <c:formatCode>#,##0,</c:formatCode>
                <c:ptCount val="30"/>
                <c:pt idx="3">
                  <c:v>0</c:v>
                </c:pt>
                <c:pt idx="6">
                  <c:v>0</c:v>
                </c:pt>
                <c:pt idx="9">
                  <c:v>0</c:v>
                </c:pt>
                <c:pt idx="11">
                  <c:v>0</c:v>
                </c:pt>
                <c:pt idx="14">
                  <c:v>0</c:v>
                </c:pt>
                <c:pt idx="17">
                  <c:v>0</c:v>
                </c:pt>
                <c:pt idx="20">
                  <c:v>0</c:v>
                </c:pt>
                <c:pt idx="23">
                  <c:v>0</c:v>
                </c:pt>
                <c:pt idx="26">
                  <c:v>0</c:v>
                </c:pt>
                <c:pt idx="2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E31-4CEF-8CB0-54F81F2F2537}"/>
            </c:ext>
          </c:extLst>
        </c:ser>
        <c:ser>
          <c:idx val="3"/>
          <c:order val="3"/>
          <c:tx>
            <c:strRef>
              <c:f>グラフデータ!$B$6</c:f>
              <c:strCache>
                <c:ptCount val="1"/>
                <c:pt idx="0">
                  <c:v>収益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multiLvlStrRef>
              <c:f>グラフデータ!$C$1:$AF$2</c:f>
              <c:multiLvlStrCache>
                <c:ptCount val="30"/>
                <c:lvl>
                  <c:pt idx="0">
                    <c:v>収入</c:v>
                  </c:pt>
                  <c:pt idx="1">
                    <c:v>支出</c:v>
                  </c:pt>
                  <c:pt idx="2">
                    <c:v>収入</c:v>
                  </c:pt>
                  <c:pt idx="3">
                    <c:v>支出</c:v>
                  </c:pt>
                  <c:pt idx="5">
                    <c:v>収入</c:v>
                  </c:pt>
                  <c:pt idx="6">
                    <c:v>支出</c:v>
                  </c:pt>
                  <c:pt idx="8">
                    <c:v>収入</c:v>
                  </c:pt>
                  <c:pt idx="9">
                    <c:v>支出</c:v>
                  </c:pt>
                  <c:pt idx="10">
                    <c:v>収入</c:v>
                  </c:pt>
                  <c:pt idx="11">
                    <c:v>支出</c:v>
                  </c:pt>
                  <c:pt idx="13">
                    <c:v>収入</c:v>
                  </c:pt>
                  <c:pt idx="14">
                    <c:v>支出</c:v>
                  </c:pt>
                  <c:pt idx="16">
                    <c:v>収入</c:v>
                  </c:pt>
                  <c:pt idx="17">
                    <c:v>支出</c:v>
                  </c:pt>
                  <c:pt idx="19">
                    <c:v>収入</c:v>
                  </c:pt>
                  <c:pt idx="20">
                    <c:v>支出</c:v>
                  </c:pt>
                  <c:pt idx="22">
                    <c:v>収入</c:v>
                  </c:pt>
                  <c:pt idx="23">
                    <c:v>支出</c:v>
                  </c:pt>
                  <c:pt idx="25">
                    <c:v>収入</c:v>
                  </c:pt>
                  <c:pt idx="26">
                    <c:v>支出</c:v>
                  </c:pt>
                  <c:pt idx="28">
                    <c:v>収入</c:v>
                  </c:pt>
                  <c:pt idx="29">
                    <c:v>支出</c:v>
                  </c:pt>
                </c:lvl>
                <c:lvl>
                  <c:pt idx="0">
                    <c:v>本部</c:v>
                  </c:pt>
                  <c:pt idx="2">
                    <c:v>宅老所</c:v>
                  </c:pt>
                  <c:pt idx="5">
                    <c:v>宅配給食</c:v>
                  </c:pt>
                  <c:pt idx="8">
                    <c:v>学童保育</c:v>
                  </c:pt>
                  <c:pt idx="10">
                    <c:v>人材育成</c:v>
                  </c:pt>
                  <c:pt idx="13">
                    <c:v>高齢訪問</c:v>
                  </c:pt>
                  <c:pt idx="16">
                    <c:v>奥立願寺</c:v>
                  </c:pt>
                  <c:pt idx="19">
                    <c:v>中尾</c:v>
                  </c:pt>
                  <c:pt idx="22">
                    <c:v>居宅</c:v>
                  </c:pt>
                  <c:pt idx="25">
                    <c:v>障害訪問</c:v>
                  </c:pt>
                  <c:pt idx="28">
                    <c:v>障害就労</c:v>
                  </c:pt>
                </c:lvl>
              </c:multiLvlStrCache>
            </c:multiLvlStrRef>
          </c:cat>
          <c:val>
            <c:numRef>
              <c:f>グラフデータ!$C$6:$AF$6</c:f>
              <c:numCache>
                <c:formatCode>#,##0,</c:formatCode>
                <c:ptCount val="30"/>
                <c:pt idx="3">
                  <c:v>0</c:v>
                </c:pt>
                <c:pt idx="6">
                  <c:v>0</c:v>
                </c:pt>
                <c:pt idx="9">
                  <c:v>0</c:v>
                </c:pt>
                <c:pt idx="11">
                  <c:v>0</c:v>
                </c:pt>
                <c:pt idx="14">
                  <c:v>0</c:v>
                </c:pt>
                <c:pt idx="17">
                  <c:v>0</c:v>
                </c:pt>
                <c:pt idx="20">
                  <c:v>0</c:v>
                </c:pt>
                <c:pt idx="23">
                  <c:v>0</c:v>
                </c:pt>
                <c:pt idx="26">
                  <c:v>0</c:v>
                </c:pt>
                <c:pt idx="2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E31-4CEF-8CB0-54F81F2F25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9"/>
        <c:overlap val="100"/>
        <c:axId val="104887424"/>
        <c:axId val="104888960"/>
      </c:barChart>
      <c:catAx>
        <c:axId val="1048874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4888960"/>
        <c:crosses val="autoZero"/>
        <c:auto val="1"/>
        <c:lblAlgn val="ctr"/>
        <c:lblOffset val="100"/>
        <c:noMultiLvlLbl val="0"/>
      </c:catAx>
      <c:valAx>
        <c:axId val="104888960"/>
        <c:scaling>
          <c:orientation val="minMax"/>
        </c:scaling>
        <c:delete val="0"/>
        <c:axPos val="l"/>
        <c:majorGridlines/>
        <c:numFmt formatCode="#,##0," sourceLinked="1"/>
        <c:majorTickMark val="out"/>
        <c:minorTickMark val="none"/>
        <c:tickLblPos val="nextTo"/>
        <c:crossAx val="10488742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グラフデータ!$E$10:$M$10</c:f>
              <c:strCache>
                <c:ptCount val="9"/>
                <c:pt idx="0">
                  <c:v>宅老所</c:v>
                </c:pt>
                <c:pt idx="1">
                  <c:v>宅配給食</c:v>
                </c:pt>
                <c:pt idx="2">
                  <c:v>学童保育</c:v>
                </c:pt>
                <c:pt idx="3">
                  <c:v>高齢訪問</c:v>
                </c:pt>
                <c:pt idx="4">
                  <c:v>奥立願寺</c:v>
                </c:pt>
                <c:pt idx="5">
                  <c:v>中尾</c:v>
                </c:pt>
                <c:pt idx="6">
                  <c:v>居宅</c:v>
                </c:pt>
                <c:pt idx="7">
                  <c:v>障害訪問</c:v>
                </c:pt>
                <c:pt idx="8">
                  <c:v>障害就労</c:v>
                </c:pt>
              </c:strCache>
            </c:strRef>
          </c:cat>
          <c:val>
            <c:numRef>
              <c:f>グラフデータ!$E$19:$M$19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C9A-4AAC-A4A7-248C83E41A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75281674017271727"/>
          <c:y val="9.0088680418152614E-2"/>
          <c:w val="0.21850208107922986"/>
          <c:h val="0.79894837259253448"/>
        </c:manualLayout>
      </c:layout>
      <c:overlay val="0"/>
      <c:txPr>
        <a:bodyPr/>
        <a:lstStyle/>
        <a:p>
          <a:pPr rtl="0">
            <a:defRPr sz="2000"/>
          </a:pPr>
          <a:endParaRPr lang="ja-JP"/>
        </a:p>
      </c:txPr>
    </c:legend>
    <c:plotVisOnly val="1"/>
    <c:dispBlanksAs val="zero"/>
    <c:showDLblsOverMax val="0"/>
  </c:chart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Sheet4!$A$28</c:f>
              <c:strCache>
                <c:ptCount val="1"/>
                <c:pt idx="0">
                  <c:v>収入</c:v>
                </c:pt>
              </c:strCache>
            </c:strRef>
          </c:tx>
          <c:cat>
            <c:strRef>
              <c:f>(Sheet4!$B$27,Sheet4!$E$27,Sheet4!$H$27,Sheet4!$K$27)</c:f>
              <c:strCache>
                <c:ptCount val="4"/>
                <c:pt idx="0">
                  <c:v>第1四半期</c:v>
                </c:pt>
                <c:pt idx="1">
                  <c:v>第2四半期</c:v>
                </c:pt>
                <c:pt idx="2">
                  <c:v>第3四半期</c:v>
                </c:pt>
                <c:pt idx="3">
                  <c:v>第4四半期</c:v>
                </c:pt>
              </c:strCache>
            </c:strRef>
          </c:cat>
          <c:val>
            <c:numRef>
              <c:f>(Sheet4!$B$28,Sheet4!$E$28,Sheet4!$H$28,Sheet4!$K$28)</c:f>
              <c:numCache>
                <c:formatCode>#,##0_);[Red]\(#,##0\)</c:formatCode>
                <c:ptCount val="4"/>
                <c:pt idx="0">
                  <c:v>21481.333333333332</c:v>
                </c:pt>
                <c:pt idx="1">
                  <c:v>21102</c:v>
                </c:pt>
                <c:pt idx="2">
                  <c:v>21552</c:v>
                </c:pt>
                <c:pt idx="3">
                  <c:v>20839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A8E-440E-AF44-F2C1413D8220}"/>
            </c:ext>
          </c:extLst>
        </c:ser>
        <c:ser>
          <c:idx val="3"/>
          <c:order val="1"/>
          <c:tx>
            <c:strRef>
              <c:f>Sheet4!$A$29</c:f>
              <c:strCache>
                <c:ptCount val="1"/>
                <c:pt idx="0">
                  <c:v>支出</c:v>
                </c:pt>
              </c:strCache>
            </c:strRef>
          </c:tx>
          <c:cat>
            <c:strRef>
              <c:f>(Sheet4!$B$27,Sheet4!$E$27,Sheet4!$H$27,Sheet4!$K$27)</c:f>
              <c:strCache>
                <c:ptCount val="4"/>
                <c:pt idx="0">
                  <c:v>第1四半期</c:v>
                </c:pt>
                <c:pt idx="1">
                  <c:v>第2四半期</c:v>
                </c:pt>
                <c:pt idx="2">
                  <c:v>第3四半期</c:v>
                </c:pt>
                <c:pt idx="3">
                  <c:v>第4四半期</c:v>
                </c:pt>
              </c:strCache>
            </c:strRef>
          </c:cat>
          <c:val>
            <c:numRef>
              <c:f>(Sheet4!$B$29,Sheet4!$E$29,Sheet4!$H$29,Sheet4!$K$29)</c:f>
              <c:numCache>
                <c:formatCode>#,##0_);[Red]\(#,##0\)</c:formatCode>
                <c:ptCount val="4"/>
                <c:pt idx="0">
                  <c:v>18791.666666666668</c:v>
                </c:pt>
                <c:pt idx="1">
                  <c:v>20105</c:v>
                </c:pt>
                <c:pt idx="2">
                  <c:v>20637.666666666668</c:v>
                </c:pt>
                <c:pt idx="3">
                  <c:v>20088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A8E-440E-AF44-F2C1413D8220}"/>
            </c:ext>
          </c:extLst>
        </c:ser>
        <c:ser>
          <c:idx val="6"/>
          <c:order val="2"/>
          <c:tx>
            <c:strRef>
              <c:f>Sheet4!$A$30</c:f>
              <c:strCache>
                <c:ptCount val="1"/>
                <c:pt idx="0">
                  <c:v>人件費</c:v>
                </c:pt>
              </c:strCache>
            </c:strRef>
          </c:tx>
          <c:cat>
            <c:strRef>
              <c:f>(Sheet4!$B$27,Sheet4!$E$27,Sheet4!$H$27,Sheet4!$K$27)</c:f>
              <c:strCache>
                <c:ptCount val="4"/>
                <c:pt idx="0">
                  <c:v>第1四半期</c:v>
                </c:pt>
                <c:pt idx="1">
                  <c:v>第2四半期</c:v>
                </c:pt>
                <c:pt idx="2">
                  <c:v>第3四半期</c:v>
                </c:pt>
                <c:pt idx="3">
                  <c:v>第4四半期</c:v>
                </c:pt>
              </c:strCache>
            </c:strRef>
          </c:cat>
          <c:val>
            <c:numRef>
              <c:f>(Sheet4!$B$30,Sheet4!$E$30,Sheet4!$H$30,Sheet4!$K$30)</c:f>
              <c:numCache>
                <c:formatCode>#,##0_);[Red]\(#,##0\)</c:formatCode>
                <c:ptCount val="4"/>
                <c:pt idx="0">
                  <c:v>13368.666666666666</c:v>
                </c:pt>
                <c:pt idx="1">
                  <c:v>14955.666666666666</c:v>
                </c:pt>
                <c:pt idx="2">
                  <c:v>15014.666666666666</c:v>
                </c:pt>
                <c:pt idx="3">
                  <c:v>14080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A8E-440E-AF44-F2C1413D8220}"/>
            </c:ext>
          </c:extLst>
        </c:ser>
        <c:ser>
          <c:idx val="9"/>
          <c:order val="3"/>
          <c:tx>
            <c:strRef>
              <c:f>Sheet4!$A$31</c:f>
              <c:strCache>
                <c:ptCount val="1"/>
                <c:pt idx="0">
                  <c:v>材料費</c:v>
                </c:pt>
              </c:strCache>
            </c:strRef>
          </c:tx>
          <c:cat>
            <c:strRef>
              <c:f>(Sheet4!$B$27,Sheet4!$E$27,Sheet4!$H$27,Sheet4!$K$27)</c:f>
              <c:strCache>
                <c:ptCount val="4"/>
                <c:pt idx="0">
                  <c:v>第1四半期</c:v>
                </c:pt>
                <c:pt idx="1">
                  <c:v>第2四半期</c:v>
                </c:pt>
                <c:pt idx="2">
                  <c:v>第3四半期</c:v>
                </c:pt>
                <c:pt idx="3">
                  <c:v>第4四半期</c:v>
                </c:pt>
              </c:strCache>
            </c:strRef>
          </c:cat>
          <c:val>
            <c:numRef>
              <c:f>(Sheet4!$B$31,Sheet4!$E$31,Sheet4!$H$31,Sheet4!$K$31)</c:f>
              <c:numCache>
                <c:formatCode>#,##0_);[Red]\(#,##0\)</c:formatCode>
                <c:ptCount val="4"/>
                <c:pt idx="0">
                  <c:v>1038</c:v>
                </c:pt>
                <c:pt idx="1">
                  <c:v>802.66666666666663</c:v>
                </c:pt>
                <c:pt idx="2">
                  <c:v>835.66666666666663</c:v>
                </c:pt>
                <c:pt idx="3">
                  <c:v>790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A8E-440E-AF44-F2C1413D8220}"/>
            </c:ext>
          </c:extLst>
        </c:ser>
        <c:ser>
          <c:idx val="1"/>
          <c:order val="4"/>
          <c:tx>
            <c:strRef>
              <c:f>Sheet4!$A$32</c:f>
              <c:strCache>
                <c:ptCount val="1"/>
                <c:pt idx="0">
                  <c:v>諸経費</c:v>
                </c:pt>
              </c:strCache>
            </c:strRef>
          </c:tx>
          <c:cat>
            <c:strRef>
              <c:f>(Sheet4!$B$27,Sheet4!$E$27,Sheet4!$H$27,Sheet4!$K$27)</c:f>
              <c:strCache>
                <c:ptCount val="4"/>
                <c:pt idx="0">
                  <c:v>第1四半期</c:v>
                </c:pt>
                <c:pt idx="1">
                  <c:v>第2四半期</c:v>
                </c:pt>
                <c:pt idx="2">
                  <c:v>第3四半期</c:v>
                </c:pt>
                <c:pt idx="3">
                  <c:v>第4四半期</c:v>
                </c:pt>
              </c:strCache>
            </c:strRef>
          </c:cat>
          <c:val>
            <c:numRef>
              <c:f>(Sheet4!$B$32,Sheet4!$E$32,Sheet4!$H$32,Sheet4!$K$32)</c:f>
              <c:numCache>
                <c:formatCode>#,##0_);[Red]\(#,##0\)</c:formatCode>
                <c:ptCount val="4"/>
                <c:pt idx="0">
                  <c:v>4385</c:v>
                </c:pt>
                <c:pt idx="1">
                  <c:v>4346.666666666667</c:v>
                </c:pt>
                <c:pt idx="2">
                  <c:v>4787.333333333333</c:v>
                </c:pt>
                <c:pt idx="3">
                  <c:v>5218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7A8E-440E-AF44-F2C1413D8220}"/>
            </c:ext>
          </c:extLst>
        </c:ser>
        <c:ser>
          <c:idx val="2"/>
          <c:order val="5"/>
          <c:tx>
            <c:strRef>
              <c:f>Sheet4!$A$33</c:f>
              <c:strCache>
                <c:ptCount val="1"/>
                <c:pt idx="0">
                  <c:v>収支差額</c:v>
                </c:pt>
              </c:strCache>
            </c:strRef>
          </c:tx>
          <c:cat>
            <c:strRef>
              <c:f>(Sheet4!$B$27,Sheet4!$E$27,Sheet4!$H$27,Sheet4!$K$27)</c:f>
              <c:strCache>
                <c:ptCount val="4"/>
                <c:pt idx="0">
                  <c:v>第1四半期</c:v>
                </c:pt>
                <c:pt idx="1">
                  <c:v>第2四半期</c:v>
                </c:pt>
                <c:pt idx="2">
                  <c:v>第3四半期</c:v>
                </c:pt>
                <c:pt idx="3">
                  <c:v>第4四半期</c:v>
                </c:pt>
              </c:strCache>
            </c:strRef>
          </c:cat>
          <c:val>
            <c:numRef>
              <c:f>(Sheet4!$B$33,Sheet4!$E$33,Sheet4!$H$33,Sheet4!$K$33)</c:f>
              <c:numCache>
                <c:formatCode>#,##0_);[Red]\(#,##0\)</c:formatCode>
                <c:ptCount val="4"/>
                <c:pt idx="0">
                  <c:v>2689.6666666666665</c:v>
                </c:pt>
                <c:pt idx="1">
                  <c:v>997</c:v>
                </c:pt>
                <c:pt idx="2">
                  <c:v>914.33333333333337</c:v>
                </c:pt>
                <c:pt idx="3">
                  <c:v>751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7A8E-440E-AF44-F2C1413D82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172992"/>
        <c:axId val="105174528"/>
      </c:lineChart>
      <c:catAx>
        <c:axId val="1051729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5174528"/>
        <c:crosses val="autoZero"/>
        <c:auto val="1"/>
        <c:lblAlgn val="ctr"/>
        <c:lblOffset val="100"/>
        <c:noMultiLvlLbl val="0"/>
      </c:catAx>
      <c:valAx>
        <c:axId val="105174528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spPr>
          <a:ln w="9525">
            <a:noFill/>
          </a:ln>
        </c:spPr>
        <c:crossAx val="10517299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en-US" altLang="ja-JP"/>
              <a:t>2015</a:t>
            </a:r>
            <a:r>
              <a:rPr lang="ja-JP" altLang="en-US"/>
              <a:t>予算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ふれあい給食!$C$2</c:f>
              <c:strCache>
                <c:ptCount val="1"/>
                <c:pt idx="0">
                  <c:v>2014決算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2A6-436D-B30F-4252590FC32D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2A6-436D-B30F-4252590FC32D}"/>
              </c:ext>
            </c:extLst>
          </c:dPt>
          <c:cat>
            <c:strRef>
              <c:f>ふれあい給食!$B$11:$B$13</c:f>
              <c:strCache>
                <c:ptCount val="3"/>
                <c:pt idx="0">
                  <c:v>収益</c:v>
                </c:pt>
                <c:pt idx="1">
                  <c:v>費用</c:v>
                </c:pt>
                <c:pt idx="2">
                  <c:v>収益増減</c:v>
                </c:pt>
              </c:strCache>
            </c:strRef>
          </c:cat>
          <c:val>
            <c:numRef>
              <c:f>ふれあい給食!$C$11:$C$13</c:f>
              <c:numCache>
                <c:formatCode>#,##0_);[Red]\(#,##0\)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2A6-436D-B30F-4252590FC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13280"/>
        <c:axId val="93003776"/>
      </c:barChart>
      <c:catAx>
        <c:axId val="93313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3003776"/>
        <c:crosses val="autoZero"/>
        <c:auto val="1"/>
        <c:lblAlgn val="ctr"/>
        <c:lblOffset val="100"/>
        <c:noMultiLvlLbl val="0"/>
      </c:catAx>
      <c:valAx>
        <c:axId val="93003776"/>
        <c:scaling>
          <c:orientation val="minMax"/>
          <c:max val="12000000"/>
        </c:scaling>
        <c:delete val="0"/>
        <c:axPos val="l"/>
        <c:majorGridlines/>
        <c:numFmt formatCode="#,##0;&quot;▲ &quot;#,##0" sourceLinked="0"/>
        <c:majorTickMark val="out"/>
        <c:minorTickMark val="none"/>
        <c:tickLblPos val="nextTo"/>
        <c:crossAx val="93313280"/>
        <c:crosses val="autoZero"/>
        <c:crossBetween val="between"/>
        <c:dispUnits>
          <c:builtInUnit val="thousands"/>
          <c:dispUnitsLbl/>
        </c:dispUnits>
      </c:valAx>
      <c:dTable>
        <c:showHorzBorder val="1"/>
        <c:showVertBorder val="1"/>
        <c:showOutline val="1"/>
        <c:showKeys val="0"/>
      </c:dTable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en-US" altLang="ja-JP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2015</a:t>
            </a:r>
            <a:r>
              <a:rPr lang="ja-JP" altLang="en-US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実績（単月収支）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ふれあい給食!$E$3</c:f>
              <c:strCache>
                <c:ptCount val="1"/>
                <c:pt idx="0">
                  <c:v>収益</c:v>
                </c:pt>
              </c:strCache>
            </c:strRef>
          </c:tx>
          <c:invertIfNegative val="0"/>
          <c:cat>
            <c:strRef>
              <c:f>ふれあい給食!$I$2:$T$2</c:f>
              <c:strCache>
                <c:ptCount val="12"/>
                <c:pt idx="0">
                  <c:v>１２月</c:v>
                </c:pt>
                <c:pt idx="1">
                  <c:v>１月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</c:strCache>
            </c:strRef>
          </c:cat>
          <c:val>
            <c:numRef>
              <c:f>ふれあい給食!$I$3:$T$3</c:f>
              <c:numCache>
                <c:formatCode>#,##0_);[Red]\(#,##0\)</c:formatCode>
                <c:ptCount val="12"/>
                <c:pt idx="0">
                  <c:v>887000</c:v>
                </c:pt>
                <c:pt idx="1">
                  <c:v>892000</c:v>
                </c:pt>
                <c:pt idx="2">
                  <c:v>885000</c:v>
                </c:pt>
                <c:pt idx="3">
                  <c:v>898000</c:v>
                </c:pt>
                <c:pt idx="4">
                  <c:v>993000</c:v>
                </c:pt>
                <c:pt idx="5">
                  <c:v>873000</c:v>
                </c:pt>
                <c:pt idx="6">
                  <c:v>906000</c:v>
                </c:pt>
                <c:pt idx="7">
                  <c:v>1034000</c:v>
                </c:pt>
                <c:pt idx="8">
                  <c:v>967000</c:v>
                </c:pt>
                <c:pt idx="9">
                  <c:v>888000</c:v>
                </c:pt>
                <c:pt idx="10">
                  <c:v>929000</c:v>
                </c:pt>
                <c:pt idx="11">
                  <c:v>939000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2F-4733-9400-94D745CC6F21}"/>
            </c:ext>
          </c:extLst>
        </c:ser>
        <c:ser>
          <c:idx val="1"/>
          <c:order val="1"/>
          <c:tx>
            <c:strRef>
              <c:f>ふれあい給食!$E$4</c:f>
              <c:strCache>
                <c:ptCount val="1"/>
                <c:pt idx="0">
                  <c:v>費用</c:v>
                </c:pt>
              </c:strCache>
            </c:strRef>
          </c:tx>
          <c:invertIfNegative val="0"/>
          <c:cat>
            <c:strRef>
              <c:f>ふれあい給食!$I$2:$T$2</c:f>
              <c:strCache>
                <c:ptCount val="12"/>
                <c:pt idx="0">
                  <c:v>１２月</c:v>
                </c:pt>
                <c:pt idx="1">
                  <c:v>１月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</c:strCache>
            </c:strRef>
          </c:cat>
          <c:val>
            <c:numRef>
              <c:f>ふれあい給食!$I$4:$T$4</c:f>
              <c:numCache>
                <c:formatCode>#,##0_);[Red]\(#,##0\)</c:formatCode>
                <c:ptCount val="12"/>
                <c:pt idx="0">
                  <c:v>894000</c:v>
                </c:pt>
                <c:pt idx="1">
                  <c:v>711000</c:v>
                </c:pt>
                <c:pt idx="2">
                  <c:v>638000</c:v>
                </c:pt>
                <c:pt idx="3">
                  <c:v>829000</c:v>
                </c:pt>
                <c:pt idx="4">
                  <c:v>752000</c:v>
                </c:pt>
                <c:pt idx="5">
                  <c:v>742000</c:v>
                </c:pt>
                <c:pt idx="6">
                  <c:v>917000</c:v>
                </c:pt>
                <c:pt idx="7">
                  <c:v>849000</c:v>
                </c:pt>
                <c:pt idx="8">
                  <c:v>809000</c:v>
                </c:pt>
                <c:pt idx="9">
                  <c:v>798000</c:v>
                </c:pt>
                <c:pt idx="10">
                  <c:v>554000</c:v>
                </c:pt>
                <c:pt idx="11">
                  <c:v>503000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72F-4733-9400-94D745CC6F21}"/>
            </c:ext>
          </c:extLst>
        </c:ser>
        <c:ser>
          <c:idx val="2"/>
          <c:order val="2"/>
          <c:tx>
            <c:strRef>
              <c:f>ふれあい給食!$E$5</c:f>
              <c:strCache>
                <c:ptCount val="1"/>
                <c:pt idx="0">
                  <c:v>収益増減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ふれあい給食!$I$2:$T$2</c:f>
              <c:strCache>
                <c:ptCount val="12"/>
                <c:pt idx="0">
                  <c:v>１２月</c:v>
                </c:pt>
                <c:pt idx="1">
                  <c:v>１月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</c:strCache>
            </c:strRef>
          </c:cat>
          <c:val>
            <c:numRef>
              <c:f>ふれあい給食!$I$5:$T$5</c:f>
              <c:numCache>
                <c:formatCode>#,##0_);[Red]\(#,##0\)</c:formatCode>
                <c:ptCount val="12"/>
                <c:pt idx="0">
                  <c:v>-7000</c:v>
                </c:pt>
                <c:pt idx="1">
                  <c:v>181000</c:v>
                </c:pt>
                <c:pt idx="2">
                  <c:v>247000</c:v>
                </c:pt>
                <c:pt idx="3">
                  <c:v>69000</c:v>
                </c:pt>
                <c:pt idx="4">
                  <c:v>241000</c:v>
                </c:pt>
                <c:pt idx="5">
                  <c:v>131000</c:v>
                </c:pt>
                <c:pt idx="6">
                  <c:v>-11000</c:v>
                </c:pt>
                <c:pt idx="7">
                  <c:v>185000</c:v>
                </c:pt>
                <c:pt idx="8">
                  <c:v>158000</c:v>
                </c:pt>
                <c:pt idx="9">
                  <c:v>90000</c:v>
                </c:pt>
                <c:pt idx="10">
                  <c:v>375000</c:v>
                </c:pt>
                <c:pt idx="11">
                  <c:v>436000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72F-4733-9400-94D745CC6F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135616"/>
        <c:axId val="93137152"/>
      </c:barChart>
      <c:lineChart>
        <c:grouping val="standard"/>
        <c:varyColors val="0"/>
        <c:ser>
          <c:idx val="3"/>
          <c:order val="3"/>
          <c:tx>
            <c:strRef>
              <c:f>ふれあい給食!$E$6</c:f>
              <c:strCache>
                <c:ptCount val="1"/>
                <c:pt idx="0">
                  <c:v>予算収益ライン</c:v>
                </c:pt>
              </c:strCache>
            </c:strRef>
          </c:tx>
          <c:spPr>
            <a:ln>
              <a:solidFill>
                <a:srgbClr val="0070C0"/>
              </a:solidFill>
              <a:prstDash val="sysDash"/>
            </a:ln>
          </c:spPr>
          <c:marker>
            <c:symbol val="none"/>
          </c:marker>
          <c:cat>
            <c:strRef>
              <c:f>ふれあい給食!$G$2:$R$2</c:f>
              <c:strCache>
                <c:ptCount val="12"/>
                <c:pt idx="0">
                  <c:v>１０月</c:v>
                </c:pt>
                <c:pt idx="1">
                  <c:v>１１月</c:v>
                </c:pt>
                <c:pt idx="2">
                  <c:v>１２月</c:v>
                </c:pt>
                <c:pt idx="3">
                  <c:v>１月</c:v>
                </c:pt>
                <c:pt idx="4">
                  <c:v>２月</c:v>
                </c:pt>
                <c:pt idx="5">
                  <c:v>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</c:strCache>
            </c:strRef>
          </c:cat>
          <c:val>
            <c:numRef>
              <c:f>ふれあい給食!$G$6:$R$6</c:f>
              <c:numCache>
                <c:formatCode>#,##0_);[Red]\(#,##0\)</c:formatCode>
                <c:ptCount val="12"/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72F-4733-9400-94D745CC6F21}"/>
            </c:ext>
          </c:extLst>
        </c:ser>
        <c:ser>
          <c:idx val="4"/>
          <c:order val="4"/>
          <c:tx>
            <c:strRef>
              <c:f>ふれあい給食!$E$7</c:f>
              <c:strCache>
                <c:ptCount val="1"/>
                <c:pt idx="0">
                  <c:v>予算費用ライン</c:v>
                </c:pt>
              </c:strCache>
            </c:strRef>
          </c:tx>
          <c:spPr>
            <a:ln>
              <a:solidFill>
                <a:srgbClr val="C00000"/>
              </a:solidFill>
              <a:prstDash val="sysDot"/>
            </a:ln>
          </c:spPr>
          <c:marker>
            <c:symbol val="none"/>
          </c:marker>
          <c:cat>
            <c:strRef>
              <c:f>ふれあい給食!$G$2:$R$2</c:f>
              <c:strCache>
                <c:ptCount val="12"/>
                <c:pt idx="0">
                  <c:v>１０月</c:v>
                </c:pt>
                <c:pt idx="1">
                  <c:v>１１月</c:v>
                </c:pt>
                <c:pt idx="2">
                  <c:v>１２月</c:v>
                </c:pt>
                <c:pt idx="3">
                  <c:v>１月</c:v>
                </c:pt>
                <c:pt idx="4">
                  <c:v>２月</c:v>
                </c:pt>
                <c:pt idx="5">
                  <c:v>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</c:strCache>
            </c:strRef>
          </c:cat>
          <c:val>
            <c:numRef>
              <c:f>ふれあい給食!$G$7:$R$7</c:f>
              <c:numCache>
                <c:formatCode>#,##0_);[Red]\(#,##0\)</c:formatCode>
                <c:ptCount val="12"/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72F-4733-9400-94D745CC6F21}"/>
            </c:ext>
          </c:extLst>
        </c:ser>
        <c:ser>
          <c:idx val="5"/>
          <c:order val="5"/>
          <c:tx>
            <c:strRef>
              <c:f>ふれあい給食!$E$8</c:f>
              <c:strCache>
                <c:ptCount val="1"/>
                <c:pt idx="0">
                  <c:v>予算増減ライン</c:v>
                </c:pt>
              </c:strCache>
            </c:strRef>
          </c:tx>
          <c:spPr>
            <a:ln>
              <a:prstDash val="dashDot"/>
            </a:ln>
          </c:spPr>
          <c:marker>
            <c:symbol val="none"/>
          </c:marker>
          <c:cat>
            <c:strRef>
              <c:f>ふれあい給食!$G$2:$R$2</c:f>
              <c:strCache>
                <c:ptCount val="12"/>
                <c:pt idx="0">
                  <c:v>１０月</c:v>
                </c:pt>
                <c:pt idx="1">
                  <c:v>１１月</c:v>
                </c:pt>
                <c:pt idx="2">
                  <c:v>１２月</c:v>
                </c:pt>
                <c:pt idx="3">
                  <c:v>１月</c:v>
                </c:pt>
                <c:pt idx="4">
                  <c:v>２月</c:v>
                </c:pt>
                <c:pt idx="5">
                  <c:v>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</c:strCache>
            </c:strRef>
          </c:cat>
          <c:val>
            <c:numRef>
              <c:f>ふれあい給食!$G$8:$R$8</c:f>
              <c:numCache>
                <c:formatCode>#,##0_);[Red]\(#,##0\)</c:formatCode>
                <c:ptCount val="12"/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72F-4733-9400-94D745CC6F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135616"/>
        <c:axId val="93137152"/>
      </c:lineChart>
      <c:catAx>
        <c:axId val="93135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3137152"/>
        <c:crosses val="autoZero"/>
        <c:auto val="1"/>
        <c:lblAlgn val="ctr"/>
        <c:lblOffset val="100"/>
        <c:noMultiLvlLbl val="0"/>
      </c:catAx>
      <c:valAx>
        <c:axId val="93137152"/>
        <c:scaling>
          <c:orientation val="minMax"/>
          <c:max val="1100000"/>
        </c:scaling>
        <c:delete val="0"/>
        <c:axPos val="l"/>
        <c:majorGridlines/>
        <c:numFmt formatCode="#,##0;&quot;▲ &quot;#,##0" sourceLinked="0"/>
        <c:majorTickMark val="out"/>
        <c:minorTickMark val="none"/>
        <c:tickLblPos val="nextTo"/>
        <c:crossAx val="93135616"/>
        <c:crosses val="autoZero"/>
        <c:crossBetween val="between"/>
        <c:dispUnits>
          <c:builtInUnit val="thousands"/>
          <c:dispUnitsLbl/>
        </c:dispUnits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障がい訪問!$C$2</c:f>
              <c:strCache>
                <c:ptCount val="1"/>
                <c:pt idx="0">
                  <c:v>2014決算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600-4095-9AC3-050646AD796A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600-4095-9AC3-050646AD796A}"/>
              </c:ext>
            </c:extLst>
          </c:dPt>
          <c:cat>
            <c:strRef>
              <c:f>障がい訪問!$B$3:$B$5</c:f>
              <c:strCache>
                <c:ptCount val="3"/>
                <c:pt idx="0">
                  <c:v>収益</c:v>
                </c:pt>
                <c:pt idx="1">
                  <c:v>費用</c:v>
                </c:pt>
                <c:pt idx="2">
                  <c:v>収益増減</c:v>
                </c:pt>
              </c:strCache>
            </c:strRef>
          </c:cat>
          <c:val>
            <c:numRef>
              <c:f>障がい訪問!$C$3:$C$5</c:f>
              <c:numCache>
                <c:formatCode>#,##0_);[Red]\(#,##0\)</c:formatCode>
                <c:ptCount val="3"/>
                <c:pt idx="0">
                  <c:v>31747000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600-4095-9AC3-050646AD7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168768"/>
        <c:axId val="93170304"/>
      </c:barChart>
      <c:catAx>
        <c:axId val="93168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3170304"/>
        <c:crosses val="autoZero"/>
        <c:auto val="1"/>
        <c:lblAlgn val="ctr"/>
        <c:lblOffset val="100"/>
        <c:noMultiLvlLbl val="0"/>
      </c:catAx>
      <c:valAx>
        <c:axId val="93170304"/>
        <c:scaling>
          <c:orientation val="minMax"/>
          <c:max val="20000000"/>
        </c:scaling>
        <c:delete val="0"/>
        <c:axPos val="l"/>
        <c:majorGridlines/>
        <c:numFmt formatCode="#,##0;&quot;▲ &quot;#,##0" sourceLinked="0"/>
        <c:majorTickMark val="out"/>
        <c:minorTickMark val="none"/>
        <c:tickLblPos val="nextTo"/>
        <c:crossAx val="93168768"/>
        <c:crosses val="autoZero"/>
        <c:crossBetween val="between"/>
        <c:dispUnits>
          <c:builtInUnit val="thousands"/>
          <c:dispUnitsLbl/>
        </c:dispUnits>
      </c:valAx>
      <c:dTable>
        <c:showHorzBorder val="1"/>
        <c:showVertBorder val="1"/>
        <c:showOutline val="1"/>
        <c:showKeys val="0"/>
      </c:dTable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en-US" altLang="ja-JP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2015</a:t>
            </a:r>
            <a:r>
              <a:rPr lang="ja-JP" altLang="en-US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実績（累計）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障がい訪問!$E$11</c:f>
              <c:strCache>
                <c:ptCount val="1"/>
                <c:pt idx="0">
                  <c:v>収益</c:v>
                </c:pt>
              </c:strCache>
            </c:strRef>
          </c:tx>
          <c:invertIfNegative val="0"/>
          <c:cat>
            <c:strRef>
              <c:f>障がい訪問!$I$10:$T$10</c:f>
              <c:strCache>
                <c:ptCount val="12"/>
                <c:pt idx="0">
                  <c:v>１２月</c:v>
                </c:pt>
                <c:pt idx="1">
                  <c:v>１月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</c:strCache>
            </c:strRef>
          </c:cat>
          <c:val>
            <c:numRef>
              <c:f>障がい訪問!$I$11:$T$11</c:f>
              <c:numCache>
                <c:formatCode>#,##0,</c:formatCode>
                <c:ptCount val="12"/>
                <c:pt idx="0">
                  <c:v>12100000</c:v>
                </c:pt>
                <c:pt idx="1">
                  <c:v>13202000</c:v>
                </c:pt>
                <c:pt idx="2">
                  <c:v>14464000</c:v>
                </c:pt>
                <c:pt idx="3">
                  <c:v>15799000</c:v>
                </c:pt>
                <c:pt idx="4">
                  <c:v>1610000</c:v>
                </c:pt>
                <c:pt idx="5">
                  <c:v>3024000</c:v>
                </c:pt>
                <c:pt idx="6">
                  <c:v>4506000</c:v>
                </c:pt>
                <c:pt idx="7">
                  <c:v>5982000</c:v>
                </c:pt>
                <c:pt idx="8">
                  <c:v>7572000</c:v>
                </c:pt>
                <c:pt idx="9">
                  <c:v>9476000</c:v>
                </c:pt>
                <c:pt idx="10">
                  <c:v>11088000</c:v>
                </c:pt>
                <c:pt idx="11">
                  <c:v>12699000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BC0-4A76-B680-4CB5342A1629}"/>
            </c:ext>
          </c:extLst>
        </c:ser>
        <c:ser>
          <c:idx val="1"/>
          <c:order val="1"/>
          <c:tx>
            <c:strRef>
              <c:f>障がい訪問!$E$12</c:f>
              <c:strCache>
                <c:ptCount val="1"/>
                <c:pt idx="0">
                  <c:v>費用</c:v>
                </c:pt>
              </c:strCache>
            </c:strRef>
          </c:tx>
          <c:invertIfNegative val="0"/>
          <c:cat>
            <c:strRef>
              <c:f>障がい訪問!$I$10:$T$10</c:f>
              <c:strCache>
                <c:ptCount val="12"/>
                <c:pt idx="0">
                  <c:v>１２月</c:v>
                </c:pt>
                <c:pt idx="1">
                  <c:v>１月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</c:strCache>
            </c:strRef>
          </c:cat>
          <c:val>
            <c:numRef>
              <c:f>障がい訪問!$I$12:$T$12</c:f>
              <c:numCache>
                <c:formatCode>#,##0,</c:formatCode>
                <c:ptCount val="12"/>
                <c:pt idx="0">
                  <c:v>11218000</c:v>
                </c:pt>
                <c:pt idx="1">
                  <c:v>12340000</c:v>
                </c:pt>
                <c:pt idx="2">
                  <c:v>13584000</c:v>
                </c:pt>
                <c:pt idx="3">
                  <c:v>14888000</c:v>
                </c:pt>
                <c:pt idx="4">
                  <c:v>1321000</c:v>
                </c:pt>
                <c:pt idx="5">
                  <c:v>2703000</c:v>
                </c:pt>
                <c:pt idx="6">
                  <c:v>4110000</c:v>
                </c:pt>
                <c:pt idx="7">
                  <c:v>5567000</c:v>
                </c:pt>
                <c:pt idx="8">
                  <c:v>7067000</c:v>
                </c:pt>
                <c:pt idx="9">
                  <c:v>8406000</c:v>
                </c:pt>
                <c:pt idx="10">
                  <c:v>9838000</c:v>
                </c:pt>
                <c:pt idx="11">
                  <c:v>11088000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BC0-4A76-B680-4CB5342A1629}"/>
            </c:ext>
          </c:extLst>
        </c:ser>
        <c:ser>
          <c:idx val="2"/>
          <c:order val="2"/>
          <c:tx>
            <c:strRef>
              <c:f>障がい訪問!$E$13</c:f>
              <c:strCache>
                <c:ptCount val="1"/>
                <c:pt idx="0">
                  <c:v>収益増減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障がい訪問!$I$10:$T$10</c:f>
              <c:strCache>
                <c:ptCount val="12"/>
                <c:pt idx="0">
                  <c:v>１２月</c:v>
                </c:pt>
                <c:pt idx="1">
                  <c:v>１月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</c:strCache>
            </c:strRef>
          </c:cat>
          <c:val>
            <c:numRef>
              <c:f>障がい訪問!$I$13:$T$13</c:f>
              <c:numCache>
                <c:formatCode>#,##0,</c:formatCode>
                <c:ptCount val="12"/>
                <c:pt idx="0">
                  <c:v>882000</c:v>
                </c:pt>
                <c:pt idx="1">
                  <c:v>862000</c:v>
                </c:pt>
                <c:pt idx="2">
                  <c:v>880000</c:v>
                </c:pt>
                <c:pt idx="3">
                  <c:v>911000</c:v>
                </c:pt>
                <c:pt idx="4">
                  <c:v>289000</c:v>
                </c:pt>
                <c:pt idx="5">
                  <c:v>321000</c:v>
                </c:pt>
                <c:pt idx="6">
                  <c:v>396000</c:v>
                </c:pt>
                <c:pt idx="7">
                  <c:v>415000</c:v>
                </c:pt>
                <c:pt idx="8">
                  <c:v>505000</c:v>
                </c:pt>
                <c:pt idx="9">
                  <c:v>1070000</c:v>
                </c:pt>
                <c:pt idx="10">
                  <c:v>1250000</c:v>
                </c:pt>
                <c:pt idx="11">
                  <c:v>1611000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BC0-4A76-B680-4CB5342A16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38784"/>
        <c:axId val="93240320"/>
      </c:barChart>
      <c:lineChart>
        <c:grouping val="standard"/>
        <c:varyColors val="0"/>
        <c:ser>
          <c:idx val="3"/>
          <c:order val="3"/>
          <c:tx>
            <c:strRef>
              <c:f>障がい訪問!$E$14</c:f>
              <c:strCache>
                <c:ptCount val="1"/>
                <c:pt idx="0">
                  <c:v>予算収益ライン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障がい訪問!$I$10:$T$10</c:f>
              <c:strCache>
                <c:ptCount val="12"/>
                <c:pt idx="0">
                  <c:v>１２月</c:v>
                </c:pt>
                <c:pt idx="1">
                  <c:v>１月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</c:strCache>
            </c:strRef>
          </c:cat>
          <c:val>
            <c:numRef>
              <c:f>障がい訪問!$I$14:$T$14</c:f>
              <c:numCache>
                <c:formatCode>#,##0_);[Red]\(#,##0\)</c:formatCode>
                <c:ptCount val="12"/>
                <c:pt idx="4" formatCode="#,##0,">
                  <c:v>0</c:v>
                </c:pt>
                <c:pt idx="5" formatCode="#,##0,">
                  <c:v>0</c:v>
                </c:pt>
                <c:pt idx="6" formatCode="#,##0,">
                  <c:v>0</c:v>
                </c:pt>
                <c:pt idx="7" formatCode="#,##0,">
                  <c:v>0</c:v>
                </c:pt>
                <c:pt idx="8" formatCode="#,##0,">
                  <c:v>0</c:v>
                </c:pt>
                <c:pt idx="9" formatCode="#,##0,">
                  <c:v>0</c:v>
                </c:pt>
                <c:pt idx="10" formatCode="#,##0,">
                  <c:v>0</c:v>
                </c:pt>
                <c:pt idx="11" formatCode="#,##0,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BC0-4A76-B680-4CB5342A1629}"/>
            </c:ext>
          </c:extLst>
        </c:ser>
        <c:ser>
          <c:idx val="4"/>
          <c:order val="4"/>
          <c:tx>
            <c:strRef>
              <c:f>障がい訪問!$E$15</c:f>
              <c:strCache>
                <c:ptCount val="1"/>
                <c:pt idx="0">
                  <c:v>予算費用ライン</c:v>
                </c:pt>
              </c:strCache>
            </c:strRef>
          </c:tx>
          <c:spPr>
            <a:ln>
              <a:solidFill>
                <a:schemeClr val="accent2"/>
              </a:solidFill>
              <a:prstDash val="sysDot"/>
            </a:ln>
          </c:spPr>
          <c:marker>
            <c:symbol val="none"/>
          </c:marker>
          <c:cat>
            <c:strRef>
              <c:f>障がい訪問!$I$10:$T$10</c:f>
              <c:strCache>
                <c:ptCount val="12"/>
                <c:pt idx="0">
                  <c:v>１２月</c:v>
                </c:pt>
                <c:pt idx="1">
                  <c:v>１月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</c:strCache>
            </c:strRef>
          </c:cat>
          <c:val>
            <c:numRef>
              <c:f>障がい訪問!$I$15:$T$15</c:f>
              <c:numCache>
                <c:formatCode>#,##0_);[Red]\(#,##0\)</c:formatCode>
                <c:ptCount val="12"/>
                <c:pt idx="4" formatCode="#,##0,">
                  <c:v>0</c:v>
                </c:pt>
                <c:pt idx="5" formatCode="#,##0,">
                  <c:v>0</c:v>
                </c:pt>
                <c:pt idx="6" formatCode="#,##0,">
                  <c:v>0</c:v>
                </c:pt>
                <c:pt idx="7" formatCode="#,##0,">
                  <c:v>0</c:v>
                </c:pt>
                <c:pt idx="8" formatCode="#,##0,">
                  <c:v>0</c:v>
                </c:pt>
                <c:pt idx="9" formatCode="#,##0,">
                  <c:v>0</c:v>
                </c:pt>
                <c:pt idx="10" formatCode="#,##0,">
                  <c:v>0</c:v>
                </c:pt>
                <c:pt idx="11" formatCode="#,##0,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9BC0-4A76-B680-4CB5342A1629}"/>
            </c:ext>
          </c:extLst>
        </c:ser>
        <c:ser>
          <c:idx val="5"/>
          <c:order val="5"/>
          <c:tx>
            <c:strRef>
              <c:f>障がい訪問!$E$16</c:f>
              <c:strCache>
                <c:ptCount val="1"/>
                <c:pt idx="0">
                  <c:v>予算増減ライン</c:v>
                </c:pt>
              </c:strCache>
            </c:strRef>
          </c:tx>
          <c:spPr>
            <a:ln>
              <a:solidFill>
                <a:srgbClr val="FFC000"/>
              </a:solidFill>
              <a:prstDash val="dashDot"/>
            </a:ln>
          </c:spPr>
          <c:marker>
            <c:symbol val="none"/>
          </c:marker>
          <c:cat>
            <c:strRef>
              <c:f>障がい訪問!$I$10:$T$10</c:f>
              <c:strCache>
                <c:ptCount val="12"/>
                <c:pt idx="0">
                  <c:v>１２月</c:v>
                </c:pt>
                <c:pt idx="1">
                  <c:v>１月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</c:strCache>
            </c:strRef>
          </c:cat>
          <c:val>
            <c:numRef>
              <c:f>障がい訪問!$I$16:$T$16</c:f>
              <c:numCache>
                <c:formatCode>#,##0_);[Red]\(#,##0\)</c:formatCode>
                <c:ptCount val="12"/>
                <c:pt idx="4" formatCode="#,##0,">
                  <c:v>0</c:v>
                </c:pt>
                <c:pt idx="5" formatCode="#,##0,">
                  <c:v>0</c:v>
                </c:pt>
                <c:pt idx="6" formatCode="#,##0,">
                  <c:v>0</c:v>
                </c:pt>
                <c:pt idx="7" formatCode="#,##0,">
                  <c:v>0</c:v>
                </c:pt>
                <c:pt idx="8" formatCode="#,##0,">
                  <c:v>0</c:v>
                </c:pt>
                <c:pt idx="9" formatCode="#,##0,">
                  <c:v>0</c:v>
                </c:pt>
                <c:pt idx="10" formatCode="#,##0,">
                  <c:v>0</c:v>
                </c:pt>
                <c:pt idx="11" formatCode="#,##0,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9BC0-4A76-B680-4CB5342A16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38784"/>
        <c:axId val="93240320"/>
      </c:lineChart>
      <c:catAx>
        <c:axId val="93238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3240320"/>
        <c:crosses val="autoZero"/>
        <c:auto val="1"/>
        <c:lblAlgn val="ctr"/>
        <c:lblOffset val="100"/>
        <c:noMultiLvlLbl val="0"/>
      </c:catAx>
      <c:valAx>
        <c:axId val="93240320"/>
        <c:scaling>
          <c:orientation val="minMax"/>
          <c:max val="18000000"/>
        </c:scaling>
        <c:delete val="0"/>
        <c:axPos val="l"/>
        <c:majorGridlines/>
        <c:numFmt formatCode="#,##0;&quot;▲ &quot;#,##0" sourceLinked="0"/>
        <c:majorTickMark val="out"/>
        <c:minorTickMark val="none"/>
        <c:tickLblPos val="nextTo"/>
        <c:crossAx val="93238784"/>
        <c:crosses val="autoZero"/>
        <c:crossBetween val="between"/>
        <c:dispUnits>
          <c:builtInUnit val="thousands"/>
          <c:dispUnitsLbl/>
        </c:dispUnits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en-US" altLang="ja-JP"/>
              <a:t>2015</a:t>
            </a:r>
            <a:r>
              <a:rPr lang="ja-JP" altLang="en-US"/>
              <a:t>予算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障がい訪問!$C$2</c:f>
              <c:strCache>
                <c:ptCount val="1"/>
                <c:pt idx="0">
                  <c:v>2014決算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5BE-4296-9714-2C190D1EC04D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5BE-4296-9714-2C190D1EC04D}"/>
              </c:ext>
            </c:extLst>
          </c:dPt>
          <c:cat>
            <c:strRef>
              <c:f>障がい訪問!$B$11:$B$13</c:f>
              <c:strCache>
                <c:ptCount val="3"/>
                <c:pt idx="0">
                  <c:v>収益</c:v>
                </c:pt>
                <c:pt idx="1">
                  <c:v>費用</c:v>
                </c:pt>
                <c:pt idx="2">
                  <c:v>収益増減</c:v>
                </c:pt>
              </c:strCache>
            </c:strRef>
          </c:cat>
          <c:val>
            <c:numRef>
              <c:f>障がい訪問!$C$11:$C$13</c:f>
              <c:numCache>
                <c:formatCode>#,##0_);[Red]\(#,##0\)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5BE-4296-9714-2C190D1EC0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607424"/>
        <c:axId val="93608960"/>
      </c:barChart>
      <c:catAx>
        <c:axId val="936074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3608960"/>
        <c:crosses val="autoZero"/>
        <c:auto val="1"/>
        <c:lblAlgn val="ctr"/>
        <c:lblOffset val="100"/>
        <c:noMultiLvlLbl val="0"/>
      </c:catAx>
      <c:valAx>
        <c:axId val="93608960"/>
        <c:scaling>
          <c:orientation val="minMax"/>
        </c:scaling>
        <c:delete val="0"/>
        <c:axPos val="l"/>
        <c:majorGridlines/>
        <c:numFmt formatCode="#,##0;&quot;▲ &quot;#,##0" sourceLinked="0"/>
        <c:majorTickMark val="out"/>
        <c:minorTickMark val="none"/>
        <c:tickLblPos val="nextTo"/>
        <c:crossAx val="93607424"/>
        <c:crosses val="autoZero"/>
        <c:crossBetween val="between"/>
        <c:dispUnits>
          <c:builtInUnit val="thousands"/>
          <c:dispUnitsLbl/>
        </c:dispUnits>
      </c:valAx>
      <c:dTable>
        <c:showHorzBorder val="1"/>
        <c:showVertBorder val="1"/>
        <c:showOutline val="1"/>
        <c:showKeys val="0"/>
      </c:dTable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en-US" altLang="ja-JP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2015</a:t>
            </a:r>
            <a:r>
              <a:rPr lang="ja-JP" altLang="en-US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実績（単月収支）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障がい訪問!$E$3</c:f>
              <c:strCache>
                <c:ptCount val="1"/>
                <c:pt idx="0">
                  <c:v>収益</c:v>
                </c:pt>
              </c:strCache>
            </c:strRef>
          </c:tx>
          <c:invertIfNegative val="0"/>
          <c:cat>
            <c:strRef>
              <c:f>障がい訪問!$I$2:$T$2</c:f>
              <c:strCache>
                <c:ptCount val="12"/>
                <c:pt idx="0">
                  <c:v>１２月</c:v>
                </c:pt>
                <c:pt idx="1">
                  <c:v>１月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</c:strCache>
            </c:strRef>
          </c:cat>
          <c:val>
            <c:numRef>
              <c:f>障がい訪問!$I$3:$T$3</c:f>
              <c:numCache>
                <c:formatCode>#,##0_);[Red]\(#,##0\)</c:formatCode>
                <c:ptCount val="12"/>
                <c:pt idx="0">
                  <c:v>1368000</c:v>
                </c:pt>
                <c:pt idx="1">
                  <c:v>1102000</c:v>
                </c:pt>
                <c:pt idx="2">
                  <c:v>1262000</c:v>
                </c:pt>
                <c:pt idx="3">
                  <c:v>1335000</c:v>
                </c:pt>
                <c:pt idx="4">
                  <c:v>1610000</c:v>
                </c:pt>
                <c:pt idx="5">
                  <c:v>1414000</c:v>
                </c:pt>
                <c:pt idx="6">
                  <c:v>1482000</c:v>
                </c:pt>
                <c:pt idx="7">
                  <c:v>1476000</c:v>
                </c:pt>
                <c:pt idx="8">
                  <c:v>1590000</c:v>
                </c:pt>
                <c:pt idx="9">
                  <c:v>1904000</c:v>
                </c:pt>
                <c:pt idx="10">
                  <c:v>1612000</c:v>
                </c:pt>
                <c:pt idx="11">
                  <c:v>1611000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49-437D-91BC-60A8AE08F6CB}"/>
            </c:ext>
          </c:extLst>
        </c:ser>
        <c:ser>
          <c:idx val="1"/>
          <c:order val="1"/>
          <c:tx>
            <c:strRef>
              <c:f>障がい訪問!$E$4</c:f>
              <c:strCache>
                <c:ptCount val="1"/>
                <c:pt idx="0">
                  <c:v>費用</c:v>
                </c:pt>
              </c:strCache>
            </c:strRef>
          </c:tx>
          <c:invertIfNegative val="0"/>
          <c:cat>
            <c:strRef>
              <c:f>障がい訪問!$I$2:$T$2</c:f>
              <c:strCache>
                <c:ptCount val="12"/>
                <c:pt idx="0">
                  <c:v>１２月</c:v>
                </c:pt>
                <c:pt idx="1">
                  <c:v>１月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</c:strCache>
            </c:strRef>
          </c:cat>
          <c:val>
            <c:numRef>
              <c:f>障がい訪問!$I$4:$T$4</c:f>
              <c:numCache>
                <c:formatCode>#,##0_);[Red]\(#,##0\)</c:formatCode>
                <c:ptCount val="12"/>
                <c:pt idx="0">
                  <c:v>1437000</c:v>
                </c:pt>
                <c:pt idx="1">
                  <c:v>1122000</c:v>
                </c:pt>
                <c:pt idx="2">
                  <c:v>1244000</c:v>
                </c:pt>
                <c:pt idx="3">
                  <c:v>1304000</c:v>
                </c:pt>
                <c:pt idx="4">
                  <c:v>1321000</c:v>
                </c:pt>
                <c:pt idx="5">
                  <c:v>1382000</c:v>
                </c:pt>
                <c:pt idx="6">
                  <c:v>1407000</c:v>
                </c:pt>
                <c:pt idx="7">
                  <c:v>1457000</c:v>
                </c:pt>
                <c:pt idx="8">
                  <c:v>1500000</c:v>
                </c:pt>
                <c:pt idx="9">
                  <c:v>1339000</c:v>
                </c:pt>
                <c:pt idx="10">
                  <c:v>1432000</c:v>
                </c:pt>
                <c:pt idx="11">
                  <c:v>1250000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E49-437D-91BC-60A8AE08F6CB}"/>
            </c:ext>
          </c:extLst>
        </c:ser>
        <c:ser>
          <c:idx val="2"/>
          <c:order val="2"/>
          <c:tx>
            <c:strRef>
              <c:f>障がい訪問!$E$5</c:f>
              <c:strCache>
                <c:ptCount val="1"/>
                <c:pt idx="0">
                  <c:v>収益増減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障がい訪問!$I$2:$T$2</c:f>
              <c:strCache>
                <c:ptCount val="12"/>
                <c:pt idx="0">
                  <c:v>１２月</c:v>
                </c:pt>
                <c:pt idx="1">
                  <c:v>１月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</c:strCache>
            </c:strRef>
          </c:cat>
          <c:val>
            <c:numRef>
              <c:f>障がい訪問!$I$5:$T$5</c:f>
              <c:numCache>
                <c:formatCode>#,##0_);[Red]\(#,##0\)</c:formatCode>
                <c:ptCount val="12"/>
                <c:pt idx="0">
                  <c:v>-69000</c:v>
                </c:pt>
                <c:pt idx="1">
                  <c:v>-20000</c:v>
                </c:pt>
                <c:pt idx="2">
                  <c:v>18000</c:v>
                </c:pt>
                <c:pt idx="3">
                  <c:v>31000</c:v>
                </c:pt>
                <c:pt idx="4">
                  <c:v>289000</c:v>
                </c:pt>
                <c:pt idx="5">
                  <c:v>32000</c:v>
                </c:pt>
                <c:pt idx="6">
                  <c:v>75000</c:v>
                </c:pt>
                <c:pt idx="7">
                  <c:v>19000</c:v>
                </c:pt>
                <c:pt idx="8">
                  <c:v>90000</c:v>
                </c:pt>
                <c:pt idx="9">
                  <c:v>565000</c:v>
                </c:pt>
                <c:pt idx="10">
                  <c:v>180000</c:v>
                </c:pt>
                <c:pt idx="11">
                  <c:v>361000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E49-437D-91BC-60A8AE08F6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679616"/>
        <c:axId val="93681152"/>
      </c:barChart>
      <c:lineChart>
        <c:grouping val="standard"/>
        <c:varyColors val="0"/>
        <c:ser>
          <c:idx val="3"/>
          <c:order val="3"/>
          <c:tx>
            <c:strRef>
              <c:f>障がい訪問!$E$6</c:f>
              <c:strCache>
                <c:ptCount val="1"/>
                <c:pt idx="0">
                  <c:v>予算収益ライン</c:v>
                </c:pt>
              </c:strCache>
            </c:strRef>
          </c:tx>
          <c:spPr>
            <a:ln>
              <a:solidFill>
                <a:srgbClr val="0070C0"/>
              </a:solidFill>
              <a:prstDash val="sysDash"/>
            </a:ln>
          </c:spPr>
          <c:marker>
            <c:symbol val="none"/>
          </c:marker>
          <c:cat>
            <c:strRef>
              <c:f>障がい訪問!$G$2:$R$2</c:f>
              <c:strCache>
                <c:ptCount val="12"/>
                <c:pt idx="0">
                  <c:v>１０月</c:v>
                </c:pt>
                <c:pt idx="1">
                  <c:v>１１月</c:v>
                </c:pt>
                <c:pt idx="2">
                  <c:v>１２月</c:v>
                </c:pt>
                <c:pt idx="3">
                  <c:v>１月</c:v>
                </c:pt>
                <c:pt idx="4">
                  <c:v>２月</c:v>
                </c:pt>
                <c:pt idx="5">
                  <c:v>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</c:strCache>
            </c:strRef>
          </c:cat>
          <c:val>
            <c:numRef>
              <c:f>障がい訪問!$G$6:$R$6</c:f>
              <c:numCache>
                <c:formatCode>#,##0_);[Red]\(#,##0\)</c:formatCode>
                <c:ptCount val="12"/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E49-437D-91BC-60A8AE08F6CB}"/>
            </c:ext>
          </c:extLst>
        </c:ser>
        <c:ser>
          <c:idx val="4"/>
          <c:order val="4"/>
          <c:tx>
            <c:strRef>
              <c:f>障がい訪問!$E$7</c:f>
              <c:strCache>
                <c:ptCount val="1"/>
                <c:pt idx="0">
                  <c:v>予算費用ライン</c:v>
                </c:pt>
              </c:strCache>
            </c:strRef>
          </c:tx>
          <c:spPr>
            <a:ln>
              <a:solidFill>
                <a:srgbClr val="C00000"/>
              </a:solidFill>
              <a:prstDash val="sysDot"/>
            </a:ln>
          </c:spPr>
          <c:marker>
            <c:symbol val="none"/>
          </c:marker>
          <c:cat>
            <c:strRef>
              <c:f>障がい訪問!$G$2:$R$2</c:f>
              <c:strCache>
                <c:ptCount val="12"/>
                <c:pt idx="0">
                  <c:v>１０月</c:v>
                </c:pt>
                <c:pt idx="1">
                  <c:v>１１月</c:v>
                </c:pt>
                <c:pt idx="2">
                  <c:v>１２月</c:v>
                </c:pt>
                <c:pt idx="3">
                  <c:v>１月</c:v>
                </c:pt>
                <c:pt idx="4">
                  <c:v>２月</c:v>
                </c:pt>
                <c:pt idx="5">
                  <c:v>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</c:strCache>
            </c:strRef>
          </c:cat>
          <c:val>
            <c:numRef>
              <c:f>障がい訪問!$G$7:$R$7</c:f>
              <c:numCache>
                <c:formatCode>#,##0_);[Red]\(#,##0\)</c:formatCode>
                <c:ptCount val="12"/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CE49-437D-91BC-60A8AE08F6CB}"/>
            </c:ext>
          </c:extLst>
        </c:ser>
        <c:ser>
          <c:idx val="5"/>
          <c:order val="5"/>
          <c:tx>
            <c:strRef>
              <c:f>障がい訪問!$E$8</c:f>
              <c:strCache>
                <c:ptCount val="1"/>
                <c:pt idx="0">
                  <c:v>予算増減ライン</c:v>
                </c:pt>
              </c:strCache>
            </c:strRef>
          </c:tx>
          <c:spPr>
            <a:ln>
              <a:prstDash val="dashDot"/>
            </a:ln>
          </c:spPr>
          <c:marker>
            <c:symbol val="none"/>
          </c:marker>
          <c:cat>
            <c:strRef>
              <c:f>障がい訪問!$G$2:$R$2</c:f>
              <c:strCache>
                <c:ptCount val="12"/>
                <c:pt idx="0">
                  <c:v>１０月</c:v>
                </c:pt>
                <c:pt idx="1">
                  <c:v>１１月</c:v>
                </c:pt>
                <c:pt idx="2">
                  <c:v>１２月</c:v>
                </c:pt>
                <c:pt idx="3">
                  <c:v>１月</c:v>
                </c:pt>
                <c:pt idx="4">
                  <c:v>２月</c:v>
                </c:pt>
                <c:pt idx="5">
                  <c:v>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</c:strCache>
            </c:strRef>
          </c:cat>
          <c:val>
            <c:numRef>
              <c:f>障がい訪問!$G$8:$R$8</c:f>
              <c:numCache>
                <c:formatCode>#,##0_);[Red]\(#,##0\)</c:formatCode>
                <c:ptCount val="12"/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CE49-437D-91BC-60A8AE08F6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679616"/>
        <c:axId val="93681152"/>
      </c:lineChart>
      <c:catAx>
        <c:axId val="93679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3681152"/>
        <c:crosses val="autoZero"/>
        <c:auto val="1"/>
        <c:lblAlgn val="ctr"/>
        <c:lblOffset val="100"/>
        <c:noMultiLvlLbl val="0"/>
      </c:catAx>
      <c:valAx>
        <c:axId val="93681152"/>
        <c:scaling>
          <c:orientation val="minMax"/>
          <c:max val="1800000"/>
        </c:scaling>
        <c:delete val="0"/>
        <c:axPos val="l"/>
        <c:majorGridlines/>
        <c:numFmt formatCode="#,##0;&quot;▲ &quot;#,##0" sourceLinked="0"/>
        <c:majorTickMark val="out"/>
        <c:minorTickMark val="none"/>
        <c:tickLblPos val="nextTo"/>
        <c:crossAx val="93679616"/>
        <c:crosses val="autoZero"/>
        <c:crossBetween val="between"/>
        <c:dispUnits>
          <c:builtInUnit val="thousands"/>
          <c:dispUnitsLbl/>
        </c:dispUnits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障がい就労!$C$2</c:f>
              <c:strCache>
                <c:ptCount val="1"/>
                <c:pt idx="0">
                  <c:v>2014決算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A8F-4CDF-9243-CF94609768FC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A8F-4CDF-9243-CF94609768FC}"/>
              </c:ext>
            </c:extLst>
          </c:dPt>
          <c:cat>
            <c:strRef>
              <c:f>障がい就労!$B$3:$B$5</c:f>
              <c:strCache>
                <c:ptCount val="3"/>
                <c:pt idx="0">
                  <c:v>収益</c:v>
                </c:pt>
                <c:pt idx="1">
                  <c:v>費用</c:v>
                </c:pt>
                <c:pt idx="2">
                  <c:v>収益増減</c:v>
                </c:pt>
              </c:strCache>
            </c:strRef>
          </c:cat>
          <c:val>
            <c:numRef>
              <c:f>障がい就労!$C$3:$C$5</c:f>
              <c:numCache>
                <c:formatCode>#,##0_);[Red]\(#,##0\)</c:formatCode>
                <c:ptCount val="3"/>
                <c:pt idx="0">
                  <c:v>45119000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A8F-4CDF-9243-CF94609768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640320"/>
        <c:axId val="87658496"/>
      </c:barChart>
      <c:catAx>
        <c:axId val="876403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7658496"/>
        <c:crosses val="autoZero"/>
        <c:auto val="1"/>
        <c:lblAlgn val="ctr"/>
        <c:lblOffset val="100"/>
        <c:noMultiLvlLbl val="0"/>
      </c:catAx>
      <c:valAx>
        <c:axId val="87658496"/>
        <c:scaling>
          <c:orientation val="minMax"/>
          <c:max val="25000000"/>
        </c:scaling>
        <c:delete val="0"/>
        <c:axPos val="l"/>
        <c:majorGridlines/>
        <c:numFmt formatCode="#,##0;&quot;▲ &quot;#,##0" sourceLinked="0"/>
        <c:majorTickMark val="out"/>
        <c:minorTickMark val="none"/>
        <c:tickLblPos val="nextTo"/>
        <c:crossAx val="87640320"/>
        <c:crosses val="autoZero"/>
        <c:crossBetween val="between"/>
        <c:dispUnits>
          <c:builtInUnit val="thousands"/>
          <c:dispUnitsLbl/>
        </c:dispUnits>
      </c:valAx>
      <c:dTable>
        <c:showHorzBorder val="1"/>
        <c:showVertBorder val="1"/>
        <c:showOutline val="1"/>
        <c:showKeys val="0"/>
      </c:dTable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5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pageSetup paperSize="9" orientation="landscape" horizontalDpi="4294967293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16</xdr:row>
      <xdr:rowOff>152399</xdr:rowOff>
    </xdr:from>
    <xdr:to>
      <xdr:col>6</xdr:col>
      <xdr:colOff>392206</xdr:colOff>
      <xdr:row>33</xdr:row>
      <xdr:rowOff>38100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67235</xdr:colOff>
      <xdr:row>56</xdr:row>
      <xdr:rowOff>15687</xdr:rowOff>
    </xdr:from>
    <xdr:to>
      <xdr:col>18</xdr:col>
      <xdr:colOff>638175</xdr:colOff>
      <xdr:row>76</xdr:row>
      <xdr:rowOff>56030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694767</xdr:colOff>
      <xdr:row>16</xdr:row>
      <xdr:rowOff>156884</xdr:rowOff>
    </xdr:from>
    <xdr:to>
      <xdr:col>12</xdr:col>
      <xdr:colOff>257737</xdr:colOff>
      <xdr:row>33</xdr:row>
      <xdr:rowOff>45946</xdr:rowOff>
    </xdr:to>
    <xdr:graphicFrame macro="">
      <xdr:nvGraphicFramePr>
        <xdr:cNvPr id="4" name="グラフ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78441</xdr:colOff>
      <xdr:row>34</xdr:row>
      <xdr:rowOff>166407</xdr:rowOff>
    </xdr:from>
    <xdr:to>
      <xdr:col>18</xdr:col>
      <xdr:colOff>676276</xdr:colOff>
      <xdr:row>55</xdr:row>
      <xdr:rowOff>44824</xdr:rowOff>
    </xdr:to>
    <xdr:graphicFrame macro="">
      <xdr:nvGraphicFramePr>
        <xdr:cNvPr id="5" name="グラフ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</xdr:colOff>
      <xdr:row>33</xdr:row>
      <xdr:rowOff>42862</xdr:rowOff>
    </xdr:from>
    <xdr:to>
      <xdr:col>7</xdr:col>
      <xdr:colOff>195262</xdr:colOff>
      <xdr:row>49</xdr:row>
      <xdr:rowOff>42862</xdr:rowOff>
    </xdr:to>
    <xdr:graphicFrame macro="">
      <xdr:nvGraphicFramePr>
        <xdr:cNvPr id="4" name="グラフ 3">
          <a:extLst>
            <a:ext uri="{FF2B5EF4-FFF2-40B4-BE49-F238E27FC236}">
              <a16:creationId xmlns="" xmlns:a16="http://schemas.microsoft.com/office/drawing/2014/main" id="{00000000-0008-0000-1A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16</xdr:row>
      <xdr:rowOff>152399</xdr:rowOff>
    </xdr:from>
    <xdr:to>
      <xdr:col>6</xdr:col>
      <xdr:colOff>392206</xdr:colOff>
      <xdr:row>33</xdr:row>
      <xdr:rowOff>38100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67235</xdr:colOff>
      <xdr:row>56</xdr:row>
      <xdr:rowOff>15687</xdr:rowOff>
    </xdr:from>
    <xdr:to>
      <xdr:col>18</xdr:col>
      <xdr:colOff>638175</xdr:colOff>
      <xdr:row>76</xdr:row>
      <xdr:rowOff>56030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694767</xdr:colOff>
      <xdr:row>16</xdr:row>
      <xdr:rowOff>156884</xdr:rowOff>
    </xdr:from>
    <xdr:to>
      <xdr:col>12</xdr:col>
      <xdr:colOff>257737</xdr:colOff>
      <xdr:row>33</xdr:row>
      <xdr:rowOff>45946</xdr:rowOff>
    </xdr:to>
    <xdr:graphicFrame macro="">
      <xdr:nvGraphicFramePr>
        <xdr:cNvPr id="4" name="グラフ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78441</xdr:colOff>
      <xdr:row>34</xdr:row>
      <xdr:rowOff>166407</xdr:rowOff>
    </xdr:from>
    <xdr:to>
      <xdr:col>18</xdr:col>
      <xdr:colOff>676276</xdr:colOff>
      <xdr:row>55</xdr:row>
      <xdr:rowOff>44824</xdr:rowOff>
    </xdr:to>
    <xdr:graphicFrame macro="">
      <xdr:nvGraphicFramePr>
        <xdr:cNvPr id="5" name="グラフ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16</xdr:row>
      <xdr:rowOff>152399</xdr:rowOff>
    </xdr:from>
    <xdr:to>
      <xdr:col>6</xdr:col>
      <xdr:colOff>392206</xdr:colOff>
      <xdr:row>33</xdr:row>
      <xdr:rowOff>38100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67235</xdr:colOff>
      <xdr:row>56</xdr:row>
      <xdr:rowOff>15687</xdr:rowOff>
    </xdr:from>
    <xdr:to>
      <xdr:col>18</xdr:col>
      <xdr:colOff>638175</xdr:colOff>
      <xdr:row>76</xdr:row>
      <xdr:rowOff>56030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694767</xdr:colOff>
      <xdr:row>16</xdr:row>
      <xdr:rowOff>156884</xdr:rowOff>
    </xdr:from>
    <xdr:to>
      <xdr:col>12</xdr:col>
      <xdr:colOff>257737</xdr:colOff>
      <xdr:row>33</xdr:row>
      <xdr:rowOff>45946</xdr:rowOff>
    </xdr:to>
    <xdr:graphicFrame macro="">
      <xdr:nvGraphicFramePr>
        <xdr:cNvPr id="4" name="グラフ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78441</xdr:colOff>
      <xdr:row>34</xdr:row>
      <xdr:rowOff>166407</xdr:rowOff>
    </xdr:from>
    <xdr:to>
      <xdr:col>18</xdr:col>
      <xdr:colOff>676276</xdr:colOff>
      <xdr:row>55</xdr:row>
      <xdr:rowOff>44824</xdr:rowOff>
    </xdr:to>
    <xdr:graphicFrame macro="">
      <xdr:nvGraphicFramePr>
        <xdr:cNvPr id="5" name="グラフ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16</xdr:row>
      <xdr:rowOff>152399</xdr:rowOff>
    </xdr:from>
    <xdr:to>
      <xdr:col>5</xdr:col>
      <xdr:colOff>392206</xdr:colOff>
      <xdr:row>33</xdr:row>
      <xdr:rowOff>38100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67235</xdr:colOff>
      <xdr:row>56</xdr:row>
      <xdr:rowOff>15687</xdr:rowOff>
    </xdr:from>
    <xdr:to>
      <xdr:col>17</xdr:col>
      <xdr:colOff>638175</xdr:colOff>
      <xdr:row>76</xdr:row>
      <xdr:rowOff>56030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694767</xdr:colOff>
      <xdr:row>16</xdr:row>
      <xdr:rowOff>156884</xdr:rowOff>
    </xdr:from>
    <xdr:to>
      <xdr:col>11</xdr:col>
      <xdr:colOff>257737</xdr:colOff>
      <xdr:row>33</xdr:row>
      <xdr:rowOff>45946</xdr:rowOff>
    </xdr:to>
    <xdr:graphicFrame macro="">
      <xdr:nvGraphicFramePr>
        <xdr:cNvPr id="4" name="グラフ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78441</xdr:colOff>
      <xdr:row>34</xdr:row>
      <xdr:rowOff>166407</xdr:rowOff>
    </xdr:from>
    <xdr:to>
      <xdr:col>17</xdr:col>
      <xdr:colOff>676276</xdr:colOff>
      <xdr:row>55</xdr:row>
      <xdr:rowOff>44824</xdr:rowOff>
    </xdr:to>
    <xdr:graphicFrame macro="">
      <xdr:nvGraphicFramePr>
        <xdr:cNvPr id="5" name="グラフ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16</xdr:row>
      <xdr:rowOff>152399</xdr:rowOff>
    </xdr:from>
    <xdr:to>
      <xdr:col>6</xdr:col>
      <xdr:colOff>392206</xdr:colOff>
      <xdr:row>33</xdr:row>
      <xdr:rowOff>38100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67235</xdr:colOff>
      <xdr:row>56</xdr:row>
      <xdr:rowOff>15687</xdr:rowOff>
    </xdr:from>
    <xdr:to>
      <xdr:col>20</xdr:col>
      <xdr:colOff>638175</xdr:colOff>
      <xdr:row>76</xdr:row>
      <xdr:rowOff>56030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694767</xdr:colOff>
      <xdr:row>16</xdr:row>
      <xdr:rowOff>156884</xdr:rowOff>
    </xdr:from>
    <xdr:to>
      <xdr:col>12</xdr:col>
      <xdr:colOff>257737</xdr:colOff>
      <xdr:row>33</xdr:row>
      <xdr:rowOff>45946</xdr:rowOff>
    </xdr:to>
    <xdr:graphicFrame macro="">
      <xdr:nvGraphicFramePr>
        <xdr:cNvPr id="4" name="グラフ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78441</xdr:colOff>
      <xdr:row>34</xdr:row>
      <xdr:rowOff>166407</xdr:rowOff>
    </xdr:from>
    <xdr:to>
      <xdr:col>20</xdr:col>
      <xdr:colOff>676276</xdr:colOff>
      <xdr:row>55</xdr:row>
      <xdr:rowOff>44824</xdr:rowOff>
    </xdr:to>
    <xdr:graphicFrame macro="">
      <xdr:nvGraphicFramePr>
        <xdr:cNvPr id="5" name="グラフ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99149" cy="6078325"/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00000000-0008-0000-1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99149" cy="6078325"/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00000000-0008-0000-1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0.3011</cdr:x>
      <cdr:y>0.30884</cdr:y>
    </cdr:from>
    <cdr:to>
      <cdr:x>0.54525</cdr:x>
      <cdr:y>0.47198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2799894" y="1879006"/>
          <a:ext cx="2270237" cy="99257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lIns="91440" tIns="45720" rIns="91440" bIns="4572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ja-JP" altLang="en-US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総収入</a:t>
          </a:r>
        </a:p>
      </cdr:txBody>
    </cdr:sp>
  </cdr:relSizeAnchor>
  <cdr:relSizeAnchor xmlns:cdr="http://schemas.openxmlformats.org/drawingml/2006/chartDrawing">
    <cdr:from>
      <cdr:x>0.25002</cdr:x>
      <cdr:y>0.45453</cdr:y>
    </cdr:from>
    <cdr:to>
      <cdr:x>0.62733</cdr:x>
      <cdr:y>0.61768</cdr:y>
    </cdr:to>
    <cdr:sp macro="" textlink="">
      <cdr:nvSpPr>
        <cdr:cNvPr id="3" name="正方形/長方形 2"/>
        <cdr:cNvSpPr/>
      </cdr:nvSpPr>
      <cdr:spPr>
        <a:xfrm xmlns:a="http://schemas.openxmlformats.org/drawingml/2006/main">
          <a:off x="2324874" y="2765426"/>
          <a:ext cx="3508525" cy="99257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lIns="91440" tIns="45720" rIns="91440" bIns="4572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solidFill>
                <a:srgbClr val="FF0000"/>
              </a:solidFill>
              <a:effectLst>
                <a:outerShdw blurRad="50800" algn="tl" rotWithShape="0">
                  <a:srgbClr val="000000"/>
                </a:outerShdw>
              </a:effectLst>
            </a:rPr>
            <a:t>1</a:t>
          </a:r>
          <a:r>
            <a:rPr lang="ja-JP" altLang="en-US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solidFill>
                <a:srgbClr val="FF0000"/>
              </a:solidFill>
              <a:effectLst>
                <a:outerShdw blurRad="50800" algn="tl" rotWithShape="0">
                  <a:srgbClr val="000000"/>
                </a:outerShdw>
              </a:effectLst>
            </a:rPr>
            <a:t>億</a:t>
          </a:r>
          <a:r>
            <a:rPr lang="en-US" altLang="ja-JP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solidFill>
                <a:srgbClr val="FF0000"/>
              </a:solidFill>
              <a:effectLst>
                <a:outerShdw blurRad="50800" algn="tl" rotWithShape="0">
                  <a:srgbClr val="000000"/>
                </a:outerShdw>
              </a:effectLst>
            </a:rPr>
            <a:t>5,455</a:t>
          </a:r>
          <a:r>
            <a:rPr lang="ja-JP" altLang="en-US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solidFill>
                <a:srgbClr val="FF0000"/>
              </a:solidFill>
              <a:effectLst>
                <a:outerShdw blurRad="50800" algn="tl" rotWithShape="0">
                  <a:srgbClr val="000000"/>
                </a:outerShdw>
              </a:effectLst>
            </a:rPr>
            <a:t>万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923925</xdr:colOff>
      <xdr:row>29</xdr:row>
      <xdr:rowOff>276225</xdr:rowOff>
    </xdr:from>
    <xdr:to>
      <xdr:col>10</xdr:col>
      <xdr:colOff>409575</xdr:colOff>
      <xdr:row>32</xdr:row>
      <xdr:rowOff>171450</xdr:rowOff>
    </xdr:to>
    <xdr:sp macro="" textlink="">
      <xdr:nvSpPr>
        <xdr:cNvPr id="2" name="線 22">
          <a:extLst>
            <a:ext uri="{FF2B5EF4-FFF2-40B4-BE49-F238E27FC236}">
              <a16:creationId xmlns="" xmlns:a16="http://schemas.microsoft.com/office/drawing/2014/main" id="{00000000-0008-0000-1500-000002000000}"/>
            </a:ext>
          </a:extLst>
        </xdr:cNvPr>
        <xdr:cNvSpPr>
          <a:spLocks noChangeShapeType="1"/>
        </xdr:cNvSpPr>
      </xdr:nvSpPr>
      <xdr:spPr bwMode="auto">
        <a:xfrm>
          <a:off x="5162550" y="5962650"/>
          <a:ext cx="657225" cy="70485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16"/>
  <sheetViews>
    <sheetView zoomScale="40" zoomScaleNormal="40" workbookViewId="0">
      <selection activeCell="W31" sqref="W31"/>
    </sheetView>
  </sheetViews>
  <sheetFormatPr defaultRowHeight="13.5"/>
  <cols>
    <col min="1" max="1" width="8.875" customWidth="1"/>
    <col min="3" max="3" width="11.125" bestFit="1" customWidth="1"/>
    <col min="5" max="5" width="13.875" bestFit="1" customWidth="1"/>
    <col min="6" max="6" width="13.875" hidden="1" customWidth="1"/>
    <col min="7" max="8" width="10" style="586" bestFit="1" customWidth="1"/>
    <col min="9" max="18" width="10.25" style="586" bestFit="1" customWidth="1"/>
    <col min="19" max="20" width="10.25" style="591" customWidth="1"/>
  </cols>
  <sheetData>
    <row r="1" spans="2:21">
      <c r="G1" s="1184" t="s">
        <v>458</v>
      </c>
      <c r="H1" s="1184"/>
      <c r="I1" s="1184"/>
      <c r="J1" s="1184"/>
      <c r="K1" s="1184"/>
      <c r="L1" s="1184"/>
      <c r="M1" s="1184"/>
      <c r="N1" s="1184"/>
      <c r="O1" s="1184"/>
      <c r="P1" s="1184"/>
      <c r="Q1" s="1184"/>
      <c r="R1" s="1184"/>
    </row>
    <row r="2" spans="2:21">
      <c r="C2" t="s">
        <v>460</v>
      </c>
      <c r="G2" s="585" t="s">
        <v>451</v>
      </c>
      <c r="H2" s="585" t="s">
        <v>452</v>
      </c>
      <c r="I2" s="585" t="s">
        <v>453</v>
      </c>
      <c r="J2" s="585" t="s">
        <v>454</v>
      </c>
      <c r="K2" s="585" t="s">
        <v>455</v>
      </c>
      <c r="L2" s="585" t="s">
        <v>456</v>
      </c>
      <c r="M2" s="585" t="s">
        <v>445</v>
      </c>
      <c r="N2" s="585" t="s">
        <v>446</v>
      </c>
      <c r="O2" s="585" t="s">
        <v>447</v>
      </c>
      <c r="P2" s="585" t="s">
        <v>448</v>
      </c>
      <c r="Q2" s="585" t="s">
        <v>449</v>
      </c>
      <c r="R2" s="585" t="s">
        <v>450</v>
      </c>
      <c r="S2" s="592" t="s">
        <v>451</v>
      </c>
      <c r="T2" s="592" t="s">
        <v>452</v>
      </c>
    </row>
    <row r="3" spans="2:21">
      <c r="B3" t="s">
        <v>233</v>
      </c>
      <c r="C3" s="579">
        <f>'事業別損益表（決算）'!D15</f>
        <v>9167000</v>
      </c>
      <c r="E3" t="s">
        <v>233</v>
      </c>
      <c r="G3" s="580">
        <v>943000</v>
      </c>
      <c r="H3" s="580">
        <v>935000</v>
      </c>
      <c r="I3" s="580">
        <v>887000</v>
      </c>
      <c r="J3" s="580">
        <v>892000</v>
      </c>
      <c r="K3" s="580">
        <v>885000</v>
      </c>
      <c r="L3" s="580">
        <v>898000</v>
      </c>
      <c r="M3" s="580">
        <v>993000</v>
      </c>
      <c r="N3" s="580">
        <v>873000</v>
      </c>
      <c r="O3" s="580">
        <v>906000</v>
      </c>
      <c r="P3" s="580">
        <v>1034000</v>
      </c>
      <c r="Q3" s="580">
        <v>967000</v>
      </c>
      <c r="R3" s="580">
        <v>888000</v>
      </c>
      <c r="S3" s="580">
        <v>929000</v>
      </c>
      <c r="T3" s="580">
        <v>939000</v>
      </c>
      <c r="U3" s="188">
        <f>SUM(M3:T3)</f>
        <v>7529000</v>
      </c>
    </row>
    <row r="4" spans="2:21">
      <c r="B4" t="s">
        <v>420</v>
      </c>
      <c r="C4" s="579" t="e">
        <f>'事業別損益表（決算）'!K15</f>
        <v>#REF!</v>
      </c>
      <c r="E4" t="s">
        <v>420</v>
      </c>
      <c r="G4" s="580">
        <f>264000+610000</f>
        <v>874000</v>
      </c>
      <c r="H4" s="580">
        <f>634000+228000</f>
        <v>862000</v>
      </c>
      <c r="I4" s="580">
        <f>235000+659000</f>
        <v>894000</v>
      </c>
      <c r="J4" s="580">
        <f>497000+214000</f>
        <v>711000</v>
      </c>
      <c r="K4" s="580">
        <f>140000+498000</f>
        <v>638000</v>
      </c>
      <c r="L4" s="580">
        <f>253000+576000</f>
        <v>829000</v>
      </c>
      <c r="M4" s="580">
        <f>275000+477000</f>
        <v>752000</v>
      </c>
      <c r="N4" s="580">
        <f>498000+244000</f>
        <v>742000</v>
      </c>
      <c r="O4" s="580">
        <f>256000+661000</f>
        <v>917000</v>
      </c>
      <c r="P4" s="580">
        <f>566000+283000</f>
        <v>849000</v>
      </c>
      <c r="Q4" s="580">
        <f>532000+277000</f>
        <v>809000</v>
      </c>
      <c r="R4" s="580">
        <f>264000+534000</f>
        <v>798000</v>
      </c>
      <c r="S4" s="580">
        <v>554000</v>
      </c>
      <c r="T4" s="580">
        <v>503000</v>
      </c>
      <c r="U4" s="188">
        <f>SUM(M4:T4)</f>
        <v>5924000</v>
      </c>
    </row>
    <row r="5" spans="2:21">
      <c r="B5" t="s">
        <v>457</v>
      </c>
      <c r="C5" s="188" t="e">
        <f>C3-C4</f>
        <v>#REF!</v>
      </c>
      <c r="E5" t="s">
        <v>457</v>
      </c>
      <c r="G5" s="586">
        <f t="shared" ref="G5:T5" si="0">G3-G4</f>
        <v>69000</v>
      </c>
      <c r="H5" s="586">
        <f t="shared" si="0"/>
        <v>73000</v>
      </c>
      <c r="I5" s="586">
        <f t="shared" si="0"/>
        <v>-7000</v>
      </c>
      <c r="J5" s="586">
        <f t="shared" si="0"/>
        <v>181000</v>
      </c>
      <c r="K5" s="586">
        <f t="shared" si="0"/>
        <v>247000</v>
      </c>
      <c r="L5" s="586">
        <f t="shared" si="0"/>
        <v>69000</v>
      </c>
      <c r="M5" s="586">
        <f t="shared" si="0"/>
        <v>241000</v>
      </c>
      <c r="N5" s="586">
        <f t="shared" si="0"/>
        <v>131000</v>
      </c>
      <c r="O5" s="586">
        <f t="shared" si="0"/>
        <v>-11000</v>
      </c>
      <c r="P5" s="586">
        <f t="shared" si="0"/>
        <v>185000</v>
      </c>
      <c r="Q5" s="589">
        <f t="shared" si="0"/>
        <v>158000</v>
      </c>
      <c r="R5" s="590">
        <f t="shared" si="0"/>
        <v>90000</v>
      </c>
      <c r="S5" s="591">
        <f t="shared" si="0"/>
        <v>375000</v>
      </c>
      <c r="T5" s="591">
        <f t="shared" si="0"/>
        <v>436000</v>
      </c>
    </row>
    <row r="6" spans="2:21">
      <c r="C6" s="188"/>
      <c r="E6" t="s">
        <v>461</v>
      </c>
      <c r="M6" s="580" t="e">
        <f>#REF!</f>
        <v>#REF!</v>
      </c>
      <c r="N6" s="586" t="e">
        <f t="shared" ref="N6:T6" si="1">$M$6</f>
        <v>#REF!</v>
      </c>
      <c r="O6" s="586" t="e">
        <f t="shared" si="1"/>
        <v>#REF!</v>
      </c>
      <c r="P6" s="586" t="e">
        <f t="shared" si="1"/>
        <v>#REF!</v>
      </c>
      <c r="Q6" s="586" t="e">
        <f t="shared" si="1"/>
        <v>#REF!</v>
      </c>
      <c r="R6" s="586" t="e">
        <f t="shared" si="1"/>
        <v>#REF!</v>
      </c>
      <c r="S6" s="591" t="e">
        <f t="shared" si="1"/>
        <v>#REF!</v>
      </c>
      <c r="T6" s="591" t="e">
        <f t="shared" si="1"/>
        <v>#REF!</v>
      </c>
    </row>
    <row r="7" spans="2:21">
      <c r="C7" s="188"/>
      <c r="E7" t="s">
        <v>462</v>
      </c>
      <c r="M7" s="580" t="e">
        <f>#REF!</f>
        <v>#REF!</v>
      </c>
      <c r="N7" s="586" t="e">
        <f t="shared" ref="N7:T7" si="2">$M$7</f>
        <v>#REF!</v>
      </c>
      <c r="O7" s="586" t="e">
        <f t="shared" si="2"/>
        <v>#REF!</v>
      </c>
      <c r="P7" s="586" t="e">
        <f t="shared" si="2"/>
        <v>#REF!</v>
      </c>
      <c r="Q7" s="586" t="e">
        <f t="shared" si="2"/>
        <v>#REF!</v>
      </c>
      <c r="R7" s="586" t="e">
        <f t="shared" si="2"/>
        <v>#REF!</v>
      </c>
      <c r="S7" s="591" t="e">
        <f t="shared" si="2"/>
        <v>#REF!</v>
      </c>
      <c r="T7" s="591" t="e">
        <f t="shared" si="2"/>
        <v>#REF!</v>
      </c>
    </row>
    <row r="8" spans="2:21">
      <c r="C8" s="188"/>
      <c r="E8" t="s">
        <v>463</v>
      </c>
      <c r="M8" s="581" t="e">
        <f>M6-M7</f>
        <v>#REF!</v>
      </c>
      <c r="N8" s="586" t="e">
        <f t="shared" ref="N8:T8" si="3">$M$8</f>
        <v>#REF!</v>
      </c>
      <c r="O8" s="586" t="e">
        <f t="shared" si="3"/>
        <v>#REF!</v>
      </c>
      <c r="P8" s="586" t="e">
        <f t="shared" si="3"/>
        <v>#REF!</v>
      </c>
      <c r="Q8" s="586" t="e">
        <f t="shared" si="3"/>
        <v>#REF!</v>
      </c>
      <c r="R8" s="586" t="e">
        <f t="shared" si="3"/>
        <v>#REF!</v>
      </c>
      <c r="S8" s="591" t="e">
        <f t="shared" si="3"/>
        <v>#REF!</v>
      </c>
      <c r="T8" s="591" t="e">
        <f t="shared" si="3"/>
        <v>#REF!</v>
      </c>
    </row>
    <row r="9" spans="2:21">
      <c r="C9" s="188"/>
      <c r="G9" s="1184" t="s">
        <v>459</v>
      </c>
      <c r="H9" s="1184"/>
      <c r="I9" s="1184"/>
      <c r="J9" s="1184"/>
      <c r="K9" s="1184"/>
      <c r="L9" s="1184"/>
      <c r="M9" s="1184"/>
      <c r="N9" s="1184"/>
      <c r="O9" s="1184"/>
      <c r="P9" s="1184"/>
      <c r="Q9" s="1184"/>
      <c r="R9" s="1184"/>
    </row>
    <row r="10" spans="2:21">
      <c r="C10" t="s">
        <v>333</v>
      </c>
      <c r="G10" s="586" t="s">
        <v>451</v>
      </c>
      <c r="H10" s="586" t="s">
        <v>452</v>
      </c>
      <c r="I10" s="586" t="s">
        <v>453</v>
      </c>
      <c r="J10" s="586" t="s">
        <v>454</v>
      </c>
      <c r="K10" s="586" t="s">
        <v>455</v>
      </c>
      <c r="L10" s="586" t="s">
        <v>456</v>
      </c>
      <c r="M10" s="586" t="s">
        <v>445</v>
      </c>
      <c r="N10" s="586" t="s">
        <v>446</v>
      </c>
      <c r="O10" s="586" t="s">
        <v>447</v>
      </c>
      <c r="P10" s="586" t="s">
        <v>448</v>
      </c>
      <c r="Q10" s="586" t="s">
        <v>449</v>
      </c>
      <c r="R10" s="586" t="s">
        <v>450</v>
      </c>
      <c r="S10" s="591" t="s">
        <v>451</v>
      </c>
      <c r="T10" s="591" t="s">
        <v>452</v>
      </c>
    </row>
    <row r="11" spans="2:21">
      <c r="B11" t="s">
        <v>233</v>
      </c>
      <c r="C11" s="579" t="e">
        <f>#REF!</f>
        <v>#REF!</v>
      </c>
      <c r="E11" t="s">
        <v>233</v>
      </c>
      <c r="F11" s="579">
        <f>972000+912000+877000+923000+1010000+923000</f>
        <v>5617000</v>
      </c>
      <c r="G11" s="578">
        <f t="shared" ref="G11:L13" si="4">G3+F11</f>
        <v>6560000</v>
      </c>
      <c r="H11" s="578">
        <f t="shared" si="4"/>
        <v>7495000</v>
      </c>
      <c r="I11" s="578">
        <f t="shared" si="4"/>
        <v>8382000</v>
      </c>
      <c r="J11" s="578">
        <f t="shared" si="4"/>
        <v>9274000</v>
      </c>
      <c r="K11" s="578">
        <f t="shared" si="4"/>
        <v>10159000</v>
      </c>
      <c r="L11" s="578">
        <f t="shared" si="4"/>
        <v>11057000</v>
      </c>
      <c r="M11" s="578">
        <f>M3</f>
        <v>993000</v>
      </c>
      <c r="N11" s="578">
        <f t="shared" ref="N11:R16" si="5">M11+N3</f>
        <v>1866000</v>
      </c>
      <c r="O11" s="578">
        <f t="shared" si="5"/>
        <v>2772000</v>
      </c>
      <c r="P11" s="578">
        <f t="shared" si="5"/>
        <v>3806000</v>
      </c>
      <c r="Q11" s="578">
        <f t="shared" si="5"/>
        <v>4773000</v>
      </c>
      <c r="R11" s="578">
        <f t="shared" si="5"/>
        <v>5661000</v>
      </c>
      <c r="S11" s="578">
        <f t="shared" ref="S11:S16" si="6">R11+S3</f>
        <v>6590000</v>
      </c>
      <c r="T11" s="578">
        <f t="shared" ref="T11:T16" si="7">S11+T3</f>
        <v>7529000</v>
      </c>
    </row>
    <row r="12" spans="2:21">
      <c r="B12" t="s">
        <v>420</v>
      </c>
      <c r="C12" s="579" t="e">
        <f>#REF!</f>
        <v>#REF!</v>
      </c>
      <c r="E12" t="s">
        <v>420</v>
      </c>
      <c r="F12" s="580">
        <f>231000+242000+265000+214000+235000+235000+557000+485000+547000+564000+556000+518000</f>
        <v>4649000</v>
      </c>
      <c r="G12" s="578">
        <f t="shared" si="4"/>
        <v>5523000</v>
      </c>
      <c r="H12" s="578">
        <f t="shared" si="4"/>
        <v>6385000</v>
      </c>
      <c r="I12" s="578">
        <f t="shared" si="4"/>
        <v>7279000</v>
      </c>
      <c r="J12" s="578">
        <f t="shared" si="4"/>
        <v>7990000</v>
      </c>
      <c r="K12" s="578">
        <f t="shared" si="4"/>
        <v>8628000</v>
      </c>
      <c r="L12" s="578">
        <f t="shared" si="4"/>
        <v>9457000</v>
      </c>
      <c r="M12" s="578">
        <f>M4</f>
        <v>752000</v>
      </c>
      <c r="N12" s="578">
        <f t="shared" si="5"/>
        <v>1494000</v>
      </c>
      <c r="O12" s="578">
        <f t="shared" si="5"/>
        <v>2411000</v>
      </c>
      <c r="P12" s="578">
        <f t="shared" si="5"/>
        <v>3260000</v>
      </c>
      <c r="Q12" s="578">
        <f t="shared" si="5"/>
        <v>4069000</v>
      </c>
      <c r="R12" s="578">
        <f t="shared" si="5"/>
        <v>4867000</v>
      </c>
      <c r="S12" s="578">
        <f t="shared" si="6"/>
        <v>5421000</v>
      </c>
      <c r="T12" s="578">
        <f t="shared" si="7"/>
        <v>5924000</v>
      </c>
    </row>
    <row r="13" spans="2:21">
      <c r="B13" t="s">
        <v>457</v>
      </c>
      <c r="C13" s="188" t="e">
        <f>C11-C12</f>
        <v>#REF!</v>
      </c>
      <c r="E13" t="s">
        <v>457</v>
      </c>
      <c r="F13">
        <f>F11-F12</f>
        <v>968000</v>
      </c>
      <c r="G13" s="578">
        <f t="shared" si="4"/>
        <v>1037000</v>
      </c>
      <c r="H13" s="578">
        <f t="shared" si="4"/>
        <v>1110000</v>
      </c>
      <c r="I13" s="578">
        <f t="shared" si="4"/>
        <v>1103000</v>
      </c>
      <c r="J13" s="578">
        <f t="shared" si="4"/>
        <v>1284000</v>
      </c>
      <c r="K13" s="578">
        <f t="shared" si="4"/>
        <v>1531000</v>
      </c>
      <c r="L13" s="578">
        <f t="shared" si="4"/>
        <v>1600000</v>
      </c>
      <c r="M13" s="578">
        <f>M5</f>
        <v>241000</v>
      </c>
      <c r="N13" s="578">
        <f t="shared" si="5"/>
        <v>372000</v>
      </c>
      <c r="O13" s="578">
        <f t="shared" si="5"/>
        <v>361000</v>
      </c>
      <c r="P13" s="578">
        <f t="shared" si="5"/>
        <v>546000</v>
      </c>
      <c r="Q13" s="578">
        <f t="shared" si="5"/>
        <v>704000</v>
      </c>
      <c r="R13" s="578">
        <f t="shared" si="5"/>
        <v>794000</v>
      </c>
      <c r="S13" s="578">
        <f t="shared" si="6"/>
        <v>1169000</v>
      </c>
      <c r="T13" s="578">
        <f t="shared" si="7"/>
        <v>1605000</v>
      </c>
    </row>
    <row r="14" spans="2:21">
      <c r="E14" t="s">
        <v>461</v>
      </c>
      <c r="M14" s="582" t="e">
        <f>M6</f>
        <v>#REF!</v>
      </c>
      <c r="N14" s="578" t="e">
        <f t="shared" si="5"/>
        <v>#REF!</v>
      </c>
      <c r="O14" s="578" t="e">
        <f t="shared" si="5"/>
        <v>#REF!</v>
      </c>
      <c r="P14" s="578" t="e">
        <f t="shared" si="5"/>
        <v>#REF!</v>
      </c>
      <c r="Q14" s="578" t="e">
        <f t="shared" si="5"/>
        <v>#REF!</v>
      </c>
      <c r="R14" s="578" t="e">
        <f t="shared" si="5"/>
        <v>#REF!</v>
      </c>
      <c r="S14" s="578" t="e">
        <f t="shared" si="6"/>
        <v>#REF!</v>
      </c>
      <c r="T14" s="578" t="e">
        <f t="shared" si="7"/>
        <v>#REF!</v>
      </c>
    </row>
    <row r="15" spans="2:21">
      <c r="E15" t="s">
        <v>462</v>
      </c>
      <c r="M15" s="582" t="e">
        <f>M7</f>
        <v>#REF!</v>
      </c>
      <c r="N15" s="578" t="e">
        <f t="shared" si="5"/>
        <v>#REF!</v>
      </c>
      <c r="O15" s="578" t="e">
        <f t="shared" si="5"/>
        <v>#REF!</v>
      </c>
      <c r="P15" s="578" t="e">
        <f t="shared" si="5"/>
        <v>#REF!</v>
      </c>
      <c r="Q15" s="578" t="e">
        <f t="shared" si="5"/>
        <v>#REF!</v>
      </c>
      <c r="R15" s="578" t="e">
        <f t="shared" si="5"/>
        <v>#REF!</v>
      </c>
      <c r="S15" s="578" t="e">
        <f t="shared" si="6"/>
        <v>#REF!</v>
      </c>
      <c r="T15" s="578" t="e">
        <f t="shared" si="7"/>
        <v>#REF!</v>
      </c>
    </row>
    <row r="16" spans="2:21">
      <c r="E16" t="s">
        <v>463</v>
      </c>
      <c r="M16" s="582" t="e">
        <f>M14-M15</f>
        <v>#REF!</v>
      </c>
      <c r="N16" s="578" t="e">
        <f t="shared" si="5"/>
        <v>#REF!</v>
      </c>
      <c r="O16" s="578" t="e">
        <f t="shared" si="5"/>
        <v>#REF!</v>
      </c>
      <c r="P16" s="578" t="e">
        <f t="shared" si="5"/>
        <v>#REF!</v>
      </c>
      <c r="Q16" s="578" t="e">
        <f t="shared" si="5"/>
        <v>#REF!</v>
      </c>
      <c r="R16" s="578" t="e">
        <f t="shared" si="5"/>
        <v>#REF!</v>
      </c>
      <c r="S16" s="578" t="e">
        <f t="shared" si="6"/>
        <v>#REF!</v>
      </c>
      <c r="T16" s="578" t="e">
        <f t="shared" si="7"/>
        <v>#REF!</v>
      </c>
    </row>
  </sheetData>
  <mergeCells count="2">
    <mergeCell ref="G1:R1"/>
    <mergeCell ref="G9:R9"/>
  </mergeCells>
  <phoneticPr fontId="1"/>
  <printOptions horizontalCentered="1"/>
  <pageMargins left="0.23622047244094491" right="0.23622047244094491" top="0.74803149606299213" bottom="0.35433070866141736" header="0.31496062992125984" footer="0.31496062992125984"/>
  <pageSetup paperSize="9" scale="69" orientation="landscape" r:id="rId1"/>
  <headerFooter>
    <oddHeader>&amp;C&amp;"メイリオ,ボールド"&amp;20&amp;A　経営状況報告書&amp;R出力：&amp;D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36"/>
  <sheetViews>
    <sheetView zoomScale="85" zoomScaleNormal="85" workbookViewId="0">
      <selection activeCell="D13" sqref="D13"/>
    </sheetView>
  </sheetViews>
  <sheetFormatPr defaultColWidth="9" defaultRowHeight="13.5"/>
  <cols>
    <col min="1" max="1" width="2.875" style="612" customWidth="1"/>
    <col min="2" max="2" width="33.5" style="5" customWidth="1"/>
    <col min="3" max="3" width="5.25" style="5" bestFit="1" customWidth="1"/>
    <col min="4" max="4" width="14.625" style="518" customWidth="1"/>
    <col min="5" max="5" width="6.5" style="644" bestFit="1" customWidth="1"/>
    <col min="6" max="7" width="14.625" style="613" customWidth="1"/>
    <col min="8" max="8" width="5.375" style="193" bestFit="1" customWidth="1"/>
    <col min="9" max="10" width="14.625" style="613" hidden="1" customWidth="1"/>
    <col min="11" max="11" width="14.625" style="613" customWidth="1"/>
    <col min="12" max="12" width="14.375" style="614" hidden="1" customWidth="1"/>
    <col min="13" max="13" width="14.625" style="613" customWidth="1"/>
    <col min="14" max="14" width="5.375" style="615" bestFit="1" customWidth="1"/>
    <col min="15" max="15" width="14.625" style="613" customWidth="1"/>
    <col min="16" max="16" width="14.625" style="518" customWidth="1"/>
    <col min="17" max="17" width="3.625" style="635" customWidth="1"/>
    <col min="18" max="18" width="11.875" style="617" bestFit="1" customWidth="1"/>
    <col min="19" max="19" width="9" style="193" bestFit="1" customWidth="1"/>
    <col min="20" max="20" width="9" style="5"/>
    <col min="21" max="21" width="10.75" style="5" bestFit="1" customWidth="1"/>
    <col min="22" max="16384" width="9" style="5"/>
  </cols>
  <sheetData>
    <row r="1" spans="1:19" ht="18.75">
      <c r="A1" s="1269" t="s">
        <v>487</v>
      </c>
      <c r="B1" s="1269"/>
      <c r="C1" s="1269"/>
      <c r="D1" s="1269"/>
      <c r="E1" s="1269"/>
      <c r="F1" s="1269"/>
      <c r="G1" s="1269"/>
      <c r="H1" s="1269"/>
      <c r="I1" s="1269"/>
      <c r="J1" s="1269"/>
      <c r="K1" s="1269"/>
      <c r="L1" s="1269"/>
      <c r="M1" s="1269"/>
      <c r="N1" s="1269"/>
      <c r="O1" s="1269"/>
      <c r="P1" s="1269"/>
      <c r="Q1" s="636"/>
    </row>
    <row r="2" spans="1:19">
      <c r="A2" s="1270" t="s">
        <v>410</v>
      </c>
      <c r="B2" s="1270"/>
      <c r="C2" s="1270"/>
      <c r="D2" s="1270"/>
      <c r="E2" s="1270"/>
      <c r="F2" s="1270"/>
      <c r="G2" s="1270"/>
      <c r="H2" s="1270"/>
      <c r="I2" s="1270"/>
      <c r="J2" s="1270"/>
      <c r="K2" s="1270"/>
      <c r="L2" s="1270"/>
      <c r="M2" s="1270"/>
      <c r="N2" s="1270"/>
      <c r="O2" s="1270"/>
      <c r="P2" s="1270"/>
      <c r="Q2" s="633"/>
    </row>
    <row r="3" spans="1:19">
      <c r="A3" s="1272" t="s">
        <v>411</v>
      </c>
      <c r="B3" s="1273"/>
      <c r="C3" s="1274"/>
      <c r="D3" s="1317" t="s">
        <v>377</v>
      </c>
      <c r="E3" s="688"/>
      <c r="F3" s="1281" t="s">
        <v>378</v>
      </c>
      <c r="G3" s="1283"/>
      <c r="H3" s="1283"/>
      <c r="I3" s="1283"/>
      <c r="J3" s="1283"/>
      <c r="K3" s="1283"/>
      <c r="L3" s="1283"/>
      <c r="M3" s="1283"/>
      <c r="N3" s="1283"/>
      <c r="O3" s="1320"/>
      <c r="P3" s="1319" t="s">
        <v>380</v>
      </c>
      <c r="Q3" s="634"/>
      <c r="R3" s="1330" t="s">
        <v>513</v>
      </c>
      <c r="S3" s="1331"/>
    </row>
    <row r="4" spans="1:19" ht="18" customHeight="1">
      <c r="A4" s="1275"/>
      <c r="B4" s="1276"/>
      <c r="C4" s="1277"/>
      <c r="D4" s="1318"/>
      <c r="E4" s="689"/>
      <c r="F4" s="1291" t="s">
        <v>177</v>
      </c>
      <c r="G4" s="1325"/>
      <c r="H4" s="1325"/>
      <c r="I4" s="1306"/>
      <c r="J4" s="1306"/>
      <c r="K4" s="1325"/>
      <c r="L4" s="1288" t="s">
        <v>160</v>
      </c>
      <c r="M4" s="1291" t="s">
        <v>166</v>
      </c>
      <c r="N4" s="801"/>
      <c r="O4" s="1334" t="s">
        <v>483</v>
      </c>
      <c r="P4" s="1321"/>
      <c r="Q4" s="634"/>
      <c r="R4" s="1310" t="s">
        <v>486</v>
      </c>
      <c r="S4" s="639"/>
    </row>
    <row r="5" spans="1:19" ht="18" customHeight="1">
      <c r="A5" s="1275"/>
      <c r="B5" s="1276"/>
      <c r="C5" s="1277"/>
      <c r="D5" s="1319"/>
      <c r="E5" s="1326" t="s">
        <v>473</v>
      </c>
      <c r="F5" s="1337"/>
      <c r="G5" s="1323" t="s">
        <v>501</v>
      </c>
      <c r="H5" s="713"/>
      <c r="I5" s="676"/>
      <c r="J5" s="676"/>
      <c r="K5" s="1323" t="s">
        <v>502</v>
      </c>
      <c r="L5" s="1289"/>
      <c r="M5" s="1301"/>
      <c r="N5" s="1328" t="s">
        <v>481</v>
      </c>
      <c r="O5" s="1301"/>
      <c r="P5" s="1321"/>
      <c r="Q5" s="634"/>
      <c r="R5" s="1311"/>
      <c r="S5" s="1252" t="s">
        <v>485</v>
      </c>
    </row>
    <row r="6" spans="1:19">
      <c r="A6" s="1278"/>
      <c r="B6" s="1279"/>
      <c r="C6" s="1280"/>
      <c r="D6" s="1319"/>
      <c r="E6" s="1327"/>
      <c r="F6" s="1338"/>
      <c r="G6" s="1324"/>
      <c r="H6" s="619" t="s">
        <v>505</v>
      </c>
      <c r="I6" s="669" t="s">
        <v>503</v>
      </c>
      <c r="J6" s="702" t="s">
        <v>504</v>
      </c>
      <c r="K6" s="1324"/>
      <c r="L6" s="1290"/>
      <c r="M6" s="1302"/>
      <c r="N6" s="1329"/>
      <c r="O6" s="1302"/>
      <c r="P6" s="1322"/>
      <c r="Q6" s="634"/>
      <c r="R6" s="1312"/>
      <c r="S6" s="1253"/>
    </row>
    <row r="7" spans="1:19" ht="30" customHeight="1">
      <c r="A7" s="1260" t="s">
        <v>474</v>
      </c>
      <c r="B7" s="1259"/>
      <c r="C7" s="1313"/>
      <c r="D7" s="600" t="e">
        <f>D8</f>
        <v>#REF!</v>
      </c>
      <c r="E7" s="640" t="e">
        <f>ROUND(D7/$D$30,2)</f>
        <v>#REF!</v>
      </c>
      <c r="F7" s="703" t="e">
        <f>F8+F9</f>
        <v>#REF!</v>
      </c>
      <c r="G7" s="703" t="e">
        <f>G8+G9</f>
        <v>#REF!</v>
      </c>
      <c r="H7" s="714" t="e">
        <f>G7/D7</f>
        <v>#REF!</v>
      </c>
      <c r="I7" s="677"/>
      <c r="J7" s="677"/>
      <c r="K7" s="727" t="e">
        <f>F7-G7</f>
        <v>#REF!</v>
      </c>
      <c r="L7" s="601" t="e">
        <f>L8+L9</f>
        <v>#REF!</v>
      </c>
      <c r="M7" s="784" t="e">
        <f>-$L$31*N7</f>
        <v>#REF!</v>
      </c>
      <c r="N7" s="774" t="e">
        <f>E7</f>
        <v>#REF!</v>
      </c>
      <c r="O7" s="720" t="e">
        <f>F7+M7</f>
        <v>#REF!</v>
      </c>
      <c r="P7" s="601" t="e">
        <f>D7-O7</f>
        <v>#REF!</v>
      </c>
      <c r="Q7" s="637"/>
      <c r="R7" s="620" t="e">
        <f>'③事業別損益表（拠点別）'!#REF!</f>
        <v>#REF!</v>
      </c>
      <c r="S7" s="597" t="e">
        <f>D7/R7</f>
        <v>#REF!</v>
      </c>
    </row>
    <row r="8" spans="1:19" hidden="1">
      <c r="A8" s="645"/>
      <c r="B8" s="621" t="s">
        <v>157</v>
      </c>
      <c r="C8" s="622"/>
      <c r="D8" s="623" t="e">
        <f>①ベース事業別内訳!#REF!</f>
        <v>#REF!</v>
      </c>
      <c r="E8" s="641" t="e">
        <f t="shared" ref="E8:E13" si="0">ROUND(D8/$D$30,2)</f>
        <v>#REF!</v>
      </c>
      <c r="F8" s="728" t="e">
        <f>①ベース事業別内訳!#REF!</f>
        <v>#REF!</v>
      </c>
      <c r="G8" s="728" t="e">
        <f>①ベース事業別内訳!#REF!</f>
        <v>#REF!</v>
      </c>
      <c r="H8" s="715" t="e">
        <f t="shared" ref="H8:H32" si="1">G8/D8</f>
        <v>#REF!</v>
      </c>
      <c r="I8" s="670"/>
      <c r="J8" s="670"/>
      <c r="K8" s="704" t="e">
        <f>F8-G8</f>
        <v>#REF!</v>
      </c>
      <c r="L8" s="624" t="e">
        <f t="shared" ref="L8:L13" si="2">D8-F8</f>
        <v>#REF!</v>
      </c>
      <c r="M8" s="785"/>
      <c r="N8" s="775"/>
      <c r="O8" s="721"/>
      <c r="P8" s="624"/>
      <c r="Q8" s="637"/>
      <c r="R8" s="626">
        <f>'③事業別損益表（拠点別）'!D7</f>
        <v>36093000</v>
      </c>
      <c r="S8" s="625" t="e">
        <f>D8/'③事業別損益表（拠点別）'!D7</f>
        <v>#REF!</v>
      </c>
    </row>
    <row r="9" spans="1:19" hidden="1">
      <c r="A9" s="646"/>
      <c r="B9" s="627" t="s">
        <v>167</v>
      </c>
      <c r="C9" s="628"/>
      <c r="D9" s="629"/>
      <c r="E9" s="642" t="e">
        <f t="shared" si="0"/>
        <v>#REF!</v>
      </c>
      <c r="F9" s="729" t="e">
        <f>①ベース事業別内訳!#REF!</f>
        <v>#REF!</v>
      </c>
      <c r="G9" s="729" t="e">
        <f>①ベース事業別内訳!#REF!</f>
        <v>#REF!</v>
      </c>
      <c r="H9" s="716" t="e">
        <f>G9/D8</f>
        <v>#REF!</v>
      </c>
      <c r="I9" s="671"/>
      <c r="J9" s="671"/>
      <c r="K9" s="705" t="e">
        <f t="shared" ref="K9:K28" si="3">F9-G9</f>
        <v>#REF!</v>
      </c>
      <c r="L9" s="630" t="e">
        <f t="shared" si="2"/>
        <v>#REF!</v>
      </c>
      <c r="M9" s="786"/>
      <c r="N9" s="776"/>
      <c r="O9" s="722"/>
      <c r="P9" s="630"/>
      <c r="Q9" s="637"/>
      <c r="R9" s="632"/>
      <c r="S9" s="631">
        <f>D9/'③事業別損益表（拠点別）'!D26</f>
        <v>0</v>
      </c>
    </row>
    <row r="10" spans="1:19" ht="30" customHeight="1">
      <c r="A10" s="1258" t="s">
        <v>475</v>
      </c>
      <c r="B10" s="1259"/>
      <c r="C10" s="1313"/>
      <c r="D10" s="602" t="e">
        <f>①ベース事業別内訳!#REF!</f>
        <v>#REF!</v>
      </c>
      <c r="E10" s="640" t="e">
        <f>ROUND(D10/$D$30,2)+1%</f>
        <v>#REF!</v>
      </c>
      <c r="F10" s="707" t="e">
        <f>①ベース事業別内訳!#REF!</f>
        <v>#REF!</v>
      </c>
      <c r="G10" s="707" t="e">
        <f>①ベース事業別内訳!#REF!</f>
        <v>#REF!</v>
      </c>
      <c r="H10" s="717" t="e">
        <f t="shared" si="1"/>
        <v>#REF!</v>
      </c>
      <c r="I10" s="672"/>
      <c r="J10" s="672"/>
      <c r="K10" s="706" t="e">
        <f t="shared" si="3"/>
        <v>#REF!</v>
      </c>
      <c r="L10" s="605" t="e">
        <f t="shared" si="2"/>
        <v>#REF!</v>
      </c>
      <c r="M10" s="787" t="e">
        <f>-$L$31*N10</f>
        <v>#REF!</v>
      </c>
      <c r="N10" s="777" t="e">
        <f>E10</f>
        <v>#REF!</v>
      </c>
      <c r="O10" s="723" t="e">
        <f>F10+M10</f>
        <v>#REF!</v>
      </c>
      <c r="P10" s="605" t="e">
        <f>D10-O10</f>
        <v>#REF!</v>
      </c>
      <c r="Q10" s="637"/>
      <c r="R10" s="620">
        <f>'③事業別損益表（拠点別）'!D8</f>
        <v>55477000</v>
      </c>
      <c r="S10" s="597" t="e">
        <f t="shared" ref="S10:S20" si="4">D10/R10</f>
        <v>#REF!</v>
      </c>
    </row>
    <row r="11" spans="1:19" ht="30" customHeight="1">
      <c r="A11" s="1258" t="s">
        <v>476</v>
      </c>
      <c r="B11" s="1259"/>
      <c r="C11" s="1313"/>
      <c r="D11" s="602" t="e">
        <f>①ベース事業別内訳!#REF!</f>
        <v>#REF!</v>
      </c>
      <c r="E11" s="640" t="e">
        <f t="shared" si="0"/>
        <v>#REF!</v>
      </c>
      <c r="F11" s="707" t="e">
        <f>①ベース事業別内訳!#REF!</f>
        <v>#REF!</v>
      </c>
      <c r="G11" s="707" t="e">
        <f>①ベース事業別内訳!#REF!</f>
        <v>#REF!</v>
      </c>
      <c r="H11" s="717" t="e">
        <f t="shared" si="1"/>
        <v>#REF!</v>
      </c>
      <c r="I11" s="672"/>
      <c r="J11" s="672"/>
      <c r="K11" s="706" t="e">
        <f t="shared" si="3"/>
        <v>#REF!</v>
      </c>
      <c r="L11" s="605" t="e">
        <f t="shared" si="2"/>
        <v>#REF!</v>
      </c>
      <c r="M11" s="787" t="e">
        <f>-$L$31*N11</f>
        <v>#REF!</v>
      </c>
      <c r="N11" s="777" t="e">
        <f>E11</f>
        <v>#REF!</v>
      </c>
      <c r="O11" s="723" t="e">
        <f>F11+M11</f>
        <v>#REF!</v>
      </c>
      <c r="P11" s="605" t="e">
        <f>D11-O11</f>
        <v>#REF!</v>
      </c>
      <c r="Q11" s="637"/>
      <c r="R11" s="620">
        <f>'③事業別損益表（拠点別）'!D15</f>
        <v>17400000</v>
      </c>
      <c r="S11" s="597" t="e">
        <f t="shared" si="4"/>
        <v>#REF!</v>
      </c>
    </row>
    <row r="12" spans="1:19" ht="30" customHeight="1">
      <c r="A12" s="1258" t="s">
        <v>477</v>
      </c>
      <c r="B12" s="1259"/>
      <c r="C12" s="1313"/>
      <c r="D12" s="602" t="e">
        <f>①ベース事業別内訳!#REF!</f>
        <v>#REF!</v>
      </c>
      <c r="E12" s="640" t="e">
        <f>ROUND(D12/$D$30,2)</f>
        <v>#REF!</v>
      </c>
      <c r="F12" s="707" t="e">
        <f>①ベース事業別内訳!#REF!</f>
        <v>#REF!</v>
      </c>
      <c r="G12" s="707" t="e">
        <f>①ベース事業別内訳!#REF!</f>
        <v>#REF!</v>
      </c>
      <c r="H12" s="717" t="e">
        <f t="shared" si="1"/>
        <v>#REF!</v>
      </c>
      <c r="I12" s="672"/>
      <c r="J12" s="672"/>
      <c r="K12" s="706" t="e">
        <f t="shared" si="3"/>
        <v>#REF!</v>
      </c>
      <c r="L12" s="605" t="e">
        <f t="shared" si="2"/>
        <v>#REF!</v>
      </c>
      <c r="M12" s="787" t="e">
        <f>-$L$31*N12</f>
        <v>#REF!</v>
      </c>
      <c r="N12" s="777" t="e">
        <f>E12</f>
        <v>#REF!</v>
      </c>
      <c r="O12" s="723" t="e">
        <f>F12+M12</f>
        <v>#REF!</v>
      </c>
      <c r="P12" s="605" t="e">
        <f>D12-O12</f>
        <v>#REF!</v>
      </c>
      <c r="Q12" s="637"/>
      <c r="R12" s="620">
        <f>'③事業別損益表（拠点別）'!D20</f>
        <v>31747000</v>
      </c>
      <c r="S12" s="597" t="e">
        <f t="shared" si="4"/>
        <v>#REF!</v>
      </c>
    </row>
    <row r="13" spans="1:19" ht="30" customHeight="1">
      <c r="A13" s="1260" t="s">
        <v>478</v>
      </c>
      <c r="B13" s="1259"/>
      <c r="C13" s="1313"/>
      <c r="D13" s="602" t="e">
        <f>①ベース事業別内訳!#REF!</f>
        <v>#REF!</v>
      </c>
      <c r="E13" s="640" t="e">
        <f t="shared" si="0"/>
        <v>#REF!</v>
      </c>
      <c r="F13" s="707" t="e">
        <f>①ベース事業別内訳!#REF!</f>
        <v>#REF!</v>
      </c>
      <c r="G13" s="707" t="e">
        <f>G14+G15</f>
        <v>#REF!</v>
      </c>
      <c r="H13" s="717" t="e">
        <f t="shared" si="1"/>
        <v>#REF!</v>
      </c>
      <c r="I13" s="672"/>
      <c r="J13" s="672"/>
      <c r="K13" s="706" t="e">
        <f t="shared" si="3"/>
        <v>#REF!</v>
      </c>
      <c r="L13" s="605" t="e">
        <f t="shared" si="2"/>
        <v>#REF!</v>
      </c>
      <c r="M13" s="787" t="e">
        <f>-$L$31*N13</f>
        <v>#REF!</v>
      </c>
      <c r="N13" s="777" t="e">
        <f>E13</f>
        <v>#REF!</v>
      </c>
      <c r="O13" s="723" t="e">
        <f>F13+M13</f>
        <v>#REF!</v>
      </c>
      <c r="P13" s="605" t="e">
        <f>D13-O13</f>
        <v>#REF!</v>
      </c>
      <c r="Q13" s="637"/>
      <c r="R13" s="620">
        <f>'③事業別損益表（拠点別）'!D10</f>
        <v>52662000</v>
      </c>
      <c r="S13" s="597" t="e">
        <f t="shared" si="4"/>
        <v>#REF!</v>
      </c>
    </row>
    <row r="14" spans="1:19">
      <c r="A14" s="686"/>
      <c r="B14" s="690" t="s">
        <v>509</v>
      </c>
      <c r="C14" s="691"/>
      <c r="D14" s="692" t="e">
        <f>①ベース事業別内訳!#REF!+①ベース事業別内訳!#REF!</f>
        <v>#REF!</v>
      </c>
      <c r="E14" s="693"/>
      <c r="F14" s="730"/>
      <c r="G14" s="730" t="e">
        <f>①ベース事業別内訳!#REF!</f>
        <v>#REF!</v>
      </c>
      <c r="H14" s="718" t="e">
        <f>G14/D13</f>
        <v>#REF!</v>
      </c>
      <c r="I14" s="694"/>
      <c r="J14" s="694"/>
      <c r="K14" s="708"/>
      <c r="L14" s="695"/>
      <c r="M14" s="788"/>
      <c r="N14" s="778"/>
      <c r="O14" s="724"/>
      <c r="P14" s="695"/>
      <c r="Q14" s="637"/>
      <c r="R14" s="733">
        <f>'③事業別損益表（拠点別）'!D11</f>
        <v>31619000</v>
      </c>
      <c r="S14" s="734"/>
    </row>
    <row r="15" spans="1:19">
      <c r="A15" s="687"/>
      <c r="B15" s="696" t="s">
        <v>510</v>
      </c>
      <c r="C15" s="697"/>
      <c r="D15" s="698" t="e">
        <f>①ベース事業別内訳!#REF!</f>
        <v>#REF!</v>
      </c>
      <c r="E15" s="699"/>
      <c r="F15" s="731"/>
      <c r="G15" s="731" t="e">
        <f>①ベース事業別内訳!#REF!</f>
        <v>#REF!</v>
      </c>
      <c r="H15" s="719" t="e">
        <f>G15/D13</f>
        <v>#REF!</v>
      </c>
      <c r="I15" s="700"/>
      <c r="J15" s="700"/>
      <c r="K15" s="709"/>
      <c r="L15" s="701"/>
      <c r="M15" s="789"/>
      <c r="N15" s="779"/>
      <c r="O15" s="725"/>
      <c r="P15" s="701"/>
      <c r="Q15" s="637"/>
      <c r="R15" s="735">
        <f>'③事業別損益表（拠点別）'!D12</f>
        <v>13500000</v>
      </c>
      <c r="S15" s="736"/>
    </row>
    <row r="16" spans="1:19" ht="30" customHeight="1">
      <c r="A16" s="1260" t="s">
        <v>489</v>
      </c>
      <c r="B16" s="1259"/>
      <c r="C16" s="1313"/>
      <c r="D16" s="602" t="e">
        <f>D17+D18+D19</f>
        <v>#REF!</v>
      </c>
      <c r="E16" s="640" t="e">
        <f t="shared" ref="E16:E29" si="5">ROUND(D16/$D$30,2)</f>
        <v>#REF!</v>
      </c>
      <c r="F16" s="707" t="e">
        <f>F17+F18+F19</f>
        <v>#REF!</v>
      </c>
      <c r="G16" s="707" t="e">
        <f>G17+G18+G19</f>
        <v>#REF!</v>
      </c>
      <c r="H16" s="717" t="e">
        <f t="shared" si="1"/>
        <v>#REF!</v>
      </c>
      <c r="I16" s="672"/>
      <c r="J16" s="672"/>
      <c r="K16" s="706" t="e">
        <f t="shared" si="3"/>
        <v>#REF!</v>
      </c>
      <c r="L16" s="605" t="e">
        <f>L17+L18+L19</f>
        <v>#REF!</v>
      </c>
      <c r="M16" s="787" t="e">
        <f t="shared" ref="M16:M23" si="6">-$L$31*N16</f>
        <v>#REF!</v>
      </c>
      <c r="N16" s="777" t="e">
        <f t="shared" ref="N16:N25" si="7">E16</f>
        <v>#REF!</v>
      </c>
      <c r="O16" s="723" t="e">
        <f t="shared" ref="O16:O25" si="8">F16+M16</f>
        <v>#REF!</v>
      </c>
      <c r="P16" s="605" t="e">
        <f t="shared" ref="P16:P25" si="9">D16-O16</f>
        <v>#REF!</v>
      </c>
      <c r="Q16" s="637"/>
      <c r="R16" s="620" t="e">
        <f>'③事業別損益表（拠点別）'!#REF!</f>
        <v>#REF!</v>
      </c>
      <c r="S16" s="597" t="e">
        <f t="shared" si="4"/>
        <v>#REF!</v>
      </c>
    </row>
    <row r="17" spans="1:19">
      <c r="A17" s="645"/>
      <c r="B17" s="737" t="s">
        <v>491</v>
      </c>
      <c r="C17" s="738"/>
      <c r="D17" s="692" t="e">
        <f>①ベース事業別内訳!#REF!</f>
        <v>#REF!</v>
      </c>
      <c r="E17" s="693" t="e">
        <f t="shared" si="5"/>
        <v>#REF!</v>
      </c>
      <c r="F17" s="739" t="e">
        <f>①ベース事業別内訳!#REF!</f>
        <v>#REF!</v>
      </c>
      <c r="G17" s="739" t="e">
        <f>①ベース事業別内訳!#REF!</f>
        <v>#REF!</v>
      </c>
      <c r="H17" s="718" t="e">
        <f t="shared" si="1"/>
        <v>#REF!</v>
      </c>
      <c r="I17" s="740"/>
      <c r="J17" s="740"/>
      <c r="K17" s="740" t="e">
        <f t="shared" si="3"/>
        <v>#REF!</v>
      </c>
      <c r="L17" s="695" t="e">
        <f>D17-F17</f>
        <v>#REF!</v>
      </c>
      <c r="M17" s="788" t="e">
        <f t="shared" si="6"/>
        <v>#REF!</v>
      </c>
      <c r="N17" s="778" t="e">
        <f t="shared" si="7"/>
        <v>#REF!</v>
      </c>
      <c r="O17" s="724" t="e">
        <f t="shared" si="8"/>
        <v>#REF!</v>
      </c>
      <c r="P17" s="695" t="e">
        <f t="shared" si="9"/>
        <v>#REF!</v>
      </c>
      <c r="Q17" s="637"/>
      <c r="R17" s="733">
        <f>'③事業別損益表（拠点別）'!D14</f>
        <v>25247000</v>
      </c>
      <c r="S17" s="734" t="e">
        <f t="shared" si="4"/>
        <v>#REF!</v>
      </c>
    </row>
    <row r="18" spans="1:19">
      <c r="A18" s="646"/>
      <c r="B18" s="741" t="s">
        <v>469</v>
      </c>
      <c r="C18" s="742"/>
      <c r="D18" s="743" t="e">
        <f>①ベース事業別内訳!#REF!</f>
        <v>#REF!</v>
      </c>
      <c r="E18" s="744" t="e">
        <f t="shared" si="5"/>
        <v>#REF!</v>
      </c>
      <c r="F18" s="745" t="e">
        <f>①ベース事業別内訳!#REF!</f>
        <v>#REF!</v>
      </c>
      <c r="G18" s="745" t="e">
        <f>①ベース事業別内訳!#REF!</f>
        <v>#REF!</v>
      </c>
      <c r="H18" s="746" t="e">
        <f t="shared" si="1"/>
        <v>#REF!</v>
      </c>
      <c r="I18" s="747"/>
      <c r="J18" s="747"/>
      <c r="K18" s="747" t="e">
        <f t="shared" si="3"/>
        <v>#REF!</v>
      </c>
      <c r="L18" s="748" t="e">
        <f>D18-F18</f>
        <v>#REF!</v>
      </c>
      <c r="M18" s="790" t="e">
        <f t="shared" si="6"/>
        <v>#REF!</v>
      </c>
      <c r="N18" s="780" t="e">
        <f t="shared" si="7"/>
        <v>#REF!</v>
      </c>
      <c r="O18" s="750" t="e">
        <f t="shared" si="8"/>
        <v>#REF!</v>
      </c>
      <c r="P18" s="748" t="e">
        <f t="shared" si="9"/>
        <v>#REF!</v>
      </c>
      <c r="Q18" s="637"/>
      <c r="R18" s="755">
        <f>'③事業別損益表（拠点別）'!D13</f>
        <v>7543000</v>
      </c>
      <c r="S18" s="756"/>
    </row>
    <row r="19" spans="1:19">
      <c r="A19" s="646"/>
      <c r="B19" s="751" t="s">
        <v>490</v>
      </c>
      <c r="C19" s="752"/>
      <c r="D19" s="698" t="e">
        <f>①ベース事業別内訳!#REF!</f>
        <v>#REF!</v>
      </c>
      <c r="E19" s="699" t="e">
        <f t="shared" si="5"/>
        <v>#REF!</v>
      </c>
      <c r="F19" s="753" t="e">
        <f>①ベース事業別内訳!#REF!</f>
        <v>#REF!</v>
      </c>
      <c r="G19" s="753" t="e">
        <f>①ベース事業別内訳!#REF!</f>
        <v>#REF!</v>
      </c>
      <c r="H19" s="719" t="e">
        <f t="shared" si="1"/>
        <v>#REF!</v>
      </c>
      <c r="I19" s="754"/>
      <c r="J19" s="754"/>
      <c r="K19" s="754" t="e">
        <f t="shared" si="3"/>
        <v>#REF!</v>
      </c>
      <c r="L19" s="701" t="e">
        <f>D19-F19</f>
        <v>#REF!</v>
      </c>
      <c r="M19" s="789" t="e">
        <f t="shared" si="6"/>
        <v>#REF!</v>
      </c>
      <c r="N19" s="779" t="e">
        <f t="shared" si="7"/>
        <v>#REF!</v>
      </c>
      <c r="O19" s="725" t="e">
        <f t="shared" si="8"/>
        <v>#REF!</v>
      </c>
      <c r="P19" s="701" t="e">
        <f t="shared" si="9"/>
        <v>#REF!</v>
      </c>
      <c r="Q19" s="637"/>
      <c r="R19" s="735">
        <f>'③事業別損益表（拠点別）'!D16</f>
        <v>20259000</v>
      </c>
      <c r="S19" s="736" t="e">
        <f t="shared" si="4"/>
        <v>#REF!</v>
      </c>
    </row>
    <row r="20" spans="1:19" ht="30" customHeight="1">
      <c r="A20" s="1258" t="s">
        <v>479</v>
      </c>
      <c r="B20" s="1259"/>
      <c r="C20" s="1313"/>
      <c r="D20" s="602" t="e">
        <f>①ベース事業別内訳!#REF!</f>
        <v>#REF!</v>
      </c>
      <c r="E20" s="640" t="e">
        <f>ROUND(D20/$D$30,2)-1%</f>
        <v>#REF!</v>
      </c>
      <c r="F20" s="707" t="e">
        <f>①ベース事業別内訳!#REF!</f>
        <v>#REF!</v>
      </c>
      <c r="G20" s="707" t="e">
        <f>①ベース事業別内訳!#REF!</f>
        <v>#REF!</v>
      </c>
      <c r="H20" s="717" t="e">
        <f t="shared" si="1"/>
        <v>#REF!</v>
      </c>
      <c r="I20" s="672"/>
      <c r="J20" s="672"/>
      <c r="K20" s="706" t="e">
        <f t="shared" si="3"/>
        <v>#REF!</v>
      </c>
      <c r="L20" s="605" t="e">
        <f>D20-F20</f>
        <v>#REF!</v>
      </c>
      <c r="M20" s="787" t="e">
        <f>-$L$31*N20</f>
        <v>#REF!</v>
      </c>
      <c r="N20" s="777" t="e">
        <f t="shared" si="7"/>
        <v>#REF!</v>
      </c>
      <c r="O20" s="723" t="e">
        <f t="shared" si="8"/>
        <v>#REF!</v>
      </c>
      <c r="P20" s="605" t="e">
        <f t="shared" si="9"/>
        <v>#REF!</v>
      </c>
      <c r="Q20" s="637"/>
      <c r="R20" s="620">
        <f>'③事業別損益表（拠点別）'!D21</f>
        <v>9167000</v>
      </c>
      <c r="S20" s="597" t="e">
        <f t="shared" si="4"/>
        <v>#REF!</v>
      </c>
    </row>
    <row r="21" spans="1:19" ht="30" customHeight="1">
      <c r="A21" s="1260" t="s">
        <v>488</v>
      </c>
      <c r="B21" s="1259"/>
      <c r="C21" s="1313"/>
      <c r="D21" s="602" t="e">
        <f>D22+D23</f>
        <v>#REF!</v>
      </c>
      <c r="E21" s="640" t="e">
        <f>ROUND(D21/$D$30,2)</f>
        <v>#REF!</v>
      </c>
      <c r="F21" s="707" t="e">
        <f>F22+F23</f>
        <v>#REF!</v>
      </c>
      <c r="G21" s="707" t="e">
        <f>G22+G23</f>
        <v>#REF!</v>
      </c>
      <c r="H21" s="717" t="e">
        <f t="shared" si="1"/>
        <v>#REF!</v>
      </c>
      <c r="I21" s="672"/>
      <c r="J21" s="672"/>
      <c r="K21" s="706" t="e">
        <f t="shared" si="3"/>
        <v>#REF!</v>
      </c>
      <c r="L21" s="605" t="e">
        <f>L22+L23</f>
        <v>#REF!</v>
      </c>
      <c r="M21" s="787" t="e">
        <f t="shared" si="6"/>
        <v>#REF!</v>
      </c>
      <c r="N21" s="777" t="e">
        <f t="shared" si="7"/>
        <v>#REF!</v>
      </c>
      <c r="O21" s="723" t="e">
        <f t="shared" si="8"/>
        <v>#REF!</v>
      </c>
      <c r="P21" s="605" t="e">
        <f t="shared" si="9"/>
        <v>#REF!</v>
      </c>
      <c r="Q21" s="637"/>
      <c r="R21" s="620">
        <f>'③事業別損益表（拠点別）'!D17</f>
        <v>21005000</v>
      </c>
      <c r="S21" s="597" t="e">
        <f>D21/R21</f>
        <v>#REF!</v>
      </c>
    </row>
    <row r="22" spans="1:19">
      <c r="A22" s="645"/>
      <c r="B22" s="737" t="s">
        <v>470</v>
      </c>
      <c r="C22" s="738"/>
      <c r="D22" s="692" t="e">
        <f>①ベース事業別内訳!#REF!</f>
        <v>#REF!</v>
      </c>
      <c r="E22" s="693" t="e">
        <f t="shared" si="5"/>
        <v>#REF!</v>
      </c>
      <c r="F22" s="739" t="e">
        <f>①ベース事業別内訳!#REF!</f>
        <v>#REF!</v>
      </c>
      <c r="G22" s="739" t="e">
        <f>①ベース事業別内訳!#REF!</f>
        <v>#REF!</v>
      </c>
      <c r="H22" s="718" t="e">
        <f t="shared" si="1"/>
        <v>#REF!</v>
      </c>
      <c r="I22" s="740"/>
      <c r="J22" s="740"/>
      <c r="K22" s="740" t="e">
        <f t="shared" si="3"/>
        <v>#REF!</v>
      </c>
      <c r="L22" s="695" t="e">
        <f>D22-F22</f>
        <v>#REF!</v>
      </c>
      <c r="M22" s="788" t="e">
        <f t="shared" si="6"/>
        <v>#REF!</v>
      </c>
      <c r="N22" s="778" t="e">
        <f t="shared" si="7"/>
        <v>#REF!</v>
      </c>
      <c r="O22" s="724" t="e">
        <f t="shared" si="8"/>
        <v>#REF!</v>
      </c>
      <c r="P22" s="695" t="e">
        <f t="shared" si="9"/>
        <v>#REF!</v>
      </c>
      <c r="Q22" s="637"/>
      <c r="R22" s="733">
        <f>'③事業別損益表（拠点別）'!D18</f>
        <v>11581000</v>
      </c>
      <c r="S22" s="734" t="e">
        <f t="shared" ref="S22:S32" si="10">D22/R22</f>
        <v>#REF!</v>
      </c>
    </row>
    <row r="23" spans="1:19">
      <c r="A23" s="646"/>
      <c r="B23" s="751" t="s">
        <v>471</v>
      </c>
      <c r="C23" s="752"/>
      <c r="D23" s="698" t="e">
        <f>①ベース事業別内訳!#REF!</f>
        <v>#REF!</v>
      </c>
      <c r="E23" s="699" t="e">
        <f t="shared" si="5"/>
        <v>#REF!</v>
      </c>
      <c r="F23" s="753" t="e">
        <f>①ベース事業別内訳!#REF!</f>
        <v>#REF!</v>
      </c>
      <c r="G23" s="753" t="e">
        <f>①ベース事業別内訳!#REF!</f>
        <v>#REF!</v>
      </c>
      <c r="H23" s="719" t="e">
        <f t="shared" si="1"/>
        <v>#REF!</v>
      </c>
      <c r="I23" s="754"/>
      <c r="J23" s="754"/>
      <c r="K23" s="754" t="e">
        <f t="shared" si="3"/>
        <v>#REF!</v>
      </c>
      <c r="L23" s="701" t="e">
        <f>D23-F23</f>
        <v>#REF!</v>
      </c>
      <c r="M23" s="789" t="e">
        <f t="shared" si="6"/>
        <v>#REF!</v>
      </c>
      <c r="N23" s="779" t="e">
        <f t="shared" si="7"/>
        <v>#REF!</v>
      </c>
      <c r="O23" s="725" t="e">
        <f t="shared" si="8"/>
        <v>#REF!</v>
      </c>
      <c r="P23" s="701" t="e">
        <f t="shared" si="9"/>
        <v>#REF!</v>
      </c>
      <c r="Q23" s="637"/>
      <c r="R23" s="735">
        <f>'③事業別損益表（拠点別）'!D19</f>
        <v>9424000</v>
      </c>
      <c r="S23" s="736" t="e">
        <f t="shared" si="10"/>
        <v>#REF!</v>
      </c>
    </row>
    <row r="24" spans="1:19" ht="30" customHeight="1">
      <c r="A24" s="1335" t="s">
        <v>484</v>
      </c>
      <c r="B24" s="1336"/>
      <c r="C24" s="606"/>
      <c r="D24" s="596" t="e">
        <f>①ベース事業別内訳!#REF!</f>
        <v>#REF!</v>
      </c>
      <c r="E24" s="598" t="e">
        <f t="shared" si="5"/>
        <v>#REF!</v>
      </c>
      <c r="F24" s="710" t="e">
        <f>①ベース事業別内訳!#REF!</f>
        <v>#REF!</v>
      </c>
      <c r="G24" s="710" t="e">
        <f>①ベース事業別内訳!#REF!</f>
        <v>#REF!</v>
      </c>
      <c r="H24" s="597" t="e">
        <f t="shared" si="1"/>
        <v>#REF!</v>
      </c>
      <c r="I24" s="712"/>
      <c r="J24" s="596"/>
      <c r="K24" s="710" t="e">
        <f t="shared" si="3"/>
        <v>#REF!</v>
      </c>
      <c r="L24" s="610" t="e">
        <f>D24-F24</f>
        <v>#REF!</v>
      </c>
      <c r="M24" s="616" t="e">
        <f>-$L$31*N24</f>
        <v>#REF!</v>
      </c>
      <c r="N24" s="781" t="e">
        <f t="shared" si="7"/>
        <v>#REF!</v>
      </c>
      <c r="O24" s="647" t="e">
        <f t="shared" si="8"/>
        <v>#REF!</v>
      </c>
      <c r="P24" s="596" t="e">
        <f t="shared" si="9"/>
        <v>#REF!</v>
      </c>
      <c r="R24" s="797"/>
      <c r="S24" s="597"/>
    </row>
    <row r="25" spans="1:19" ht="30" customHeight="1">
      <c r="A25" s="1260" t="s">
        <v>514</v>
      </c>
      <c r="B25" s="1259"/>
      <c r="C25" s="1313"/>
      <c r="D25" s="602" t="e">
        <f>D26+D28+D27+D29</f>
        <v>#REF!</v>
      </c>
      <c r="E25" s="640" t="e">
        <f t="shared" si="5"/>
        <v>#REF!</v>
      </c>
      <c r="F25" s="707" t="e">
        <f>F26+F28+F29</f>
        <v>#REF!</v>
      </c>
      <c r="G25" s="707">
        <v>0</v>
      </c>
      <c r="H25" s="717" t="e">
        <f t="shared" si="1"/>
        <v>#REF!</v>
      </c>
      <c r="I25" s="672"/>
      <c r="J25" s="672"/>
      <c r="K25" s="706" t="e">
        <f t="shared" si="3"/>
        <v>#REF!</v>
      </c>
      <c r="L25" s="605" t="e">
        <f>L26+L28+L29+L27</f>
        <v>#REF!</v>
      </c>
      <c r="M25" s="787" t="e">
        <f>-$L$31*N25</f>
        <v>#REF!</v>
      </c>
      <c r="N25" s="777" t="e">
        <f t="shared" si="7"/>
        <v>#REF!</v>
      </c>
      <c r="O25" s="723" t="e">
        <f t="shared" si="8"/>
        <v>#REF!</v>
      </c>
      <c r="P25" s="605" t="e">
        <f t="shared" si="9"/>
        <v>#REF!</v>
      </c>
      <c r="Q25" s="637"/>
      <c r="R25" s="620">
        <f>'③事業別損益表（拠点別）'!D24</f>
        <v>6040000</v>
      </c>
      <c r="S25" s="597" t="e">
        <f t="shared" si="10"/>
        <v>#REF!</v>
      </c>
    </row>
    <row r="26" spans="1:19" hidden="1">
      <c r="A26" s="645"/>
      <c r="B26" s="737" t="s">
        <v>376</v>
      </c>
      <c r="C26" s="738"/>
      <c r="D26" s="692" t="e">
        <f>①ベース事業別内訳!#REF!</f>
        <v>#REF!</v>
      </c>
      <c r="E26" s="757" t="e">
        <f t="shared" si="5"/>
        <v>#REF!</v>
      </c>
      <c r="F26" s="739" t="e">
        <f>①ベース事業別内訳!#REF!</f>
        <v>#REF!</v>
      </c>
      <c r="G26" s="739"/>
      <c r="H26" s="718" t="e">
        <f t="shared" si="1"/>
        <v>#REF!</v>
      </c>
      <c r="I26" s="740"/>
      <c r="J26" s="740"/>
      <c r="K26" s="740" t="e">
        <f t="shared" si="3"/>
        <v>#REF!</v>
      </c>
      <c r="L26" s="695" t="e">
        <f>D26-F26</f>
        <v>#REF!</v>
      </c>
      <c r="M26" s="788"/>
      <c r="N26" s="778"/>
      <c r="O26" s="724"/>
      <c r="P26" s="695"/>
      <c r="Q26" s="637"/>
      <c r="R26" s="733">
        <f>'③事業別損益表（拠点別）'!D25</f>
        <v>281000</v>
      </c>
      <c r="S26" s="734" t="e">
        <f t="shared" si="10"/>
        <v>#REF!</v>
      </c>
    </row>
    <row r="27" spans="1:19" hidden="1">
      <c r="A27" s="646"/>
      <c r="B27" s="741" t="s">
        <v>167</v>
      </c>
      <c r="C27" s="742"/>
      <c r="D27" s="743" t="e">
        <f>①ベース事業別内訳!#REF!</f>
        <v>#REF!</v>
      </c>
      <c r="E27" s="744" t="e">
        <f t="shared" si="5"/>
        <v>#REF!</v>
      </c>
      <c r="F27" s="758"/>
      <c r="G27" s="758"/>
      <c r="H27" s="746" t="e">
        <f t="shared" si="1"/>
        <v>#REF!</v>
      </c>
      <c r="I27" s="759"/>
      <c r="J27" s="759"/>
      <c r="K27" s="749">
        <f t="shared" si="3"/>
        <v>0</v>
      </c>
      <c r="L27" s="748" t="e">
        <f>D27-F27</f>
        <v>#REF!</v>
      </c>
      <c r="M27" s="790"/>
      <c r="N27" s="780"/>
      <c r="O27" s="750"/>
      <c r="P27" s="748"/>
      <c r="Q27" s="637"/>
      <c r="R27" s="755">
        <v>2847000</v>
      </c>
      <c r="S27" s="756" t="e">
        <f t="shared" si="10"/>
        <v>#REF!</v>
      </c>
    </row>
    <row r="28" spans="1:19" hidden="1">
      <c r="A28" s="646"/>
      <c r="B28" s="741" t="s">
        <v>472</v>
      </c>
      <c r="C28" s="742"/>
      <c r="D28" s="743" t="e">
        <f>①ベース事業別内訳!#REF!</f>
        <v>#REF!</v>
      </c>
      <c r="E28" s="760" t="e">
        <f t="shared" si="5"/>
        <v>#REF!</v>
      </c>
      <c r="F28" s="745" t="e">
        <f>①ベース事業別内訳!#REF!</f>
        <v>#REF!</v>
      </c>
      <c r="G28" s="745"/>
      <c r="H28" s="746" t="e">
        <f t="shared" si="1"/>
        <v>#REF!</v>
      </c>
      <c r="I28" s="747"/>
      <c r="J28" s="747"/>
      <c r="K28" s="747" t="e">
        <f t="shared" si="3"/>
        <v>#REF!</v>
      </c>
      <c r="L28" s="748" t="e">
        <f>D28-F28</f>
        <v>#REF!</v>
      </c>
      <c r="M28" s="790"/>
      <c r="N28" s="780"/>
      <c r="O28" s="750"/>
      <c r="P28" s="748"/>
      <c r="Q28" s="637"/>
      <c r="R28" s="755" t="e">
        <f>'③事業別損益表（拠点別）'!#REF!</f>
        <v>#REF!</v>
      </c>
      <c r="S28" s="756" t="e">
        <f t="shared" si="10"/>
        <v>#REF!</v>
      </c>
    </row>
    <row r="29" spans="1:19" hidden="1">
      <c r="A29" s="646"/>
      <c r="B29" s="751" t="s">
        <v>158</v>
      </c>
      <c r="C29" s="752"/>
      <c r="D29" s="698" t="e">
        <f>①ベース事業別内訳!#REF!</f>
        <v>#REF!</v>
      </c>
      <c r="E29" s="761" t="e">
        <f t="shared" si="5"/>
        <v>#REF!</v>
      </c>
      <c r="F29" s="753" t="e">
        <f>①ベース事業別内訳!#REF!</f>
        <v>#REF!</v>
      </c>
      <c r="G29" s="753" t="e">
        <f>①ベース事業別内訳!#REF!</f>
        <v>#REF!</v>
      </c>
      <c r="H29" s="719" t="e">
        <f t="shared" si="1"/>
        <v>#REF!</v>
      </c>
      <c r="I29" s="754"/>
      <c r="J29" s="754"/>
      <c r="K29" s="754" t="e">
        <f>F29-G29</f>
        <v>#REF!</v>
      </c>
      <c r="L29" s="701" t="e">
        <f>D29-F29</f>
        <v>#REF!</v>
      </c>
      <c r="M29" s="789"/>
      <c r="N29" s="779"/>
      <c r="O29" s="725"/>
      <c r="P29" s="701"/>
      <c r="Q29" s="637"/>
      <c r="R29" s="735">
        <f>'③事業別損益表（拠点別）'!D27</f>
        <v>759000</v>
      </c>
      <c r="S29" s="736" t="e">
        <f t="shared" si="10"/>
        <v>#REF!</v>
      </c>
    </row>
    <row r="30" spans="1:19" ht="24.95" customHeight="1">
      <c r="A30" s="1332" t="s">
        <v>386</v>
      </c>
      <c r="B30" s="1333"/>
      <c r="C30" s="772" t="s">
        <v>382</v>
      </c>
      <c r="D30" s="764" t="e">
        <f>D25+D21+D16+D13+D12+D11+D10+D7+D20+D24</f>
        <v>#REF!</v>
      </c>
      <c r="E30" s="765" t="e">
        <f>E25+E21+E16+E13+E12+E11+E10+E7+E20+E24</f>
        <v>#REF!</v>
      </c>
      <c r="F30" s="766" t="e">
        <f>F25+F21+F16+F13+F12+F11+F10+F7+F20+F24</f>
        <v>#REF!</v>
      </c>
      <c r="G30" s="766" t="e">
        <f>G25+G21+G16+G13+G12+G11+G10+G7+G20+G24</f>
        <v>#REF!</v>
      </c>
      <c r="H30" s="767" t="e">
        <f t="shared" si="1"/>
        <v>#REF!</v>
      </c>
      <c r="I30" s="768"/>
      <c r="J30" s="768"/>
      <c r="K30" s="769" t="e">
        <f t="shared" ref="K30:P30" si="11">K25+K21+K16+K13+K12+K11+K10+K7+K20+K24</f>
        <v>#REF!</v>
      </c>
      <c r="L30" s="773" t="e">
        <f t="shared" si="11"/>
        <v>#REF!</v>
      </c>
      <c r="M30" s="791" t="e">
        <f t="shared" si="11"/>
        <v>#REF!</v>
      </c>
      <c r="N30" s="782" t="e">
        <f t="shared" si="11"/>
        <v>#REF!</v>
      </c>
      <c r="O30" s="771" t="e">
        <f t="shared" si="11"/>
        <v>#REF!</v>
      </c>
      <c r="P30" s="773" t="e">
        <f t="shared" si="11"/>
        <v>#REF!</v>
      </c>
      <c r="Q30" s="638"/>
      <c r="R30" s="796">
        <f>'③事業別損益表（拠点別）'!D28</f>
        <v>280558000</v>
      </c>
      <c r="S30" s="667" t="e">
        <f t="shared" si="10"/>
        <v>#REF!</v>
      </c>
    </row>
    <row r="31" spans="1:19" ht="30" customHeight="1">
      <c r="A31" s="1335" t="s">
        <v>512</v>
      </c>
      <c r="B31" s="1336"/>
      <c r="C31" s="618" t="s">
        <v>383</v>
      </c>
      <c r="D31" s="607" t="e">
        <f>①ベース事業別内訳!#REF!</f>
        <v>#REF!</v>
      </c>
      <c r="E31" s="643"/>
      <c r="F31" s="732" t="e">
        <f>①ベース事業別内訳!#REF!</f>
        <v>#REF!</v>
      </c>
      <c r="G31" s="793" t="e">
        <f>①ベース事業別内訳!#REF!+①ベース事業別内訳!#REF!+①ベース事業別内訳!#REF!</f>
        <v>#REF!</v>
      </c>
      <c r="H31" s="794" t="e">
        <f t="shared" si="1"/>
        <v>#REF!</v>
      </c>
      <c r="I31" s="674"/>
      <c r="J31" s="674"/>
      <c r="K31" s="711" t="e">
        <f>F31-G31</f>
        <v>#REF!</v>
      </c>
      <c r="L31" s="610" t="e">
        <f>D31-F31</f>
        <v>#REF!</v>
      </c>
      <c r="M31" s="792"/>
      <c r="N31" s="783"/>
      <c r="O31" s="726"/>
      <c r="P31" s="610"/>
      <c r="Q31" s="637"/>
      <c r="R31" s="797">
        <f>'③事業別損益表（拠点別）'!D29</f>
        <v>0</v>
      </c>
      <c r="S31" s="597" t="e">
        <f t="shared" si="10"/>
        <v>#REF!</v>
      </c>
    </row>
    <row r="32" spans="1:19" ht="39.950000000000003" customHeight="1">
      <c r="A32" s="1332" t="s">
        <v>387</v>
      </c>
      <c r="B32" s="1333"/>
      <c r="C32" s="763" t="s">
        <v>385</v>
      </c>
      <c r="D32" s="764" t="e">
        <f>D30+D31</f>
        <v>#REF!</v>
      </c>
      <c r="E32" s="765"/>
      <c r="F32" s="766" t="e">
        <f>F30+F31</f>
        <v>#REF!</v>
      </c>
      <c r="G32" s="766" t="e">
        <f>G30+G31</f>
        <v>#REF!</v>
      </c>
      <c r="H32" s="767" t="e">
        <f t="shared" si="1"/>
        <v>#REF!</v>
      </c>
      <c r="I32" s="768"/>
      <c r="J32" s="768"/>
      <c r="K32" s="769" t="e">
        <f>K30+K31</f>
        <v>#REF!</v>
      </c>
      <c r="L32" s="770" t="e">
        <f>L30+L31</f>
        <v>#REF!</v>
      </c>
      <c r="M32" s="791"/>
      <c r="N32" s="782"/>
      <c r="O32" s="771"/>
      <c r="P32" s="770" t="e">
        <f>P30+P31</f>
        <v>#REF!</v>
      </c>
      <c r="Q32" s="637"/>
      <c r="R32" s="762">
        <f>'③事業別損益表（拠点別）'!D30</f>
        <v>280558000</v>
      </c>
      <c r="S32" s="667" t="e">
        <f t="shared" si="10"/>
        <v>#REF!</v>
      </c>
    </row>
    <row r="33" spans="1:18" ht="20.100000000000001" customHeight="1">
      <c r="R33" s="795"/>
    </row>
    <row r="34" spans="1:18" ht="19.899999999999999" customHeight="1">
      <c r="A34" s="1315" t="s">
        <v>530</v>
      </c>
      <c r="B34" s="1316"/>
      <c r="C34" s="1316"/>
      <c r="D34" s="1316"/>
      <c r="E34" s="712"/>
      <c r="F34" s="616">
        <f>600000*12</f>
        <v>7200000</v>
      </c>
      <c r="G34" s="675"/>
      <c r="H34" s="426"/>
      <c r="I34" s="675"/>
      <c r="J34" s="675"/>
      <c r="K34" s="675"/>
      <c r="R34" s="798"/>
    </row>
    <row r="35" spans="1:18" ht="9" customHeight="1"/>
    <row r="36" spans="1:18" ht="19.899999999999999" customHeight="1">
      <c r="A36" s="1314" t="s">
        <v>515</v>
      </c>
      <c r="B36" s="1314"/>
      <c r="C36" s="1314"/>
      <c r="D36" s="1314"/>
      <c r="E36" s="1314"/>
      <c r="F36" s="616">
        <f>50000*2*12</f>
        <v>1200000</v>
      </c>
    </row>
  </sheetData>
  <mergeCells count="33">
    <mergeCell ref="R3:S3"/>
    <mergeCell ref="A20:C20"/>
    <mergeCell ref="A25:C25"/>
    <mergeCell ref="A32:B32"/>
    <mergeCell ref="O4:O6"/>
    <mergeCell ref="A7:C7"/>
    <mergeCell ref="A31:B31"/>
    <mergeCell ref="A24:B24"/>
    <mergeCell ref="A30:B30"/>
    <mergeCell ref="A21:C21"/>
    <mergeCell ref="A10:C10"/>
    <mergeCell ref="F4:F6"/>
    <mergeCell ref="L4:L6"/>
    <mergeCell ref="M4:M6"/>
    <mergeCell ref="A11:C11"/>
    <mergeCell ref="A12:C12"/>
    <mergeCell ref="A1:P1"/>
    <mergeCell ref="A2:P2"/>
    <mergeCell ref="A3:C6"/>
    <mergeCell ref="D3:D6"/>
    <mergeCell ref="F3:O3"/>
    <mergeCell ref="P3:P6"/>
    <mergeCell ref="K5:K6"/>
    <mergeCell ref="G5:G6"/>
    <mergeCell ref="G4:K4"/>
    <mergeCell ref="E5:E6"/>
    <mergeCell ref="N5:N6"/>
    <mergeCell ref="R4:R6"/>
    <mergeCell ref="A16:C16"/>
    <mergeCell ref="A36:E36"/>
    <mergeCell ref="S5:S6"/>
    <mergeCell ref="A34:D34"/>
    <mergeCell ref="A13:C1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1" orientation="landscape" r:id="rId1"/>
  <headerFooter>
    <oddHeader>&amp;R&amp;"HGPｺﾞｼｯｸM,ﾒﾃﾞｨｳﾑ"&amp;D</oddHead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"/>
  <sheetViews>
    <sheetView zoomScale="85" zoomScaleNormal="85" workbookViewId="0">
      <selection activeCell="B3" sqref="B3"/>
    </sheetView>
  </sheetViews>
  <sheetFormatPr defaultColWidth="9" defaultRowHeight="13.5"/>
  <cols>
    <col min="1" max="1" width="3.75" style="5" customWidth="1"/>
    <col min="2" max="2" width="15.625" style="5" customWidth="1"/>
    <col min="3" max="6" width="12.625" style="5" bestFit="1" customWidth="1"/>
    <col min="7" max="7" width="11.25" style="5" bestFit="1" customWidth="1"/>
    <col min="8" max="8" width="11.375" style="5" bestFit="1" customWidth="1"/>
    <col min="9" max="9" width="1.5" style="5" customWidth="1"/>
    <col min="10" max="10" width="9.25" style="5" hidden="1" customWidth="1"/>
    <col min="11" max="11" width="7.5" style="5" customWidth="1"/>
    <col min="12" max="12" width="11.25" style="518" bestFit="1" customWidth="1"/>
    <col min="13" max="13" width="2.5" style="5" customWidth="1"/>
    <col min="14" max="14" width="11.25" style="5" bestFit="1" customWidth="1"/>
    <col min="15" max="15" width="11" style="5" customWidth="1"/>
    <col min="16" max="16" width="7.875" style="5" bestFit="1" customWidth="1"/>
    <col min="17" max="17" width="8.375" style="518" bestFit="1" customWidth="1"/>
    <col min="18" max="18" width="29.625" style="5" bestFit="1" customWidth="1"/>
    <col min="19" max="16384" width="9" style="5"/>
  </cols>
  <sheetData>
    <row r="1" spans="1:18" ht="24.95" customHeight="1" thickBot="1">
      <c r="A1" s="513"/>
      <c r="B1" s="513"/>
      <c r="C1" s="1339" t="s">
        <v>233</v>
      </c>
      <c r="D1" s="1340"/>
      <c r="E1" s="1341" t="s">
        <v>420</v>
      </c>
      <c r="F1" s="1341"/>
      <c r="G1" s="1342" t="s">
        <v>421</v>
      </c>
      <c r="H1" s="1343"/>
      <c r="I1" s="513"/>
      <c r="J1" s="513"/>
      <c r="K1" s="1341" t="s">
        <v>429</v>
      </c>
      <c r="L1" s="1341"/>
      <c r="M1" s="513"/>
      <c r="N1" s="1339" t="s">
        <v>439</v>
      </c>
      <c r="O1" s="1341"/>
      <c r="P1" s="1341"/>
      <c r="Q1" s="1341"/>
      <c r="R1" s="1340"/>
    </row>
    <row r="2" spans="1:18" ht="24.95" hidden="1" customHeight="1">
      <c r="C2" s="514"/>
      <c r="D2" s="515"/>
      <c r="E2" s="1"/>
      <c r="F2" s="1"/>
      <c r="G2" s="516"/>
      <c r="H2" s="517"/>
      <c r="K2" s="5">
        <v>1700000</v>
      </c>
      <c r="N2" s="559"/>
      <c r="O2" s="41"/>
      <c r="P2" s="41"/>
      <c r="Q2" s="560"/>
      <c r="R2" s="561"/>
    </row>
    <row r="3" spans="1:18" ht="40.5">
      <c r="A3" s="513"/>
      <c r="B3" s="513"/>
      <c r="C3" s="519" t="s">
        <v>422</v>
      </c>
      <c r="D3" s="520" t="s">
        <v>423</v>
      </c>
      <c r="E3" s="521" t="s">
        <v>422</v>
      </c>
      <c r="F3" s="521" t="s">
        <v>423</v>
      </c>
      <c r="G3" s="522" t="s">
        <v>422</v>
      </c>
      <c r="H3" s="523" t="s">
        <v>423</v>
      </c>
      <c r="I3" s="513"/>
      <c r="J3" s="513"/>
      <c r="K3" s="525" t="s">
        <v>443</v>
      </c>
      <c r="L3" s="524" t="s">
        <v>430</v>
      </c>
      <c r="M3" s="513"/>
      <c r="N3" s="562" t="s">
        <v>440</v>
      </c>
      <c r="O3" s="552" t="s">
        <v>430</v>
      </c>
      <c r="P3" s="521" t="s">
        <v>441</v>
      </c>
      <c r="Q3" s="526" t="s">
        <v>442</v>
      </c>
      <c r="R3" s="520" t="s">
        <v>438</v>
      </c>
    </row>
    <row r="4" spans="1:18" ht="39.950000000000003" customHeight="1">
      <c r="A4" s="527" t="s">
        <v>157</v>
      </c>
      <c r="B4" s="527"/>
      <c r="C4" s="528" t="e">
        <f>#REF!</f>
        <v>#REF!</v>
      </c>
      <c r="D4" s="529" t="e">
        <f>#REF!</f>
        <v>#REF!</v>
      </c>
      <c r="E4" s="530" t="e">
        <f>#REF!</f>
        <v>#REF!</v>
      </c>
      <c r="F4" s="530" t="e">
        <f>#REF!</f>
        <v>#REF!</v>
      </c>
      <c r="G4" s="531" t="e">
        <f>#REF!</f>
        <v>#REF!</v>
      </c>
      <c r="H4" s="532" t="e">
        <f>#REF!</f>
        <v>#REF!</v>
      </c>
      <c r="I4" s="533"/>
      <c r="J4" s="533"/>
      <c r="K4" s="534" t="e">
        <f>H4/$J$15</f>
        <v>#REF!</v>
      </c>
      <c r="L4" s="535" t="e">
        <f>ROUNDDOWN($K$2*K4,-3)</f>
        <v>#REF!</v>
      </c>
      <c r="M4" s="536"/>
      <c r="N4" s="563">
        <v>359000</v>
      </c>
      <c r="O4" s="553">
        <f>N4</f>
        <v>359000</v>
      </c>
      <c r="P4" s="538">
        <v>4</v>
      </c>
      <c r="Q4" s="537">
        <f>O4/P4</f>
        <v>89750</v>
      </c>
      <c r="R4" s="564" t="s">
        <v>431</v>
      </c>
    </row>
    <row r="5" spans="1:18" ht="39.950000000000003" customHeight="1">
      <c r="A5" s="539" t="s">
        <v>373</v>
      </c>
      <c r="B5" s="539"/>
      <c r="C5" s="540" t="e">
        <f>#REF!</f>
        <v>#REF!</v>
      </c>
      <c r="D5" s="541" t="e">
        <f>#REF!</f>
        <v>#REF!</v>
      </c>
      <c r="E5" s="542" t="e">
        <f>#REF!</f>
        <v>#REF!</v>
      </c>
      <c r="F5" s="542" t="e">
        <f>#REF!</f>
        <v>#REF!</v>
      </c>
      <c r="G5" s="543" t="e">
        <f>#REF!</f>
        <v>#REF!</v>
      </c>
      <c r="H5" s="532" t="e">
        <f>#REF!</f>
        <v>#REF!</v>
      </c>
      <c r="I5" s="533"/>
      <c r="J5" s="533"/>
      <c r="K5" s="534" t="e">
        <f>H5/$J$15</f>
        <v>#REF!</v>
      </c>
      <c r="L5" s="537" t="e">
        <f>ROUNDDOWN($K$2*K5,-3)</f>
        <v>#REF!</v>
      </c>
      <c r="M5" s="536"/>
      <c r="N5" s="563">
        <v>258000</v>
      </c>
      <c r="O5" s="553" t="e">
        <f>L5</f>
        <v>#REF!</v>
      </c>
      <c r="P5" s="538">
        <v>3</v>
      </c>
      <c r="Q5" s="537" t="e">
        <f>O5/P5</f>
        <v>#REF!</v>
      </c>
      <c r="R5" s="564" t="s">
        <v>444</v>
      </c>
    </row>
    <row r="6" spans="1:18" ht="39.950000000000003" customHeight="1">
      <c r="A6" s="539" t="s">
        <v>374</v>
      </c>
      <c r="B6" s="539"/>
      <c r="C6" s="540" t="e">
        <f>#REF!</f>
        <v>#REF!</v>
      </c>
      <c r="D6" s="541" t="e">
        <f>#REF!</f>
        <v>#REF!</v>
      </c>
      <c r="E6" s="542" t="e">
        <f>#REF!</f>
        <v>#REF!</v>
      </c>
      <c r="F6" s="542" t="e">
        <f>#REF!</f>
        <v>#REF!</v>
      </c>
      <c r="G6" s="543" t="e">
        <f>#REF!</f>
        <v>#REF!</v>
      </c>
      <c r="H6" s="532" t="e">
        <f>#REF!</f>
        <v>#REF!</v>
      </c>
      <c r="I6" s="533"/>
      <c r="J6" s="533"/>
      <c r="K6" s="534" t="e">
        <f>H6/$J$15</f>
        <v>#REF!</v>
      </c>
      <c r="L6" s="537" t="e">
        <f>ROUNDDOWN($K$2*K6,-3)</f>
        <v>#REF!</v>
      </c>
      <c r="M6" s="536"/>
      <c r="N6" s="563">
        <v>181000</v>
      </c>
      <c r="O6" s="553" t="e">
        <f t="shared" ref="O6:O11" si="0">L6</f>
        <v>#REF!</v>
      </c>
      <c r="P6" s="538">
        <v>2</v>
      </c>
      <c r="Q6" s="537" t="e">
        <f>O6/P6</f>
        <v>#REF!</v>
      </c>
      <c r="R6" s="564" t="s">
        <v>432</v>
      </c>
    </row>
    <row r="7" spans="1:18" ht="39.950000000000003" customHeight="1">
      <c r="A7" s="539" t="s">
        <v>375</v>
      </c>
      <c r="B7" s="539"/>
      <c r="C7" s="540" t="e">
        <f>#REF!</f>
        <v>#REF!</v>
      </c>
      <c r="D7" s="541" t="e">
        <f>#REF!</f>
        <v>#REF!</v>
      </c>
      <c r="E7" s="542" t="e">
        <f>#REF!</f>
        <v>#REF!</v>
      </c>
      <c r="F7" s="542" t="e">
        <f>#REF!</f>
        <v>#REF!</v>
      </c>
      <c r="G7" s="543" t="e">
        <f>#REF!</f>
        <v>#REF!</v>
      </c>
      <c r="H7" s="532" t="e">
        <f>#REF!</f>
        <v>#REF!</v>
      </c>
      <c r="I7" s="533"/>
      <c r="J7" s="533"/>
      <c r="K7" s="534" t="e">
        <f>H7/$J$15</f>
        <v>#REF!</v>
      </c>
      <c r="L7" s="537" t="e">
        <f>ROUNDDOWN($K$2*K7,-3)</f>
        <v>#REF!</v>
      </c>
      <c r="M7" s="536"/>
      <c r="N7" s="563">
        <v>296000</v>
      </c>
      <c r="O7" s="553" t="e">
        <f>L7</f>
        <v>#REF!</v>
      </c>
      <c r="P7" s="538">
        <v>3</v>
      </c>
      <c r="Q7" s="537" t="e">
        <f>O7/P7</f>
        <v>#REF!</v>
      </c>
      <c r="R7" s="564" t="s">
        <v>433</v>
      </c>
    </row>
    <row r="8" spans="1:18" ht="39.950000000000003" customHeight="1">
      <c r="A8" s="539" t="s">
        <v>180</v>
      </c>
      <c r="B8" s="539"/>
      <c r="C8" s="540" t="e">
        <f>#REF!</f>
        <v>#REF!</v>
      </c>
      <c r="D8" s="541" t="e">
        <f>#REF!</f>
        <v>#REF!</v>
      </c>
      <c r="E8" s="542" t="e">
        <f>#REF!</f>
        <v>#REF!</v>
      </c>
      <c r="F8" s="542" t="e">
        <f>#REF!</f>
        <v>#REF!</v>
      </c>
      <c r="G8" s="543" t="e">
        <f>#REF!</f>
        <v>#REF!</v>
      </c>
      <c r="H8" s="532" t="e">
        <f>#REF!</f>
        <v>#REF!</v>
      </c>
      <c r="I8" s="533"/>
      <c r="J8" s="533"/>
      <c r="K8" s="534" t="e">
        <f>H8/$J$15</f>
        <v>#REF!</v>
      </c>
      <c r="L8" s="537" t="e">
        <f>ROUNDDOWN($K$2*K8,-3)</f>
        <v>#REF!</v>
      </c>
      <c r="M8" s="536"/>
      <c r="N8" s="563">
        <v>267000</v>
      </c>
      <c r="O8" s="553" t="e">
        <f t="shared" si="0"/>
        <v>#REF!</v>
      </c>
      <c r="P8" s="538">
        <v>3</v>
      </c>
      <c r="Q8" s="537" t="e">
        <f>O8/P8</f>
        <v>#REF!</v>
      </c>
      <c r="R8" s="564" t="s">
        <v>434</v>
      </c>
    </row>
    <row r="9" spans="1:18" ht="39.950000000000003" customHeight="1">
      <c r="A9" s="539" t="s">
        <v>178</v>
      </c>
      <c r="B9" s="539"/>
      <c r="C9" s="540" t="e">
        <f>#REF!</f>
        <v>#REF!</v>
      </c>
      <c r="D9" s="541" t="e">
        <f>#REF!</f>
        <v>#REF!</v>
      </c>
      <c r="E9" s="542" t="e">
        <f>#REF!</f>
        <v>#REF!</v>
      </c>
      <c r="F9" s="542" t="e">
        <f>#REF!</f>
        <v>#REF!</v>
      </c>
      <c r="G9" s="543" t="e">
        <f>#REF!</f>
        <v>#REF!</v>
      </c>
      <c r="H9" s="532" t="e">
        <f>#REF!</f>
        <v>#REF!</v>
      </c>
      <c r="I9" s="533"/>
      <c r="J9" s="533"/>
      <c r="K9" s="544" t="s">
        <v>428</v>
      </c>
      <c r="L9" s="544" t="s">
        <v>428</v>
      </c>
      <c r="M9" s="536"/>
      <c r="N9" s="563">
        <v>232000</v>
      </c>
      <c r="O9" s="554" t="str">
        <f t="shared" si="0"/>
        <v>※</v>
      </c>
      <c r="P9" s="538">
        <v>3</v>
      </c>
      <c r="Q9" s="537"/>
      <c r="R9" s="564" t="s">
        <v>435</v>
      </c>
    </row>
    <row r="10" spans="1:18" ht="39.950000000000003" customHeight="1">
      <c r="A10" s="539" t="s">
        <v>168</v>
      </c>
      <c r="B10" s="539"/>
      <c r="C10" s="540" t="e">
        <f>#REF!</f>
        <v>#REF!</v>
      </c>
      <c r="D10" s="541" t="e">
        <f>#REF!</f>
        <v>#REF!</v>
      </c>
      <c r="E10" s="542" t="e">
        <f>#REF!</f>
        <v>#REF!</v>
      </c>
      <c r="F10" s="542" t="e">
        <f>#REF!</f>
        <v>#REF!</v>
      </c>
      <c r="G10" s="543" t="e">
        <f>#REF!</f>
        <v>#REF!</v>
      </c>
      <c r="H10" s="532" t="e">
        <f>#REF!</f>
        <v>#REF!</v>
      </c>
      <c r="I10" s="533"/>
      <c r="J10" s="533"/>
      <c r="K10" s="534" t="e">
        <f>H10/$J$15</f>
        <v>#REF!</v>
      </c>
      <c r="L10" s="537" t="e">
        <f>ROUNDDOWN($K$2*K10,-3)</f>
        <v>#REF!</v>
      </c>
      <c r="M10" s="536"/>
      <c r="N10" s="563"/>
      <c r="O10" s="553" t="e">
        <f t="shared" si="0"/>
        <v>#REF!</v>
      </c>
      <c r="P10" s="538"/>
      <c r="Q10" s="537"/>
      <c r="R10" s="564"/>
    </row>
    <row r="11" spans="1:18" ht="39.950000000000003" customHeight="1">
      <c r="A11" s="539" t="s">
        <v>424</v>
      </c>
      <c r="B11" s="539"/>
      <c r="C11" s="540" t="e">
        <f t="shared" ref="C11:H11" si="1">SUM(C12:C13)</f>
        <v>#REF!</v>
      </c>
      <c r="D11" s="541" t="e">
        <f t="shared" si="1"/>
        <v>#REF!</v>
      </c>
      <c r="E11" s="542" t="e">
        <f t="shared" si="1"/>
        <v>#REF!</v>
      </c>
      <c r="F11" s="542" t="e">
        <f t="shared" si="1"/>
        <v>#REF!</v>
      </c>
      <c r="G11" s="543" t="e">
        <f t="shared" si="1"/>
        <v>#REF!</v>
      </c>
      <c r="H11" s="532" t="e">
        <f t="shared" si="1"/>
        <v>#REF!</v>
      </c>
      <c r="I11" s="533"/>
      <c r="J11" s="533"/>
      <c r="K11" s="534" t="e">
        <f>H11/$J$15</f>
        <v>#REF!</v>
      </c>
      <c r="L11" s="537" t="e">
        <f>ROUNDDOWN($K$2*K11,-3)</f>
        <v>#REF!</v>
      </c>
      <c r="M11" s="536"/>
      <c r="N11" s="563">
        <v>134000</v>
      </c>
      <c r="O11" s="553" t="e">
        <f t="shared" si="0"/>
        <v>#REF!</v>
      </c>
      <c r="P11" s="538">
        <v>2</v>
      </c>
      <c r="Q11" s="537" t="e">
        <f>O11/P11</f>
        <v>#REF!</v>
      </c>
      <c r="R11" s="564" t="s">
        <v>436</v>
      </c>
    </row>
    <row r="12" spans="1:18">
      <c r="B12" s="5" t="s">
        <v>425</v>
      </c>
      <c r="C12" s="545" t="e">
        <f>#REF!</f>
        <v>#REF!</v>
      </c>
      <c r="D12" s="546" t="e">
        <f>#REF!</f>
        <v>#REF!</v>
      </c>
      <c r="E12" s="173" t="e">
        <f>#REF!</f>
        <v>#REF!</v>
      </c>
      <c r="F12" s="173" t="e">
        <f>#REF!</f>
        <v>#REF!</v>
      </c>
      <c r="G12" s="545" t="e">
        <f>#REF!</f>
        <v>#REF!</v>
      </c>
      <c r="H12" s="546" t="e">
        <f>#REF!</f>
        <v>#REF!</v>
      </c>
      <c r="I12" s="547"/>
      <c r="J12" s="547"/>
      <c r="K12" s="536"/>
      <c r="L12" s="548"/>
      <c r="M12" s="536"/>
      <c r="N12" s="565"/>
      <c r="O12" s="555"/>
      <c r="P12" s="566"/>
      <c r="Q12" s="567"/>
      <c r="R12" s="568"/>
    </row>
    <row r="13" spans="1:18">
      <c r="B13" s="5" t="s">
        <v>426</v>
      </c>
      <c r="C13" s="545" t="e">
        <f>#REF!</f>
        <v>#REF!</v>
      </c>
      <c r="D13" s="546" t="e">
        <f>#REF!</f>
        <v>#REF!</v>
      </c>
      <c r="E13" s="173" t="e">
        <f>#REF!</f>
        <v>#REF!</v>
      </c>
      <c r="F13" s="173" t="e">
        <f>#REF!</f>
        <v>#REF!</v>
      </c>
      <c r="G13" s="545" t="e">
        <f>#REF!</f>
        <v>#REF!</v>
      </c>
      <c r="H13" s="546" t="e">
        <f>#REF!</f>
        <v>#REF!</v>
      </c>
      <c r="I13" s="547"/>
      <c r="J13" s="547"/>
      <c r="K13" s="536"/>
      <c r="L13" s="548"/>
      <c r="M13" s="536"/>
      <c r="N13" s="565"/>
      <c r="O13" s="555"/>
      <c r="P13" s="566"/>
      <c r="Q13" s="567"/>
      <c r="R13" s="568"/>
    </row>
    <row r="14" spans="1:18" ht="10.5" customHeight="1">
      <c r="K14" s="536"/>
      <c r="L14" s="548"/>
      <c r="M14" s="536"/>
      <c r="N14" s="565"/>
      <c r="O14" s="555"/>
      <c r="P14" s="566"/>
      <c r="Q14" s="567"/>
      <c r="R14" s="568"/>
    </row>
    <row r="15" spans="1:18">
      <c r="A15" s="527" t="s">
        <v>427</v>
      </c>
      <c r="B15" s="527"/>
      <c r="C15" s="530" t="e">
        <f t="shared" ref="C15:H15" si="2">SUM(C4:C11)</f>
        <v>#REF!</v>
      </c>
      <c r="D15" s="530" t="e">
        <f t="shared" si="2"/>
        <v>#REF!</v>
      </c>
      <c r="E15" s="530" t="e">
        <f t="shared" si="2"/>
        <v>#REF!</v>
      </c>
      <c r="F15" s="530" t="e">
        <f t="shared" si="2"/>
        <v>#REF!</v>
      </c>
      <c r="G15" s="530" t="e">
        <f t="shared" si="2"/>
        <v>#REF!</v>
      </c>
      <c r="H15" s="530" t="e">
        <f t="shared" si="2"/>
        <v>#REF!</v>
      </c>
      <c r="I15" s="513"/>
      <c r="J15" s="571" t="e">
        <f>SUM(H4:H11)-H9</f>
        <v>#REF!</v>
      </c>
      <c r="K15" s="572">
        <v>1</v>
      </c>
      <c r="L15" s="535" t="e">
        <f>SUM(L4:L11)</f>
        <v>#REF!</v>
      </c>
      <c r="M15" s="527"/>
      <c r="N15" s="573"/>
      <c r="O15" s="577" t="e">
        <f>ROUNDDOWN(L4-N4,-3)</f>
        <v>#REF!</v>
      </c>
      <c r="P15" s="574"/>
      <c r="Q15" s="535"/>
      <c r="R15" s="575"/>
    </row>
    <row r="16" spans="1:18" ht="11.25" customHeight="1">
      <c r="K16" s="536"/>
      <c r="L16" s="548"/>
      <c r="M16" s="536"/>
      <c r="N16" s="565"/>
      <c r="O16" s="555"/>
      <c r="P16" s="566"/>
      <c r="Q16" s="567"/>
      <c r="R16" s="568"/>
    </row>
    <row r="17" spans="1:18" ht="39.950000000000003" customHeight="1">
      <c r="A17" s="549" t="s">
        <v>253</v>
      </c>
      <c r="B17" s="549"/>
      <c r="C17" s="558" t="e">
        <f>#REF!</f>
        <v>#REF!</v>
      </c>
      <c r="D17" s="558" t="e">
        <f>#REF!</f>
        <v>#REF!</v>
      </c>
      <c r="E17" s="558" t="e">
        <f>#REF!</f>
        <v>#REF!</v>
      </c>
      <c r="F17" s="558" t="e">
        <f>#REF!</f>
        <v>#REF!</v>
      </c>
      <c r="G17" s="558" t="e">
        <f>#REF!</f>
        <v>#REF!</v>
      </c>
      <c r="H17" s="558" t="e">
        <f>#REF!</f>
        <v>#REF!</v>
      </c>
      <c r="I17" s="549"/>
      <c r="J17" s="549"/>
      <c r="K17" s="549"/>
      <c r="L17" s="550"/>
      <c r="M17" s="549"/>
      <c r="N17" s="569">
        <v>813000</v>
      </c>
      <c r="O17" s="576"/>
      <c r="P17" s="551">
        <v>7</v>
      </c>
      <c r="Q17" s="550">
        <f>O17/P17</f>
        <v>0</v>
      </c>
      <c r="R17" s="570" t="s">
        <v>437</v>
      </c>
    </row>
    <row r="18" spans="1:18">
      <c r="O18" s="556"/>
    </row>
    <row r="19" spans="1:18" ht="14.25" thickBot="1">
      <c r="O19" s="557" t="e">
        <f>SUM(O4:O16)</f>
        <v>#REF!</v>
      </c>
    </row>
  </sheetData>
  <mergeCells count="5">
    <mergeCell ref="C1:D1"/>
    <mergeCell ref="E1:F1"/>
    <mergeCell ref="G1:H1"/>
    <mergeCell ref="K1:L1"/>
    <mergeCell ref="N1:R1"/>
  </mergeCells>
  <phoneticPr fontId="1"/>
  <pageMargins left="0.25" right="0.25" top="0.75" bottom="0.75" header="0.3" footer="0.3"/>
  <pageSetup paperSize="9" scale="79" orientation="landscape" r:id="rId1"/>
  <headerFooter>
    <oddHeader>&amp;C&amp;"HGPｺﾞｼｯｸM,ﾒﾃﾞｨｳﾑ"&amp;20&amp;A&amp;R&amp;D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view="pageLayout" zoomScaleNormal="100" workbookViewId="0">
      <selection activeCell="D24" sqref="D24"/>
    </sheetView>
  </sheetViews>
  <sheetFormatPr defaultColWidth="9" defaultRowHeight="20.100000000000001" customHeight="1"/>
  <cols>
    <col min="1" max="1" width="3.125" style="13" customWidth="1"/>
    <col min="2" max="2" width="0" style="13" hidden="1" customWidth="1"/>
    <col min="3" max="3" width="15.125" style="13" customWidth="1"/>
    <col min="4" max="4" width="10" style="14" bestFit="1" customWidth="1"/>
    <col min="5" max="5" width="10.875" style="14" bestFit="1" customWidth="1"/>
    <col min="6" max="6" width="9.75" style="14" bestFit="1" customWidth="1"/>
    <col min="7" max="7" width="10" style="14" bestFit="1" customWidth="1"/>
    <col min="8" max="8" width="11.625" style="14" bestFit="1" customWidth="1"/>
    <col min="9" max="9" width="13.625" style="15" customWidth="1"/>
    <col min="10" max="16384" width="9" style="5"/>
  </cols>
  <sheetData>
    <row r="1" spans="1:9" s="1" customFormat="1" ht="14.25" customHeight="1">
      <c r="A1" s="1344" t="s">
        <v>0</v>
      </c>
      <c r="B1" s="1344"/>
      <c r="C1" s="1344"/>
      <c r="D1" s="230" t="s">
        <v>319</v>
      </c>
      <c r="E1" s="230" t="s">
        <v>320</v>
      </c>
      <c r="F1" s="230" t="s">
        <v>1</v>
      </c>
      <c r="G1" s="230" t="s">
        <v>321</v>
      </c>
      <c r="H1" s="230" t="s">
        <v>315</v>
      </c>
      <c r="I1" s="1345" t="s">
        <v>2</v>
      </c>
    </row>
    <row r="2" spans="1:9" s="1" customFormat="1" ht="13.5" customHeight="1">
      <c r="A2" s="1344"/>
      <c r="B2" s="1344"/>
      <c r="C2" s="1344"/>
      <c r="D2" s="2" t="s">
        <v>3</v>
      </c>
      <c r="E2" s="2" t="s">
        <v>4</v>
      </c>
      <c r="F2" s="2" t="s">
        <v>5</v>
      </c>
      <c r="G2" s="2" t="s">
        <v>6</v>
      </c>
      <c r="H2" s="2" t="s">
        <v>5</v>
      </c>
      <c r="I2" s="1345"/>
    </row>
    <row r="3" spans="1:9" ht="20.100000000000001" customHeight="1">
      <c r="A3" s="1346" t="s">
        <v>7</v>
      </c>
      <c r="B3" s="1346"/>
      <c r="C3" s="1346"/>
      <c r="D3" s="3"/>
      <c r="E3" s="3"/>
      <c r="F3" s="3"/>
      <c r="G3" s="3"/>
      <c r="H3" s="3"/>
      <c r="I3" s="4"/>
    </row>
    <row r="4" spans="1:9" ht="20.100000000000001" customHeight="1">
      <c r="A4" s="1347" t="s">
        <v>8</v>
      </c>
      <c r="B4" s="1347"/>
      <c r="C4" s="1347"/>
      <c r="D4" s="231" t="e">
        <f>#REF!</f>
        <v>#REF!</v>
      </c>
      <c r="E4" s="231" t="e">
        <f>#REF!</f>
        <v>#REF!</v>
      </c>
      <c r="F4" s="231" t="e">
        <f>E4-D4</f>
        <v>#REF!</v>
      </c>
      <c r="G4" s="231" t="e">
        <f>'決算書(予算比較）'!F6</f>
        <v>#REF!</v>
      </c>
      <c r="H4" s="231" t="e">
        <f>G4-E4</f>
        <v>#REF!</v>
      </c>
      <c r="I4" s="232"/>
    </row>
    <row r="5" spans="1:9" ht="20.100000000000001" customHeight="1">
      <c r="A5" s="1347" t="s">
        <v>9</v>
      </c>
      <c r="B5" s="1347"/>
      <c r="C5" s="1347"/>
      <c r="D5" s="231" t="e">
        <f>#REF!</f>
        <v>#REF!</v>
      </c>
      <c r="E5" s="231" t="e">
        <f>#REF!</f>
        <v>#REF!</v>
      </c>
      <c r="F5" s="231" t="e">
        <f t="shared" ref="F5:F61" si="0">E5-D5</f>
        <v>#REF!</v>
      </c>
      <c r="G5" s="231" t="e">
        <f>'決算書(予算比較）'!F7</f>
        <v>#REF!</v>
      </c>
      <c r="H5" s="231" t="e">
        <f t="shared" ref="H5:H21" si="1">G5-E5</f>
        <v>#REF!</v>
      </c>
      <c r="I5" s="232"/>
    </row>
    <row r="6" spans="1:9" ht="20.100000000000001" customHeight="1">
      <c r="A6" s="1348" t="s">
        <v>10</v>
      </c>
      <c r="B6" s="1348"/>
      <c r="C6" s="1348"/>
      <c r="D6" s="231" t="e">
        <f>#REF!</f>
        <v>#REF!</v>
      </c>
      <c r="E6" s="231" t="e">
        <f>#REF!</f>
        <v>#REF!</v>
      </c>
      <c r="F6" s="231" t="e">
        <f>E6-D6</f>
        <v>#REF!</v>
      </c>
      <c r="G6" s="231" t="e">
        <f>'決算書(予算比較）'!F8</f>
        <v>#REF!</v>
      </c>
      <c r="H6" s="231" t="e">
        <f t="shared" si="1"/>
        <v>#REF!</v>
      </c>
      <c r="I6" s="232"/>
    </row>
    <row r="7" spans="1:9" ht="20.100000000000001" customHeight="1">
      <c r="A7" s="227"/>
      <c r="B7" s="7" t="s">
        <v>11</v>
      </c>
      <c r="C7" s="246" t="s">
        <v>305</v>
      </c>
      <c r="D7" s="235" t="e">
        <f>#REF!</f>
        <v>#REF!</v>
      </c>
      <c r="E7" s="235" t="e">
        <f>#REF!</f>
        <v>#REF!</v>
      </c>
      <c r="F7" s="235" t="e">
        <f>E7-D7</f>
        <v>#REF!</v>
      </c>
      <c r="G7" s="235" t="e">
        <f>'決算書(予算比較）'!F17</f>
        <v>#REF!</v>
      </c>
      <c r="H7" s="235" t="e">
        <f t="shared" si="1"/>
        <v>#REF!</v>
      </c>
      <c r="I7" s="236"/>
    </row>
    <row r="8" spans="1:9" ht="20.100000000000001" customHeight="1">
      <c r="A8" s="227"/>
      <c r="B8" s="7" t="s">
        <v>12</v>
      </c>
      <c r="C8" s="243" t="s">
        <v>163</v>
      </c>
      <c r="D8" s="244" t="e">
        <f>#REF!</f>
        <v>#REF!</v>
      </c>
      <c r="E8" s="244" t="e">
        <f>#REF!</f>
        <v>#REF!</v>
      </c>
      <c r="F8" s="244" t="e">
        <f t="shared" si="0"/>
        <v>#REF!</v>
      </c>
      <c r="G8" s="244" t="e">
        <f>'決算書(予算比較）'!F18</f>
        <v>#REF!</v>
      </c>
      <c r="H8" s="244" t="e">
        <f t="shared" si="1"/>
        <v>#REF!</v>
      </c>
      <c r="I8" s="245"/>
    </row>
    <row r="9" spans="1:9" ht="20.100000000000001" customHeight="1">
      <c r="A9" s="227"/>
      <c r="B9" s="7" t="s">
        <v>13</v>
      </c>
      <c r="C9" s="27" t="s">
        <v>306</v>
      </c>
      <c r="D9" s="235" t="e">
        <f>#REF!</f>
        <v>#REF!</v>
      </c>
      <c r="E9" s="235" t="e">
        <f>#REF!</f>
        <v>#REF!</v>
      </c>
      <c r="F9" s="235" t="e">
        <f t="shared" si="0"/>
        <v>#REF!</v>
      </c>
      <c r="G9" s="235" t="e">
        <f>'決算書(予算比較）'!F15</f>
        <v>#REF!</v>
      </c>
      <c r="H9" s="235" t="e">
        <f t="shared" si="1"/>
        <v>#REF!</v>
      </c>
      <c r="I9" s="236"/>
    </row>
    <row r="10" spans="1:9" ht="20.100000000000001" customHeight="1">
      <c r="A10" s="227"/>
      <c r="B10" s="7" t="s">
        <v>14</v>
      </c>
      <c r="C10" s="27" t="s">
        <v>307</v>
      </c>
      <c r="D10" s="235" t="e">
        <f>#REF!</f>
        <v>#REF!</v>
      </c>
      <c r="E10" s="235" t="e">
        <f>#REF!</f>
        <v>#REF!</v>
      </c>
      <c r="F10" s="235" t="e">
        <f t="shared" si="0"/>
        <v>#REF!</v>
      </c>
      <c r="G10" s="235" t="e">
        <f>'決算書(予算比較）'!F16</f>
        <v>#REF!</v>
      </c>
      <c r="H10" s="235" t="e">
        <f t="shared" si="1"/>
        <v>#REF!</v>
      </c>
      <c r="I10" s="236"/>
    </row>
    <row r="11" spans="1:9" ht="20.100000000000001" customHeight="1">
      <c r="A11" s="227"/>
      <c r="B11" s="7" t="s">
        <v>15</v>
      </c>
      <c r="C11" s="27" t="s">
        <v>308</v>
      </c>
      <c r="D11" s="235" t="e">
        <f>#REF!</f>
        <v>#REF!</v>
      </c>
      <c r="E11" s="235" t="e">
        <f>#REF!</f>
        <v>#REF!</v>
      </c>
      <c r="F11" s="235" t="e">
        <f t="shared" si="0"/>
        <v>#REF!</v>
      </c>
      <c r="G11" s="235" t="e">
        <f>'決算書(予算比較）'!F19</f>
        <v>#REF!</v>
      </c>
      <c r="H11" s="235" t="e">
        <f t="shared" si="1"/>
        <v>#REF!</v>
      </c>
      <c r="I11" s="236"/>
    </row>
    <row r="12" spans="1:9" ht="20.100000000000001" customHeight="1">
      <c r="A12" s="227"/>
      <c r="B12" s="7" t="s">
        <v>16</v>
      </c>
      <c r="C12" s="27" t="s">
        <v>309</v>
      </c>
      <c r="D12" s="235" t="e">
        <f>#REF!</f>
        <v>#REF!</v>
      </c>
      <c r="E12" s="235" t="e">
        <f>#REF!</f>
        <v>#REF!</v>
      </c>
      <c r="F12" s="235" t="e">
        <f t="shared" si="0"/>
        <v>#REF!</v>
      </c>
      <c r="G12" s="235" t="e">
        <f>'決算書(予算比較）'!F9</f>
        <v>#REF!</v>
      </c>
      <c r="H12" s="235" t="e">
        <f t="shared" si="1"/>
        <v>#REF!</v>
      </c>
      <c r="I12" s="236"/>
    </row>
    <row r="13" spans="1:9" ht="20.100000000000001" customHeight="1">
      <c r="A13" s="227"/>
      <c r="B13" s="7" t="s">
        <v>17</v>
      </c>
      <c r="C13" s="27" t="s">
        <v>310</v>
      </c>
      <c r="D13" s="235" t="e">
        <f>#REF!</f>
        <v>#REF!</v>
      </c>
      <c r="E13" s="235" t="e">
        <f>#REF!</f>
        <v>#REF!</v>
      </c>
      <c r="F13" s="235" t="e">
        <f t="shared" si="0"/>
        <v>#REF!</v>
      </c>
      <c r="G13" s="235" t="e">
        <f>'決算書(予算比較）'!F10</f>
        <v>#REF!</v>
      </c>
      <c r="H13" s="235" t="e">
        <f t="shared" si="1"/>
        <v>#REF!</v>
      </c>
      <c r="I13" s="236"/>
    </row>
    <row r="14" spans="1:9" ht="20.100000000000001" customHeight="1">
      <c r="A14" s="227"/>
      <c r="B14" s="7" t="s">
        <v>18</v>
      </c>
      <c r="C14" s="27" t="s">
        <v>311</v>
      </c>
      <c r="D14" s="235" t="e">
        <f>#REF!</f>
        <v>#REF!</v>
      </c>
      <c r="E14" s="235" t="e">
        <f>#REF!</f>
        <v>#REF!</v>
      </c>
      <c r="F14" s="235" t="e">
        <f t="shared" si="0"/>
        <v>#REF!</v>
      </c>
      <c r="G14" s="235" t="e">
        <f>'決算書(予算比較）'!F11</f>
        <v>#REF!</v>
      </c>
      <c r="H14" s="235" t="e">
        <f t="shared" si="1"/>
        <v>#REF!</v>
      </c>
      <c r="I14" s="236"/>
    </row>
    <row r="15" spans="1:9" ht="20.100000000000001" customHeight="1">
      <c r="A15" s="227"/>
      <c r="B15" s="7" t="s">
        <v>19</v>
      </c>
      <c r="C15" s="27" t="s">
        <v>312</v>
      </c>
      <c r="D15" s="235" t="e">
        <f>#REF!</f>
        <v>#REF!</v>
      </c>
      <c r="E15" s="235" t="e">
        <f>#REF!</f>
        <v>#REF!</v>
      </c>
      <c r="F15" s="235" t="e">
        <f t="shared" si="0"/>
        <v>#REF!</v>
      </c>
      <c r="G15" s="235" t="e">
        <f>'決算書(予算比較）'!F12</f>
        <v>#REF!</v>
      </c>
      <c r="H15" s="235" t="e">
        <f t="shared" si="1"/>
        <v>#REF!</v>
      </c>
      <c r="I15" s="236"/>
    </row>
    <row r="16" spans="1:9" ht="20.100000000000001" customHeight="1">
      <c r="A16" s="227"/>
      <c r="B16" s="7" t="s">
        <v>20</v>
      </c>
      <c r="C16" s="27" t="s">
        <v>313</v>
      </c>
      <c r="D16" s="235" t="e">
        <f>#REF!</f>
        <v>#REF!</v>
      </c>
      <c r="E16" s="235" t="e">
        <f>#REF!</f>
        <v>#REF!</v>
      </c>
      <c r="F16" s="235" t="e">
        <f t="shared" si="0"/>
        <v>#REF!</v>
      </c>
      <c r="G16" s="235" t="e">
        <f>'決算書(予算比較）'!F13</f>
        <v>#REF!</v>
      </c>
      <c r="H16" s="235" t="e">
        <f t="shared" si="1"/>
        <v>#REF!</v>
      </c>
      <c r="I16" s="236"/>
    </row>
    <row r="17" spans="1:9" ht="20.100000000000001" customHeight="1">
      <c r="A17" s="227"/>
      <c r="B17" s="7" t="s">
        <v>21</v>
      </c>
      <c r="C17" s="27" t="s">
        <v>314</v>
      </c>
      <c r="D17" s="235" t="e">
        <f>#REF!</f>
        <v>#REF!</v>
      </c>
      <c r="E17" s="235" t="e">
        <f>#REF!</f>
        <v>#REF!</v>
      </c>
      <c r="F17" s="235" t="e">
        <f t="shared" si="0"/>
        <v>#REF!</v>
      </c>
      <c r="G17" s="235" t="e">
        <f>'決算書(予算比較）'!F14</f>
        <v>#REF!</v>
      </c>
      <c r="H17" s="235" t="e">
        <f t="shared" si="1"/>
        <v>#REF!</v>
      </c>
      <c r="I17" s="236"/>
    </row>
    <row r="18" spans="1:9" ht="20.100000000000001" customHeight="1">
      <c r="A18" s="1347" t="s">
        <v>22</v>
      </c>
      <c r="B18" s="1347"/>
      <c r="C18" s="1347"/>
      <c r="D18" s="226" t="e">
        <f>#REF!</f>
        <v>#REF!</v>
      </c>
      <c r="E18" s="231" t="e">
        <f>#REF!</f>
        <v>#REF!</v>
      </c>
      <c r="F18" s="231" t="e">
        <f t="shared" si="0"/>
        <v>#REF!</v>
      </c>
      <c r="G18" s="231" t="e">
        <f>'決算書(予算比較）'!F20</f>
        <v>#REF!</v>
      </c>
      <c r="H18" s="231" t="e">
        <f t="shared" si="1"/>
        <v>#REF!</v>
      </c>
      <c r="I18" s="232"/>
    </row>
    <row r="19" spans="1:9" ht="20.100000000000001" customHeight="1">
      <c r="A19" s="1347" t="s">
        <v>23</v>
      </c>
      <c r="B19" s="1347"/>
      <c r="C19" s="1347"/>
      <c r="D19" s="226" t="e">
        <f>#REF!</f>
        <v>#REF!</v>
      </c>
      <c r="E19" s="231" t="e">
        <f>#REF!</f>
        <v>#REF!</v>
      </c>
      <c r="F19" s="231" t="e">
        <f t="shared" si="0"/>
        <v>#REF!</v>
      </c>
      <c r="G19" s="231" t="e">
        <f>'決算書(予算比較）'!F21</f>
        <v>#REF!</v>
      </c>
      <c r="H19" s="231" t="e">
        <f t="shared" si="1"/>
        <v>#REF!</v>
      </c>
      <c r="I19" s="232"/>
    </row>
    <row r="20" spans="1:9" ht="20.100000000000001" customHeight="1">
      <c r="A20" s="1347" t="s">
        <v>24</v>
      </c>
      <c r="B20" s="1347"/>
      <c r="C20" s="1347"/>
      <c r="D20" s="226" t="e">
        <f>#REF!</f>
        <v>#REF!</v>
      </c>
      <c r="E20" s="231" t="e">
        <f>#REF!</f>
        <v>#REF!</v>
      </c>
      <c r="F20" s="231" t="e">
        <f t="shared" si="0"/>
        <v>#REF!</v>
      </c>
      <c r="G20" s="231" t="e">
        <f>'決算書(予算比較）'!F22</f>
        <v>#REF!</v>
      </c>
      <c r="H20" s="231" t="e">
        <f t="shared" si="1"/>
        <v>#REF!</v>
      </c>
      <c r="I20" s="232"/>
    </row>
    <row r="21" spans="1:9" ht="20.100000000000001" customHeight="1">
      <c r="A21" s="1346" t="s">
        <v>25</v>
      </c>
      <c r="B21" s="1346"/>
      <c r="C21" s="1346"/>
      <c r="D21" s="3" t="e">
        <f>#REF!</f>
        <v>#REF!</v>
      </c>
      <c r="E21" s="3" t="e">
        <f>#REF!</f>
        <v>#REF!</v>
      </c>
      <c r="F21" s="3" t="e">
        <f t="shared" si="0"/>
        <v>#REF!</v>
      </c>
      <c r="G21" s="3" t="e">
        <f>'決算書(予算比較）'!F23</f>
        <v>#REF!</v>
      </c>
      <c r="H21" s="3" t="e">
        <f t="shared" si="1"/>
        <v>#REF!</v>
      </c>
      <c r="I21" s="4"/>
    </row>
    <row r="22" spans="1:9" ht="20.100000000000001" customHeight="1">
      <c r="A22" s="1346" t="s">
        <v>26</v>
      </c>
      <c r="B22" s="1346"/>
      <c r="C22" s="1346"/>
      <c r="D22" s="3"/>
      <c r="E22" s="3"/>
      <c r="F22" s="3"/>
      <c r="G22" s="3"/>
      <c r="H22" s="3"/>
      <c r="I22" s="4"/>
    </row>
    <row r="23" spans="1:9" ht="20.100000000000001" customHeight="1">
      <c r="A23" s="1348" t="s">
        <v>27</v>
      </c>
      <c r="B23" s="1348"/>
      <c r="C23" s="1348"/>
      <c r="D23" s="231" t="e">
        <f>#REF!</f>
        <v>#REF!</v>
      </c>
      <c r="E23" s="231" t="e">
        <f>#REF!</f>
        <v>#REF!</v>
      </c>
      <c r="F23" s="231" t="e">
        <f t="shared" si="0"/>
        <v>#REF!</v>
      </c>
      <c r="G23" s="231" t="e">
        <f>'決算書(予算比較）'!F38</f>
        <v>#REF!</v>
      </c>
      <c r="H23" s="231" t="e">
        <f t="shared" ref="H23:H61" si="2">G23-E23</f>
        <v>#REF!</v>
      </c>
      <c r="I23" s="232"/>
    </row>
    <row r="24" spans="1:9" ht="20.100000000000001" customHeight="1">
      <c r="A24" s="229"/>
      <c r="B24" s="7" t="s">
        <v>11</v>
      </c>
      <c r="C24" s="246" t="s">
        <v>305</v>
      </c>
      <c r="D24" s="235" t="e">
        <f>#REF!</f>
        <v>#REF!</v>
      </c>
      <c r="E24" s="235" t="e">
        <f>#REF!</f>
        <v>#REF!</v>
      </c>
      <c r="F24" s="235" t="e">
        <f>E24-D24</f>
        <v>#REF!</v>
      </c>
      <c r="G24" s="235" t="e">
        <f>'決算書(予算比較）'!F35</f>
        <v>#REF!</v>
      </c>
      <c r="H24" s="235" t="e">
        <f t="shared" si="2"/>
        <v>#REF!</v>
      </c>
      <c r="I24" s="236"/>
    </row>
    <row r="25" spans="1:9" ht="20.100000000000001" customHeight="1">
      <c r="A25" s="229"/>
      <c r="B25" s="7" t="s">
        <v>12</v>
      </c>
      <c r="C25" s="243" t="s">
        <v>163</v>
      </c>
      <c r="D25" s="244" t="e">
        <f>#REF!</f>
        <v>#REF!</v>
      </c>
      <c r="E25" s="244" t="e">
        <f>#REF!</f>
        <v>#REF!</v>
      </c>
      <c r="F25" s="244" t="e">
        <f t="shared" si="0"/>
        <v>#REF!</v>
      </c>
      <c r="G25" s="244" t="e">
        <f>'決算書(予算比較）'!F36</f>
        <v>#REF!</v>
      </c>
      <c r="H25" s="244" t="e">
        <f t="shared" si="2"/>
        <v>#REF!</v>
      </c>
      <c r="I25" s="245"/>
    </row>
    <row r="26" spans="1:9" ht="20.100000000000001" customHeight="1">
      <c r="A26" s="229"/>
      <c r="B26" s="7" t="s">
        <v>13</v>
      </c>
      <c r="C26" s="27" t="s">
        <v>306</v>
      </c>
      <c r="D26" s="235" t="e">
        <f>#REF!</f>
        <v>#REF!</v>
      </c>
      <c r="E26" s="235" t="e">
        <f>#REF!</f>
        <v>#REF!</v>
      </c>
      <c r="F26" s="235" t="e">
        <f t="shared" si="0"/>
        <v>#REF!</v>
      </c>
      <c r="G26" s="235" t="e">
        <f>'決算書(予算比較）'!F33</f>
        <v>#REF!</v>
      </c>
      <c r="H26" s="235" t="e">
        <f t="shared" si="2"/>
        <v>#REF!</v>
      </c>
      <c r="I26" s="236"/>
    </row>
    <row r="27" spans="1:9" ht="20.100000000000001" customHeight="1">
      <c r="A27" s="227"/>
      <c r="B27" s="7" t="s">
        <v>14</v>
      </c>
      <c r="C27" s="27" t="s">
        <v>307</v>
      </c>
      <c r="D27" s="235" t="e">
        <f>#REF!</f>
        <v>#REF!</v>
      </c>
      <c r="E27" s="235" t="e">
        <f>#REF!</f>
        <v>#REF!</v>
      </c>
      <c r="F27" s="235" t="e">
        <f t="shared" si="0"/>
        <v>#REF!</v>
      </c>
      <c r="G27" s="235" t="e">
        <f>'決算書(予算比較）'!F34</f>
        <v>#REF!</v>
      </c>
      <c r="H27" s="235" t="e">
        <f t="shared" si="2"/>
        <v>#REF!</v>
      </c>
      <c r="I27" s="236"/>
    </row>
    <row r="28" spans="1:9" ht="20.100000000000001" customHeight="1">
      <c r="A28" s="227"/>
      <c r="B28" s="7" t="s">
        <v>15</v>
      </c>
      <c r="C28" s="27" t="s">
        <v>308</v>
      </c>
      <c r="D28" s="235" t="e">
        <f>#REF!</f>
        <v>#REF!</v>
      </c>
      <c r="E28" s="235" t="e">
        <f>#REF!</f>
        <v>#REF!</v>
      </c>
      <c r="F28" s="235" t="e">
        <f t="shared" si="0"/>
        <v>#REF!</v>
      </c>
      <c r="G28" s="235" t="e">
        <f>'決算書(予算比較）'!F37</f>
        <v>#REF!</v>
      </c>
      <c r="H28" s="235" t="e">
        <f t="shared" si="2"/>
        <v>#REF!</v>
      </c>
      <c r="I28" s="236"/>
    </row>
    <row r="29" spans="1:9" ht="20.100000000000001" customHeight="1">
      <c r="A29" s="227"/>
      <c r="B29" s="7" t="s">
        <v>16</v>
      </c>
      <c r="C29" s="27" t="s">
        <v>309</v>
      </c>
      <c r="D29" s="235" t="e">
        <f>#REF!</f>
        <v>#REF!</v>
      </c>
      <c r="E29" s="235" t="e">
        <f>#REF!</f>
        <v>#REF!</v>
      </c>
      <c r="F29" s="235" t="e">
        <f t="shared" si="0"/>
        <v>#REF!</v>
      </c>
      <c r="G29" s="235" t="e">
        <f>'決算書(予算比較）'!F27</f>
        <v>#REF!</v>
      </c>
      <c r="H29" s="235" t="e">
        <f t="shared" si="2"/>
        <v>#REF!</v>
      </c>
      <c r="I29" s="236"/>
    </row>
    <row r="30" spans="1:9" ht="20.100000000000001" customHeight="1">
      <c r="A30" s="227"/>
      <c r="B30" s="7" t="s">
        <v>17</v>
      </c>
      <c r="C30" s="27" t="s">
        <v>310</v>
      </c>
      <c r="D30" s="235" t="e">
        <f>#REF!</f>
        <v>#REF!</v>
      </c>
      <c r="E30" s="235" t="e">
        <f>#REF!</f>
        <v>#REF!</v>
      </c>
      <c r="F30" s="235" t="e">
        <f t="shared" si="0"/>
        <v>#REF!</v>
      </c>
      <c r="G30" s="235" t="e">
        <f>'決算書(予算比較）'!F28</f>
        <v>#REF!</v>
      </c>
      <c r="H30" s="235" t="e">
        <f t="shared" si="2"/>
        <v>#REF!</v>
      </c>
      <c r="I30" s="236"/>
    </row>
    <row r="31" spans="1:9" ht="20.100000000000001" customHeight="1">
      <c r="A31" s="227"/>
      <c r="B31" s="7" t="s">
        <v>18</v>
      </c>
      <c r="C31" s="27" t="s">
        <v>311</v>
      </c>
      <c r="D31" s="235" t="e">
        <f>#REF!</f>
        <v>#REF!</v>
      </c>
      <c r="E31" s="235" t="e">
        <f>#REF!</f>
        <v>#REF!</v>
      </c>
      <c r="F31" s="235" t="e">
        <f t="shared" si="0"/>
        <v>#REF!</v>
      </c>
      <c r="G31" s="235" t="e">
        <f>'決算書(予算比較）'!F29</f>
        <v>#REF!</v>
      </c>
      <c r="H31" s="235" t="e">
        <f t="shared" si="2"/>
        <v>#REF!</v>
      </c>
      <c r="I31" s="236"/>
    </row>
    <row r="32" spans="1:9" ht="20.100000000000001" customHeight="1">
      <c r="A32" s="227"/>
      <c r="B32" s="7" t="s">
        <v>19</v>
      </c>
      <c r="C32" s="27" t="s">
        <v>312</v>
      </c>
      <c r="D32" s="235" t="e">
        <f>#REF!</f>
        <v>#REF!</v>
      </c>
      <c r="E32" s="235" t="e">
        <f>#REF!</f>
        <v>#REF!</v>
      </c>
      <c r="F32" s="235" t="e">
        <f t="shared" si="0"/>
        <v>#REF!</v>
      </c>
      <c r="G32" s="235" t="e">
        <f>'決算書(予算比較）'!F30</f>
        <v>#REF!</v>
      </c>
      <c r="H32" s="235" t="e">
        <f t="shared" si="2"/>
        <v>#REF!</v>
      </c>
      <c r="I32" s="236"/>
    </row>
    <row r="33" spans="1:9" ht="20.100000000000001" customHeight="1">
      <c r="A33" s="227"/>
      <c r="B33" s="7" t="s">
        <v>20</v>
      </c>
      <c r="C33" s="27" t="s">
        <v>313</v>
      </c>
      <c r="D33" s="235" t="e">
        <f>#REF!</f>
        <v>#REF!</v>
      </c>
      <c r="E33" s="235" t="e">
        <f>#REF!</f>
        <v>#REF!</v>
      </c>
      <c r="F33" s="235" t="e">
        <f t="shared" si="0"/>
        <v>#REF!</v>
      </c>
      <c r="G33" s="235" t="e">
        <f>'決算書(予算比較）'!F31</f>
        <v>#REF!</v>
      </c>
      <c r="H33" s="235" t="e">
        <f t="shared" si="2"/>
        <v>#REF!</v>
      </c>
      <c r="I33" s="236"/>
    </row>
    <row r="34" spans="1:9" ht="20.100000000000001" customHeight="1">
      <c r="A34" s="227"/>
      <c r="B34" s="7" t="s">
        <v>21</v>
      </c>
      <c r="C34" s="27" t="s">
        <v>314</v>
      </c>
      <c r="D34" s="235" t="e">
        <f>#REF!</f>
        <v>#REF!</v>
      </c>
      <c r="E34" s="235" t="e">
        <f>#REF!</f>
        <v>#REF!</v>
      </c>
      <c r="F34" s="235" t="e">
        <f t="shared" si="0"/>
        <v>#REF!</v>
      </c>
      <c r="G34" s="235" t="e">
        <f>'決算書(予算比較）'!F32</f>
        <v>#REF!</v>
      </c>
      <c r="H34" s="235" t="e">
        <f t="shared" si="2"/>
        <v>#REF!</v>
      </c>
      <c r="I34" s="236"/>
    </row>
    <row r="35" spans="1:9" ht="20.100000000000001" customHeight="1">
      <c r="A35" s="1348" t="s">
        <v>28</v>
      </c>
      <c r="B35" s="1348"/>
      <c r="C35" s="1348"/>
      <c r="D35" s="231" t="e">
        <f>#REF!</f>
        <v>#REF!</v>
      </c>
      <c r="E35" s="231" t="e">
        <f>#REF!</f>
        <v>#REF!</v>
      </c>
      <c r="F35" s="231" t="e">
        <f t="shared" si="0"/>
        <v>#REF!</v>
      </c>
      <c r="G35" s="231" t="e">
        <f>'決算書(予算比較）'!F65</f>
        <v>#REF!</v>
      </c>
      <c r="H35" s="231" t="e">
        <f t="shared" si="2"/>
        <v>#REF!</v>
      </c>
      <c r="I35" s="232"/>
    </row>
    <row r="36" spans="1:9" ht="13.5">
      <c r="A36" s="227"/>
      <c r="B36" s="7"/>
      <c r="C36" s="239" t="s">
        <v>257</v>
      </c>
      <c r="D36" s="233" t="e">
        <f>#REF!</f>
        <v>#REF!</v>
      </c>
      <c r="E36" s="233" t="e">
        <f>#REF!</f>
        <v>#REF!</v>
      </c>
      <c r="F36" s="233" t="e">
        <f t="shared" si="0"/>
        <v>#REF!</v>
      </c>
      <c r="G36" s="233" t="e">
        <f>'決算書(予算比較）'!F41</f>
        <v>#REF!</v>
      </c>
      <c r="H36" s="233" t="e">
        <f t="shared" si="2"/>
        <v>#REF!</v>
      </c>
      <c r="I36" s="234"/>
    </row>
    <row r="37" spans="1:9" ht="13.5">
      <c r="A37" s="227"/>
      <c r="B37" s="7"/>
      <c r="C37" s="27" t="s">
        <v>258</v>
      </c>
      <c r="D37" s="235" t="e">
        <f>#REF!</f>
        <v>#REF!</v>
      </c>
      <c r="E37" s="235" t="e">
        <f>#REF!</f>
        <v>#REF!</v>
      </c>
      <c r="F37" s="235" t="e">
        <f t="shared" si="0"/>
        <v>#REF!</v>
      </c>
      <c r="G37" s="235" t="e">
        <f>'決算書(予算比較）'!F42</f>
        <v>#REF!</v>
      </c>
      <c r="H37" s="235" t="e">
        <f t="shared" si="2"/>
        <v>#REF!</v>
      </c>
      <c r="I37" s="236"/>
    </row>
    <row r="38" spans="1:9" ht="13.5">
      <c r="A38" s="227"/>
      <c r="B38" s="7"/>
      <c r="C38" s="27" t="s">
        <v>259</v>
      </c>
      <c r="D38" s="235" t="e">
        <f>#REF!</f>
        <v>#REF!</v>
      </c>
      <c r="E38" s="235" t="e">
        <f>#REF!</f>
        <v>#REF!</v>
      </c>
      <c r="F38" s="235" t="e">
        <f t="shared" si="0"/>
        <v>#REF!</v>
      </c>
      <c r="G38" s="235" t="e">
        <f>'決算書(予算比較）'!F43</f>
        <v>#REF!</v>
      </c>
      <c r="H38" s="235" t="e">
        <f t="shared" si="2"/>
        <v>#REF!</v>
      </c>
      <c r="I38" s="236"/>
    </row>
    <row r="39" spans="1:9" ht="13.5">
      <c r="A39" s="227"/>
      <c r="B39" s="7"/>
      <c r="C39" s="27" t="s">
        <v>260</v>
      </c>
      <c r="D39" s="235" t="e">
        <f>#REF!</f>
        <v>#REF!</v>
      </c>
      <c r="E39" s="235" t="e">
        <f>#REF!</f>
        <v>#REF!</v>
      </c>
      <c r="F39" s="235" t="e">
        <f t="shared" si="0"/>
        <v>#REF!</v>
      </c>
      <c r="G39" s="235" t="e">
        <f>'決算書(予算比較）'!F44</f>
        <v>#REF!</v>
      </c>
      <c r="H39" s="235" t="e">
        <f t="shared" si="2"/>
        <v>#REF!</v>
      </c>
      <c r="I39" s="236"/>
    </row>
    <row r="40" spans="1:9" ht="14.25">
      <c r="A40" s="229"/>
      <c r="B40" s="12"/>
      <c r="C40" s="27" t="s">
        <v>261</v>
      </c>
      <c r="D40" s="235" t="e">
        <f>#REF!</f>
        <v>#REF!</v>
      </c>
      <c r="E40" s="235" t="e">
        <f>#REF!</f>
        <v>#REF!</v>
      </c>
      <c r="F40" s="235" t="e">
        <f t="shared" si="0"/>
        <v>#REF!</v>
      </c>
      <c r="G40" s="235" t="e">
        <f>'決算書(予算比較）'!F45</f>
        <v>#REF!</v>
      </c>
      <c r="H40" s="235" t="e">
        <f t="shared" si="2"/>
        <v>#REF!</v>
      </c>
      <c r="I40" s="236"/>
    </row>
    <row r="41" spans="1:9" ht="14.25">
      <c r="A41" s="229"/>
      <c r="B41" s="12"/>
      <c r="C41" s="27" t="s">
        <v>262</v>
      </c>
      <c r="D41" s="235" t="e">
        <f>#REF!</f>
        <v>#REF!</v>
      </c>
      <c r="E41" s="235" t="e">
        <f>#REF!</f>
        <v>#REF!</v>
      </c>
      <c r="F41" s="235" t="e">
        <f t="shared" si="0"/>
        <v>#REF!</v>
      </c>
      <c r="G41" s="235" t="e">
        <f>'決算書(予算比較）'!F46</f>
        <v>#REF!</v>
      </c>
      <c r="H41" s="235" t="e">
        <f t="shared" si="2"/>
        <v>#REF!</v>
      </c>
      <c r="I41" s="236" t="s">
        <v>256</v>
      </c>
    </row>
    <row r="42" spans="1:9" ht="14.25">
      <c r="A42" s="229"/>
      <c r="B42" s="12"/>
      <c r="C42" s="27" t="s">
        <v>263</v>
      </c>
      <c r="D42" s="235" t="e">
        <f>#REF!</f>
        <v>#REF!</v>
      </c>
      <c r="E42" s="235" t="e">
        <f>#REF!</f>
        <v>#REF!</v>
      </c>
      <c r="F42" s="235" t="e">
        <f t="shared" si="0"/>
        <v>#REF!</v>
      </c>
      <c r="G42" s="235" t="e">
        <f>'決算書(予算比較）'!F47</f>
        <v>#REF!</v>
      </c>
      <c r="H42" s="235" t="e">
        <f t="shared" si="2"/>
        <v>#REF!</v>
      </c>
      <c r="I42" s="236"/>
    </row>
    <row r="43" spans="1:9" ht="13.5">
      <c r="A43" s="227"/>
      <c r="B43" s="7"/>
      <c r="C43" s="27" t="s">
        <v>264</v>
      </c>
      <c r="D43" s="235" t="e">
        <f>#REF!</f>
        <v>#REF!</v>
      </c>
      <c r="E43" s="235" t="e">
        <f>#REF!</f>
        <v>#REF!</v>
      </c>
      <c r="F43" s="235" t="e">
        <f t="shared" si="0"/>
        <v>#REF!</v>
      </c>
      <c r="G43" s="235" t="e">
        <f>'決算書(予算比較）'!F48</f>
        <v>#REF!</v>
      </c>
      <c r="H43" s="235" t="e">
        <f t="shared" si="2"/>
        <v>#REF!</v>
      </c>
      <c r="I43" s="236"/>
    </row>
    <row r="44" spans="1:9" ht="13.5">
      <c r="A44" s="227"/>
      <c r="B44" s="7"/>
      <c r="C44" s="27" t="s">
        <v>265</v>
      </c>
      <c r="D44" s="235" t="e">
        <f>#REF!</f>
        <v>#REF!</v>
      </c>
      <c r="E44" s="235" t="e">
        <f>#REF!</f>
        <v>#REF!</v>
      </c>
      <c r="F44" s="235" t="e">
        <f t="shared" si="0"/>
        <v>#REF!</v>
      </c>
      <c r="G44" s="235" t="e">
        <f>'決算書(予算比較）'!F49</f>
        <v>#REF!</v>
      </c>
      <c r="H44" s="235" t="e">
        <f t="shared" si="2"/>
        <v>#REF!</v>
      </c>
      <c r="I44" s="236"/>
    </row>
    <row r="45" spans="1:9" ht="13.5">
      <c r="A45" s="227"/>
      <c r="B45" s="7"/>
      <c r="C45" s="27" t="s">
        <v>266</v>
      </c>
      <c r="D45" s="235" t="e">
        <f>#REF!</f>
        <v>#REF!</v>
      </c>
      <c r="E45" s="235" t="e">
        <f>#REF!</f>
        <v>#REF!</v>
      </c>
      <c r="F45" s="235" t="e">
        <f t="shared" si="0"/>
        <v>#REF!</v>
      </c>
      <c r="G45" s="235" t="e">
        <f>'決算書(予算比較）'!F50</f>
        <v>#REF!</v>
      </c>
      <c r="H45" s="235" t="e">
        <f t="shared" si="2"/>
        <v>#REF!</v>
      </c>
      <c r="I45" s="236"/>
    </row>
    <row r="46" spans="1:9" ht="13.5">
      <c r="A46" s="227"/>
      <c r="B46" s="7"/>
      <c r="C46" s="27" t="s">
        <v>267</v>
      </c>
      <c r="D46" s="235" t="e">
        <f>#REF!</f>
        <v>#REF!</v>
      </c>
      <c r="E46" s="235" t="e">
        <f>#REF!</f>
        <v>#REF!</v>
      </c>
      <c r="F46" s="235" t="e">
        <f t="shared" si="0"/>
        <v>#REF!</v>
      </c>
      <c r="G46" s="235" t="e">
        <f>'決算書(予算比較）'!F51</f>
        <v>#REF!</v>
      </c>
      <c r="H46" s="235" t="e">
        <f t="shared" si="2"/>
        <v>#REF!</v>
      </c>
      <c r="I46" s="236"/>
    </row>
    <row r="47" spans="1:9" ht="13.5">
      <c r="A47" s="227"/>
      <c r="B47" s="7"/>
      <c r="C47" s="27" t="s">
        <v>268</v>
      </c>
      <c r="D47" s="235" t="e">
        <f>#REF!</f>
        <v>#REF!</v>
      </c>
      <c r="E47" s="235" t="e">
        <f>#REF!</f>
        <v>#REF!</v>
      </c>
      <c r="F47" s="235" t="e">
        <f t="shared" si="0"/>
        <v>#REF!</v>
      </c>
      <c r="G47" s="235" t="e">
        <f>'決算書(予算比較）'!F52</f>
        <v>#REF!</v>
      </c>
      <c r="H47" s="235" t="e">
        <f t="shared" si="2"/>
        <v>#REF!</v>
      </c>
      <c r="I47" s="236"/>
    </row>
    <row r="48" spans="1:9" ht="13.5">
      <c r="A48" s="227"/>
      <c r="B48" s="7"/>
      <c r="C48" s="27" t="s">
        <v>269</v>
      </c>
      <c r="D48" s="235" t="e">
        <f>#REF!</f>
        <v>#REF!</v>
      </c>
      <c r="E48" s="235" t="e">
        <f>#REF!</f>
        <v>#REF!</v>
      </c>
      <c r="F48" s="235" t="e">
        <f t="shared" si="0"/>
        <v>#REF!</v>
      </c>
      <c r="G48" s="235" t="e">
        <f>'決算書(予算比較）'!F53</f>
        <v>#REF!</v>
      </c>
      <c r="H48" s="235" t="e">
        <f t="shared" si="2"/>
        <v>#REF!</v>
      </c>
      <c r="I48" s="236"/>
    </row>
    <row r="49" spans="1:9" ht="13.5">
      <c r="A49" s="227"/>
      <c r="B49" s="7"/>
      <c r="C49" s="27" t="s">
        <v>270</v>
      </c>
      <c r="D49" s="235" t="e">
        <f>#REF!</f>
        <v>#REF!</v>
      </c>
      <c r="E49" s="235" t="e">
        <f>#REF!</f>
        <v>#REF!</v>
      </c>
      <c r="F49" s="235" t="e">
        <f t="shared" si="0"/>
        <v>#REF!</v>
      </c>
      <c r="G49" s="235" t="e">
        <f>'決算書(予算比較）'!F54</f>
        <v>#REF!</v>
      </c>
      <c r="H49" s="235" t="e">
        <f t="shared" si="2"/>
        <v>#REF!</v>
      </c>
      <c r="I49" s="236"/>
    </row>
    <row r="50" spans="1:9" ht="13.5">
      <c r="A50" s="227"/>
      <c r="B50" s="7"/>
      <c r="C50" s="27" t="s">
        <v>271</v>
      </c>
      <c r="D50" s="235" t="e">
        <f>#REF!</f>
        <v>#REF!</v>
      </c>
      <c r="E50" s="235" t="e">
        <f>#REF!</f>
        <v>#REF!</v>
      </c>
      <c r="F50" s="235" t="e">
        <f t="shared" si="0"/>
        <v>#REF!</v>
      </c>
      <c r="G50" s="235" t="e">
        <f>'決算書(予算比較）'!F55</f>
        <v>#REF!</v>
      </c>
      <c r="H50" s="235" t="e">
        <f t="shared" si="2"/>
        <v>#REF!</v>
      </c>
      <c r="I50" s="236"/>
    </row>
    <row r="51" spans="1:9" ht="13.5">
      <c r="A51" s="227"/>
      <c r="B51" s="7"/>
      <c r="C51" s="27" t="s">
        <v>272</v>
      </c>
      <c r="D51" s="235" t="e">
        <f>#REF!</f>
        <v>#REF!</v>
      </c>
      <c r="E51" s="235" t="e">
        <f>#REF!</f>
        <v>#REF!</v>
      </c>
      <c r="F51" s="235" t="e">
        <f t="shared" si="0"/>
        <v>#REF!</v>
      </c>
      <c r="G51" s="235" t="e">
        <f>'決算書(予算比較）'!F56</f>
        <v>#REF!</v>
      </c>
      <c r="H51" s="235" t="e">
        <f t="shared" si="2"/>
        <v>#REF!</v>
      </c>
      <c r="I51" s="236"/>
    </row>
    <row r="52" spans="1:9" ht="13.5">
      <c r="A52" s="227"/>
      <c r="B52" s="7"/>
      <c r="C52" s="27" t="s">
        <v>273</v>
      </c>
      <c r="D52" s="235" t="e">
        <f>#REF!</f>
        <v>#REF!</v>
      </c>
      <c r="E52" s="235" t="e">
        <f>#REF!</f>
        <v>#REF!</v>
      </c>
      <c r="F52" s="235" t="e">
        <f t="shared" si="0"/>
        <v>#REF!</v>
      </c>
      <c r="G52" s="235" t="e">
        <f>'決算書(予算比較）'!F57</f>
        <v>#REF!</v>
      </c>
      <c r="H52" s="235" t="e">
        <f t="shared" si="2"/>
        <v>#REF!</v>
      </c>
      <c r="I52" s="236"/>
    </row>
    <row r="53" spans="1:9" ht="13.5">
      <c r="A53" s="227"/>
      <c r="B53" s="7"/>
      <c r="C53" s="27" t="s">
        <v>274</v>
      </c>
      <c r="D53" s="235" t="e">
        <f>#REF!</f>
        <v>#REF!</v>
      </c>
      <c r="E53" s="235" t="e">
        <f>#REF!</f>
        <v>#REF!</v>
      </c>
      <c r="F53" s="235" t="e">
        <f t="shared" si="0"/>
        <v>#REF!</v>
      </c>
      <c r="G53" s="235" t="e">
        <f>'決算書(予算比較）'!F58</f>
        <v>#REF!</v>
      </c>
      <c r="H53" s="235" t="e">
        <f t="shared" si="2"/>
        <v>#REF!</v>
      </c>
      <c r="I53" s="236"/>
    </row>
    <row r="54" spans="1:9" ht="13.5">
      <c r="A54" s="227"/>
      <c r="B54" s="7"/>
      <c r="C54" s="27" t="s">
        <v>275</v>
      </c>
      <c r="D54" s="235" t="e">
        <f>#REF!</f>
        <v>#REF!</v>
      </c>
      <c r="E54" s="235" t="e">
        <f>#REF!</f>
        <v>#REF!</v>
      </c>
      <c r="F54" s="235" t="e">
        <f t="shared" si="0"/>
        <v>#REF!</v>
      </c>
      <c r="G54" s="235" t="e">
        <f>'決算書(予算比較）'!F59</f>
        <v>#REF!</v>
      </c>
      <c r="H54" s="235" t="e">
        <f t="shared" si="2"/>
        <v>#REF!</v>
      </c>
      <c r="I54" s="236"/>
    </row>
    <row r="55" spans="1:9" ht="13.5">
      <c r="A55" s="227"/>
      <c r="B55" s="7"/>
      <c r="C55" s="27" t="s">
        <v>276</v>
      </c>
      <c r="D55" s="235" t="e">
        <f>#REF!</f>
        <v>#REF!</v>
      </c>
      <c r="E55" s="235" t="e">
        <f>#REF!</f>
        <v>#REF!</v>
      </c>
      <c r="F55" s="235" t="e">
        <f t="shared" si="0"/>
        <v>#REF!</v>
      </c>
      <c r="G55" s="235" t="e">
        <f>'決算書(予算比較）'!F60</f>
        <v>#REF!</v>
      </c>
      <c r="H55" s="235" t="e">
        <f t="shared" si="2"/>
        <v>#REF!</v>
      </c>
      <c r="I55" s="236"/>
    </row>
    <row r="56" spans="1:9" ht="13.5">
      <c r="A56" s="227"/>
      <c r="B56" s="7"/>
      <c r="C56" s="27" t="s">
        <v>277</v>
      </c>
      <c r="D56" s="235" t="e">
        <f>#REF!</f>
        <v>#REF!</v>
      </c>
      <c r="E56" s="235" t="e">
        <f>#REF!</f>
        <v>#REF!</v>
      </c>
      <c r="F56" s="235" t="e">
        <f t="shared" si="0"/>
        <v>#REF!</v>
      </c>
      <c r="G56" s="235" t="e">
        <f>'決算書(予算比較）'!F61</f>
        <v>#REF!</v>
      </c>
      <c r="H56" s="235" t="e">
        <f t="shared" si="2"/>
        <v>#REF!</v>
      </c>
      <c r="I56" s="236"/>
    </row>
    <row r="57" spans="1:9" ht="13.5">
      <c r="A57" s="227"/>
      <c r="B57" s="7"/>
      <c r="C57" s="27" t="s">
        <v>278</v>
      </c>
      <c r="D57" s="235" t="e">
        <f>#REF!</f>
        <v>#REF!</v>
      </c>
      <c r="E57" s="235" t="e">
        <f>#REF!</f>
        <v>#REF!</v>
      </c>
      <c r="F57" s="235" t="e">
        <f t="shared" si="0"/>
        <v>#REF!</v>
      </c>
      <c r="G57" s="235" t="e">
        <f>'決算書(予算比較）'!F62</f>
        <v>#REF!</v>
      </c>
      <c r="H57" s="235" t="e">
        <f t="shared" si="2"/>
        <v>#REF!</v>
      </c>
      <c r="I57" s="236"/>
    </row>
    <row r="58" spans="1:9" ht="13.5">
      <c r="A58" s="227"/>
      <c r="B58" s="7"/>
      <c r="C58" s="27" t="s">
        <v>279</v>
      </c>
      <c r="D58" s="235" t="e">
        <f>#REF!</f>
        <v>#REF!</v>
      </c>
      <c r="E58" s="235" t="e">
        <f>#REF!</f>
        <v>#REF!</v>
      </c>
      <c r="F58" s="235" t="e">
        <f t="shared" si="0"/>
        <v>#REF!</v>
      </c>
      <c r="G58" s="235" t="e">
        <f>'決算書(予算比較）'!F63</f>
        <v>#REF!</v>
      </c>
      <c r="H58" s="235" t="e">
        <f t="shared" si="2"/>
        <v>#REF!</v>
      </c>
      <c r="I58" s="236"/>
    </row>
    <row r="59" spans="1:9" ht="13.5">
      <c r="A59" s="228"/>
      <c r="B59" s="7"/>
      <c r="C59" s="181" t="s">
        <v>280</v>
      </c>
      <c r="D59" s="237" t="e">
        <f>#REF!</f>
        <v>#REF!</v>
      </c>
      <c r="E59" s="237" t="e">
        <f>#REF!</f>
        <v>#REF!</v>
      </c>
      <c r="F59" s="237" t="e">
        <f t="shared" si="0"/>
        <v>#REF!</v>
      </c>
      <c r="G59" s="237" t="e">
        <f>'決算書(予算比較）'!F64</f>
        <v>#REF!</v>
      </c>
      <c r="H59" s="237" t="e">
        <f t="shared" si="2"/>
        <v>#REF!</v>
      </c>
      <c r="I59" s="238"/>
    </row>
    <row r="60" spans="1:9" ht="20.100000000000001" customHeight="1">
      <c r="A60" s="1347" t="s">
        <v>53</v>
      </c>
      <c r="B60" s="1347"/>
      <c r="C60" s="1347"/>
      <c r="D60" s="231" t="e">
        <f>D35+D23</f>
        <v>#REF!</v>
      </c>
      <c r="E60" s="231" t="e">
        <f>#REF!</f>
        <v>#REF!</v>
      </c>
      <c r="F60" s="231" t="e">
        <f t="shared" si="0"/>
        <v>#REF!</v>
      </c>
      <c r="G60" s="231" t="e">
        <f>'決算書(予算比較）'!F66</f>
        <v>#REF!</v>
      </c>
      <c r="H60" s="231" t="e">
        <f t="shared" si="2"/>
        <v>#REF!</v>
      </c>
      <c r="I60" s="232"/>
    </row>
    <row r="61" spans="1:9" ht="20.100000000000001" customHeight="1">
      <c r="A61" s="1347" t="s">
        <v>54</v>
      </c>
      <c r="B61" s="1347"/>
      <c r="C61" s="1347"/>
      <c r="D61" s="231" t="e">
        <f>D21-D60</f>
        <v>#REF!</v>
      </c>
      <c r="E61" s="231" t="e">
        <f>#REF!</f>
        <v>#REF!</v>
      </c>
      <c r="F61" s="231" t="e">
        <f t="shared" si="0"/>
        <v>#REF!</v>
      </c>
      <c r="G61" s="231" t="e">
        <f>'決算書(予算比較）'!F67</f>
        <v>#REF!</v>
      </c>
      <c r="H61" s="231" t="e">
        <f t="shared" si="2"/>
        <v>#REF!</v>
      </c>
      <c r="I61" s="232"/>
    </row>
  </sheetData>
  <mergeCells count="15">
    <mergeCell ref="A61:C61"/>
    <mergeCell ref="A20:C20"/>
    <mergeCell ref="A21:C21"/>
    <mergeCell ref="A22:C22"/>
    <mergeCell ref="A23:C23"/>
    <mergeCell ref="A6:C6"/>
    <mergeCell ref="A18:C18"/>
    <mergeCell ref="A19:C19"/>
    <mergeCell ref="A35:C35"/>
    <mergeCell ref="A60:C60"/>
    <mergeCell ref="A1:C2"/>
    <mergeCell ref="I1:I2"/>
    <mergeCell ref="A3:C3"/>
    <mergeCell ref="A4:C4"/>
    <mergeCell ref="A5:C5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firstPageNumber="0" orientation="portrait" horizontalDpi="300" verticalDpi="300" r:id="rId1"/>
  <headerFooter alignWithMargins="0">
    <oddHeader>&amp;C&amp;"メイリオ,ボールド"&amp;12特定非営利活動法人&amp;14地域たすけあいの会　活動収支計算書</oddHeader>
  </headerFooter>
  <rowBreaks count="1" manualBreakCount="1">
    <brk id="21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72"/>
  <sheetViews>
    <sheetView zoomScaleNormal="100" workbookViewId="0">
      <pane xSplit="3" ySplit="1" topLeftCell="D2" activePane="bottomRight" state="frozen"/>
      <selection activeCell="D24" sqref="D24"/>
      <selection pane="topRight" activeCell="D24" sqref="D24"/>
      <selection pane="bottomLeft" activeCell="D24" sqref="D24"/>
      <selection pane="bottomRight" activeCell="D24" sqref="D24"/>
    </sheetView>
  </sheetViews>
  <sheetFormatPr defaultColWidth="9" defaultRowHeight="13.5"/>
  <cols>
    <col min="1" max="1" width="3.125" style="217" bestFit="1" customWidth="1"/>
    <col min="2" max="2" width="11.875" style="198" customWidth="1"/>
    <col min="3" max="16" width="8.625" style="198" customWidth="1"/>
    <col min="17" max="16384" width="9" style="14"/>
  </cols>
  <sheetData>
    <row r="1" spans="1:16" s="184" customFormat="1">
      <c r="A1" s="216"/>
      <c r="B1" s="197"/>
      <c r="C1" s="220" t="s">
        <v>243</v>
      </c>
      <c r="D1" s="220" t="s">
        <v>157</v>
      </c>
      <c r="E1" s="220" t="s">
        <v>170</v>
      </c>
      <c r="F1" s="220" t="s">
        <v>171</v>
      </c>
      <c r="G1" s="220" t="s">
        <v>159</v>
      </c>
      <c r="H1" s="220" t="s">
        <v>172</v>
      </c>
      <c r="I1" s="220" t="s">
        <v>173</v>
      </c>
      <c r="J1" s="220" t="s">
        <v>168</v>
      </c>
      <c r="K1" s="220" t="s">
        <v>169</v>
      </c>
      <c r="L1" s="220" t="s">
        <v>167</v>
      </c>
      <c r="M1" s="220" t="s">
        <v>158</v>
      </c>
      <c r="N1" s="220" t="s">
        <v>175</v>
      </c>
      <c r="O1" s="220" t="s">
        <v>156</v>
      </c>
      <c r="P1" s="220" t="s">
        <v>181</v>
      </c>
    </row>
    <row r="2" spans="1:16" ht="20.100000000000001" customHeight="1">
      <c r="A2" s="1351" t="s">
        <v>242</v>
      </c>
      <c r="B2" s="199" t="s">
        <v>164</v>
      </c>
      <c r="C2" s="199"/>
      <c r="D2" s="199" t="e">
        <f>#REF!</f>
        <v>#REF!</v>
      </c>
      <c r="E2" s="199" t="e">
        <f>#REF!</f>
        <v>#REF!</v>
      </c>
      <c r="F2" s="199" t="e">
        <f>#REF!</f>
        <v>#REF!</v>
      </c>
      <c r="G2" s="199" t="e">
        <f>#REF!</f>
        <v>#REF!</v>
      </c>
      <c r="H2" s="199" t="e">
        <f>#REF!</f>
        <v>#REF!</v>
      </c>
      <c r="I2" s="199" t="e">
        <f>#REF!</f>
        <v>#REF!</v>
      </c>
      <c r="J2" s="199" t="e">
        <f>#REF!</f>
        <v>#REF!</v>
      </c>
      <c r="K2" s="199" t="e">
        <f>#REF!</f>
        <v>#REF!</v>
      </c>
      <c r="L2" s="199" t="e">
        <f>#REF!</f>
        <v>#REF!</v>
      </c>
      <c r="M2" s="199" t="e">
        <f>#REF!</f>
        <v>#REF!</v>
      </c>
      <c r="N2" s="199" t="e">
        <f>#REF!</f>
        <v>#REF!</v>
      </c>
      <c r="O2" s="199" t="e">
        <f>#REF!+#REF!+#REF!+#REF!+#REF!</f>
        <v>#REF!</v>
      </c>
      <c r="P2" s="199" t="e">
        <f>SUM(D2:O2)</f>
        <v>#REF!</v>
      </c>
    </row>
    <row r="3" spans="1:16" ht="20.100000000000001" customHeight="1">
      <c r="A3" s="1351"/>
      <c r="B3" s="199" t="s">
        <v>165</v>
      </c>
      <c r="C3" s="199"/>
      <c r="D3" s="199" t="e">
        <f>#REF!</f>
        <v>#REF!</v>
      </c>
      <c r="E3" s="199" t="e">
        <f>#REF!</f>
        <v>#REF!</v>
      </c>
      <c r="F3" s="199" t="e">
        <f>#REF!</f>
        <v>#REF!</v>
      </c>
      <c r="G3" s="199" t="e">
        <f>#REF!</f>
        <v>#REF!</v>
      </c>
      <c r="H3" s="199" t="e">
        <f>#REF!</f>
        <v>#REF!</v>
      </c>
      <c r="I3" s="199" t="e">
        <f>#REF!</f>
        <v>#REF!</v>
      </c>
      <c r="J3" s="199" t="e">
        <f>#REF!</f>
        <v>#REF!</v>
      </c>
      <c r="K3" s="199" t="e">
        <f>#REF!</f>
        <v>#REF!</v>
      </c>
      <c r="L3" s="199" t="e">
        <f>#REF!</f>
        <v>#REF!</v>
      </c>
      <c r="M3" s="199" t="e">
        <f>#REF!</f>
        <v>#REF!</v>
      </c>
      <c r="N3" s="199" t="e">
        <f>#REF!</f>
        <v>#REF!</v>
      </c>
      <c r="O3" s="199"/>
      <c r="P3" s="199" t="e">
        <f>SUM(D3:O3)</f>
        <v>#REF!</v>
      </c>
    </row>
    <row r="4" spans="1:16" ht="20.100000000000001" customHeight="1">
      <c r="A4" s="1351"/>
      <c r="B4" s="199" t="s">
        <v>160</v>
      </c>
      <c r="C4" s="199"/>
      <c r="D4" s="199" t="e">
        <f t="shared" ref="D4:K4" si="0">D2-D3</f>
        <v>#REF!</v>
      </c>
      <c r="E4" s="199" t="e">
        <f t="shared" si="0"/>
        <v>#REF!</v>
      </c>
      <c r="F4" s="199" t="e">
        <f t="shared" si="0"/>
        <v>#REF!</v>
      </c>
      <c r="G4" s="199" t="e">
        <f t="shared" si="0"/>
        <v>#REF!</v>
      </c>
      <c r="H4" s="199" t="e">
        <f t="shared" si="0"/>
        <v>#REF!</v>
      </c>
      <c r="I4" s="199" t="e">
        <f t="shared" si="0"/>
        <v>#REF!</v>
      </c>
      <c r="J4" s="199" t="e">
        <f t="shared" si="0"/>
        <v>#REF!</v>
      </c>
      <c r="K4" s="199" t="e">
        <f t="shared" si="0"/>
        <v>#REF!</v>
      </c>
      <c r="L4" s="199" t="e">
        <f>L2-L3</f>
        <v>#REF!</v>
      </c>
      <c r="M4" s="199" t="e">
        <f>M2-M3</f>
        <v>#REF!</v>
      </c>
      <c r="N4" s="199" t="e">
        <f>N2-N3</f>
        <v>#REF!</v>
      </c>
      <c r="O4" s="199" t="e">
        <f>O2-O3</f>
        <v>#REF!</v>
      </c>
      <c r="P4" s="199" t="e">
        <f>SUM(D4:O4)</f>
        <v>#REF!</v>
      </c>
    </row>
    <row r="5" spans="1:16" ht="20.100000000000001" customHeight="1"/>
    <row r="6" spans="1:16" ht="20.100000000000001" customHeight="1">
      <c r="A6" s="1351" t="s">
        <v>234</v>
      </c>
      <c r="B6" s="199" t="s">
        <v>179</v>
      </c>
      <c r="C6" s="199" t="e">
        <f>#REF!</f>
        <v>#REF!</v>
      </c>
      <c r="D6" s="199" t="e">
        <f>L10*-1</f>
        <v>#REF!</v>
      </c>
      <c r="E6" s="199" t="e">
        <f>L11*-1</f>
        <v>#REF!</v>
      </c>
      <c r="F6" s="199"/>
      <c r="G6" s="199"/>
      <c r="H6" s="199"/>
      <c r="I6" s="199"/>
      <c r="J6" s="199"/>
      <c r="K6" s="199"/>
      <c r="L6" s="199" t="e">
        <f>C6*100%</f>
        <v>#REF!</v>
      </c>
      <c r="M6" s="199"/>
      <c r="N6" s="199"/>
      <c r="O6" s="199"/>
      <c r="P6" s="199" t="e">
        <f t="shared" ref="P6:P23" si="1">SUM(D6:O6)</f>
        <v>#REF!</v>
      </c>
    </row>
    <row r="7" spans="1:16" ht="20.100000000000001" customHeight="1">
      <c r="A7" s="1351"/>
      <c r="B7" s="199" t="s">
        <v>168</v>
      </c>
      <c r="C7" s="199" t="e">
        <f>#REF!</f>
        <v>#REF!</v>
      </c>
      <c r="D7" s="199"/>
      <c r="E7" s="199"/>
      <c r="F7" s="199"/>
      <c r="G7" s="199"/>
      <c r="H7" s="199"/>
      <c r="I7" s="199"/>
      <c r="J7" s="199" t="e">
        <f>C7*100%</f>
        <v>#REF!</v>
      </c>
      <c r="K7" s="199"/>
      <c r="L7" s="199"/>
      <c r="M7" s="199"/>
      <c r="N7" s="199"/>
      <c r="O7" s="199"/>
      <c r="P7" s="199" t="e">
        <f t="shared" si="1"/>
        <v>#REF!</v>
      </c>
    </row>
    <row r="8" spans="1:16" ht="20.100000000000001" customHeight="1">
      <c r="A8" s="1351"/>
      <c r="B8" s="199" t="s">
        <v>169</v>
      </c>
      <c r="C8" s="199" t="e">
        <f>#REF!</f>
        <v>#REF!</v>
      </c>
      <c r="D8" s="199"/>
      <c r="E8" s="199"/>
      <c r="F8" s="199"/>
      <c r="G8" s="199"/>
      <c r="H8" s="199"/>
      <c r="I8" s="199"/>
      <c r="J8" s="199"/>
      <c r="K8" s="199" t="e">
        <f>C8*100%</f>
        <v>#REF!</v>
      </c>
      <c r="L8" s="199"/>
      <c r="M8" s="199"/>
      <c r="N8" s="199"/>
      <c r="O8" s="199"/>
      <c r="P8" s="199" t="e">
        <f t="shared" si="1"/>
        <v>#REF!</v>
      </c>
    </row>
    <row r="9" spans="1:16" ht="20.100000000000001" customHeight="1">
      <c r="A9" s="1351"/>
      <c r="B9" s="199" t="s">
        <v>158</v>
      </c>
      <c r="C9" s="199" t="e">
        <f>#REF!</f>
        <v>#REF!</v>
      </c>
      <c r="D9" s="199"/>
      <c r="E9" s="199"/>
      <c r="F9" s="199"/>
      <c r="G9" s="199"/>
      <c r="H9" s="199"/>
      <c r="I9" s="199"/>
      <c r="J9" s="199"/>
      <c r="K9" s="199"/>
      <c r="L9" s="199"/>
      <c r="M9" s="199" t="e">
        <f>C9*100%</f>
        <v>#REF!</v>
      </c>
      <c r="N9" s="199"/>
      <c r="O9" s="199"/>
      <c r="P9" s="199" t="e">
        <f t="shared" si="1"/>
        <v>#REF!</v>
      </c>
    </row>
    <row r="10" spans="1:16" ht="20.100000000000001" customHeight="1">
      <c r="A10" s="1351"/>
      <c r="B10" s="199" t="s">
        <v>157</v>
      </c>
      <c r="C10" s="199" t="e">
        <f>#REF!</f>
        <v>#REF!</v>
      </c>
      <c r="D10" s="199" t="e">
        <f>C10</f>
        <v>#REF!</v>
      </c>
      <c r="E10" s="199"/>
      <c r="F10" s="199"/>
      <c r="G10" s="199"/>
      <c r="H10" s="199"/>
      <c r="I10" s="199"/>
      <c r="J10" s="199"/>
      <c r="K10" s="199"/>
      <c r="L10" s="199" t="e">
        <f>D2*2.5%</f>
        <v>#REF!</v>
      </c>
      <c r="M10" s="199"/>
      <c r="N10" s="199"/>
      <c r="O10" s="199"/>
      <c r="P10" s="199" t="e">
        <f t="shared" si="1"/>
        <v>#REF!</v>
      </c>
    </row>
    <row r="11" spans="1:16" ht="20.100000000000001" customHeight="1">
      <c r="A11" s="1351"/>
      <c r="B11" s="199" t="s">
        <v>170</v>
      </c>
      <c r="C11" s="199" t="e">
        <f>#REF!</f>
        <v>#REF!</v>
      </c>
      <c r="D11" s="199"/>
      <c r="E11" s="199" t="e">
        <f>C11</f>
        <v>#REF!</v>
      </c>
      <c r="F11" s="199"/>
      <c r="G11" s="199"/>
      <c r="H11" s="199"/>
      <c r="I11" s="199"/>
      <c r="J11" s="199"/>
      <c r="K11" s="199"/>
      <c r="L11" s="199" t="e">
        <f>E2*7%</f>
        <v>#REF!</v>
      </c>
      <c r="M11" s="199"/>
      <c r="N11" s="199"/>
      <c r="O11" s="199"/>
      <c r="P11" s="199" t="e">
        <f t="shared" si="1"/>
        <v>#REF!</v>
      </c>
    </row>
    <row r="12" spans="1:16" ht="20.100000000000001" customHeight="1">
      <c r="A12" s="1351"/>
      <c r="B12" s="199" t="s">
        <v>171</v>
      </c>
      <c r="C12" s="199" t="e">
        <f>#REF!</f>
        <v>#REF!</v>
      </c>
      <c r="D12" s="199"/>
      <c r="E12" s="199"/>
      <c r="F12" s="199" t="e">
        <f>C12*100%</f>
        <v>#REF!</v>
      </c>
      <c r="G12" s="199"/>
      <c r="H12" s="199"/>
      <c r="I12" s="199"/>
      <c r="J12" s="199"/>
      <c r="K12" s="199"/>
      <c r="L12" s="199"/>
      <c r="M12" s="199"/>
      <c r="N12" s="199"/>
      <c r="O12" s="199"/>
      <c r="P12" s="199" t="e">
        <f t="shared" si="1"/>
        <v>#REF!</v>
      </c>
    </row>
    <row r="13" spans="1:16" ht="20.100000000000001" customHeight="1">
      <c r="A13" s="1351"/>
      <c r="B13" s="199" t="s">
        <v>159</v>
      </c>
      <c r="C13" s="199" t="e">
        <f>#REF!</f>
        <v>#REF!</v>
      </c>
      <c r="D13" s="199"/>
      <c r="E13" s="199"/>
      <c r="F13" s="199"/>
      <c r="G13" s="199" t="e">
        <f>C13*100%</f>
        <v>#REF!</v>
      </c>
      <c r="H13" s="199"/>
      <c r="I13" s="199"/>
      <c r="J13" s="199"/>
      <c r="K13" s="199"/>
      <c r="L13" s="199"/>
      <c r="M13" s="199"/>
      <c r="N13" s="199"/>
      <c r="O13" s="199"/>
      <c r="P13" s="199" t="e">
        <f t="shared" si="1"/>
        <v>#REF!</v>
      </c>
    </row>
    <row r="14" spans="1:16" ht="20.100000000000001" customHeight="1">
      <c r="A14" s="1351"/>
      <c r="B14" s="199" t="s">
        <v>180</v>
      </c>
      <c r="C14" s="199" t="e">
        <f>#REF!</f>
        <v>#REF!</v>
      </c>
      <c r="D14" s="199"/>
      <c r="E14" s="199"/>
      <c r="F14" s="199"/>
      <c r="G14" s="199"/>
      <c r="H14" s="199" t="e">
        <f>C14*100%</f>
        <v>#REF!</v>
      </c>
      <c r="I14" s="199"/>
      <c r="J14" s="199"/>
      <c r="K14" s="199"/>
      <c r="L14" s="199"/>
      <c r="M14" s="199"/>
      <c r="N14" s="199"/>
      <c r="O14" s="199"/>
      <c r="P14" s="199" t="e">
        <f t="shared" si="1"/>
        <v>#REF!</v>
      </c>
    </row>
    <row r="15" spans="1:16" ht="20.100000000000001" customHeight="1">
      <c r="A15" s="1351"/>
      <c r="B15" s="199" t="s">
        <v>178</v>
      </c>
      <c r="C15" s="199" t="e">
        <f>#REF!</f>
        <v>#REF!</v>
      </c>
      <c r="D15" s="199"/>
      <c r="E15" s="199"/>
      <c r="F15" s="199"/>
      <c r="G15" s="199"/>
      <c r="H15" s="199"/>
      <c r="I15" s="199" t="e">
        <f>C15*100%</f>
        <v>#REF!</v>
      </c>
      <c r="J15" s="199"/>
      <c r="K15" s="199"/>
      <c r="L15" s="199"/>
      <c r="M15" s="199"/>
      <c r="N15" s="199"/>
      <c r="O15" s="199"/>
      <c r="P15" s="199" t="e">
        <f t="shared" si="1"/>
        <v>#REF!</v>
      </c>
    </row>
    <row r="16" spans="1:16" ht="20.100000000000001" customHeight="1">
      <c r="A16" s="1351"/>
      <c r="B16" s="199" t="s">
        <v>175</v>
      </c>
      <c r="C16" s="199" t="e">
        <f>#REF!</f>
        <v>#REF!</v>
      </c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 t="e">
        <f>C16*100%</f>
        <v>#REF!</v>
      </c>
      <c r="O16" s="199"/>
      <c r="P16" s="199" t="e">
        <f t="shared" si="1"/>
        <v>#REF!</v>
      </c>
    </row>
    <row r="17" spans="1:16" ht="20.100000000000001" customHeight="1">
      <c r="A17" s="1351"/>
      <c r="B17" s="199"/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>
        <f t="shared" si="1"/>
        <v>0</v>
      </c>
    </row>
    <row r="18" spans="1:16" ht="20.100000000000001" customHeight="1">
      <c r="A18" s="1351"/>
      <c r="B18" s="199" t="s">
        <v>237</v>
      </c>
      <c r="C18" s="199" t="e">
        <f>#REF!</f>
        <v>#REF!</v>
      </c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 t="e">
        <f>C18*100%</f>
        <v>#REF!</v>
      </c>
      <c r="P18" s="199" t="e">
        <f t="shared" si="1"/>
        <v>#REF!</v>
      </c>
    </row>
    <row r="19" spans="1:16" ht="20.100000000000001" customHeight="1">
      <c r="A19" s="1351"/>
      <c r="B19" s="199" t="s">
        <v>238</v>
      </c>
      <c r="C19" s="199" t="e">
        <f>#REF!</f>
        <v>#REF!</v>
      </c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 t="e">
        <f>C19*100%</f>
        <v>#REF!</v>
      </c>
      <c r="P19" s="199" t="e">
        <f t="shared" si="1"/>
        <v>#REF!</v>
      </c>
    </row>
    <row r="20" spans="1:16" ht="20.100000000000001" customHeight="1">
      <c r="A20" s="1351"/>
      <c r="B20" s="199" t="s">
        <v>239</v>
      </c>
      <c r="C20" s="199" t="e">
        <f>#REF!</f>
        <v>#REF!</v>
      </c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 t="e">
        <f>C20*100%</f>
        <v>#REF!</v>
      </c>
      <c r="P20" s="199" t="e">
        <f t="shared" si="1"/>
        <v>#REF!</v>
      </c>
    </row>
    <row r="21" spans="1:16" ht="20.100000000000001" customHeight="1">
      <c r="A21" s="1351"/>
      <c r="B21" s="199" t="s">
        <v>240</v>
      </c>
      <c r="C21" s="199" t="e">
        <f>#REF!</f>
        <v>#REF!</v>
      </c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 t="e">
        <f>C21*100%</f>
        <v>#REF!</v>
      </c>
      <c r="P21" s="199" t="e">
        <f t="shared" si="1"/>
        <v>#REF!</v>
      </c>
    </row>
    <row r="22" spans="1:16" ht="20.100000000000001" customHeight="1">
      <c r="A22" s="1351"/>
      <c r="B22" s="199" t="s">
        <v>241</v>
      </c>
      <c r="C22" s="199" t="e">
        <f>#REF!</f>
        <v>#REF!</v>
      </c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 t="e">
        <f>C22*100%</f>
        <v>#REF!</v>
      </c>
      <c r="P22" s="199" t="e">
        <f t="shared" si="1"/>
        <v>#REF!</v>
      </c>
    </row>
    <row r="23" spans="1:16" ht="20.100000000000001" customHeight="1">
      <c r="A23" s="1351"/>
      <c r="B23" s="200" t="s">
        <v>245</v>
      </c>
      <c r="C23" s="200" t="e">
        <f>SUM(C6:C22)</f>
        <v>#REF!</v>
      </c>
      <c r="D23" s="200" t="e">
        <f t="shared" ref="D23:K23" si="2">SUM(D6:D22)</f>
        <v>#REF!</v>
      </c>
      <c r="E23" s="200" t="e">
        <f t="shared" si="2"/>
        <v>#REF!</v>
      </c>
      <c r="F23" s="200" t="e">
        <f t="shared" si="2"/>
        <v>#REF!</v>
      </c>
      <c r="G23" s="200" t="e">
        <f t="shared" si="2"/>
        <v>#REF!</v>
      </c>
      <c r="H23" s="200" t="e">
        <f t="shared" si="2"/>
        <v>#REF!</v>
      </c>
      <c r="I23" s="200" t="e">
        <f t="shared" si="2"/>
        <v>#REF!</v>
      </c>
      <c r="J23" s="200" t="e">
        <f t="shared" si="2"/>
        <v>#REF!</v>
      </c>
      <c r="K23" s="200" t="e">
        <f t="shared" si="2"/>
        <v>#REF!</v>
      </c>
      <c r="L23" s="200" t="e">
        <f>SUM(L6:L22)</f>
        <v>#REF!</v>
      </c>
      <c r="M23" s="200" t="e">
        <f>SUM(M6:M22)</f>
        <v>#REF!</v>
      </c>
      <c r="N23" s="200" t="e">
        <f>SUM(N6:N22)</f>
        <v>#REF!</v>
      </c>
      <c r="O23" s="200" t="e">
        <f>SUM(O6:O22)</f>
        <v>#REF!</v>
      </c>
      <c r="P23" s="200" t="e">
        <f t="shared" si="1"/>
        <v>#REF!</v>
      </c>
    </row>
    <row r="25" spans="1:16" s="191" customFormat="1">
      <c r="A25" s="1352" t="s">
        <v>192</v>
      </c>
      <c r="B25" s="201" t="s">
        <v>182</v>
      </c>
      <c r="C25" s="201"/>
      <c r="D25" s="201" t="e">
        <f t="shared" ref="D25:N25" si="3">D23/$P$23</f>
        <v>#REF!</v>
      </c>
      <c r="E25" s="201" t="e">
        <f t="shared" si="3"/>
        <v>#REF!</v>
      </c>
      <c r="F25" s="201" t="e">
        <f t="shared" si="3"/>
        <v>#REF!</v>
      </c>
      <c r="G25" s="201" t="e">
        <f t="shared" si="3"/>
        <v>#REF!</v>
      </c>
      <c r="H25" s="201" t="e">
        <f t="shared" si="3"/>
        <v>#REF!</v>
      </c>
      <c r="I25" s="201" t="e">
        <f t="shared" si="3"/>
        <v>#REF!</v>
      </c>
      <c r="J25" s="201" t="e">
        <f t="shared" si="3"/>
        <v>#REF!</v>
      </c>
      <c r="K25" s="201" t="e">
        <f t="shared" si="3"/>
        <v>#REF!</v>
      </c>
      <c r="L25" s="201" t="e">
        <f t="shared" si="3"/>
        <v>#REF!</v>
      </c>
      <c r="M25" s="201" t="e">
        <f t="shared" si="3"/>
        <v>#REF!</v>
      </c>
      <c r="N25" s="201" t="e">
        <f t="shared" si="3"/>
        <v>#REF!</v>
      </c>
      <c r="O25" s="201"/>
      <c r="P25" s="201" t="e">
        <f>SUM(D25:O25)</f>
        <v>#REF!</v>
      </c>
    </row>
    <row r="26" spans="1:16" s="192" customFormat="1">
      <c r="A26" s="1352"/>
      <c r="B26" s="202" t="s">
        <v>183</v>
      </c>
      <c r="C26" s="202"/>
      <c r="D26" s="202">
        <v>1</v>
      </c>
      <c r="E26" s="202">
        <v>2</v>
      </c>
      <c r="F26" s="202">
        <v>2</v>
      </c>
      <c r="G26" s="202">
        <v>1</v>
      </c>
      <c r="H26" s="202">
        <v>1</v>
      </c>
      <c r="I26" s="202">
        <v>3</v>
      </c>
      <c r="J26" s="202">
        <v>4</v>
      </c>
      <c r="K26" s="202"/>
      <c r="L26" s="202"/>
      <c r="M26" s="202"/>
      <c r="N26" s="202"/>
      <c r="O26" s="202"/>
      <c r="P26" s="202">
        <f>SUM(D26:O26)</f>
        <v>14</v>
      </c>
    </row>
    <row r="27" spans="1:16" s="193" customFormat="1">
      <c r="A27" s="1352"/>
      <c r="B27" s="204" t="s">
        <v>220</v>
      </c>
      <c r="C27" s="204"/>
      <c r="D27" s="204">
        <f>車両関係経費試算資料!J2</f>
        <v>9.9490717001677526E-2</v>
      </c>
      <c r="E27" s="204">
        <f>車両関係経費試算資料!J4</f>
        <v>0.23313659205875953</v>
      </c>
      <c r="F27" s="204">
        <f>車両関係経費試算資料!J17</f>
        <v>0.15179677722518434</v>
      </c>
      <c r="G27" s="204">
        <f>車両関係経費試算資料!J9</f>
        <v>3.0838038863025573E-2</v>
      </c>
      <c r="H27" s="204">
        <f>車両関係経費試算資料!J15</f>
        <v>6.976132846857154E-2</v>
      </c>
      <c r="I27" s="204">
        <f>車両関係経費試算資料!J14</f>
        <v>0.25282838311090194</v>
      </c>
      <c r="J27" s="204">
        <f>車両関係経費試算資料!J8</f>
        <v>0.16214816327187959</v>
      </c>
      <c r="K27" s="204">
        <f>K26/$P$26</f>
        <v>0</v>
      </c>
      <c r="L27" s="204">
        <f>L26/$P$26</f>
        <v>0</v>
      </c>
      <c r="M27" s="204">
        <f>M26/$P$26</f>
        <v>0</v>
      </c>
      <c r="N27" s="204">
        <f>N26/$P$26</f>
        <v>0</v>
      </c>
      <c r="O27" s="204">
        <f>O26/$P$26</f>
        <v>0</v>
      </c>
      <c r="P27" s="204">
        <f t="shared" ref="P27:P32" si="4">SUM(D27:O27)</f>
        <v>1</v>
      </c>
    </row>
    <row r="28" spans="1:16" s="194" customFormat="1">
      <c r="A28" s="1352"/>
      <c r="B28" s="205" t="s">
        <v>184</v>
      </c>
      <c r="C28" s="205"/>
      <c r="D28" s="205">
        <v>20</v>
      </c>
      <c r="E28" s="205">
        <v>9</v>
      </c>
      <c r="F28" s="205">
        <v>5</v>
      </c>
      <c r="G28" s="205">
        <v>3</v>
      </c>
      <c r="H28" s="205">
        <v>8</v>
      </c>
      <c r="I28" s="205">
        <v>5</v>
      </c>
      <c r="J28" s="205">
        <v>6</v>
      </c>
      <c r="K28" s="205">
        <v>4</v>
      </c>
      <c r="L28" s="205">
        <v>4</v>
      </c>
      <c r="M28" s="205"/>
      <c r="N28" s="205"/>
      <c r="O28" s="205">
        <v>7</v>
      </c>
      <c r="P28" s="221">
        <f t="shared" si="4"/>
        <v>71</v>
      </c>
    </row>
    <row r="29" spans="1:16">
      <c r="A29" s="1352"/>
      <c r="B29" s="206" t="s">
        <v>185</v>
      </c>
      <c r="C29" s="206"/>
      <c r="D29" s="204">
        <f t="shared" ref="D29:O29" si="5">D28/$P$28</f>
        <v>0.28169014084507044</v>
      </c>
      <c r="E29" s="204">
        <f t="shared" si="5"/>
        <v>0.12676056338028169</v>
      </c>
      <c r="F29" s="204">
        <f t="shared" si="5"/>
        <v>7.0422535211267609E-2</v>
      </c>
      <c r="G29" s="204">
        <f t="shared" si="5"/>
        <v>4.2253521126760563E-2</v>
      </c>
      <c r="H29" s="204">
        <f t="shared" si="5"/>
        <v>0.11267605633802817</v>
      </c>
      <c r="I29" s="204">
        <f t="shared" si="5"/>
        <v>7.0422535211267609E-2</v>
      </c>
      <c r="J29" s="204">
        <f t="shared" si="5"/>
        <v>8.4507042253521125E-2</v>
      </c>
      <c r="K29" s="204">
        <f t="shared" si="5"/>
        <v>5.6338028169014086E-2</v>
      </c>
      <c r="L29" s="204">
        <f t="shared" si="5"/>
        <v>5.6338028169014086E-2</v>
      </c>
      <c r="M29" s="204">
        <f t="shared" si="5"/>
        <v>0</v>
      </c>
      <c r="N29" s="204">
        <f t="shared" si="5"/>
        <v>0</v>
      </c>
      <c r="O29" s="204">
        <f t="shared" si="5"/>
        <v>9.8591549295774641E-2</v>
      </c>
      <c r="P29" s="204">
        <f t="shared" si="4"/>
        <v>1</v>
      </c>
    </row>
    <row r="30" spans="1:16" s="194" customFormat="1">
      <c r="A30" s="1352"/>
      <c r="B30" s="205" t="s">
        <v>187</v>
      </c>
      <c r="C30" s="205"/>
      <c r="D30" s="222">
        <v>4</v>
      </c>
      <c r="E30" s="222">
        <v>2</v>
      </c>
      <c r="F30" s="222">
        <v>2</v>
      </c>
      <c r="G30" s="222">
        <v>3</v>
      </c>
      <c r="H30" s="222">
        <v>3</v>
      </c>
      <c r="I30" s="222">
        <v>3</v>
      </c>
      <c r="J30" s="222">
        <v>0</v>
      </c>
      <c r="K30" s="222">
        <v>2</v>
      </c>
      <c r="L30" s="222">
        <v>1</v>
      </c>
      <c r="M30" s="222">
        <v>0</v>
      </c>
      <c r="N30" s="222"/>
      <c r="O30" s="222">
        <v>6</v>
      </c>
      <c r="P30" s="222">
        <f t="shared" si="4"/>
        <v>26</v>
      </c>
    </row>
    <row r="31" spans="1:16">
      <c r="A31" s="1352"/>
      <c r="B31" s="206" t="s">
        <v>186</v>
      </c>
      <c r="C31" s="206"/>
      <c r="D31" s="204">
        <f t="shared" ref="D31:O31" si="6">D30/$P$30</f>
        <v>0.15384615384615385</v>
      </c>
      <c r="E31" s="204">
        <f t="shared" si="6"/>
        <v>7.6923076923076927E-2</v>
      </c>
      <c r="F31" s="204">
        <f t="shared" si="6"/>
        <v>7.6923076923076927E-2</v>
      </c>
      <c r="G31" s="204">
        <f t="shared" si="6"/>
        <v>0.11538461538461539</v>
      </c>
      <c r="H31" s="204">
        <f t="shared" si="6"/>
        <v>0.11538461538461539</v>
      </c>
      <c r="I31" s="204">
        <f t="shared" si="6"/>
        <v>0.11538461538461539</v>
      </c>
      <c r="J31" s="204">
        <f t="shared" si="6"/>
        <v>0</v>
      </c>
      <c r="K31" s="204">
        <f t="shared" si="6"/>
        <v>7.6923076923076927E-2</v>
      </c>
      <c r="L31" s="204">
        <f t="shared" si="6"/>
        <v>3.8461538461538464E-2</v>
      </c>
      <c r="M31" s="204">
        <f t="shared" si="6"/>
        <v>0</v>
      </c>
      <c r="N31" s="204">
        <f t="shared" si="6"/>
        <v>0</v>
      </c>
      <c r="O31" s="204">
        <f t="shared" si="6"/>
        <v>0.23076923076923078</v>
      </c>
      <c r="P31" s="204">
        <f t="shared" si="4"/>
        <v>1</v>
      </c>
    </row>
    <row r="32" spans="1:16">
      <c r="A32" s="1352"/>
      <c r="B32" s="206" t="s">
        <v>188</v>
      </c>
      <c r="C32" s="206"/>
      <c r="D32" s="204"/>
      <c r="E32" s="204"/>
      <c r="F32" s="204"/>
      <c r="G32" s="204">
        <v>0.05</v>
      </c>
      <c r="H32" s="204"/>
      <c r="I32" s="204"/>
      <c r="J32" s="204">
        <v>0.2</v>
      </c>
      <c r="K32" s="204"/>
      <c r="L32" s="204"/>
      <c r="M32" s="204"/>
      <c r="N32" s="204"/>
      <c r="O32" s="204">
        <v>0.75</v>
      </c>
      <c r="P32" s="204">
        <f t="shared" si="4"/>
        <v>1</v>
      </c>
    </row>
    <row r="33" spans="1:16"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</row>
    <row r="34" spans="1:16">
      <c r="A34" s="1351" t="s">
        <v>236</v>
      </c>
      <c r="B34" s="207" t="s">
        <v>80</v>
      </c>
      <c r="C34" s="223" t="e">
        <f>#REF!</f>
        <v>#REF!</v>
      </c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 t="e">
        <f>C34*100%</f>
        <v>#REF!</v>
      </c>
      <c r="P34" s="199" t="e">
        <f>SUM(D34:O34)</f>
        <v>#REF!</v>
      </c>
    </row>
    <row r="35" spans="1:16">
      <c r="A35" s="1351"/>
      <c r="B35" s="206" t="s">
        <v>118</v>
      </c>
      <c r="C35" s="223" t="e">
        <f>#REF!</f>
        <v>#REF!</v>
      </c>
      <c r="D35" s="223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3" t="e">
        <f>C35*100%</f>
        <v>#REF!</v>
      </c>
      <c r="P35" s="199" t="e">
        <f>SUM(D35:O35)</f>
        <v>#REF!</v>
      </c>
    </row>
    <row r="36" spans="1:16">
      <c r="A36" s="1351"/>
      <c r="B36" s="206" t="s">
        <v>119</v>
      </c>
      <c r="C36" s="199" t="e">
        <f>#REF!</f>
        <v>#REF!</v>
      </c>
      <c r="D36" s="223" t="e">
        <f t="shared" ref="D36:O36" si="7">$C$36*D29</f>
        <v>#REF!</v>
      </c>
      <c r="E36" s="223" t="e">
        <f t="shared" si="7"/>
        <v>#REF!</v>
      </c>
      <c r="F36" s="223" t="e">
        <f t="shared" si="7"/>
        <v>#REF!</v>
      </c>
      <c r="G36" s="223" t="e">
        <f t="shared" si="7"/>
        <v>#REF!</v>
      </c>
      <c r="H36" s="223" t="e">
        <f t="shared" si="7"/>
        <v>#REF!</v>
      </c>
      <c r="I36" s="223" t="e">
        <f t="shared" si="7"/>
        <v>#REF!</v>
      </c>
      <c r="J36" s="223" t="e">
        <f t="shared" si="7"/>
        <v>#REF!</v>
      </c>
      <c r="K36" s="223" t="e">
        <f t="shared" si="7"/>
        <v>#REF!</v>
      </c>
      <c r="L36" s="223" t="e">
        <f t="shared" si="7"/>
        <v>#REF!</v>
      </c>
      <c r="M36" s="223" t="e">
        <f t="shared" si="7"/>
        <v>#REF!</v>
      </c>
      <c r="N36" s="223" t="e">
        <f t="shared" si="7"/>
        <v>#REF!</v>
      </c>
      <c r="O36" s="223" t="e">
        <f t="shared" si="7"/>
        <v>#REF!</v>
      </c>
      <c r="P36" s="199" t="e">
        <f t="shared" ref="P36:P58" si="8">SUM(D36:O36)</f>
        <v>#REF!</v>
      </c>
    </row>
    <row r="37" spans="1:16">
      <c r="A37" s="1351"/>
      <c r="B37" s="207" t="s">
        <v>120</v>
      </c>
      <c r="C37" s="199" t="e">
        <f>#REF!</f>
        <v>#REF!</v>
      </c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223" t="e">
        <f>C37*100%</f>
        <v>#REF!</v>
      </c>
      <c r="P37" s="199" t="e">
        <f t="shared" si="8"/>
        <v>#REF!</v>
      </c>
    </row>
    <row r="38" spans="1:16">
      <c r="A38" s="1351"/>
      <c r="B38" s="208" t="s">
        <v>81</v>
      </c>
      <c r="C38" s="199" t="e">
        <f>#REF!</f>
        <v>#REF!</v>
      </c>
      <c r="D38" s="223" t="e">
        <f t="shared" ref="D38:O38" si="9">$C$38*D32</f>
        <v>#REF!</v>
      </c>
      <c r="E38" s="223" t="e">
        <f t="shared" si="9"/>
        <v>#REF!</v>
      </c>
      <c r="F38" s="223" t="e">
        <f t="shared" si="9"/>
        <v>#REF!</v>
      </c>
      <c r="G38" s="223" t="e">
        <f t="shared" si="9"/>
        <v>#REF!</v>
      </c>
      <c r="H38" s="223" t="e">
        <f t="shared" si="9"/>
        <v>#REF!</v>
      </c>
      <c r="I38" s="223" t="e">
        <f t="shared" si="9"/>
        <v>#REF!</v>
      </c>
      <c r="J38" s="223" t="e">
        <f t="shared" si="9"/>
        <v>#REF!</v>
      </c>
      <c r="K38" s="223" t="e">
        <f t="shared" si="9"/>
        <v>#REF!</v>
      </c>
      <c r="L38" s="223" t="e">
        <f t="shared" si="9"/>
        <v>#REF!</v>
      </c>
      <c r="M38" s="223" t="e">
        <f t="shared" si="9"/>
        <v>#REF!</v>
      </c>
      <c r="N38" s="223" t="e">
        <f t="shared" si="9"/>
        <v>#REF!</v>
      </c>
      <c r="O38" s="223" t="e">
        <f t="shared" si="9"/>
        <v>#REF!</v>
      </c>
      <c r="P38" s="199" t="e">
        <f t="shared" si="8"/>
        <v>#REF!</v>
      </c>
    </row>
    <row r="39" spans="1:16">
      <c r="A39" s="1351"/>
      <c r="B39" s="207" t="s">
        <v>121</v>
      </c>
      <c r="C39" s="199" t="e">
        <f>#REF!</f>
        <v>#REF!</v>
      </c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223" t="e">
        <f t="shared" ref="O39:O45" si="10">C39*100%</f>
        <v>#REF!</v>
      </c>
      <c r="P39" s="199" t="e">
        <f t="shared" si="8"/>
        <v>#REF!</v>
      </c>
    </row>
    <row r="40" spans="1:16">
      <c r="A40" s="1351"/>
      <c r="B40" s="207" t="s">
        <v>176</v>
      </c>
      <c r="C40" s="199" t="e">
        <f>#REF!</f>
        <v>#REF!</v>
      </c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223" t="e">
        <f t="shared" si="10"/>
        <v>#REF!</v>
      </c>
      <c r="P40" s="199" t="e">
        <f t="shared" si="8"/>
        <v>#REF!</v>
      </c>
    </row>
    <row r="41" spans="1:16">
      <c r="A41" s="1351"/>
      <c r="B41" s="207" t="s">
        <v>122</v>
      </c>
      <c r="C41" s="199" t="e">
        <f>#REF!</f>
        <v>#REF!</v>
      </c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223" t="e">
        <f t="shared" si="10"/>
        <v>#REF!</v>
      </c>
      <c r="P41" s="199" t="e">
        <f t="shared" si="8"/>
        <v>#REF!</v>
      </c>
    </row>
    <row r="42" spans="1:16">
      <c r="A42" s="1351"/>
      <c r="B42" s="207" t="s">
        <v>83</v>
      </c>
      <c r="C42" s="199" t="e">
        <f>#REF!</f>
        <v>#REF!</v>
      </c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223" t="e">
        <f t="shared" si="10"/>
        <v>#REF!</v>
      </c>
      <c r="P42" s="199" t="e">
        <f t="shared" si="8"/>
        <v>#REF!</v>
      </c>
    </row>
    <row r="43" spans="1:16">
      <c r="A43" s="1351"/>
      <c r="B43" s="207" t="s">
        <v>94</v>
      </c>
      <c r="C43" s="199" t="e">
        <f>#REF!</f>
        <v>#REF!</v>
      </c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223" t="e">
        <f t="shared" si="10"/>
        <v>#REF!</v>
      </c>
      <c r="P43" s="199" t="e">
        <f t="shared" si="8"/>
        <v>#REF!</v>
      </c>
    </row>
    <row r="44" spans="1:16">
      <c r="A44" s="1351"/>
      <c r="B44" s="207" t="s">
        <v>84</v>
      </c>
      <c r="C44" s="199" t="e">
        <f>#REF!</f>
        <v>#REF!</v>
      </c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223" t="e">
        <f t="shared" si="10"/>
        <v>#REF!</v>
      </c>
      <c r="P44" s="199" t="e">
        <f t="shared" si="8"/>
        <v>#REF!</v>
      </c>
    </row>
    <row r="45" spans="1:16">
      <c r="A45" s="1351"/>
      <c r="B45" s="207" t="s">
        <v>123</v>
      </c>
      <c r="C45" s="199" t="e">
        <f>#REF!</f>
        <v>#REF!</v>
      </c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223" t="e">
        <f t="shared" si="10"/>
        <v>#REF!</v>
      </c>
      <c r="P45" s="199" t="e">
        <f t="shared" si="8"/>
        <v>#REF!</v>
      </c>
    </row>
    <row r="46" spans="1:16">
      <c r="A46" s="1351"/>
      <c r="B46" s="206" t="s">
        <v>115</v>
      </c>
      <c r="C46" s="199" t="e">
        <f>#REF!</f>
        <v>#REF!</v>
      </c>
      <c r="D46" s="199" t="e">
        <f t="shared" ref="D46:O46" si="11">$C$46*D29</f>
        <v>#REF!</v>
      </c>
      <c r="E46" s="199" t="e">
        <f t="shared" si="11"/>
        <v>#REF!</v>
      </c>
      <c r="F46" s="199" t="e">
        <f t="shared" si="11"/>
        <v>#REF!</v>
      </c>
      <c r="G46" s="199" t="e">
        <f t="shared" si="11"/>
        <v>#REF!</v>
      </c>
      <c r="H46" s="199" t="e">
        <f t="shared" si="11"/>
        <v>#REF!</v>
      </c>
      <c r="I46" s="199" t="e">
        <f t="shared" si="11"/>
        <v>#REF!</v>
      </c>
      <c r="J46" s="199" t="e">
        <f t="shared" si="11"/>
        <v>#REF!</v>
      </c>
      <c r="K46" s="199" t="e">
        <f t="shared" si="11"/>
        <v>#REF!</v>
      </c>
      <c r="L46" s="199" t="e">
        <f t="shared" si="11"/>
        <v>#REF!</v>
      </c>
      <c r="M46" s="199" t="e">
        <f t="shared" si="11"/>
        <v>#REF!</v>
      </c>
      <c r="N46" s="199" t="e">
        <f t="shared" si="11"/>
        <v>#REF!</v>
      </c>
      <c r="O46" s="199" t="e">
        <f t="shared" si="11"/>
        <v>#REF!</v>
      </c>
      <c r="P46" s="199" t="e">
        <f t="shared" si="8"/>
        <v>#REF!</v>
      </c>
    </row>
    <row r="47" spans="1:16">
      <c r="A47" s="1351"/>
      <c r="B47" s="208" t="s">
        <v>85</v>
      </c>
      <c r="C47" s="199" t="e">
        <f>#REF!</f>
        <v>#REF!</v>
      </c>
      <c r="D47" s="223" t="e">
        <f t="shared" ref="D47:O47" si="12">$C$47*D32</f>
        <v>#REF!</v>
      </c>
      <c r="E47" s="223" t="e">
        <f t="shared" si="12"/>
        <v>#REF!</v>
      </c>
      <c r="F47" s="223" t="e">
        <f t="shared" si="12"/>
        <v>#REF!</v>
      </c>
      <c r="G47" s="223" t="e">
        <f t="shared" si="12"/>
        <v>#REF!</v>
      </c>
      <c r="H47" s="223" t="e">
        <f t="shared" si="12"/>
        <v>#REF!</v>
      </c>
      <c r="I47" s="223" t="e">
        <f t="shared" si="12"/>
        <v>#REF!</v>
      </c>
      <c r="J47" s="223" t="e">
        <f t="shared" si="12"/>
        <v>#REF!</v>
      </c>
      <c r="K47" s="223" t="e">
        <f t="shared" si="12"/>
        <v>#REF!</v>
      </c>
      <c r="L47" s="223" t="e">
        <f t="shared" si="12"/>
        <v>#REF!</v>
      </c>
      <c r="M47" s="223" t="e">
        <f t="shared" si="12"/>
        <v>#REF!</v>
      </c>
      <c r="N47" s="223" t="e">
        <f t="shared" si="12"/>
        <v>#REF!</v>
      </c>
      <c r="O47" s="223" t="e">
        <f t="shared" si="12"/>
        <v>#REF!</v>
      </c>
      <c r="P47" s="199" t="e">
        <f t="shared" si="8"/>
        <v>#REF!</v>
      </c>
    </row>
    <row r="48" spans="1:16">
      <c r="A48" s="1351"/>
      <c r="B48" s="207" t="s">
        <v>86</v>
      </c>
      <c r="C48" s="199" t="e">
        <f>#REF!</f>
        <v>#REF!</v>
      </c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223" t="e">
        <f>C48*100%</f>
        <v>#REF!</v>
      </c>
      <c r="P48" s="199" t="e">
        <f t="shared" si="8"/>
        <v>#REF!</v>
      </c>
    </row>
    <row r="49" spans="1:16">
      <c r="A49" s="1351"/>
      <c r="B49" s="207" t="s">
        <v>124</v>
      </c>
      <c r="C49" s="199" t="e">
        <f>#REF!</f>
        <v>#REF!</v>
      </c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223" t="e">
        <f>C49*100%</f>
        <v>#REF!</v>
      </c>
      <c r="P49" s="199" t="e">
        <f t="shared" si="8"/>
        <v>#REF!</v>
      </c>
    </row>
    <row r="50" spans="1:16">
      <c r="A50" s="1351"/>
      <c r="B50" s="207" t="s">
        <v>97</v>
      </c>
      <c r="C50" s="199" t="e">
        <f>#REF!</f>
        <v>#REF!</v>
      </c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223" t="e">
        <f>C50*100%</f>
        <v>#REF!</v>
      </c>
      <c r="P50" s="199" t="e">
        <f t="shared" si="8"/>
        <v>#REF!</v>
      </c>
    </row>
    <row r="51" spans="1:16">
      <c r="A51" s="1351"/>
      <c r="B51" s="207" t="s">
        <v>87</v>
      </c>
      <c r="C51" s="199" t="e">
        <f>#REF!</f>
        <v>#REF!</v>
      </c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223" t="e">
        <f>C51*100%</f>
        <v>#REF!</v>
      </c>
      <c r="P51" s="199" t="e">
        <f t="shared" si="8"/>
        <v>#REF!</v>
      </c>
    </row>
    <row r="52" spans="1:16">
      <c r="A52" s="1351"/>
      <c r="B52" s="207" t="s">
        <v>193</v>
      </c>
      <c r="C52" s="199" t="e">
        <f>#REF!</f>
        <v>#REF!</v>
      </c>
      <c r="D52" s="199"/>
      <c r="E52" s="199"/>
      <c r="F52" s="199"/>
      <c r="G52" s="199"/>
      <c r="H52" s="199"/>
      <c r="I52" s="199"/>
      <c r="J52" s="199"/>
      <c r="K52" s="199"/>
      <c r="L52" s="199"/>
      <c r="M52" s="199"/>
      <c r="N52" s="199"/>
      <c r="O52" s="223" t="e">
        <f>C52*100%</f>
        <v>#REF!</v>
      </c>
      <c r="P52" s="199" t="e">
        <f t="shared" si="8"/>
        <v>#REF!</v>
      </c>
    </row>
    <row r="53" spans="1:16">
      <c r="A53" s="1351"/>
      <c r="B53" s="206" t="s">
        <v>88</v>
      </c>
      <c r="C53" s="199" t="e">
        <f>#REF!</f>
        <v>#REF!</v>
      </c>
      <c r="D53" s="199" t="e">
        <f t="shared" ref="D53:O53" si="13">$C$53*D27</f>
        <v>#REF!</v>
      </c>
      <c r="E53" s="199" t="e">
        <f t="shared" si="13"/>
        <v>#REF!</v>
      </c>
      <c r="F53" s="199" t="e">
        <f t="shared" si="13"/>
        <v>#REF!</v>
      </c>
      <c r="G53" s="199" t="e">
        <f t="shared" si="13"/>
        <v>#REF!</v>
      </c>
      <c r="H53" s="199" t="e">
        <f t="shared" si="13"/>
        <v>#REF!</v>
      </c>
      <c r="I53" s="199" t="e">
        <f t="shared" si="13"/>
        <v>#REF!</v>
      </c>
      <c r="J53" s="199" t="e">
        <f t="shared" si="13"/>
        <v>#REF!</v>
      </c>
      <c r="K53" s="199" t="e">
        <f t="shared" si="13"/>
        <v>#REF!</v>
      </c>
      <c r="L53" s="199" t="e">
        <f t="shared" si="13"/>
        <v>#REF!</v>
      </c>
      <c r="M53" s="199" t="e">
        <f t="shared" si="13"/>
        <v>#REF!</v>
      </c>
      <c r="N53" s="199" t="e">
        <f t="shared" si="13"/>
        <v>#REF!</v>
      </c>
      <c r="O53" s="199" t="e">
        <f t="shared" si="13"/>
        <v>#REF!</v>
      </c>
      <c r="P53" s="199" t="e">
        <f t="shared" si="8"/>
        <v>#REF!</v>
      </c>
    </row>
    <row r="54" spans="1:16">
      <c r="A54" s="1351"/>
      <c r="B54" s="207" t="s">
        <v>125</v>
      </c>
      <c r="C54" s="199" t="e">
        <f>#REF!</f>
        <v>#REF!</v>
      </c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199"/>
      <c r="O54" s="223" t="e">
        <f>C54*100%</f>
        <v>#REF!</v>
      </c>
      <c r="P54" s="199" t="e">
        <f t="shared" si="8"/>
        <v>#REF!</v>
      </c>
    </row>
    <row r="55" spans="1:16">
      <c r="A55" s="1351"/>
      <c r="B55" s="207" t="s">
        <v>105</v>
      </c>
      <c r="C55" s="199" t="e">
        <f>#REF!</f>
        <v>#REF!</v>
      </c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223" t="e">
        <f>C55*100%</f>
        <v>#REF!</v>
      </c>
      <c r="P55" s="199" t="e">
        <f t="shared" si="8"/>
        <v>#REF!</v>
      </c>
    </row>
    <row r="56" spans="1:16">
      <c r="A56" s="1351"/>
      <c r="B56" s="208" t="s">
        <v>89</v>
      </c>
      <c r="C56" s="199" t="e">
        <f>#REF!</f>
        <v>#REF!</v>
      </c>
      <c r="D56" s="223" t="e">
        <f t="shared" ref="D56:O56" si="14">$C$56*D32</f>
        <v>#REF!</v>
      </c>
      <c r="E56" s="223" t="e">
        <f t="shared" si="14"/>
        <v>#REF!</v>
      </c>
      <c r="F56" s="223" t="e">
        <f t="shared" si="14"/>
        <v>#REF!</v>
      </c>
      <c r="G56" s="223" t="e">
        <f t="shared" si="14"/>
        <v>#REF!</v>
      </c>
      <c r="H56" s="223" t="e">
        <f t="shared" si="14"/>
        <v>#REF!</v>
      </c>
      <c r="I56" s="223" t="e">
        <f t="shared" si="14"/>
        <v>#REF!</v>
      </c>
      <c r="J56" s="223" t="e">
        <f t="shared" si="14"/>
        <v>#REF!</v>
      </c>
      <c r="K56" s="223" t="e">
        <f t="shared" si="14"/>
        <v>#REF!</v>
      </c>
      <c r="L56" s="223" t="e">
        <f t="shared" si="14"/>
        <v>#REF!</v>
      </c>
      <c r="M56" s="223" t="e">
        <f t="shared" si="14"/>
        <v>#REF!</v>
      </c>
      <c r="N56" s="223" t="e">
        <f t="shared" si="14"/>
        <v>#REF!</v>
      </c>
      <c r="O56" s="223" t="e">
        <f t="shared" si="14"/>
        <v>#REF!</v>
      </c>
      <c r="P56" s="199" t="e">
        <f t="shared" si="8"/>
        <v>#REF!</v>
      </c>
    </row>
    <row r="57" spans="1:16">
      <c r="A57" s="1351"/>
      <c r="B57" s="207" t="s">
        <v>90</v>
      </c>
      <c r="C57" s="199" t="e">
        <f>#REF!</f>
        <v>#REF!</v>
      </c>
      <c r="D57" s="199"/>
      <c r="E57" s="199"/>
      <c r="F57" s="199"/>
      <c r="G57" s="199"/>
      <c r="H57" s="199"/>
      <c r="I57" s="199"/>
      <c r="J57" s="199"/>
      <c r="K57" s="199"/>
      <c r="L57" s="199"/>
      <c r="M57" s="199"/>
      <c r="N57" s="199"/>
      <c r="O57" s="223" t="e">
        <f>C57*100%</f>
        <v>#REF!</v>
      </c>
      <c r="P57" s="199" t="e">
        <f t="shared" si="8"/>
        <v>#REF!</v>
      </c>
    </row>
    <row r="58" spans="1:16">
      <c r="A58" s="1351"/>
      <c r="B58" s="199" t="s">
        <v>126</v>
      </c>
      <c r="C58" s="199" t="e">
        <f>#REF!</f>
        <v>#REF!</v>
      </c>
      <c r="D58" s="199"/>
      <c r="E58" s="199"/>
      <c r="F58" s="199"/>
      <c r="G58" s="199"/>
      <c r="H58" s="199"/>
      <c r="I58" s="199"/>
      <c r="J58" s="199"/>
      <c r="K58" s="199"/>
      <c r="L58" s="199"/>
      <c r="M58" s="199"/>
      <c r="N58" s="199"/>
      <c r="O58" s="223" t="e">
        <f>C58*100%</f>
        <v>#REF!</v>
      </c>
      <c r="P58" s="199" t="e">
        <f t="shared" si="8"/>
        <v>#REF!</v>
      </c>
    </row>
    <row r="59" spans="1:16">
      <c r="A59" s="1351"/>
      <c r="B59" s="209" t="s">
        <v>191</v>
      </c>
      <c r="C59" s="199" t="e">
        <f t="shared" ref="C59:O59" si="15">SUM(C34:C58)</f>
        <v>#REF!</v>
      </c>
      <c r="D59" s="199" t="e">
        <f t="shared" si="15"/>
        <v>#REF!</v>
      </c>
      <c r="E59" s="199" t="e">
        <f t="shared" si="15"/>
        <v>#REF!</v>
      </c>
      <c r="F59" s="199" t="e">
        <f t="shared" si="15"/>
        <v>#REF!</v>
      </c>
      <c r="G59" s="199" t="e">
        <f t="shared" si="15"/>
        <v>#REF!</v>
      </c>
      <c r="H59" s="199" t="e">
        <f t="shared" si="15"/>
        <v>#REF!</v>
      </c>
      <c r="I59" s="199" t="e">
        <f t="shared" si="15"/>
        <v>#REF!</v>
      </c>
      <c r="J59" s="199" t="e">
        <f t="shared" si="15"/>
        <v>#REF!</v>
      </c>
      <c r="K59" s="199" t="e">
        <f t="shared" si="15"/>
        <v>#REF!</v>
      </c>
      <c r="L59" s="199" t="e">
        <f t="shared" si="15"/>
        <v>#REF!</v>
      </c>
      <c r="M59" s="199" t="e">
        <f t="shared" si="15"/>
        <v>#REF!</v>
      </c>
      <c r="N59" s="199" t="e">
        <f t="shared" si="15"/>
        <v>#REF!</v>
      </c>
      <c r="O59" s="199" t="e">
        <f t="shared" si="15"/>
        <v>#REF!</v>
      </c>
      <c r="P59" s="199" t="e">
        <f>SUM(L59:N59)</f>
        <v>#REF!</v>
      </c>
    </row>
    <row r="60" spans="1:16">
      <c r="A60" s="1351"/>
      <c r="B60" s="199"/>
      <c r="C60" s="199"/>
      <c r="D60" s="199"/>
      <c r="E60" s="199"/>
      <c r="F60" s="199"/>
      <c r="G60" s="199"/>
      <c r="H60" s="199"/>
      <c r="I60" s="199"/>
      <c r="J60" s="199"/>
      <c r="K60" s="199"/>
      <c r="L60" s="199"/>
      <c r="M60" s="199"/>
      <c r="N60" s="199"/>
      <c r="O60" s="199"/>
      <c r="P60" s="199"/>
    </row>
    <row r="61" spans="1:16">
      <c r="A61" s="1351"/>
      <c r="B61" s="199" t="s">
        <v>190</v>
      </c>
      <c r="C61" s="199"/>
      <c r="D61" s="199"/>
      <c r="E61" s="199"/>
      <c r="F61" s="199"/>
      <c r="G61" s="199"/>
      <c r="H61" s="199"/>
      <c r="I61" s="199"/>
      <c r="J61" s="199"/>
      <c r="K61" s="199"/>
      <c r="L61" s="199"/>
      <c r="M61" s="199"/>
      <c r="N61" s="199"/>
      <c r="O61" s="199"/>
      <c r="P61" s="199"/>
    </row>
    <row r="62" spans="1:16">
      <c r="A62" s="1351"/>
      <c r="B62" s="210" t="s">
        <v>244</v>
      </c>
      <c r="C62" s="210"/>
      <c r="D62" s="210" t="e">
        <f t="shared" ref="D62:O62" si="16">D3+D59+D61</f>
        <v>#REF!</v>
      </c>
      <c r="E62" s="210" t="e">
        <f t="shared" si="16"/>
        <v>#REF!</v>
      </c>
      <c r="F62" s="210" t="e">
        <f t="shared" si="16"/>
        <v>#REF!</v>
      </c>
      <c r="G62" s="210" t="e">
        <f t="shared" si="16"/>
        <v>#REF!</v>
      </c>
      <c r="H62" s="210" t="e">
        <f t="shared" si="16"/>
        <v>#REF!</v>
      </c>
      <c r="I62" s="210" t="e">
        <f t="shared" si="16"/>
        <v>#REF!</v>
      </c>
      <c r="J62" s="210" t="e">
        <f t="shared" si="16"/>
        <v>#REF!</v>
      </c>
      <c r="K62" s="210" t="e">
        <f t="shared" si="16"/>
        <v>#REF!</v>
      </c>
      <c r="L62" s="210" t="e">
        <f t="shared" si="16"/>
        <v>#REF!</v>
      </c>
      <c r="M62" s="210" t="e">
        <f t="shared" si="16"/>
        <v>#REF!</v>
      </c>
      <c r="N62" s="210" t="e">
        <f t="shared" si="16"/>
        <v>#REF!</v>
      </c>
      <c r="O62" s="210" t="e">
        <f t="shared" si="16"/>
        <v>#REF!</v>
      </c>
      <c r="P62" s="210" t="e">
        <f>SUM(D62:O62)</f>
        <v>#REF!</v>
      </c>
    </row>
    <row r="63" spans="1:16">
      <c r="A63" s="1351"/>
      <c r="B63" s="199" t="s">
        <v>160</v>
      </c>
      <c r="C63" s="199"/>
      <c r="D63" s="199" t="e">
        <f t="shared" ref="D63:M63" si="17">D23-D62</f>
        <v>#REF!</v>
      </c>
      <c r="E63" s="199" t="e">
        <f t="shared" si="17"/>
        <v>#REF!</v>
      </c>
      <c r="F63" s="199" t="e">
        <f t="shared" si="17"/>
        <v>#REF!</v>
      </c>
      <c r="G63" s="199" t="e">
        <f t="shared" si="17"/>
        <v>#REF!</v>
      </c>
      <c r="H63" s="199" t="e">
        <f t="shared" si="17"/>
        <v>#REF!</v>
      </c>
      <c r="I63" s="199" t="e">
        <f t="shared" si="17"/>
        <v>#REF!</v>
      </c>
      <c r="J63" s="199" t="e">
        <f t="shared" si="17"/>
        <v>#REF!</v>
      </c>
      <c r="K63" s="199" t="e">
        <f t="shared" si="17"/>
        <v>#REF!</v>
      </c>
      <c r="L63" s="199" t="e">
        <f t="shared" si="17"/>
        <v>#REF!</v>
      </c>
      <c r="M63" s="199" t="e">
        <f t="shared" si="17"/>
        <v>#REF!</v>
      </c>
      <c r="N63" s="199" t="e">
        <f>N23-(N59+N3)</f>
        <v>#REF!</v>
      </c>
      <c r="O63" s="212" t="e">
        <f>O23-O62</f>
        <v>#REF!</v>
      </c>
      <c r="P63" s="199" t="e">
        <f>SUM(D63:O63)</f>
        <v>#REF!</v>
      </c>
    </row>
    <row r="64" spans="1:16" s="195" customFormat="1">
      <c r="A64" s="1351"/>
      <c r="B64" s="211" t="s">
        <v>189</v>
      </c>
      <c r="C64" s="211"/>
      <c r="D64" s="211" t="e">
        <f t="shared" ref="D64:N64" si="18">D63/D23</f>
        <v>#REF!</v>
      </c>
      <c r="E64" s="211" t="e">
        <f t="shared" si="18"/>
        <v>#REF!</v>
      </c>
      <c r="F64" s="211" t="e">
        <f t="shared" si="18"/>
        <v>#REF!</v>
      </c>
      <c r="G64" s="211" t="e">
        <f t="shared" si="18"/>
        <v>#REF!</v>
      </c>
      <c r="H64" s="211" t="e">
        <f t="shared" si="18"/>
        <v>#REF!</v>
      </c>
      <c r="I64" s="211" t="e">
        <f t="shared" si="18"/>
        <v>#REF!</v>
      </c>
      <c r="J64" s="211" t="e">
        <f t="shared" si="18"/>
        <v>#REF!</v>
      </c>
      <c r="K64" s="211" t="e">
        <f t="shared" si="18"/>
        <v>#REF!</v>
      </c>
      <c r="L64" s="211" t="e">
        <f t="shared" si="18"/>
        <v>#REF!</v>
      </c>
      <c r="M64" s="211" t="e">
        <f t="shared" si="18"/>
        <v>#REF!</v>
      </c>
      <c r="N64" s="211" t="e">
        <f t="shared" si="18"/>
        <v>#REF!</v>
      </c>
      <c r="O64" s="211"/>
      <c r="P64" s="211" t="e">
        <f>P63/P23</f>
        <v>#REF!</v>
      </c>
    </row>
    <row r="65" spans="1:16" s="193" customFormat="1">
      <c r="A65" s="218"/>
      <c r="B65" s="203"/>
      <c r="C65" s="203"/>
      <c r="D65" s="203"/>
      <c r="E65" s="203"/>
      <c r="F65" s="203"/>
      <c r="G65" s="203"/>
      <c r="H65" s="203"/>
      <c r="I65" s="203"/>
      <c r="J65" s="203"/>
      <c r="K65" s="203"/>
      <c r="L65" s="203"/>
      <c r="M65" s="203"/>
      <c r="N65" s="203"/>
      <c r="O65" s="203"/>
      <c r="P65" s="203"/>
    </row>
    <row r="67" spans="1:16" s="196" customFormat="1" ht="24.95" customHeight="1">
      <c r="A67" s="219"/>
      <c r="B67" s="1349" t="s">
        <v>235</v>
      </c>
      <c r="C67" s="1350"/>
      <c r="D67" s="224" t="s">
        <v>157</v>
      </c>
      <c r="E67" s="224" t="s">
        <v>170</v>
      </c>
      <c r="F67" s="224" t="s">
        <v>171</v>
      </c>
      <c r="G67" s="224" t="s">
        <v>159</v>
      </c>
      <c r="H67" s="224" t="s">
        <v>172</v>
      </c>
      <c r="I67" s="224" t="s">
        <v>173</v>
      </c>
      <c r="J67" s="224" t="s">
        <v>168</v>
      </c>
      <c r="K67" s="224" t="s">
        <v>169</v>
      </c>
      <c r="L67" s="224" t="s">
        <v>167</v>
      </c>
      <c r="M67" s="224" t="s">
        <v>158</v>
      </c>
      <c r="N67" s="224" t="s">
        <v>175</v>
      </c>
      <c r="O67" s="224" t="s">
        <v>156</v>
      </c>
      <c r="P67" s="224" t="s">
        <v>181</v>
      </c>
    </row>
    <row r="68" spans="1:16" s="196" customFormat="1" ht="24.95" customHeight="1">
      <c r="A68" s="219"/>
      <c r="B68" s="1349" t="s">
        <v>247</v>
      </c>
      <c r="C68" s="1350"/>
      <c r="D68" s="214" t="e">
        <f t="shared" ref="D68:O68" si="19">D23</f>
        <v>#REF!</v>
      </c>
      <c r="E68" s="214" t="e">
        <f t="shared" si="19"/>
        <v>#REF!</v>
      </c>
      <c r="F68" s="214" t="e">
        <f t="shared" si="19"/>
        <v>#REF!</v>
      </c>
      <c r="G68" s="214" t="e">
        <f t="shared" si="19"/>
        <v>#REF!</v>
      </c>
      <c r="H68" s="214" t="e">
        <f t="shared" si="19"/>
        <v>#REF!</v>
      </c>
      <c r="I68" s="214" t="e">
        <f t="shared" si="19"/>
        <v>#REF!</v>
      </c>
      <c r="J68" s="214" t="e">
        <f t="shared" si="19"/>
        <v>#REF!</v>
      </c>
      <c r="K68" s="214" t="e">
        <f t="shared" si="19"/>
        <v>#REF!</v>
      </c>
      <c r="L68" s="214" t="e">
        <f t="shared" si="19"/>
        <v>#REF!</v>
      </c>
      <c r="M68" s="214" t="e">
        <f t="shared" si="19"/>
        <v>#REF!</v>
      </c>
      <c r="N68" s="214" t="e">
        <f t="shared" si="19"/>
        <v>#REF!</v>
      </c>
      <c r="O68" s="214" t="e">
        <f t="shared" si="19"/>
        <v>#REF!</v>
      </c>
      <c r="P68" s="214" t="e">
        <f>SUM(D68:O68)</f>
        <v>#REF!</v>
      </c>
    </row>
    <row r="69" spans="1:16" s="196" customFormat="1" ht="24.95" customHeight="1">
      <c r="A69" s="219"/>
      <c r="B69" s="1349" t="s">
        <v>248</v>
      </c>
      <c r="C69" s="1350"/>
      <c r="D69" s="214" t="e">
        <f t="shared" ref="D69:O69" si="20">D62</f>
        <v>#REF!</v>
      </c>
      <c r="E69" s="214" t="e">
        <f t="shared" si="20"/>
        <v>#REF!</v>
      </c>
      <c r="F69" s="214" t="e">
        <f t="shared" si="20"/>
        <v>#REF!</v>
      </c>
      <c r="G69" s="214" t="e">
        <f t="shared" si="20"/>
        <v>#REF!</v>
      </c>
      <c r="H69" s="214" t="e">
        <f t="shared" si="20"/>
        <v>#REF!</v>
      </c>
      <c r="I69" s="214" t="e">
        <f t="shared" si="20"/>
        <v>#REF!</v>
      </c>
      <c r="J69" s="214" t="e">
        <f t="shared" si="20"/>
        <v>#REF!</v>
      </c>
      <c r="K69" s="214" t="e">
        <f t="shared" si="20"/>
        <v>#REF!</v>
      </c>
      <c r="L69" s="214" t="e">
        <f t="shared" si="20"/>
        <v>#REF!</v>
      </c>
      <c r="M69" s="214" t="e">
        <f t="shared" si="20"/>
        <v>#REF!</v>
      </c>
      <c r="N69" s="214" t="e">
        <f t="shared" si="20"/>
        <v>#REF!</v>
      </c>
      <c r="O69" s="214" t="e">
        <f t="shared" si="20"/>
        <v>#REF!</v>
      </c>
      <c r="P69" s="214" t="e">
        <f>SUM(D69:O69)</f>
        <v>#REF!</v>
      </c>
    </row>
    <row r="70" spans="1:16" s="196" customFormat="1" ht="24.95" customHeight="1">
      <c r="A70" s="219"/>
      <c r="B70" s="1349" t="s">
        <v>249</v>
      </c>
      <c r="C70" s="1350"/>
      <c r="D70" s="213" t="e">
        <f t="shared" ref="D70:L70" si="21">D68-D69</f>
        <v>#REF!</v>
      </c>
      <c r="E70" s="213" t="e">
        <f t="shared" si="21"/>
        <v>#REF!</v>
      </c>
      <c r="F70" s="213" t="e">
        <f t="shared" si="21"/>
        <v>#REF!</v>
      </c>
      <c r="G70" s="213" t="e">
        <f t="shared" si="21"/>
        <v>#REF!</v>
      </c>
      <c r="H70" s="213" t="e">
        <f t="shared" si="21"/>
        <v>#REF!</v>
      </c>
      <c r="I70" s="213" t="e">
        <f t="shared" si="21"/>
        <v>#REF!</v>
      </c>
      <c r="J70" s="213" t="e">
        <f t="shared" si="21"/>
        <v>#REF!</v>
      </c>
      <c r="K70" s="213" t="e">
        <f t="shared" si="21"/>
        <v>#REF!</v>
      </c>
      <c r="L70" s="213" t="e">
        <f t="shared" si="21"/>
        <v>#REF!</v>
      </c>
      <c r="M70" s="213" t="e">
        <f>M68-M69</f>
        <v>#REF!</v>
      </c>
      <c r="N70" s="213" t="e">
        <f>N68-N69</f>
        <v>#REF!</v>
      </c>
      <c r="O70" s="213" t="e">
        <f>O68-O69</f>
        <v>#REF!</v>
      </c>
      <c r="P70" s="213" t="e">
        <f>SUM(D70:O70)</f>
        <v>#REF!</v>
      </c>
    </row>
    <row r="71" spans="1:16" s="196" customFormat="1" ht="24.95" customHeight="1">
      <c r="A71" s="219"/>
      <c r="B71" s="1349" t="s">
        <v>250</v>
      </c>
      <c r="C71" s="1350"/>
      <c r="D71" s="215" t="e">
        <f t="shared" ref="D71:K71" si="22">D70/D68</f>
        <v>#REF!</v>
      </c>
      <c r="E71" s="215" t="e">
        <f t="shared" si="22"/>
        <v>#REF!</v>
      </c>
      <c r="F71" s="215" t="e">
        <f t="shared" si="22"/>
        <v>#REF!</v>
      </c>
      <c r="G71" s="215" t="e">
        <f t="shared" si="22"/>
        <v>#REF!</v>
      </c>
      <c r="H71" s="215" t="e">
        <f t="shared" si="22"/>
        <v>#REF!</v>
      </c>
      <c r="I71" s="215" t="e">
        <f t="shared" si="22"/>
        <v>#REF!</v>
      </c>
      <c r="J71" s="215" t="e">
        <f t="shared" si="22"/>
        <v>#REF!</v>
      </c>
      <c r="K71" s="215" t="e">
        <f t="shared" si="22"/>
        <v>#REF!</v>
      </c>
      <c r="L71" s="215" t="e">
        <f>L70/L68</f>
        <v>#REF!</v>
      </c>
      <c r="M71" s="215" t="e">
        <f>M70/M68</f>
        <v>#REF!</v>
      </c>
      <c r="N71" s="215" t="e">
        <f>N70/N68</f>
        <v>#REF!</v>
      </c>
      <c r="O71" s="215" t="e">
        <f>O70/O68</f>
        <v>#REF!</v>
      </c>
      <c r="P71" s="215" t="e">
        <f>P70/P68</f>
        <v>#REF!</v>
      </c>
    </row>
    <row r="72" spans="1:16" s="196" customFormat="1" ht="24.95" customHeight="1">
      <c r="A72" s="219"/>
      <c r="B72" s="1349" t="s">
        <v>251</v>
      </c>
      <c r="C72" s="1350"/>
      <c r="D72" s="215" t="e">
        <f t="shared" ref="D72:P72" si="23">D68/$P$68</f>
        <v>#REF!</v>
      </c>
      <c r="E72" s="215" t="e">
        <f t="shared" si="23"/>
        <v>#REF!</v>
      </c>
      <c r="F72" s="215" t="e">
        <f t="shared" si="23"/>
        <v>#REF!</v>
      </c>
      <c r="G72" s="215" t="e">
        <f t="shared" si="23"/>
        <v>#REF!</v>
      </c>
      <c r="H72" s="215" t="e">
        <f t="shared" si="23"/>
        <v>#REF!</v>
      </c>
      <c r="I72" s="215" t="e">
        <f t="shared" si="23"/>
        <v>#REF!</v>
      </c>
      <c r="J72" s="215" t="e">
        <f t="shared" si="23"/>
        <v>#REF!</v>
      </c>
      <c r="K72" s="215" t="e">
        <f t="shared" si="23"/>
        <v>#REF!</v>
      </c>
      <c r="L72" s="215" t="e">
        <f t="shared" si="23"/>
        <v>#REF!</v>
      </c>
      <c r="M72" s="215" t="e">
        <f t="shared" si="23"/>
        <v>#REF!</v>
      </c>
      <c r="N72" s="215" t="e">
        <f t="shared" si="23"/>
        <v>#REF!</v>
      </c>
      <c r="O72" s="215" t="e">
        <f t="shared" si="23"/>
        <v>#REF!</v>
      </c>
      <c r="P72" s="215" t="e">
        <f t="shared" si="23"/>
        <v>#REF!</v>
      </c>
    </row>
  </sheetData>
  <mergeCells count="10">
    <mergeCell ref="B67:C67"/>
    <mergeCell ref="A34:A64"/>
    <mergeCell ref="A25:A32"/>
    <mergeCell ref="A6:A23"/>
    <mergeCell ref="A2:A4"/>
    <mergeCell ref="B72:C72"/>
    <mergeCell ref="B71:C71"/>
    <mergeCell ref="B70:C70"/>
    <mergeCell ref="B69:C69"/>
    <mergeCell ref="B68:C68"/>
  </mergeCells>
  <phoneticPr fontId="1"/>
  <printOptions horizontalCentered="1"/>
  <pageMargins left="3.937007874015748E-2" right="3.937007874015748E-2" top="0.74803149606299213" bottom="0.35433070866141736" header="0.31496062992125984" footer="0.31496062992125984"/>
  <pageSetup paperSize="9" orientation="landscape" r:id="rId1"/>
  <rowBreaks count="1" manualBreakCount="1">
    <brk id="24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7"/>
  <sheetViews>
    <sheetView topLeftCell="B4" zoomScale="85" zoomScaleNormal="85" workbookViewId="0">
      <selection activeCell="D24" sqref="D24"/>
    </sheetView>
  </sheetViews>
  <sheetFormatPr defaultColWidth="9" defaultRowHeight="13.5"/>
  <cols>
    <col min="1" max="1" width="4" style="194" hidden="1" customWidth="1"/>
    <col min="2" max="2" width="2.375" style="5" customWidth="1"/>
    <col min="3" max="3" width="10" style="5" customWidth="1"/>
    <col min="4" max="4" width="11.625" style="5" customWidth="1"/>
    <col min="5" max="5" width="7.5" style="5" hidden="1" customWidth="1"/>
    <col min="6" max="6" width="9.125" style="5" bestFit="1" customWidth="1"/>
    <col min="7" max="7" width="5.5" style="193" bestFit="1" customWidth="1"/>
    <col min="8" max="8" width="10" style="5" bestFit="1" customWidth="1"/>
    <col min="9" max="9" width="5.5" style="193" bestFit="1" customWidth="1"/>
    <col min="10" max="10" width="9.75" style="5" bestFit="1" customWidth="1"/>
    <col min="11" max="11" width="6.25" style="193" bestFit="1" customWidth="1"/>
    <col min="12" max="12" width="10.875" style="5" bestFit="1" customWidth="1"/>
    <col min="13" max="13" width="5.5" style="193" bestFit="1" customWidth="1"/>
    <col min="14" max="14" width="10.375" style="5" bestFit="1" customWidth="1"/>
    <col min="15" max="15" width="5.125" style="193" bestFit="1" customWidth="1"/>
    <col min="16" max="16" width="9.25" style="5" bestFit="1" customWidth="1"/>
    <col min="17" max="17" width="6.25" style="193" bestFit="1" customWidth="1"/>
    <col min="18" max="18" width="9.25" style="5" bestFit="1" customWidth="1"/>
    <col min="19" max="19" width="5.125" style="193" bestFit="1" customWidth="1"/>
    <col min="20" max="20" width="9.25" style="5" bestFit="1" customWidth="1"/>
    <col min="21" max="21" width="5.5" style="193" bestFit="1" customWidth="1"/>
    <col min="22" max="22" width="8.875" style="340" bestFit="1" customWidth="1"/>
    <col min="23" max="23" width="8.875" style="5" hidden="1" customWidth="1"/>
    <col min="24" max="24" width="6.125" style="5" hidden="1" customWidth="1"/>
    <col min="25" max="25" width="5.125" style="5" hidden="1" customWidth="1"/>
    <col min="26" max="26" width="8.875" style="5" hidden="1" customWidth="1"/>
    <col min="27" max="16384" width="9" style="5"/>
  </cols>
  <sheetData>
    <row r="1" spans="1:26" s="196" customFormat="1" ht="24.95" customHeight="1">
      <c r="A1" s="290"/>
      <c r="B1" s="1353" t="s">
        <v>326</v>
      </c>
      <c r="C1" s="1365"/>
      <c r="D1" s="1365"/>
      <c r="E1" s="300"/>
      <c r="F1" s="1353" t="s">
        <v>157</v>
      </c>
      <c r="G1" s="1365"/>
      <c r="H1" s="1353" t="s">
        <v>335</v>
      </c>
      <c r="I1" s="1354"/>
      <c r="J1" s="1365" t="s">
        <v>159</v>
      </c>
      <c r="K1" s="1365"/>
      <c r="L1" s="1353" t="s">
        <v>172</v>
      </c>
      <c r="M1" s="1354"/>
      <c r="N1" s="1365" t="s">
        <v>173</v>
      </c>
      <c r="O1" s="1365"/>
      <c r="P1" s="1353" t="s">
        <v>168</v>
      </c>
      <c r="Q1" s="1354"/>
      <c r="R1" s="1365" t="s">
        <v>169</v>
      </c>
      <c r="S1" s="1365"/>
      <c r="T1" s="1353" t="s">
        <v>167</v>
      </c>
      <c r="U1" s="1354"/>
      <c r="V1" s="1357" t="s">
        <v>339</v>
      </c>
      <c r="W1" s="1353" t="s">
        <v>156</v>
      </c>
      <c r="X1" s="1363"/>
      <c r="Y1" s="1364"/>
      <c r="Z1" s="320" t="s">
        <v>181</v>
      </c>
    </row>
    <row r="2" spans="1:26" s="196" customFormat="1" ht="24.95" customHeight="1">
      <c r="A2" s="290"/>
      <c r="B2" s="1355"/>
      <c r="C2" s="1366"/>
      <c r="D2" s="1366"/>
      <c r="E2" s="298"/>
      <c r="F2" s="1355"/>
      <c r="G2" s="1366"/>
      <c r="H2" s="1355"/>
      <c r="I2" s="1356"/>
      <c r="J2" s="1366"/>
      <c r="K2" s="1366"/>
      <c r="L2" s="1355"/>
      <c r="M2" s="1356"/>
      <c r="N2" s="1366"/>
      <c r="O2" s="1366"/>
      <c r="P2" s="1355"/>
      <c r="Q2" s="1356"/>
      <c r="R2" s="1366"/>
      <c r="S2" s="1366"/>
      <c r="T2" s="1355"/>
      <c r="U2" s="1356"/>
      <c r="V2" s="1358"/>
      <c r="W2" s="291"/>
      <c r="X2" s="292" t="s">
        <v>158</v>
      </c>
      <c r="Y2" s="321" t="s">
        <v>175</v>
      </c>
      <c r="Z2" s="320"/>
    </row>
    <row r="3" spans="1:26" s="196" customFormat="1" ht="30" customHeight="1">
      <c r="A3" s="290">
        <v>1</v>
      </c>
      <c r="B3" s="1367" t="s">
        <v>234</v>
      </c>
      <c r="C3" s="1368"/>
      <c r="D3" s="1360"/>
      <c r="E3" s="332"/>
      <c r="F3" s="413" t="e">
        <f>F4+F5</f>
        <v>#REF!</v>
      </c>
      <c r="G3" s="409"/>
      <c r="H3" s="413">
        <f>H4+H5</f>
        <v>43987156.799999997</v>
      </c>
      <c r="I3" s="410"/>
      <c r="J3" s="417" t="e">
        <f>J4+J5</f>
        <v>#REF!</v>
      </c>
      <c r="K3" s="409"/>
      <c r="L3" s="413" t="e">
        <f>L4+L5</f>
        <v>#REF!</v>
      </c>
      <c r="M3" s="410"/>
      <c r="N3" s="417" t="e">
        <f>N4+N5</f>
        <v>#REF!</v>
      </c>
      <c r="O3" s="409"/>
      <c r="P3" s="413" t="e">
        <f>P4+P5</f>
        <v>#REF!</v>
      </c>
      <c r="Q3" s="410"/>
      <c r="R3" s="417" t="e">
        <f>R4+R5</f>
        <v>#REF!</v>
      </c>
      <c r="S3" s="409"/>
      <c r="T3" s="413" t="e">
        <f>T4+T5</f>
        <v>#REF!</v>
      </c>
      <c r="U3" s="410"/>
      <c r="V3" s="421" t="e">
        <f>F3+H3+J3+L3+N3+P3+R3+T3</f>
        <v>#REF!</v>
      </c>
      <c r="W3" s="334"/>
      <c r="X3" s="333" t="e">
        <f>'決算書(予算比較）'!F19</f>
        <v>#REF!</v>
      </c>
      <c r="Y3" s="335" t="e">
        <f>'決算書(予算比較）'!F17</f>
        <v>#REF!</v>
      </c>
      <c r="Z3" s="358"/>
    </row>
    <row r="4" spans="1:26" s="196" customFormat="1" ht="30" customHeight="1">
      <c r="A4" s="290">
        <v>2</v>
      </c>
      <c r="B4" s="324"/>
      <c r="C4" s="325"/>
      <c r="D4" s="328" t="s">
        <v>336</v>
      </c>
      <c r="E4" s="328"/>
      <c r="F4" s="326" t="e">
        <f>'決算書(予算比較）'!F9</f>
        <v>#REF!</v>
      </c>
      <c r="G4" s="348"/>
      <c r="H4" s="326">
        <f>4620000*6+4950000*6</f>
        <v>57420000</v>
      </c>
      <c r="I4" s="305"/>
      <c r="J4" s="309" t="e">
        <f>'決算書(予算比較）'!F12</f>
        <v>#REF!</v>
      </c>
      <c r="K4" s="348"/>
      <c r="L4" s="326" t="e">
        <f>'決算書(予算比較）'!F13</f>
        <v>#REF!</v>
      </c>
      <c r="M4" s="305"/>
      <c r="N4" s="309" t="e">
        <f>'決算書(予算比較）'!F14</f>
        <v>#REF!</v>
      </c>
      <c r="O4" s="348"/>
      <c r="P4" s="326" t="e">
        <f>'決算書(予算比較）'!F15</f>
        <v>#REF!</v>
      </c>
      <c r="Q4" s="305"/>
      <c r="R4" s="309" t="e">
        <f>'決算書(予算比較）'!F16</f>
        <v>#REF!</v>
      </c>
      <c r="S4" s="348"/>
      <c r="T4" s="326" t="e">
        <f>'決算書(予算比較）'!F18</f>
        <v>#REF!</v>
      </c>
      <c r="U4" s="305"/>
      <c r="V4" s="395"/>
      <c r="W4" s="297"/>
      <c r="X4" s="309"/>
      <c r="Y4" s="327"/>
      <c r="Z4" s="359"/>
    </row>
    <row r="5" spans="1:26" s="196" customFormat="1" ht="30" customHeight="1">
      <c r="A5" s="290">
        <v>3</v>
      </c>
      <c r="B5" s="322"/>
      <c r="C5" s="323"/>
      <c r="D5" s="325" t="s">
        <v>337</v>
      </c>
      <c r="E5" s="323"/>
      <c r="F5" s="314">
        <f>-T5*30%</f>
        <v>-5756932.7999999998</v>
      </c>
      <c r="G5" s="348"/>
      <c r="H5" s="314">
        <f>-T5*70%</f>
        <v>-13432843.199999999</v>
      </c>
      <c r="I5" s="305"/>
      <c r="J5" s="308"/>
      <c r="K5" s="348"/>
      <c r="L5" s="314"/>
      <c r="M5" s="305"/>
      <c r="N5" s="308"/>
      <c r="O5" s="348"/>
      <c r="P5" s="314"/>
      <c r="Q5" s="305"/>
      <c r="R5" s="308"/>
      <c r="S5" s="348"/>
      <c r="T5" s="314">
        <f>((308060*5)+(19616*3))*12</f>
        <v>19189776</v>
      </c>
      <c r="U5" s="305"/>
      <c r="V5" s="395"/>
      <c r="W5" s="297"/>
      <c r="X5" s="308"/>
      <c r="Y5" s="296"/>
      <c r="Z5" s="330"/>
    </row>
    <row r="6" spans="1:26" s="196" customFormat="1" ht="30" customHeight="1">
      <c r="A6" s="290">
        <v>4</v>
      </c>
      <c r="B6" s="1367" t="s">
        <v>177</v>
      </c>
      <c r="C6" s="1368"/>
      <c r="D6" s="1368"/>
      <c r="E6" s="332"/>
      <c r="F6" s="414" t="e">
        <f>F7+F11+F10</f>
        <v>#REF!</v>
      </c>
      <c r="G6" s="411">
        <f>G7+G10+G11</f>
        <v>0.58000000000000007</v>
      </c>
      <c r="H6" s="414">
        <f>H7+H11+H10</f>
        <v>24632807.807999998</v>
      </c>
      <c r="I6" s="412">
        <f>I7+I10+I11</f>
        <v>0.56000000000000005</v>
      </c>
      <c r="J6" s="418" t="e">
        <f>J7+J11+J10</f>
        <v>#REF!</v>
      </c>
      <c r="K6" s="411">
        <f>K7+K10+K11</f>
        <v>0.59</v>
      </c>
      <c r="L6" s="414" t="e">
        <f>L7+L11+L10</f>
        <v>#REF!</v>
      </c>
      <c r="M6" s="412">
        <f>M7+M10+M11</f>
        <v>0.79</v>
      </c>
      <c r="N6" s="418" t="e">
        <f>N7+N11+N10</f>
        <v>#REF!</v>
      </c>
      <c r="O6" s="411">
        <f>O7+O10+O11</f>
        <v>0.91999999999999993</v>
      </c>
      <c r="P6" s="414" t="e">
        <f>P7+P11+P10</f>
        <v>#REF!</v>
      </c>
      <c r="Q6" s="412">
        <f>Q7+Q10+Q11</f>
        <v>0.81</v>
      </c>
      <c r="R6" s="418" t="e">
        <f>R7+R11+R10</f>
        <v>#REF!</v>
      </c>
      <c r="S6" s="411">
        <f>S7+S10+S11</f>
        <v>0.64999999999999991</v>
      </c>
      <c r="T6" s="414" t="e">
        <f>T7+T11+T10</f>
        <v>#REF!</v>
      </c>
      <c r="U6" s="412">
        <f>U7+U10+U11</f>
        <v>0.75</v>
      </c>
      <c r="V6" s="422" t="e">
        <f>F6+H6+J6+L6+N6+P6+R6+T6</f>
        <v>#REF!</v>
      </c>
      <c r="W6" s="336">
        <f>W7+W11</f>
        <v>42481000</v>
      </c>
      <c r="X6" s="336"/>
      <c r="Y6" s="336"/>
      <c r="Z6" s="358"/>
    </row>
    <row r="7" spans="1:26" s="196" customFormat="1" ht="30" customHeight="1">
      <c r="A7" s="290">
        <v>5</v>
      </c>
      <c r="B7" s="294"/>
      <c r="C7" s="307" t="s">
        <v>326</v>
      </c>
      <c r="D7" s="307"/>
      <c r="E7" s="307"/>
      <c r="F7" s="301" t="e">
        <f>F3*G7</f>
        <v>#REF!</v>
      </c>
      <c r="G7" s="349">
        <v>0.55000000000000004</v>
      </c>
      <c r="H7" s="301">
        <f>H3*I7</f>
        <v>21993578.399999999</v>
      </c>
      <c r="I7" s="303">
        <v>0.5</v>
      </c>
      <c r="J7" s="329" t="e">
        <f>J3*K7</f>
        <v>#REF!</v>
      </c>
      <c r="K7" s="349">
        <v>0.57999999999999996</v>
      </c>
      <c r="L7" s="301" t="e">
        <f>L3*M7</f>
        <v>#REF!</v>
      </c>
      <c r="M7" s="303">
        <v>0.72</v>
      </c>
      <c r="N7" s="329" t="e">
        <f>N3*O7</f>
        <v>#REF!</v>
      </c>
      <c r="O7" s="349">
        <v>0.66</v>
      </c>
      <c r="P7" s="301" t="e">
        <f>P3*Q7</f>
        <v>#REF!</v>
      </c>
      <c r="Q7" s="303">
        <v>0.55000000000000004</v>
      </c>
      <c r="R7" s="329" t="e">
        <f>R3*S7</f>
        <v>#REF!</v>
      </c>
      <c r="S7" s="349">
        <v>0.57999999999999996</v>
      </c>
      <c r="T7" s="301" t="e">
        <f>T3*U7</f>
        <v>#REF!</v>
      </c>
      <c r="U7" s="303">
        <v>0.47</v>
      </c>
      <c r="V7" s="396"/>
      <c r="W7" s="299">
        <f>SUM(W8:W9)</f>
        <v>24022000</v>
      </c>
      <c r="X7" s="299"/>
      <c r="Y7" s="299"/>
      <c r="Z7" s="360"/>
    </row>
    <row r="8" spans="1:26" s="196" customFormat="1" ht="30" customHeight="1">
      <c r="A8" s="290">
        <v>6</v>
      </c>
      <c r="B8" s="294"/>
      <c r="D8" s="308" t="s">
        <v>328</v>
      </c>
      <c r="E8" s="308"/>
      <c r="F8" s="312" t="e">
        <f>F3*G8</f>
        <v>#REF!</v>
      </c>
      <c r="G8" s="350" t="e">
        <f>G7-G9</f>
        <v>#REF!</v>
      </c>
      <c r="H8" s="312">
        <f>H3*I8</f>
        <v>19794220.559999999</v>
      </c>
      <c r="I8" s="304">
        <f>I7-I9</f>
        <v>0.45</v>
      </c>
      <c r="J8" s="354" t="e">
        <f>J3*K8</f>
        <v>#REF!</v>
      </c>
      <c r="K8" s="350" t="e">
        <f>K7-K9</f>
        <v>#REF!</v>
      </c>
      <c r="L8" s="312" t="e">
        <f>L3*M8</f>
        <v>#REF!</v>
      </c>
      <c r="M8" s="304" t="e">
        <f>M7-M9</f>
        <v>#REF!</v>
      </c>
      <c r="N8" s="354" t="e">
        <f>N3*O8</f>
        <v>#REF!</v>
      </c>
      <c r="O8" s="350" t="e">
        <f>O7-O9</f>
        <v>#REF!</v>
      </c>
      <c r="P8" s="312" t="e">
        <f>P3*Q8</f>
        <v>#REF!</v>
      </c>
      <c r="Q8" s="304" t="e">
        <f>Q7-Q9</f>
        <v>#REF!</v>
      </c>
      <c r="R8" s="354" t="e">
        <f>R3*S8</f>
        <v>#REF!</v>
      </c>
      <c r="S8" s="350" t="e">
        <f>S7-S9</f>
        <v>#REF!</v>
      </c>
      <c r="T8" s="312" t="e">
        <f>T3*U8</f>
        <v>#REF!</v>
      </c>
      <c r="U8" s="304" t="e">
        <f>U7-U9</f>
        <v>#REF!</v>
      </c>
      <c r="V8" s="397"/>
      <c r="W8" s="366">
        <v>21600000</v>
      </c>
      <c r="X8" s="366"/>
      <c r="Y8" s="366"/>
      <c r="Z8" s="361"/>
    </row>
    <row r="9" spans="1:26" s="196" customFormat="1" ht="30" customHeight="1">
      <c r="A9" s="290">
        <v>7</v>
      </c>
      <c r="B9" s="294"/>
      <c r="C9" s="309"/>
      <c r="D9" s="309" t="s">
        <v>329</v>
      </c>
      <c r="E9" s="309"/>
      <c r="F9" s="311">
        <f>按分表!D35</f>
        <v>0</v>
      </c>
      <c r="G9" s="348" t="e">
        <f>F9/F4</f>
        <v>#REF!</v>
      </c>
      <c r="H9" s="465">
        <f>H4*I9</f>
        <v>2871000</v>
      </c>
      <c r="I9" s="305">
        <v>0.05</v>
      </c>
      <c r="J9" s="357">
        <f>按分表!G35</f>
        <v>0</v>
      </c>
      <c r="K9" s="348" t="e">
        <f>J9/J4</f>
        <v>#REF!</v>
      </c>
      <c r="L9" s="315">
        <f>按分表!H35</f>
        <v>0</v>
      </c>
      <c r="M9" s="305" t="e">
        <f>L9/L4</f>
        <v>#REF!</v>
      </c>
      <c r="N9" s="357">
        <f>按分表!I35</f>
        <v>0</v>
      </c>
      <c r="O9" s="348" t="e">
        <f>N9/N4</f>
        <v>#REF!</v>
      </c>
      <c r="P9" s="315">
        <f>按分表!J35</f>
        <v>0</v>
      </c>
      <c r="Q9" s="305" t="e">
        <f>P9/P4</f>
        <v>#REF!</v>
      </c>
      <c r="R9" s="357">
        <f>按分表!K35</f>
        <v>0</v>
      </c>
      <c r="S9" s="348" t="e">
        <f>R9/R4</f>
        <v>#REF!</v>
      </c>
      <c r="T9" s="315">
        <f>按分表!L35</f>
        <v>0</v>
      </c>
      <c r="U9" s="305" t="e">
        <f>T9/T4</f>
        <v>#REF!</v>
      </c>
      <c r="V9" s="398"/>
      <c r="W9" s="297">
        <v>2422000</v>
      </c>
      <c r="X9" s="297"/>
      <c r="Y9" s="297"/>
      <c r="Z9" s="359"/>
    </row>
    <row r="10" spans="1:26" s="196" customFormat="1" ht="30" customHeight="1">
      <c r="A10" s="290">
        <v>8</v>
      </c>
      <c r="B10" s="314"/>
      <c r="C10" s="309" t="s">
        <v>344</v>
      </c>
      <c r="D10" s="309"/>
      <c r="E10" s="309"/>
      <c r="F10" s="315" t="e">
        <f>F3*G10</f>
        <v>#REF!</v>
      </c>
      <c r="G10" s="351"/>
      <c r="H10" s="342">
        <f>H3*I10</f>
        <v>439871.56799999997</v>
      </c>
      <c r="I10" s="341">
        <v>0.01</v>
      </c>
      <c r="J10" s="357" t="e">
        <f>J3*K10</f>
        <v>#REF!</v>
      </c>
      <c r="K10" s="351"/>
      <c r="L10" s="315" t="e">
        <f>L3*M10</f>
        <v>#REF!</v>
      </c>
      <c r="M10" s="341"/>
      <c r="N10" s="357" t="e">
        <f>N3*O10</f>
        <v>#REF!</v>
      </c>
      <c r="O10" s="351">
        <v>0.08</v>
      </c>
      <c r="P10" s="315" t="e">
        <f>P3*Q10</f>
        <v>#REF!</v>
      </c>
      <c r="Q10" s="341">
        <v>0.2</v>
      </c>
      <c r="R10" s="357" t="e">
        <f>R3*S10</f>
        <v>#REF!</v>
      </c>
      <c r="S10" s="351"/>
      <c r="T10" s="315" t="e">
        <f>T3*U10</f>
        <v>#REF!</v>
      </c>
      <c r="U10" s="341">
        <v>0.08</v>
      </c>
      <c r="V10" s="398"/>
      <c r="W10" s="297"/>
      <c r="X10" s="297"/>
      <c r="Y10" s="297"/>
      <c r="Z10" s="359"/>
    </row>
    <row r="11" spans="1:26" s="196" customFormat="1" ht="30" customHeight="1">
      <c r="A11" s="290">
        <v>9</v>
      </c>
      <c r="B11" s="293"/>
      <c r="C11" s="310" t="s">
        <v>327</v>
      </c>
      <c r="D11" s="310"/>
      <c r="E11" s="310"/>
      <c r="F11" s="302" t="e">
        <f>F3*G11</f>
        <v>#REF!</v>
      </c>
      <c r="G11" s="352">
        <v>0.03</v>
      </c>
      <c r="H11" s="302">
        <f>H3*I11</f>
        <v>2199357.84</v>
      </c>
      <c r="I11" s="306">
        <v>0.05</v>
      </c>
      <c r="J11" s="355" t="e">
        <f>J3*K11</f>
        <v>#REF!</v>
      </c>
      <c r="K11" s="352">
        <v>0.01</v>
      </c>
      <c r="L11" s="302" t="e">
        <f>L3*M11</f>
        <v>#REF!</v>
      </c>
      <c r="M11" s="306">
        <v>7.0000000000000007E-2</v>
      </c>
      <c r="N11" s="355" t="e">
        <f>N3*O11</f>
        <v>#REF!</v>
      </c>
      <c r="O11" s="352">
        <v>0.18</v>
      </c>
      <c r="P11" s="302" t="e">
        <f>P3*Q11</f>
        <v>#REF!</v>
      </c>
      <c r="Q11" s="306">
        <v>0.06</v>
      </c>
      <c r="R11" s="355" t="e">
        <f>R3*S11</f>
        <v>#REF!</v>
      </c>
      <c r="S11" s="352">
        <v>7.0000000000000007E-2</v>
      </c>
      <c r="T11" s="302" t="e">
        <f>T3*U11</f>
        <v>#REF!</v>
      </c>
      <c r="U11" s="306">
        <v>0.2</v>
      </c>
      <c r="V11" s="399"/>
      <c r="W11" s="295">
        <f>18459000</f>
        <v>18459000</v>
      </c>
      <c r="X11" s="295"/>
      <c r="Y11" s="295"/>
      <c r="Z11" s="330"/>
    </row>
    <row r="12" spans="1:26" s="196" customFormat="1" ht="30" customHeight="1">
      <c r="A12" s="290">
        <v>10</v>
      </c>
      <c r="B12" s="1361" t="s">
        <v>332</v>
      </c>
      <c r="C12" s="1362"/>
      <c r="D12" s="1362"/>
      <c r="E12" s="337"/>
      <c r="F12" s="338"/>
      <c r="G12" s="353"/>
      <c r="H12" s="338"/>
      <c r="I12" s="339"/>
      <c r="J12" s="356"/>
      <c r="K12" s="353"/>
      <c r="L12" s="338"/>
      <c r="M12" s="339"/>
      <c r="N12" s="356"/>
      <c r="O12" s="353"/>
      <c r="P12" s="338"/>
      <c r="Q12" s="339"/>
      <c r="R12" s="356"/>
      <c r="S12" s="353"/>
      <c r="T12" s="338"/>
      <c r="U12" s="339"/>
      <c r="V12" s="400">
        <f>F12+H12+J12+L12+N12+P12+R12+T12</f>
        <v>0</v>
      </c>
      <c r="W12" s="367"/>
      <c r="X12" s="367"/>
      <c r="Y12" s="367"/>
      <c r="Z12" s="362"/>
    </row>
    <row r="13" spans="1:26" s="196" customFormat="1" ht="30" customHeight="1">
      <c r="A13" s="290">
        <v>11</v>
      </c>
      <c r="B13" s="1359" t="s">
        <v>249</v>
      </c>
      <c r="C13" s="1360"/>
      <c r="D13" s="1360"/>
      <c r="E13" s="332"/>
      <c r="F13" s="415" t="e">
        <f>F3-F6</f>
        <v>#REF!</v>
      </c>
      <c r="G13" s="409" t="e">
        <f>F13/F3</f>
        <v>#REF!</v>
      </c>
      <c r="H13" s="415">
        <f>H3-H6</f>
        <v>19354348.991999999</v>
      </c>
      <c r="I13" s="410">
        <f>H13/H3</f>
        <v>0.44</v>
      </c>
      <c r="J13" s="419" t="e">
        <f>J3-J6</f>
        <v>#REF!</v>
      </c>
      <c r="K13" s="409" t="e">
        <f>J13/J3</f>
        <v>#REF!</v>
      </c>
      <c r="L13" s="415" t="e">
        <f>L3-L6</f>
        <v>#REF!</v>
      </c>
      <c r="M13" s="410" t="e">
        <f>L13/L3</f>
        <v>#REF!</v>
      </c>
      <c r="N13" s="419" t="e">
        <f>N3-N6</f>
        <v>#REF!</v>
      </c>
      <c r="O13" s="409" t="e">
        <f>N13/N3</f>
        <v>#REF!</v>
      </c>
      <c r="P13" s="415" t="e">
        <f>P3-P6</f>
        <v>#REF!</v>
      </c>
      <c r="Q13" s="410" t="e">
        <f>P13/P3</f>
        <v>#REF!</v>
      </c>
      <c r="R13" s="419" t="e">
        <f>R3-R6</f>
        <v>#REF!</v>
      </c>
      <c r="S13" s="409" t="e">
        <f>R13/R3</f>
        <v>#REF!</v>
      </c>
      <c r="T13" s="415" t="e">
        <f>T3-T6</f>
        <v>#REF!</v>
      </c>
      <c r="U13" s="410" t="e">
        <f>T13/T3</f>
        <v>#REF!</v>
      </c>
      <c r="V13" s="421" t="e">
        <f>F13+H13+J13+L13+N13+P13+R13+T13</f>
        <v>#REF!</v>
      </c>
      <c r="W13" s="334">
        <f>W3-W6</f>
        <v>-42481000</v>
      </c>
      <c r="X13" s="334"/>
      <c r="Y13" s="334"/>
      <c r="Z13" s="358" t="e">
        <f>V13+W13</f>
        <v>#REF!</v>
      </c>
    </row>
    <row r="14" spans="1:26" s="14" customFormat="1" ht="30" customHeight="1">
      <c r="A14" s="290">
        <v>12</v>
      </c>
      <c r="B14" s="442" t="s">
        <v>330</v>
      </c>
      <c r="C14" s="443"/>
      <c r="D14" s="443" t="s">
        <v>331</v>
      </c>
      <c r="E14" s="444"/>
      <c r="F14" s="445">
        <f>①ベース事業別内訳!D8</f>
        <v>24011000</v>
      </c>
      <c r="G14" s="444"/>
      <c r="H14" s="445">
        <f>①ベース事業別内訳!D38+①ベース事業別内訳!D66</f>
        <v>34926000</v>
      </c>
      <c r="I14" s="446"/>
      <c r="J14" s="444">
        <f>①ベース事業別内訳!D92</f>
        <v>11135000</v>
      </c>
      <c r="K14" s="444"/>
      <c r="L14" s="445">
        <f>①ベース事業別内訳!D123</f>
        <v>22104000</v>
      </c>
      <c r="M14" s="447"/>
      <c r="N14" s="448">
        <f>①ベース事業別内訳!D153</f>
        <v>22412000</v>
      </c>
      <c r="O14" s="448"/>
      <c r="P14" s="449">
        <f>①ベース事業別内訳!D236</f>
        <v>3837000</v>
      </c>
      <c r="Q14" s="447"/>
      <c r="R14" s="448">
        <f>①ベース事業別内訳!D265</f>
        <v>5448000</v>
      </c>
      <c r="S14" s="448"/>
      <c r="T14" s="449">
        <f>①ベース事業別内訳!D9</f>
        <v>0</v>
      </c>
      <c r="U14" s="450"/>
      <c r="V14" s="451"/>
      <c r="W14" s="326"/>
      <c r="X14" s="309"/>
      <c r="Y14" s="327"/>
      <c r="Z14" s="327"/>
    </row>
    <row r="15" spans="1:26" ht="30" customHeight="1">
      <c r="A15" s="290">
        <v>13</v>
      </c>
      <c r="B15" s="460" t="s">
        <v>338</v>
      </c>
      <c r="C15" s="461"/>
      <c r="D15" s="461" t="s">
        <v>333</v>
      </c>
      <c r="E15" s="462" t="s">
        <v>356</v>
      </c>
      <c r="F15" s="449" t="e">
        <f>F8/13</f>
        <v>#REF!</v>
      </c>
      <c r="G15" s="463"/>
      <c r="H15" s="449">
        <f>H8/13</f>
        <v>1522632.3507692306</v>
      </c>
      <c r="I15" s="464"/>
      <c r="J15" s="448" t="e">
        <f>J8/13</f>
        <v>#REF!</v>
      </c>
      <c r="K15" s="463"/>
      <c r="L15" s="449" t="e">
        <f>L8/13</f>
        <v>#REF!</v>
      </c>
      <c r="M15" s="464"/>
      <c r="N15" s="448" t="e">
        <f>N8/13</f>
        <v>#REF!</v>
      </c>
      <c r="O15" s="463"/>
      <c r="P15" s="449" t="e">
        <f>P8/13</f>
        <v>#REF!</v>
      </c>
      <c r="Q15" s="464"/>
      <c r="R15" s="448" t="e">
        <f>R8/13</f>
        <v>#REF!</v>
      </c>
      <c r="S15" s="463"/>
      <c r="T15" s="449" t="e">
        <f>T8/13</f>
        <v>#REF!</v>
      </c>
      <c r="U15" s="464"/>
      <c r="V15" s="451"/>
      <c r="W15" s="370">
        <f>W8/13</f>
        <v>1661538.4615384615</v>
      </c>
      <c r="X15" s="374"/>
      <c r="Y15" s="375"/>
      <c r="Z15" s="375"/>
    </row>
    <row r="16" spans="1:26" ht="24.95" customHeight="1">
      <c r="A16" s="290">
        <v>14</v>
      </c>
      <c r="B16" s="313"/>
      <c r="C16" s="41"/>
      <c r="D16" s="368" t="s">
        <v>334</v>
      </c>
      <c r="E16" s="369" t="s">
        <v>357</v>
      </c>
      <c r="F16" s="370">
        <f>F14/13</f>
        <v>1847000</v>
      </c>
      <c r="G16" s="373"/>
      <c r="H16" s="370">
        <f>H14/13</f>
        <v>2686615.3846153845</v>
      </c>
      <c r="I16" s="371"/>
      <c r="J16" s="372">
        <f>J14/13</f>
        <v>856538.4615384615</v>
      </c>
      <c r="K16" s="373"/>
      <c r="L16" s="370">
        <f>L14/13</f>
        <v>1700307.6923076923</v>
      </c>
      <c r="M16" s="371"/>
      <c r="N16" s="372">
        <f>N14/13</f>
        <v>1724000</v>
      </c>
      <c r="O16" s="373"/>
      <c r="P16" s="370">
        <f>P14/13</f>
        <v>295153.84615384613</v>
      </c>
      <c r="Q16" s="371"/>
      <c r="R16" s="372">
        <f>R14/13</f>
        <v>419076.92307692306</v>
      </c>
      <c r="S16" s="373"/>
      <c r="T16" s="370">
        <f>T14/13</f>
        <v>0</v>
      </c>
      <c r="U16" s="371"/>
      <c r="V16" s="401"/>
      <c r="W16" s="331">
        <f>W14/13</f>
        <v>0</v>
      </c>
      <c r="X16" s="317"/>
      <c r="Y16" s="318"/>
      <c r="Z16" s="318"/>
    </row>
    <row r="17" spans="1:26" ht="24.95" customHeight="1">
      <c r="A17" s="290">
        <v>15</v>
      </c>
      <c r="B17" s="316"/>
      <c r="C17" s="319"/>
      <c r="D17" s="319" t="s">
        <v>359</v>
      </c>
      <c r="E17" s="455" t="s">
        <v>358</v>
      </c>
      <c r="F17" s="331" t="e">
        <f>F15-F16</f>
        <v>#REF!</v>
      </c>
      <c r="G17" s="456"/>
      <c r="H17" s="331">
        <f>H15-H16</f>
        <v>-1163983.0338461539</v>
      </c>
      <c r="I17" s="457"/>
      <c r="J17" s="458" t="e">
        <f>J15-J16</f>
        <v>#REF!</v>
      </c>
      <c r="K17" s="456"/>
      <c r="L17" s="331" t="e">
        <f>L15-L16</f>
        <v>#REF!</v>
      </c>
      <c r="M17" s="457"/>
      <c r="N17" s="458" t="e">
        <f>N15-N16</f>
        <v>#REF!</v>
      </c>
      <c r="O17" s="456"/>
      <c r="P17" s="331" t="e">
        <f>P15-P16</f>
        <v>#REF!</v>
      </c>
      <c r="Q17" s="457"/>
      <c r="R17" s="458" t="e">
        <f>R15-R16</f>
        <v>#REF!</v>
      </c>
      <c r="S17" s="456"/>
      <c r="T17" s="331" t="e">
        <f>T15-T16</f>
        <v>#REF!</v>
      </c>
      <c r="U17" s="457"/>
      <c r="V17" s="459"/>
      <c r="W17" s="452"/>
      <c r="X17" s="453"/>
      <c r="Y17" s="454"/>
      <c r="Z17" s="454"/>
    </row>
    <row r="18" spans="1:26" ht="24.95" customHeight="1">
      <c r="A18" s="290">
        <v>16</v>
      </c>
      <c r="B18" s="343" t="s">
        <v>350</v>
      </c>
      <c r="C18" s="376" t="s">
        <v>340</v>
      </c>
      <c r="D18" s="376"/>
      <c r="E18" s="380"/>
      <c r="F18" s="377">
        <v>5</v>
      </c>
      <c r="G18" s="379">
        <v>0.56999999999999995</v>
      </c>
      <c r="H18" s="377">
        <v>5</v>
      </c>
      <c r="I18" s="378">
        <v>0.65</v>
      </c>
      <c r="J18" s="376">
        <v>4.0999999999999996</v>
      </c>
      <c r="K18" s="379">
        <v>1</v>
      </c>
      <c r="L18" s="377">
        <v>3</v>
      </c>
      <c r="M18" s="378">
        <v>0.6</v>
      </c>
      <c r="N18" s="376">
        <v>4</v>
      </c>
      <c r="O18" s="379">
        <v>0.41</v>
      </c>
      <c r="P18" s="377">
        <v>0</v>
      </c>
      <c r="Q18" s="378">
        <v>0</v>
      </c>
      <c r="R18" s="376">
        <v>4</v>
      </c>
      <c r="S18" s="379">
        <v>0.96</v>
      </c>
      <c r="T18" s="377">
        <v>2</v>
      </c>
      <c r="U18" s="378">
        <f>100%-U19-U20</f>
        <v>0.33000000000000007</v>
      </c>
      <c r="V18" s="402"/>
      <c r="W18" s="377">
        <v>7</v>
      </c>
      <c r="X18" s="379">
        <v>0.96</v>
      </c>
      <c r="Y18" s="380"/>
      <c r="Z18" s="380"/>
    </row>
    <row r="19" spans="1:26" ht="24.95" customHeight="1">
      <c r="A19" s="290">
        <v>17</v>
      </c>
      <c r="B19" s="313"/>
      <c r="C19" s="368" t="s">
        <v>342</v>
      </c>
      <c r="D19" s="368"/>
      <c r="E19" s="384"/>
      <c r="F19" s="381">
        <v>14</v>
      </c>
      <c r="G19" s="383">
        <v>0.43</v>
      </c>
      <c r="H19" s="381">
        <v>8</v>
      </c>
      <c r="I19" s="382">
        <v>0.35</v>
      </c>
      <c r="J19" s="368"/>
      <c r="K19" s="383"/>
      <c r="L19" s="381">
        <v>8</v>
      </c>
      <c r="M19" s="382">
        <v>0.4</v>
      </c>
      <c r="N19" s="368">
        <v>11</v>
      </c>
      <c r="O19" s="383">
        <v>0.32</v>
      </c>
      <c r="P19" s="381">
        <v>7</v>
      </c>
      <c r="Q19" s="382">
        <v>1</v>
      </c>
      <c r="R19" s="368">
        <v>2</v>
      </c>
      <c r="S19" s="383">
        <v>0.04</v>
      </c>
      <c r="T19" s="381">
        <v>7</v>
      </c>
      <c r="U19" s="382">
        <v>0.44</v>
      </c>
      <c r="V19" s="403"/>
      <c r="W19" s="381"/>
      <c r="X19" s="368"/>
      <c r="Y19" s="384"/>
      <c r="Z19" s="384"/>
    </row>
    <row r="20" spans="1:26" ht="24.95" customHeight="1">
      <c r="A20" s="290">
        <v>18</v>
      </c>
      <c r="B20" s="316"/>
      <c r="C20" s="319" t="s">
        <v>343</v>
      </c>
      <c r="D20" s="319"/>
      <c r="E20" s="345"/>
      <c r="F20" s="316"/>
      <c r="G20" s="344"/>
      <c r="H20" s="316"/>
      <c r="I20" s="363"/>
      <c r="J20" s="319"/>
      <c r="K20" s="344"/>
      <c r="L20" s="316"/>
      <c r="M20" s="363"/>
      <c r="N20" s="319">
        <v>15</v>
      </c>
      <c r="O20" s="344">
        <v>0.27</v>
      </c>
      <c r="P20" s="316"/>
      <c r="Q20" s="363"/>
      <c r="R20" s="319"/>
      <c r="S20" s="344"/>
      <c r="T20" s="316">
        <v>4</v>
      </c>
      <c r="U20" s="363">
        <v>0.23</v>
      </c>
      <c r="V20" s="404"/>
      <c r="W20" s="316">
        <v>7</v>
      </c>
      <c r="X20" s="344">
        <v>0.04</v>
      </c>
      <c r="Y20" s="345"/>
      <c r="Z20" s="345"/>
    </row>
    <row r="21" spans="1:26" ht="24.95" customHeight="1">
      <c r="A21" s="290"/>
      <c r="B21" s="427" t="s">
        <v>352</v>
      </c>
      <c r="C21" s="428" t="s">
        <v>353</v>
      </c>
      <c r="D21" s="428"/>
      <c r="E21" s="429"/>
      <c r="F21" s="430" t="e">
        <f>$F$15*G18</f>
        <v>#REF!</v>
      </c>
      <c r="G21" s="431"/>
      <c r="H21" s="430">
        <f>$H$15*I18</f>
        <v>989711.02799999993</v>
      </c>
      <c r="I21" s="432"/>
      <c r="J21" s="433" t="e">
        <f>$J$15*K18</f>
        <v>#REF!</v>
      </c>
      <c r="K21" s="431"/>
      <c r="L21" s="430" t="e">
        <f>$L$15*M18</f>
        <v>#REF!</v>
      </c>
      <c r="M21" s="432"/>
      <c r="N21" s="433" t="e">
        <f>$N$15*O18</f>
        <v>#REF!</v>
      </c>
      <c r="O21" s="431"/>
      <c r="P21" s="430" t="e">
        <f>$P$15*Q18</f>
        <v>#REF!</v>
      </c>
      <c r="Q21" s="432"/>
      <c r="R21" s="433" t="e">
        <f>$R$15*S18</f>
        <v>#REF!</v>
      </c>
      <c r="S21" s="431"/>
      <c r="T21" s="430" t="e">
        <f>$T$15*U18</f>
        <v>#REF!</v>
      </c>
      <c r="U21" s="432"/>
      <c r="V21" s="434"/>
      <c r="W21" s="313"/>
      <c r="X21" s="426"/>
      <c r="Y21" s="425"/>
      <c r="Z21" s="425"/>
    </row>
    <row r="22" spans="1:26" ht="24.95" customHeight="1">
      <c r="A22" s="290"/>
      <c r="B22" s="427"/>
      <c r="C22" s="435" t="s">
        <v>354</v>
      </c>
      <c r="D22" s="435"/>
      <c r="E22" s="436"/>
      <c r="F22" s="437" t="e">
        <f>$F$15*G19</f>
        <v>#REF!</v>
      </c>
      <c r="G22" s="438"/>
      <c r="H22" s="437">
        <f>$H$15*I19</f>
        <v>532921.3227692307</v>
      </c>
      <c r="I22" s="439"/>
      <c r="J22" s="440" t="e">
        <f>$J$15*K19</f>
        <v>#REF!</v>
      </c>
      <c r="K22" s="438"/>
      <c r="L22" s="437" t="e">
        <f>$L$15*M19</f>
        <v>#REF!</v>
      </c>
      <c r="M22" s="439"/>
      <c r="N22" s="440" t="e">
        <f>$N$15*O19</f>
        <v>#REF!</v>
      </c>
      <c r="O22" s="438"/>
      <c r="P22" s="437" t="e">
        <f>$P$15*Q19</f>
        <v>#REF!</v>
      </c>
      <c r="Q22" s="439"/>
      <c r="R22" s="440" t="e">
        <f>$R$15*S19</f>
        <v>#REF!</v>
      </c>
      <c r="S22" s="438"/>
      <c r="T22" s="437" t="e">
        <f>$T$15*U19</f>
        <v>#REF!</v>
      </c>
      <c r="U22" s="439"/>
      <c r="V22" s="441"/>
      <c r="W22" s="313"/>
      <c r="X22" s="426"/>
      <c r="Y22" s="425"/>
      <c r="Z22" s="425"/>
    </row>
    <row r="23" spans="1:26" ht="24.95" customHeight="1">
      <c r="A23" s="290"/>
      <c r="B23" s="427"/>
      <c r="C23" s="428" t="s">
        <v>355</v>
      </c>
      <c r="D23" s="428"/>
      <c r="E23" s="429"/>
      <c r="F23" s="430" t="e">
        <f>$F$15*G20</f>
        <v>#REF!</v>
      </c>
      <c r="G23" s="431"/>
      <c r="H23" s="430">
        <f>$H$15*I20</f>
        <v>0</v>
      </c>
      <c r="I23" s="432"/>
      <c r="J23" s="433" t="e">
        <f>$J$15*K20</f>
        <v>#REF!</v>
      </c>
      <c r="K23" s="431"/>
      <c r="L23" s="430" t="e">
        <f>$L$15*M20</f>
        <v>#REF!</v>
      </c>
      <c r="M23" s="432"/>
      <c r="N23" s="433" t="e">
        <f>$N$15*O20</f>
        <v>#REF!</v>
      </c>
      <c r="O23" s="431"/>
      <c r="P23" s="430" t="e">
        <f>$P$15*Q20</f>
        <v>#REF!</v>
      </c>
      <c r="Q23" s="432"/>
      <c r="R23" s="433" t="e">
        <f>$R$15*S20</f>
        <v>#REF!</v>
      </c>
      <c r="S23" s="431"/>
      <c r="T23" s="430" t="e">
        <f>$T$15*U20</f>
        <v>#REF!</v>
      </c>
      <c r="U23" s="432"/>
      <c r="V23" s="434"/>
      <c r="W23" s="313"/>
      <c r="X23" s="426"/>
      <c r="Y23" s="425"/>
      <c r="Z23" s="425"/>
    </row>
    <row r="24" spans="1:26" ht="24.95" customHeight="1">
      <c r="A24" s="290">
        <v>19</v>
      </c>
      <c r="B24" s="391" t="s">
        <v>341</v>
      </c>
      <c r="C24" s="392"/>
      <c r="D24" s="392"/>
      <c r="E24" s="393" t="s">
        <v>360</v>
      </c>
      <c r="F24" s="416" t="e">
        <f>F15*G18/F18</f>
        <v>#REF!</v>
      </c>
      <c r="G24" s="407"/>
      <c r="H24" s="416">
        <f>H15*I18/H18</f>
        <v>197942.20559999999</v>
      </c>
      <c r="I24" s="408"/>
      <c r="J24" s="420" t="e">
        <f>J15*K18/J18</f>
        <v>#REF!</v>
      </c>
      <c r="K24" s="407"/>
      <c r="L24" s="416" t="e">
        <f>L15*M18/L18</f>
        <v>#REF!</v>
      </c>
      <c r="M24" s="408"/>
      <c r="N24" s="420" t="e">
        <f>N15*O18/N18</f>
        <v>#REF!</v>
      </c>
      <c r="O24" s="407"/>
      <c r="P24" s="416"/>
      <c r="Q24" s="408"/>
      <c r="R24" s="420" t="e">
        <f>R15*S18/R18</f>
        <v>#REF!</v>
      </c>
      <c r="S24" s="407"/>
      <c r="T24" s="416" t="e">
        <f>T15*U18/T18</f>
        <v>#REF!</v>
      </c>
      <c r="U24" s="408"/>
      <c r="V24" s="423"/>
      <c r="W24" s="394">
        <f>W15*X18/W18</f>
        <v>227868.13186813187</v>
      </c>
      <c r="X24" s="392"/>
      <c r="Y24" s="393"/>
      <c r="Z24" s="393"/>
    </row>
    <row r="25" spans="1:26" ht="24.95" customHeight="1">
      <c r="A25" s="290">
        <v>20</v>
      </c>
      <c r="B25" s="316"/>
      <c r="C25" s="319" t="s">
        <v>345</v>
      </c>
      <c r="D25" s="319"/>
      <c r="E25" s="345"/>
      <c r="F25" s="364">
        <f>F16*G18/F18</f>
        <v>210558</v>
      </c>
      <c r="G25" s="344"/>
      <c r="H25" s="364">
        <f>H16*I18/H18</f>
        <v>349260</v>
      </c>
      <c r="I25" s="363"/>
      <c r="J25" s="346">
        <f>J16*K18/J18</f>
        <v>208911.81988742965</v>
      </c>
      <c r="K25" s="344"/>
      <c r="L25" s="364">
        <f>L16*M18/L18</f>
        <v>340061.53846153844</v>
      </c>
      <c r="M25" s="363"/>
      <c r="N25" s="346">
        <f>N16*O18/N18</f>
        <v>176710</v>
      </c>
      <c r="O25" s="344"/>
      <c r="P25" s="316"/>
      <c r="Q25" s="363"/>
      <c r="R25" s="346">
        <f>R16*S18/R18</f>
        <v>100578.46153846153</v>
      </c>
      <c r="S25" s="344"/>
      <c r="T25" s="364">
        <f>T16*U18/T18</f>
        <v>0</v>
      </c>
      <c r="U25" s="363"/>
      <c r="V25" s="404"/>
      <c r="W25" s="364">
        <f>W16*X18/W18</f>
        <v>0</v>
      </c>
      <c r="X25" s="319"/>
      <c r="Y25" s="345"/>
      <c r="Z25" s="345"/>
    </row>
    <row r="26" spans="1:26" ht="24.95" customHeight="1">
      <c r="A26" s="290">
        <v>21</v>
      </c>
      <c r="B26" s="343" t="s">
        <v>349</v>
      </c>
      <c r="C26" s="376" t="s">
        <v>346</v>
      </c>
      <c r="D26" s="376"/>
      <c r="E26" s="380"/>
      <c r="F26" s="385" t="e">
        <f>F24*G26</f>
        <v>#REF!</v>
      </c>
      <c r="G26" s="386">
        <v>4.5999999999999999E-2</v>
      </c>
      <c r="H26" s="377"/>
      <c r="I26" s="378"/>
      <c r="J26" s="376"/>
      <c r="K26" s="379"/>
      <c r="L26" s="385" t="e">
        <f>L24*M26</f>
        <v>#REF!</v>
      </c>
      <c r="M26" s="378">
        <v>0.04</v>
      </c>
      <c r="N26" s="376"/>
      <c r="O26" s="379"/>
      <c r="P26" s="377"/>
      <c r="Q26" s="378"/>
      <c r="R26" s="376"/>
      <c r="S26" s="379"/>
      <c r="T26" s="377"/>
      <c r="U26" s="378"/>
      <c r="V26" s="402"/>
      <c r="W26" s="377"/>
      <c r="X26" s="376"/>
      <c r="Y26" s="380"/>
      <c r="Z26" s="380"/>
    </row>
    <row r="27" spans="1:26" ht="24.95" customHeight="1">
      <c r="A27" s="290">
        <v>22</v>
      </c>
      <c r="B27" s="316"/>
      <c r="C27" s="319" t="s">
        <v>347</v>
      </c>
      <c r="D27" s="319" t="s">
        <v>348</v>
      </c>
      <c r="E27" s="345"/>
      <c r="F27" s="364" t="e">
        <f>F24*G27</f>
        <v>#REF!</v>
      </c>
      <c r="G27" s="347">
        <v>4.1000000000000002E-2</v>
      </c>
      <c r="H27" s="364">
        <f>H24*I27</f>
        <v>8115.6304295999998</v>
      </c>
      <c r="I27" s="365">
        <v>4.1000000000000002E-2</v>
      </c>
      <c r="J27" s="346" t="e">
        <f>J24*K27</f>
        <v>#REF!</v>
      </c>
      <c r="K27" s="344"/>
      <c r="L27" s="364" t="e">
        <f>L24*M27</f>
        <v>#REF!</v>
      </c>
      <c r="M27" s="365">
        <v>4.1000000000000002E-2</v>
      </c>
      <c r="N27" s="346" t="e">
        <f>N24*O27</f>
        <v>#REF!</v>
      </c>
      <c r="O27" s="344"/>
      <c r="P27" s="316"/>
      <c r="Q27" s="363"/>
      <c r="R27" s="346" t="e">
        <f>R24*S27</f>
        <v>#REF!</v>
      </c>
      <c r="S27" s="344"/>
      <c r="T27" s="364" t="e">
        <f>T24*U27</f>
        <v>#REF!</v>
      </c>
      <c r="U27" s="365">
        <v>4.1000000000000002E-2</v>
      </c>
      <c r="V27" s="404"/>
      <c r="W27" s="364">
        <f>W24*X27</f>
        <v>9342.5934065934071</v>
      </c>
      <c r="X27" s="347">
        <v>4.1000000000000002E-2</v>
      </c>
      <c r="Y27" s="345"/>
      <c r="Z27" s="345"/>
    </row>
    <row r="28" spans="1:26" ht="24.95" customHeight="1">
      <c r="A28" s="290">
        <v>23</v>
      </c>
      <c r="B28" s="387" t="s">
        <v>351</v>
      </c>
      <c r="C28" s="388"/>
      <c r="D28" s="388"/>
      <c r="E28" s="389" t="s">
        <v>361</v>
      </c>
      <c r="F28" s="417" t="e">
        <f>F24+F26+F27</f>
        <v>#REF!</v>
      </c>
      <c r="G28" s="405"/>
      <c r="H28" s="413">
        <f>H24+H26+H27</f>
        <v>206057.83602959997</v>
      </c>
      <c r="I28" s="406"/>
      <c r="J28" s="417" t="e">
        <f>J24+J26+J27</f>
        <v>#REF!</v>
      </c>
      <c r="K28" s="405"/>
      <c r="L28" s="413" t="e">
        <f>L24+L26+L27</f>
        <v>#REF!</v>
      </c>
      <c r="M28" s="406"/>
      <c r="N28" s="417" t="e">
        <f>N24+N26+N27</f>
        <v>#REF!</v>
      </c>
      <c r="O28" s="405"/>
      <c r="P28" s="413">
        <f>P24+P26+P27</f>
        <v>0</v>
      </c>
      <c r="Q28" s="406"/>
      <c r="R28" s="417" t="e">
        <f>R24+R26+R27</f>
        <v>#REF!</v>
      </c>
      <c r="S28" s="405"/>
      <c r="T28" s="413" t="e">
        <f>T24+T26+T27</f>
        <v>#REF!</v>
      </c>
      <c r="U28" s="406"/>
      <c r="V28" s="424"/>
      <c r="W28" s="390">
        <f>W24+W26+W27</f>
        <v>237210.72527472526</v>
      </c>
      <c r="X28" s="388"/>
      <c r="Y28" s="389"/>
      <c r="Z28" s="389"/>
    </row>
    <row r="29" spans="1:26" ht="24.95" customHeight="1"/>
    <row r="31" spans="1:26">
      <c r="F31" s="173"/>
    </row>
    <row r="32" spans="1:26">
      <c r="F32" s="173"/>
    </row>
    <row r="33" spans="6:6">
      <c r="F33" s="173"/>
    </row>
    <row r="34" spans="6:6">
      <c r="F34" s="173"/>
    </row>
    <row r="35" spans="6:6">
      <c r="F35" s="173"/>
    </row>
    <row r="36" spans="6:6">
      <c r="F36" s="173"/>
    </row>
    <row r="37" spans="6:6">
      <c r="F37" s="173"/>
    </row>
  </sheetData>
  <mergeCells count="15">
    <mergeCell ref="H1:I2"/>
    <mergeCell ref="V1:V2"/>
    <mergeCell ref="B13:D13"/>
    <mergeCell ref="B12:D12"/>
    <mergeCell ref="W1:Y1"/>
    <mergeCell ref="F1:G2"/>
    <mergeCell ref="J1:K2"/>
    <mergeCell ref="L1:M2"/>
    <mergeCell ref="N1:O2"/>
    <mergeCell ref="P1:Q2"/>
    <mergeCell ref="R1:S2"/>
    <mergeCell ref="T1:U2"/>
    <mergeCell ref="B3:D3"/>
    <mergeCell ref="B6:D6"/>
    <mergeCell ref="B1:D2"/>
  </mergeCells>
  <phoneticPr fontId="1"/>
  <pageMargins left="0.25" right="0.25" top="0.75" bottom="0.75" header="0.3" footer="0.3"/>
  <pageSetup paperSize="9" scale="9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workbookViewId="0">
      <selection activeCell="B6" sqref="B6"/>
    </sheetView>
  </sheetViews>
  <sheetFormatPr defaultRowHeight="13.5"/>
  <cols>
    <col min="1" max="1" width="3.625" style="225" customWidth="1"/>
    <col min="2" max="2" width="11.875" bestFit="1" customWidth="1"/>
  </cols>
  <sheetData>
    <row r="1" spans="1:15" ht="24.95" customHeight="1">
      <c r="A1" s="1370" t="s">
        <v>235</v>
      </c>
      <c r="B1" s="1370"/>
      <c r="C1" s="224" t="s">
        <v>167</v>
      </c>
      <c r="D1" s="224" t="s">
        <v>168</v>
      </c>
      <c r="E1" s="224" t="s">
        <v>169</v>
      </c>
      <c r="F1" s="224" t="s">
        <v>158</v>
      </c>
      <c r="G1" s="224" t="s">
        <v>157</v>
      </c>
      <c r="H1" s="224" t="s">
        <v>170</v>
      </c>
      <c r="I1" s="224" t="s">
        <v>171</v>
      </c>
      <c r="J1" s="224" t="s">
        <v>159</v>
      </c>
      <c r="K1" s="224" t="s">
        <v>172</v>
      </c>
      <c r="L1" s="224" t="s">
        <v>173</v>
      </c>
      <c r="M1" s="224" t="s">
        <v>175</v>
      </c>
      <c r="N1" s="224" t="s">
        <v>252</v>
      </c>
      <c r="O1" s="224" t="s">
        <v>253</v>
      </c>
    </row>
    <row r="2" spans="1:15" ht="24.95" customHeight="1">
      <c r="A2" s="1370" t="s">
        <v>234</v>
      </c>
      <c r="B2" s="1370"/>
      <c r="C2" s="213" t="e">
        <f>按分表!L68</f>
        <v>#REF!</v>
      </c>
      <c r="D2" s="213" t="e">
        <f>按分表!J68</f>
        <v>#REF!</v>
      </c>
      <c r="E2" s="213" t="e">
        <f>按分表!K68</f>
        <v>#REF!</v>
      </c>
      <c r="F2" s="213" t="e">
        <f>按分表!M68</f>
        <v>#REF!</v>
      </c>
      <c r="G2" s="213" t="e">
        <f>按分表!D68</f>
        <v>#REF!</v>
      </c>
      <c r="H2" s="213" t="e">
        <f>按分表!E68</f>
        <v>#REF!</v>
      </c>
      <c r="I2" s="213" t="e">
        <f>按分表!F68</f>
        <v>#REF!</v>
      </c>
      <c r="J2" s="213" t="e">
        <f>按分表!G68</f>
        <v>#REF!</v>
      </c>
      <c r="K2" s="213" t="e">
        <f>按分表!H68</f>
        <v>#REF!</v>
      </c>
      <c r="L2" s="213" t="e">
        <f>按分表!I68</f>
        <v>#REF!</v>
      </c>
      <c r="M2" s="213" t="e">
        <f>按分表!N68</f>
        <v>#REF!</v>
      </c>
      <c r="N2" s="213" t="e">
        <f>按分表!O68</f>
        <v>#REF!</v>
      </c>
      <c r="O2" s="213" t="e">
        <f>SUM(C2:N2)</f>
        <v>#REF!</v>
      </c>
    </row>
    <row r="3" spans="1:15" ht="24.95" customHeight="1">
      <c r="A3" s="1369" t="s">
        <v>255</v>
      </c>
      <c r="B3" s="213" t="s">
        <v>177</v>
      </c>
      <c r="C3" s="213" t="e">
        <f>按分表!L69</f>
        <v>#REF!</v>
      </c>
      <c r="D3" s="213" t="e">
        <f>按分表!J69</f>
        <v>#REF!</v>
      </c>
      <c r="E3" s="213" t="e">
        <f>按分表!K69</f>
        <v>#REF!</v>
      </c>
      <c r="F3" s="213" t="e">
        <f>按分表!M69</f>
        <v>#REF!</v>
      </c>
      <c r="G3" s="213" t="e">
        <f>按分表!D69</f>
        <v>#REF!</v>
      </c>
      <c r="H3" s="213" t="e">
        <f>按分表!E69</f>
        <v>#REF!</v>
      </c>
      <c r="I3" s="213" t="e">
        <f>按分表!F69</f>
        <v>#REF!</v>
      </c>
      <c r="J3" s="213" t="e">
        <f>按分表!G69</f>
        <v>#REF!</v>
      </c>
      <c r="K3" s="213" t="e">
        <f>按分表!H69</f>
        <v>#REF!</v>
      </c>
      <c r="L3" s="213" t="e">
        <f>按分表!I69</f>
        <v>#REF!</v>
      </c>
      <c r="M3" s="213" t="e">
        <f>按分表!N69</f>
        <v>#REF!</v>
      </c>
      <c r="N3" s="213"/>
      <c r="O3" s="213" t="e">
        <f>SUM(C3:N3)</f>
        <v>#REF!</v>
      </c>
    </row>
    <row r="4" spans="1:15" ht="24.95" customHeight="1">
      <c r="A4" s="1369"/>
      <c r="B4" s="213" t="s">
        <v>254</v>
      </c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 t="e">
        <f>按分表!O69</f>
        <v>#REF!</v>
      </c>
    </row>
    <row r="5" spans="1:15" ht="24.95" customHeight="1">
      <c r="A5" s="1370" t="s">
        <v>160</v>
      </c>
      <c r="B5" s="1370"/>
      <c r="C5" s="213" t="e">
        <f>C2-C3</f>
        <v>#REF!</v>
      </c>
      <c r="D5" s="213" t="e">
        <f t="shared" ref="D5:N5" si="0">D2-D3</f>
        <v>#REF!</v>
      </c>
      <c r="E5" s="213" t="e">
        <f t="shared" si="0"/>
        <v>#REF!</v>
      </c>
      <c r="F5" s="213" t="e">
        <f t="shared" si="0"/>
        <v>#REF!</v>
      </c>
      <c r="G5" s="213" t="e">
        <f t="shared" si="0"/>
        <v>#REF!</v>
      </c>
      <c r="H5" s="213" t="e">
        <f t="shared" si="0"/>
        <v>#REF!</v>
      </c>
      <c r="I5" s="213" t="e">
        <f t="shared" si="0"/>
        <v>#REF!</v>
      </c>
      <c r="J5" s="213" t="e">
        <f t="shared" si="0"/>
        <v>#REF!</v>
      </c>
      <c r="K5" s="213" t="e">
        <f t="shared" si="0"/>
        <v>#REF!</v>
      </c>
      <c r="L5" s="213" t="e">
        <f t="shared" si="0"/>
        <v>#REF!</v>
      </c>
      <c r="M5" s="213" t="e">
        <f t="shared" si="0"/>
        <v>#REF!</v>
      </c>
      <c r="N5" s="213" t="e">
        <f t="shared" si="0"/>
        <v>#REF!</v>
      </c>
      <c r="O5" s="213" t="e">
        <f>O2-O3-O4</f>
        <v>#REF!</v>
      </c>
    </row>
  </sheetData>
  <mergeCells count="4">
    <mergeCell ref="A3:A4"/>
    <mergeCell ref="A2:B2"/>
    <mergeCell ref="A1:B1"/>
    <mergeCell ref="A5:B5"/>
  </mergeCells>
  <phoneticPr fontId="1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9"/>
  <sheetViews>
    <sheetView topLeftCell="N1" workbookViewId="0">
      <selection activeCell="L37" sqref="L37"/>
    </sheetView>
  </sheetViews>
  <sheetFormatPr defaultRowHeight="13.5"/>
  <cols>
    <col min="1" max="1" width="6.125" bestFit="1" customWidth="1"/>
    <col min="2" max="2" width="9" bestFit="1" customWidth="1"/>
    <col min="3" max="3" width="6" bestFit="1" customWidth="1"/>
    <col min="4" max="4" width="6.875" bestFit="1" customWidth="1"/>
    <col min="5" max="5" width="7.25" bestFit="1" customWidth="1"/>
    <col min="6" max="6" width="6.875" bestFit="1" customWidth="1"/>
    <col min="7" max="7" width="1.875" customWidth="1"/>
    <col min="8" max="8" width="9.125" bestFit="1" customWidth="1"/>
    <col min="9" max="9" width="6.875" bestFit="1" customWidth="1"/>
    <col min="10" max="10" width="2.75" customWidth="1"/>
    <col min="11" max="11" width="9.125" bestFit="1" customWidth="1"/>
    <col min="12" max="12" width="6.875" bestFit="1" customWidth="1"/>
    <col min="13" max="13" width="9.125" bestFit="1" customWidth="1"/>
    <col min="14" max="14" width="6.875" bestFit="1" customWidth="1"/>
    <col min="15" max="15" width="5.25" customWidth="1"/>
    <col min="16" max="16" width="9.125" bestFit="1" customWidth="1"/>
    <col min="17" max="17" width="6.875" bestFit="1" customWidth="1"/>
    <col min="18" max="18" width="5.25" customWidth="1"/>
    <col min="20" max="20" width="6.875" bestFit="1" customWidth="1"/>
    <col min="21" max="21" width="5.25" customWidth="1"/>
    <col min="22" max="23" width="6.875" bestFit="1" customWidth="1"/>
    <col min="24" max="24" width="5.25" customWidth="1"/>
    <col min="25" max="26" width="6.875" bestFit="1" customWidth="1"/>
    <col min="27" max="27" width="5.25" customWidth="1"/>
    <col min="29" max="29" width="6.875" bestFit="1" customWidth="1"/>
    <col min="30" max="30" width="5.25" customWidth="1"/>
    <col min="32" max="32" width="6.875" bestFit="1" customWidth="1"/>
    <col min="33" max="33" width="10.25" bestFit="1" customWidth="1"/>
    <col min="34" max="35" width="5.25" bestFit="1" customWidth="1"/>
  </cols>
  <sheetData>
    <row r="1" spans="1:35" s="183" customFormat="1">
      <c r="A1" s="183" t="s">
        <v>246</v>
      </c>
      <c r="C1" s="190" t="s">
        <v>156</v>
      </c>
      <c r="D1" s="190"/>
      <c r="E1" s="190" t="s">
        <v>167</v>
      </c>
      <c r="F1" s="190"/>
      <c r="G1" s="189"/>
      <c r="H1" s="189" t="s">
        <v>168</v>
      </c>
      <c r="K1" s="189" t="s">
        <v>169</v>
      </c>
      <c r="M1" s="183" t="s">
        <v>158</v>
      </c>
      <c r="P1" s="183" t="s">
        <v>157</v>
      </c>
      <c r="S1" s="183" t="s">
        <v>170</v>
      </c>
      <c r="V1" s="183" t="s">
        <v>171</v>
      </c>
      <c r="Y1" s="183" t="s">
        <v>159</v>
      </c>
      <c r="AB1" s="183" t="s">
        <v>172</v>
      </c>
      <c r="AE1" s="183" t="s">
        <v>173</v>
      </c>
      <c r="AG1" s="183" t="s">
        <v>174</v>
      </c>
      <c r="AI1" s="183" t="s">
        <v>181</v>
      </c>
    </row>
    <row r="2" spans="1:35" s="183" customFormat="1">
      <c r="C2" s="183" t="s">
        <v>164</v>
      </c>
      <c r="D2" s="183" t="s">
        <v>165</v>
      </c>
      <c r="E2" s="183" t="s">
        <v>164</v>
      </c>
      <c r="F2" s="183" t="s">
        <v>165</v>
      </c>
      <c r="H2" s="183" t="s">
        <v>164</v>
      </c>
      <c r="I2" s="183" t="s">
        <v>165</v>
      </c>
      <c r="K2" s="183" t="s">
        <v>164</v>
      </c>
      <c r="L2" s="183" t="s">
        <v>165</v>
      </c>
      <c r="M2" s="183" t="s">
        <v>164</v>
      </c>
      <c r="N2" s="183" t="s">
        <v>165</v>
      </c>
      <c r="P2" s="183" t="s">
        <v>164</v>
      </c>
      <c r="Q2" s="183" t="s">
        <v>165</v>
      </c>
      <c r="S2" s="183" t="s">
        <v>164</v>
      </c>
      <c r="T2" s="183" t="s">
        <v>165</v>
      </c>
      <c r="V2" s="183" t="s">
        <v>164</v>
      </c>
      <c r="W2" s="183" t="s">
        <v>165</v>
      </c>
      <c r="Y2" s="183" t="s">
        <v>164</v>
      </c>
      <c r="Z2" s="183" t="s">
        <v>165</v>
      </c>
      <c r="AB2" s="183" t="s">
        <v>164</v>
      </c>
      <c r="AC2" s="183" t="s">
        <v>165</v>
      </c>
      <c r="AE2" s="183" t="s">
        <v>164</v>
      </c>
      <c r="AF2" s="183" t="s">
        <v>165</v>
      </c>
      <c r="AG2" s="183" t="s">
        <v>164</v>
      </c>
      <c r="AH2" s="183" t="s">
        <v>165</v>
      </c>
    </row>
    <row r="3" spans="1:35" s="183" customFormat="1">
      <c r="B3" s="183" t="s">
        <v>234</v>
      </c>
      <c r="C3" s="183" t="e">
        <f>按分表!O23</f>
        <v>#REF!</v>
      </c>
      <c r="E3" s="183" t="e">
        <f>按分表!L23</f>
        <v>#REF!</v>
      </c>
      <c r="H3" s="183" t="e">
        <f>按分表!J23</f>
        <v>#REF!</v>
      </c>
      <c r="K3" s="183" t="e">
        <f>按分表!K23</f>
        <v>#REF!</v>
      </c>
      <c r="M3" s="183" t="e">
        <f>按分表!M23</f>
        <v>#REF!</v>
      </c>
      <c r="P3" s="183" t="e">
        <f>按分表!D23</f>
        <v>#REF!</v>
      </c>
      <c r="S3" s="183" t="e">
        <f>按分表!E23</f>
        <v>#REF!</v>
      </c>
      <c r="V3" s="183" t="e">
        <f>按分表!F23</f>
        <v>#REF!</v>
      </c>
      <c r="Y3" s="183" t="e">
        <f>按分表!G23</f>
        <v>#REF!</v>
      </c>
      <c r="AB3" s="183" t="e">
        <f>按分表!H23</f>
        <v>#REF!</v>
      </c>
      <c r="AE3" s="183" t="e">
        <f>按分表!I23</f>
        <v>#REF!</v>
      </c>
      <c r="AG3" s="183" t="e">
        <f>按分表!N23</f>
        <v>#REF!</v>
      </c>
    </row>
    <row r="4" spans="1:35" s="183" customFormat="1">
      <c r="B4" s="183" t="s">
        <v>177</v>
      </c>
      <c r="F4" s="183" t="e">
        <f>按分表!L62</f>
        <v>#REF!</v>
      </c>
      <c r="I4" s="183" t="e">
        <f>按分表!J62</f>
        <v>#REF!</v>
      </c>
      <c r="L4" s="183" t="e">
        <f>按分表!K62</f>
        <v>#REF!</v>
      </c>
      <c r="N4" s="183" t="e">
        <f>按分表!M62</f>
        <v>#REF!</v>
      </c>
      <c r="Q4" s="183" t="e">
        <f>按分表!D62</f>
        <v>#REF!</v>
      </c>
      <c r="T4" s="183" t="e">
        <f>按分表!E62</f>
        <v>#REF!</v>
      </c>
      <c r="W4" s="183" t="e">
        <f>按分表!F62</f>
        <v>#REF!</v>
      </c>
      <c r="Z4" s="183" t="e">
        <f>按分表!G62</f>
        <v>#REF!</v>
      </c>
      <c r="AC4" s="183" t="e">
        <f>按分表!H62</f>
        <v>#REF!</v>
      </c>
      <c r="AF4" s="183" t="e">
        <f>按分表!I62</f>
        <v>#REF!</v>
      </c>
      <c r="AH4" s="183" t="e">
        <f>按分表!N62</f>
        <v>#REF!</v>
      </c>
      <c r="AI4" s="183" t="e">
        <f>SUM(#REF!)</f>
        <v>#REF!</v>
      </c>
    </row>
    <row r="5" spans="1:35" s="183" customFormat="1">
      <c r="B5" s="183" t="s">
        <v>166</v>
      </c>
      <c r="F5" s="183" t="e">
        <f>按分表!#REF!</f>
        <v>#REF!</v>
      </c>
      <c r="I5" s="183" t="e">
        <f>按分表!#REF!</f>
        <v>#REF!</v>
      </c>
      <c r="L5" s="183" t="e">
        <f>按分表!#REF!</f>
        <v>#REF!</v>
      </c>
      <c r="N5" s="183" t="e">
        <f>按分表!#REF!</f>
        <v>#REF!</v>
      </c>
      <c r="Q5" s="183" t="e">
        <f>按分表!#REF!</f>
        <v>#REF!</v>
      </c>
      <c r="T5" s="183" t="e">
        <f>按分表!#REF!</f>
        <v>#REF!</v>
      </c>
      <c r="W5" s="183" t="e">
        <f>按分表!#REF!</f>
        <v>#REF!</v>
      </c>
      <c r="Z5" s="183" t="e">
        <f>按分表!#REF!</f>
        <v>#REF!</v>
      </c>
      <c r="AC5" s="183" t="e">
        <f>按分表!#REF!</f>
        <v>#REF!</v>
      </c>
      <c r="AF5" s="183" t="e">
        <f>按分表!#REF!</f>
        <v>#REF!</v>
      </c>
      <c r="AH5" s="183" t="e">
        <f>按分表!#REF!</f>
        <v>#REF!</v>
      </c>
    </row>
    <row r="6" spans="1:35" s="183" customFormat="1">
      <c r="B6" s="183" t="s">
        <v>233</v>
      </c>
      <c r="F6" s="183" t="e">
        <f>按分表!#REF!</f>
        <v>#REF!</v>
      </c>
      <c r="I6" s="183" t="e">
        <f>按分表!#REF!</f>
        <v>#REF!</v>
      </c>
      <c r="L6" s="183" t="e">
        <f>按分表!#REF!</f>
        <v>#REF!</v>
      </c>
      <c r="N6" s="183" t="e">
        <f>按分表!#REF!</f>
        <v>#REF!</v>
      </c>
      <c r="Q6" s="183" t="e">
        <f>按分表!#REF!</f>
        <v>#REF!</v>
      </c>
      <c r="T6" s="183" t="e">
        <f>按分表!#REF!</f>
        <v>#REF!</v>
      </c>
      <c r="W6" s="183" t="e">
        <f>按分表!#REF!</f>
        <v>#REF!</v>
      </c>
      <c r="Z6" s="183" t="e">
        <f>按分表!#REF!</f>
        <v>#REF!</v>
      </c>
      <c r="AC6" s="183" t="e">
        <f>按分表!#REF!</f>
        <v>#REF!</v>
      </c>
      <c r="AF6" s="183" t="e">
        <f>按分表!#REF!</f>
        <v>#REF!</v>
      </c>
      <c r="AH6" s="183" t="e">
        <f>按分表!#REF!</f>
        <v>#REF!</v>
      </c>
    </row>
    <row r="7" spans="1:35" s="183" customFormat="1"/>
    <row r="8" spans="1:35" s="183" customFormat="1"/>
    <row r="10" spans="1:35">
      <c r="A10" s="183" t="str">
        <f>按分表!B67</f>
        <v>集計資料</v>
      </c>
      <c r="C10" s="183">
        <f>按分表!C67</f>
        <v>0</v>
      </c>
      <c r="D10" s="183" t="str">
        <f>按分表!O67</f>
        <v>本部</v>
      </c>
      <c r="E10" s="183" t="str">
        <f>按分表!L67</f>
        <v>宅老所</v>
      </c>
      <c r="F10" s="183" t="str">
        <f>按分表!J67</f>
        <v>宅配給食</v>
      </c>
      <c r="G10" s="183" t="str">
        <f>按分表!K67</f>
        <v>学童保育</v>
      </c>
      <c r="H10" s="183" t="str">
        <f>按分表!D67</f>
        <v>高齢訪問</v>
      </c>
      <c r="I10" s="183" t="str">
        <f>按分表!E67</f>
        <v>奥立願寺</v>
      </c>
      <c r="J10" s="183" t="str">
        <f>按分表!F67</f>
        <v>中尾</v>
      </c>
      <c r="K10" s="183" t="str">
        <f>按分表!G67</f>
        <v>居宅</v>
      </c>
      <c r="L10" s="183" t="str">
        <f>按分表!H67</f>
        <v>障害訪問</v>
      </c>
      <c r="M10" s="183" t="str">
        <f>按分表!I67</f>
        <v>障害就労</v>
      </c>
      <c r="O10" s="183" t="str">
        <f>按分表!P67</f>
        <v>合計</v>
      </c>
      <c r="Q10" s="183" t="str">
        <f>按分表!M67</f>
        <v>人材育成</v>
      </c>
      <c r="R10" s="183" t="str">
        <f>按分表!N67</f>
        <v>たすけあい</v>
      </c>
    </row>
    <row r="11" spans="1:35">
      <c r="B11" s="183" t="str">
        <f>按分表!B68</f>
        <v>事業収入（A)</v>
      </c>
      <c r="C11" s="183">
        <f>按分表!C68</f>
        <v>0</v>
      </c>
      <c r="D11" s="183" t="e">
        <f>按分表!O68</f>
        <v>#REF!</v>
      </c>
      <c r="E11" s="183" t="e">
        <f>按分表!L68</f>
        <v>#REF!</v>
      </c>
      <c r="F11" s="183" t="e">
        <f>按分表!J68</f>
        <v>#REF!</v>
      </c>
      <c r="G11" s="183" t="e">
        <f>按分表!K68</f>
        <v>#REF!</v>
      </c>
      <c r="H11" s="183" t="e">
        <f>按分表!D68</f>
        <v>#REF!</v>
      </c>
      <c r="I11" s="183" t="e">
        <f>按分表!E68</f>
        <v>#REF!</v>
      </c>
      <c r="J11" s="183" t="e">
        <f>按分表!F68</f>
        <v>#REF!</v>
      </c>
      <c r="K11" s="183" t="e">
        <f>按分表!G68</f>
        <v>#REF!</v>
      </c>
      <c r="L11" s="183" t="e">
        <f>按分表!H68</f>
        <v>#REF!</v>
      </c>
      <c r="M11" s="183" t="e">
        <f>按分表!I68</f>
        <v>#REF!</v>
      </c>
      <c r="O11" s="183" t="e">
        <f>按分表!P68</f>
        <v>#REF!</v>
      </c>
      <c r="Q11" s="183" t="e">
        <f>按分表!M68</f>
        <v>#REF!</v>
      </c>
      <c r="R11" s="183" t="e">
        <f>按分表!N68</f>
        <v>#REF!</v>
      </c>
    </row>
    <row r="12" spans="1:35">
      <c r="B12" s="183" t="e">
        <f>按分表!#REF!</f>
        <v>#REF!</v>
      </c>
      <c r="C12" s="183" t="e">
        <f>按分表!#REF!</f>
        <v>#REF!</v>
      </c>
      <c r="D12" s="183" t="e">
        <f>按分表!#REF!</f>
        <v>#REF!</v>
      </c>
      <c r="E12" s="183" t="e">
        <f>按分表!#REF!</f>
        <v>#REF!</v>
      </c>
      <c r="F12" s="183" t="e">
        <f>按分表!#REF!</f>
        <v>#REF!</v>
      </c>
      <c r="G12" s="183" t="e">
        <f>按分表!#REF!</f>
        <v>#REF!</v>
      </c>
      <c r="H12" s="183" t="e">
        <f>按分表!#REF!</f>
        <v>#REF!</v>
      </c>
      <c r="I12" s="183" t="e">
        <f>按分表!#REF!</f>
        <v>#REF!</v>
      </c>
      <c r="J12" s="183" t="e">
        <f>按分表!#REF!</f>
        <v>#REF!</v>
      </c>
      <c r="K12" s="183" t="e">
        <f>按分表!#REF!</f>
        <v>#REF!</v>
      </c>
      <c r="L12" s="183" t="e">
        <f>按分表!#REF!</f>
        <v>#REF!</v>
      </c>
      <c r="M12" s="183" t="e">
        <f>按分表!#REF!</f>
        <v>#REF!</v>
      </c>
      <c r="O12" s="183" t="e">
        <f>按分表!#REF!</f>
        <v>#REF!</v>
      </c>
      <c r="Q12" s="183" t="e">
        <f>按分表!#REF!</f>
        <v>#REF!</v>
      </c>
      <c r="R12" s="183" t="e">
        <f>按分表!#REF!</f>
        <v>#REF!</v>
      </c>
    </row>
    <row r="13" spans="1:35">
      <c r="B13" s="183" t="e">
        <f>按分表!#REF!</f>
        <v>#REF!</v>
      </c>
      <c r="C13" s="183" t="e">
        <f>按分表!#REF!</f>
        <v>#REF!</v>
      </c>
      <c r="D13" s="183" t="e">
        <f>按分表!#REF!</f>
        <v>#REF!</v>
      </c>
      <c r="E13" s="183" t="e">
        <f>按分表!#REF!</f>
        <v>#REF!</v>
      </c>
      <c r="F13" s="183" t="e">
        <f>按分表!#REF!</f>
        <v>#REF!</v>
      </c>
      <c r="G13" s="183" t="e">
        <f>按分表!#REF!</f>
        <v>#REF!</v>
      </c>
      <c r="H13" s="183" t="e">
        <f>按分表!#REF!</f>
        <v>#REF!</v>
      </c>
      <c r="I13" s="183" t="e">
        <f>按分表!#REF!</f>
        <v>#REF!</v>
      </c>
      <c r="J13" s="183" t="e">
        <f>按分表!#REF!</f>
        <v>#REF!</v>
      </c>
      <c r="K13" s="183" t="e">
        <f>按分表!#REF!</f>
        <v>#REF!</v>
      </c>
      <c r="L13" s="183" t="e">
        <f>按分表!#REF!</f>
        <v>#REF!</v>
      </c>
      <c r="M13" s="183" t="e">
        <f>按分表!#REF!</f>
        <v>#REF!</v>
      </c>
      <c r="O13" s="183" t="e">
        <f>按分表!#REF!</f>
        <v>#REF!</v>
      </c>
      <c r="Q13" s="183" t="e">
        <f>按分表!#REF!</f>
        <v>#REF!</v>
      </c>
      <c r="R13" s="183" t="e">
        <f>按分表!#REF!</f>
        <v>#REF!</v>
      </c>
    </row>
    <row r="14" spans="1:35">
      <c r="B14" s="183" t="str">
        <f>按分表!B69</f>
        <v>事業費（B)</v>
      </c>
      <c r="C14" s="183">
        <f>按分表!C69</f>
        <v>0</v>
      </c>
      <c r="D14" s="183" t="e">
        <f>按分表!O69</f>
        <v>#REF!</v>
      </c>
      <c r="E14" s="183" t="e">
        <f>按分表!L69</f>
        <v>#REF!</v>
      </c>
      <c r="F14" s="183" t="e">
        <f>按分表!J69</f>
        <v>#REF!</v>
      </c>
      <c r="G14" s="183" t="e">
        <f>按分表!K69</f>
        <v>#REF!</v>
      </c>
      <c r="H14" s="183" t="e">
        <f>按分表!D69</f>
        <v>#REF!</v>
      </c>
      <c r="I14" s="183" t="e">
        <f>按分表!E69</f>
        <v>#REF!</v>
      </c>
      <c r="J14" s="183" t="e">
        <f>按分表!F69</f>
        <v>#REF!</v>
      </c>
      <c r="K14" s="183" t="e">
        <f>按分表!G69</f>
        <v>#REF!</v>
      </c>
      <c r="L14" s="183" t="e">
        <f>按分表!H69</f>
        <v>#REF!</v>
      </c>
      <c r="M14" s="183" t="e">
        <f>按分表!I69</f>
        <v>#REF!</v>
      </c>
      <c r="O14" s="183" t="e">
        <f>按分表!P69</f>
        <v>#REF!</v>
      </c>
      <c r="Q14" s="183" t="e">
        <f>按分表!M69</f>
        <v>#REF!</v>
      </c>
      <c r="R14" s="183" t="e">
        <f>按分表!N69</f>
        <v>#REF!</v>
      </c>
    </row>
    <row r="15" spans="1:35">
      <c r="B15" s="183" t="e">
        <f>按分表!#REF!</f>
        <v>#REF!</v>
      </c>
      <c r="C15" s="183" t="e">
        <f>按分表!#REF!</f>
        <v>#REF!</v>
      </c>
      <c r="D15" s="183" t="e">
        <f>按分表!#REF!</f>
        <v>#REF!</v>
      </c>
      <c r="E15" s="183" t="e">
        <f>按分表!#REF!</f>
        <v>#REF!</v>
      </c>
      <c r="F15" s="183" t="e">
        <f>按分表!#REF!</f>
        <v>#REF!</v>
      </c>
      <c r="G15" s="183" t="e">
        <f>按分表!#REF!</f>
        <v>#REF!</v>
      </c>
      <c r="H15" s="183" t="e">
        <f>按分表!#REF!</f>
        <v>#REF!</v>
      </c>
      <c r="I15" s="183" t="e">
        <f>按分表!#REF!</f>
        <v>#REF!</v>
      </c>
      <c r="J15" s="183" t="e">
        <f>按分表!#REF!</f>
        <v>#REF!</v>
      </c>
      <c r="K15" s="183" t="e">
        <f>按分表!#REF!</f>
        <v>#REF!</v>
      </c>
      <c r="L15" s="183" t="e">
        <f>按分表!#REF!</f>
        <v>#REF!</v>
      </c>
      <c r="M15" s="183" t="e">
        <f>按分表!#REF!</f>
        <v>#REF!</v>
      </c>
      <c r="O15" s="183" t="e">
        <f>按分表!#REF!</f>
        <v>#REF!</v>
      </c>
      <c r="Q15" s="183" t="e">
        <f>按分表!#REF!</f>
        <v>#REF!</v>
      </c>
      <c r="R15" s="183" t="e">
        <f>按分表!#REF!</f>
        <v>#REF!</v>
      </c>
    </row>
    <row r="16" spans="1:35">
      <c r="B16" s="183" t="e">
        <f>按分表!#REF!</f>
        <v>#REF!</v>
      </c>
      <c r="C16" s="183" t="e">
        <f>按分表!#REF!</f>
        <v>#REF!</v>
      </c>
      <c r="D16" s="183" t="e">
        <f>按分表!#REF!</f>
        <v>#REF!</v>
      </c>
      <c r="E16" s="183" t="e">
        <f>按分表!#REF!</f>
        <v>#REF!</v>
      </c>
      <c r="F16" s="183" t="e">
        <f>按分表!#REF!</f>
        <v>#REF!</v>
      </c>
      <c r="G16" s="183" t="e">
        <f>按分表!#REF!</f>
        <v>#REF!</v>
      </c>
      <c r="H16" s="183" t="e">
        <f>按分表!#REF!</f>
        <v>#REF!</v>
      </c>
      <c r="I16" s="183" t="e">
        <f>按分表!#REF!</f>
        <v>#REF!</v>
      </c>
      <c r="J16" s="183" t="e">
        <f>按分表!#REF!</f>
        <v>#REF!</v>
      </c>
      <c r="K16" s="183" t="e">
        <f>按分表!#REF!</f>
        <v>#REF!</v>
      </c>
      <c r="L16" s="183" t="e">
        <f>按分表!#REF!</f>
        <v>#REF!</v>
      </c>
      <c r="M16" s="183" t="e">
        <f>按分表!#REF!</f>
        <v>#REF!</v>
      </c>
      <c r="O16" s="183" t="e">
        <f>按分表!#REF!</f>
        <v>#REF!</v>
      </c>
      <c r="Q16" s="183" t="e">
        <f>按分表!#REF!</f>
        <v>#REF!</v>
      </c>
      <c r="R16" s="183" t="e">
        <f>按分表!#REF!</f>
        <v>#REF!</v>
      </c>
    </row>
    <row r="17" spans="2:18">
      <c r="B17" s="183" t="str">
        <f>按分表!B70</f>
        <v>収支差額（C)A-B</v>
      </c>
      <c r="C17" s="183">
        <f>按分表!C70</f>
        <v>0</v>
      </c>
      <c r="D17" s="183" t="e">
        <f>按分表!O70</f>
        <v>#REF!</v>
      </c>
      <c r="E17" s="183" t="e">
        <f>按分表!L70</f>
        <v>#REF!</v>
      </c>
      <c r="F17" s="183" t="e">
        <f>按分表!J70</f>
        <v>#REF!</v>
      </c>
      <c r="G17" s="183" t="e">
        <f>按分表!K70</f>
        <v>#REF!</v>
      </c>
      <c r="H17" s="183" t="e">
        <f>按分表!D70</f>
        <v>#REF!</v>
      </c>
      <c r="I17" s="183" t="e">
        <f>按分表!E70</f>
        <v>#REF!</v>
      </c>
      <c r="J17" s="183" t="e">
        <f>按分表!F70</f>
        <v>#REF!</v>
      </c>
      <c r="K17" s="183" t="e">
        <f>按分表!G70</f>
        <v>#REF!</v>
      </c>
      <c r="L17" s="183" t="e">
        <f>按分表!H70</f>
        <v>#REF!</v>
      </c>
      <c r="M17" s="183" t="e">
        <f>按分表!I70</f>
        <v>#REF!</v>
      </c>
      <c r="O17" s="183" t="e">
        <f>按分表!P70</f>
        <v>#REF!</v>
      </c>
      <c r="Q17" s="183" t="e">
        <f>按分表!M70</f>
        <v>#REF!</v>
      </c>
      <c r="R17" s="183" t="e">
        <f>按分表!N70</f>
        <v>#REF!</v>
      </c>
    </row>
    <row r="18" spans="2:18">
      <c r="B18" s="185" t="e">
        <f>按分表!#REF!</f>
        <v>#REF!</v>
      </c>
      <c r="C18" s="185" t="e">
        <f>按分表!#REF!</f>
        <v>#REF!</v>
      </c>
      <c r="D18" s="185" t="e">
        <f>按分表!#REF!</f>
        <v>#REF!</v>
      </c>
      <c r="E18" s="185" t="e">
        <f>按分表!#REF!</f>
        <v>#REF!</v>
      </c>
      <c r="F18" s="185" t="e">
        <f>按分表!#REF!</f>
        <v>#REF!</v>
      </c>
      <c r="G18" s="185" t="e">
        <f>按分表!#REF!</f>
        <v>#REF!</v>
      </c>
      <c r="H18" s="185" t="e">
        <f>按分表!#REF!</f>
        <v>#REF!</v>
      </c>
      <c r="I18" s="185" t="e">
        <f>按分表!#REF!</f>
        <v>#REF!</v>
      </c>
      <c r="J18" s="185" t="e">
        <f>按分表!#REF!</f>
        <v>#REF!</v>
      </c>
      <c r="K18" s="185" t="e">
        <f>按分表!#REF!</f>
        <v>#REF!</v>
      </c>
      <c r="L18" s="185" t="e">
        <f>按分表!#REF!</f>
        <v>#REF!</v>
      </c>
      <c r="M18" s="185" t="e">
        <f>按分表!#REF!</f>
        <v>#REF!</v>
      </c>
      <c r="O18" s="185" t="e">
        <f>按分表!#REF!</f>
        <v>#REF!</v>
      </c>
      <c r="Q18" s="185" t="e">
        <f>按分表!#REF!</f>
        <v>#REF!</v>
      </c>
      <c r="R18" s="185" t="e">
        <f>按分表!#REF!</f>
        <v>#REF!</v>
      </c>
    </row>
    <row r="19" spans="2:18">
      <c r="B19" s="185" t="str">
        <f>按分表!B72</f>
        <v>総売上割合（E)A/A合計</v>
      </c>
      <c r="C19" s="185">
        <f>按分表!C72</f>
        <v>0</v>
      </c>
      <c r="D19" s="185" t="e">
        <f>按分表!O72</f>
        <v>#REF!</v>
      </c>
      <c r="E19" s="185" t="e">
        <f>按分表!L72</f>
        <v>#REF!</v>
      </c>
      <c r="F19" s="185" t="e">
        <f>按分表!J72</f>
        <v>#REF!</v>
      </c>
      <c r="G19" s="185" t="e">
        <f>按分表!K72</f>
        <v>#REF!</v>
      </c>
      <c r="H19" s="185" t="e">
        <f>按分表!D72</f>
        <v>#REF!</v>
      </c>
      <c r="I19" s="185" t="e">
        <f>按分表!E72</f>
        <v>#REF!</v>
      </c>
      <c r="J19" s="185" t="e">
        <f>按分表!F72</f>
        <v>#REF!</v>
      </c>
      <c r="K19" s="185" t="e">
        <f>按分表!G72</f>
        <v>#REF!</v>
      </c>
      <c r="L19" s="185" t="e">
        <f>按分表!H72</f>
        <v>#REF!</v>
      </c>
      <c r="M19" s="185" t="e">
        <f>按分表!I72</f>
        <v>#REF!</v>
      </c>
      <c r="O19" s="185" t="e">
        <f>按分表!P72</f>
        <v>#REF!</v>
      </c>
      <c r="Q19" s="185" t="e">
        <f>按分表!M72</f>
        <v>#REF!</v>
      </c>
      <c r="R19" s="185" t="e">
        <f>按分表!N72</f>
        <v>#REF!</v>
      </c>
    </row>
  </sheetData>
  <phoneticPr fontId="1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0"/>
  <sheetViews>
    <sheetView topLeftCell="B1" workbookViewId="0">
      <pane xSplit="3" ySplit="5" topLeftCell="E6" activePane="bottomRight" state="frozen"/>
      <selection activeCell="L37" sqref="L37"/>
      <selection pane="topRight" activeCell="L37" sqref="L37"/>
      <selection pane="bottomLeft" activeCell="L37" sqref="L37"/>
      <selection pane="bottomRight" activeCell="L37" sqref="L37"/>
    </sheetView>
  </sheetViews>
  <sheetFormatPr defaultColWidth="9" defaultRowHeight="14.25"/>
  <cols>
    <col min="1" max="1" width="0" style="95" hidden="1" customWidth="1"/>
    <col min="2" max="2" width="1.75" style="5" customWidth="1"/>
    <col min="3" max="3" width="16" style="171" customWidth="1"/>
    <col min="4" max="4" width="2.75" style="17" customWidth="1"/>
    <col min="5" max="5" width="14.5" style="5" customWidth="1"/>
    <col min="6" max="6" width="14.625" style="168" customWidth="1"/>
    <col min="7" max="7" width="6" style="169" customWidth="1"/>
    <col min="8" max="8" width="14.375" style="39" customWidth="1"/>
    <col min="9" max="9" width="0" style="169" hidden="1" customWidth="1"/>
    <col min="10" max="10" width="1" style="169" customWidth="1"/>
    <col min="11" max="11" width="5.625" style="172" customWidth="1"/>
    <col min="12" max="12" width="9.875" style="41" customWidth="1"/>
    <col min="13" max="13" width="1.25" style="41" customWidth="1"/>
    <col min="14" max="14" width="11.625" style="41" customWidth="1"/>
    <col min="15" max="15" width="1.25" style="41" customWidth="1"/>
    <col min="16" max="16" width="13" style="41" customWidth="1"/>
    <col min="17" max="17" width="4.75" style="169" customWidth="1"/>
    <col min="18" max="18" width="1.875" style="169" customWidth="1"/>
    <col min="19" max="19" width="16.25" style="157" customWidth="1"/>
    <col min="20" max="20" width="2.25" style="170" customWidth="1"/>
    <col min="21" max="21" width="13" style="39" customWidth="1"/>
    <col min="22" max="22" width="7.125" style="167" customWidth="1"/>
    <col min="23" max="23" width="1.5" style="39" customWidth="1"/>
    <col min="24" max="24" width="14.375" style="39" customWidth="1"/>
    <col min="25" max="28" width="9" style="39"/>
    <col min="29" max="16384" width="9" style="5"/>
  </cols>
  <sheetData>
    <row r="1" spans="1:28" ht="13.5" customHeight="1">
      <c r="A1" s="1372"/>
      <c r="B1" s="46"/>
      <c r="C1" s="1373"/>
      <c r="D1" s="47"/>
      <c r="E1" s="1374" t="s">
        <v>128</v>
      </c>
      <c r="F1" s="1375" t="s">
        <v>129</v>
      </c>
      <c r="G1" s="1376"/>
      <c r="H1" s="1371" t="s">
        <v>130</v>
      </c>
      <c r="I1" s="1376"/>
      <c r="J1" s="48"/>
      <c r="K1" s="49"/>
      <c r="L1" s="50"/>
      <c r="M1" s="51"/>
      <c r="N1" s="51"/>
      <c r="O1" s="51"/>
      <c r="P1" s="1379" t="s">
        <v>131</v>
      </c>
      <c r="Q1" s="1376"/>
      <c r="R1" s="52"/>
      <c r="S1" s="1371" t="s">
        <v>155</v>
      </c>
      <c r="T1" s="53"/>
      <c r="U1" s="1375" t="s">
        <v>132</v>
      </c>
      <c r="V1" s="1380"/>
      <c r="W1" s="30"/>
      <c r="X1" s="1381" t="s">
        <v>133</v>
      </c>
    </row>
    <row r="2" spans="1:28" ht="13.5" customHeight="1">
      <c r="A2" s="1372"/>
      <c r="B2" s="46"/>
      <c r="C2" s="1373"/>
      <c r="D2" s="47"/>
      <c r="E2" s="1374"/>
      <c r="F2" s="1375"/>
      <c r="G2" s="1376"/>
      <c r="H2" s="1371"/>
      <c r="I2" s="1376"/>
      <c r="J2" s="52"/>
      <c r="K2" s="1382" t="s">
        <v>134</v>
      </c>
      <c r="L2" s="1382"/>
      <c r="M2" s="54"/>
      <c r="N2" s="1383" t="s">
        <v>148</v>
      </c>
      <c r="O2" s="54"/>
      <c r="P2" s="1379"/>
      <c r="Q2" s="1376"/>
      <c r="R2" s="52"/>
      <c r="S2" s="1371"/>
      <c r="T2" s="53"/>
      <c r="U2" s="1375"/>
      <c r="V2" s="1380"/>
      <c r="W2" s="30"/>
      <c r="X2" s="1381"/>
    </row>
    <row r="3" spans="1:28" s="1" customFormat="1" ht="13.5">
      <c r="A3" s="1372"/>
      <c r="B3" s="46"/>
      <c r="C3" s="1373"/>
      <c r="D3" s="55"/>
      <c r="E3" s="1374"/>
      <c r="F3" s="1375"/>
      <c r="G3" s="56" t="s">
        <v>77</v>
      </c>
      <c r="H3" s="1371"/>
      <c r="I3" s="57" t="s">
        <v>77</v>
      </c>
      <c r="J3" s="52"/>
      <c r="K3" s="1382"/>
      <c r="L3" s="1382"/>
      <c r="M3" s="58"/>
      <c r="N3" s="1384"/>
      <c r="O3" s="58"/>
      <c r="P3" s="1379"/>
      <c r="Q3" s="56" t="s">
        <v>77</v>
      </c>
      <c r="R3" s="52"/>
      <c r="S3" s="1371"/>
      <c r="T3" s="59"/>
      <c r="U3" s="1375"/>
      <c r="V3" s="60" t="s">
        <v>135</v>
      </c>
      <c r="W3" s="19"/>
      <c r="X3" s="1381"/>
      <c r="Y3" s="61"/>
      <c r="Z3" s="61"/>
      <c r="AA3" s="61"/>
      <c r="AB3" s="61"/>
    </row>
    <row r="4" spans="1:28" s="1" customFormat="1" hidden="1">
      <c r="A4" s="62"/>
      <c r="B4" s="63"/>
      <c r="C4" s="64"/>
      <c r="D4" s="51"/>
      <c r="E4" s="63"/>
      <c r="F4" s="61"/>
      <c r="G4" s="48"/>
      <c r="H4" s="65"/>
      <c r="I4" s="48"/>
      <c r="J4" s="48"/>
      <c r="K4" s="1385">
        <v>2400000</v>
      </c>
      <c r="L4" s="1385"/>
      <c r="M4" s="66"/>
      <c r="N4" s="51"/>
      <c r="O4" s="66"/>
      <c r="P4" s="67"/>
      <c r="Q4" s="48"/>
      <c r="R4" s="48"/>
      <c r="S4" s="61"/>
      <c r="T4" s="68"/>
      <c r="U4" s="61"/>
      <c r="V4" s="69"/>
      <c r="W4" s="61"/>
      <c r="X4" s="61"/>
      <c r="Y4" s="61"/>
      <c r="Z4" s="61"/>
      <c r="AA4" s="61"/>
      <c r="AB4" s="61"/>
    </row>
    <row r="5" spans="1:28" s="77" customFormat="1" ht="8.25" customHeight="1">
      <c r="A5" s="70"/>
      <c r="B5" s="70"/>
      <c r="C5" s="70"/>
      <c r="D5" s="71"/>
      <c r="E5" s="70"/>
      <c r="F5" s="72"/>
      <c r="G5" s="73"/>
      <c r="H5" s="70"/>
      <c r="I5" s="73"/>
      <c r="J5" s="73"/>
      <c r="K5" s="74"/>
      <c r="L5" s="70"/>
      <c r="M5" s="70"/>
      <c r="N5" s="70"/>
      <c r="O5" s="70"/>
      <c r="P5" s="70"/>
      <c r="Q5" s="73"/>
      <c r="R5" s="73"/>
      <c r="S5" s="75"/>
      <c r="T5" s="76"/>
      <c r="U5" s="70"/>
      <c r="V5" s="71"/>
      <c r="W5" s="70"/>
      <c r="X5" s="70"/>
      <c r="Y5" s="70"/>
      <c r="Z5" s="70"/>
      <c r="AA5" s="70"/>
      <c r="AB5" s="70"/>
    </row>
    <row r="6" spans="1:28" s="95" customFormat="1" ht="20.100000000000001" customHeight="1">
      <c r="A6" s="78" t="s">
        <v>14</v>
      </c>
      <c r="B6" s="79"/>
      <c r="C6" s="80" t="s">
        <v>107</v>
      </c>
      <c r="D6" s="81"/>
      <c r="E6" s="82" t="e">
        <f>'決算書(予算比較）'!F15</f>
        <v>#REF!</v>
      </c>
      <c r="F6" s="83" t="e">
        <f>'決算書(予算比較）'!F33</f>
        <v>#REF!</v>
      </c>
      <c r="G6" s="84" t="e">
        <f>F6/E6</f>
        <v>#REF!</v>
      </c>
      <c r="H6" s="82" t="e">
        <f>E6-F6</f>
        <v>#REF!</v>
      </c>
      <c r="I6" s="84" t="e">
        <f>H6/E6</f>
        <v>#REF!</v>
      </c>
      <c r="J6" s="85"/>
      <c r="K6" s="86">
        <v>0.4</v>
      </c>
      <c r="L6" s="87">
        <f>$K$4*K6</f>
        <v>960000</v>
      </c>
      <c r="M6" s="88"/>
      <c r="N6" s="89" t="e">
        <f>#REF!</f>
        <v>#REF!</v>
      </c>
      <c r="O6" s="39"/>
      <c r="P6" s="82" t="e">
        <f>H6-L6-N6</f>
        <v>#REF!</v>
      </c>
      <c r="Q6" s="84" t="e">
        <f>P6/$P$20</f>
        <v>#REF!</v>
      </c>
      <c r="R6" s="90"/>
      <c r="S6" s="91" t="e">
        <f>-$L$34*Q6</f>
        <v>#REF!</v>
      </c>
      <c r="T6" s="92"/>
      <c r="U6" s="82" t="e">
        <f>ROUND(V6*E6,-3)</f>
        <v>#REF!</v>
      </c>
      <c r="V6" s="93">
        <v>0.124</v>
      </c>
      <c r="W6" s="94"/>
      <c r="X6" s="82" t="e">
        <f>P6-U6</f>
        <v>#REF!</v>
      </c>
      <c r="Y6" s="39"/>
      <c r="Z6" s="39"/>
      <c r="AA6" s="39"/>
      <c r="AB6" s="39"/>
    </row>
    <row r="7" spans="1:28" s="77" customFormat="1">
      <c r="A7" s="70"/>
      <c r="B7" s="96"/>
      <c r="C7" s="70"/>
      <c r="D7" s="71"/>
      <c r="E7" s="70" t="s">
        <v>151</v>
      </c>
      <c r="F7" s="72"/>
      <c r="G7" s="73"/>
      <c r="H7" s="70"/>
      <c r="I7" s="73"/>
      <c r="J7" s="73"/>
      <c r="K7" s="74"/>
      <c r="L7" s="70"/>
      <c r="M7" s="70"/>
      <c r="N7" s="70"/>
      <c r="O7" s="70"/>
      <c r="P7" s="70"/>
      <c r="Q7" s="73"/>
      <c r="R7" s="73"/>
      <c r="S7" s="75"/>
      <c r="T7" s="76"/>
      <c r="U7" s="70"/>
      <c r="V7" s="71"/>
      <c r="W7" s="70"/>
      <c r="X7" s="70"/>
      <c r="Y7" s="70"/>
      <c r="Z7" s="70"/>
      <c r="AA7" s="70"/>
      <c r="AB7" s="70"/>
    </row>
    <row r="8" spans="1:28" s="95" customFormat="1" ht="20.100000000000001" customHeight="1">
      <c r="A8" s="87" t="s">
        <v>15</v>
      </c>
      <c r="B8" s="79"/>
      <c r="C8" s="80" t="s">
        <v>110</v>
      </c>
      <c r="D8" s="81"/>
      <c r="E8" s="82" t="e">
        <f>'決算書(予算比較）'!F16</f>
        <v>#REF!</v>
      </c>
      <c r="F8" s="83" t="e">
        <f>'決算書(予算比較）'!F34</f>
        <v>#REF!</v>
      </c>
      <c r="G8" s="97" t="e">
        <f>F8/E8</f>
        <v>#REF!</v>
      </c>
      <c r="H8" s="98" t="e">
        <f>E8-F8</f>
        <v>#REF!</v>
      </c>
      <c r="I8" s="97" t="e">
        <f>H8/E8</f>
        <v>#REF!</v>
      </c>
      <c r="J8" s="99"/>
      <c r="K8" s="86">
        <v>0</v>
      </c>
      <c r="L8" s="87">
        <f>$K$4*K8</f>
        <v>0</v>
      </c>
      <c r="M8" s="39"/>
      <c r="N8" s="39"/>
      <c r="O8" s="39"/>
      <c r="P8" s="82" t="e">
        <f>H8-L8-N8</f>
        <v>#REF!</v>
      </c>
      <c r="Q8" s="84" t="e">
        <f>P8/$P$20</f>
        <v>#REF!</v>
      </c>
      <c r="R8" s="90"/>
      <c r="S8" s="91" t="e">
        <f>-$L$34*Q8</f>
        <v>#REF!</v>
      </c>
      <c r="T8" s="100"/>
      <c r="U8" s="82" t="e">
        <f>ROUND(V8*E8,-3)</f>
        <v>#REF!</v>
      </c>
      <c r="V8" s="93">
        <v>0.223</v>
      </c>
      <c r="W8" s="94"/>
      <c r="X8" s="82" t="e">
        <f>P8-U8</f>
        <v>#REF!</v>
      </c>
      <c r="Y8" s="39"/>
      <c r="Z8" s="39"/>
      <c r="AA8" s="39"/>
      <c r="AB8" s="39"/>
    </row>
    <row r="9" spans="1:28" s="77" customFormat="1">
      <c r="A9" s="70"/>
      <c r="B9" s="96"/>
      <c r="C9" s="70"/>
      <c r="D9" s="71"/>
      <c r="E9" s="70" t="s">
        <v>152</v>
      </c>
      <c r="F9" s="72"/>
      <c r="G9" s="73"/>
      <c r="H9" s="70"/>
      <c r="I9" s="73"/>
      <c r="J9" s="73"/>
      <c r="K9" s="74"/>
      <c r="L9" s="70"/>
      <c r="M9" s="70"/>
      <c r="N9" s="70"/>
      <c r="O9" s="70"/>
      <c r="P9" s="70"/>
      <c r="Q9" s="73"/>
      <c r="R9" s="73"/>
      <c r="S9" s="75"/>
      <c r="T9" s="76"/>
      <c r="U9" s="70"/>
      <c r="V9" s="71"/>
      <c r="W9" s="70"/>
      <c r="X9" s="70"/>
      <c r="Y9" s="70"/>
      <c r="Z9" s="70"/>
      <c r="AA9" s="70"/>
      <c r="AB9" s="70"/>
    </row>
    <row r="10" spans="1:28" s="95" customFormat="1" ht="20.100000000000001" customHeight="1">
      <c r="A10" s="87" t="s">
        <v>16</v>
      </c>
      <c r="B10" s="79"/>
      <c r="C10" s="80" t="s">
        <v>78</v>
      </c>
      <c r="D10" s="81"/>
      <c r="E10" s="82" t="e">
        <f>'決算書(予算比較）'!F9</f>
        <v>#REF!</v>
      </c>
      <c r="F10" s="83" t="e">
        <f>'決算書(予算比較）'!F27</f>
        <v>#REF!</v>
      </c>
      <c r="G10" s="97" t="e">
        <f>F10/E10</f>
        <v>#REF!</v>
      </c>
      <c r="H10" s="98" t="e">
        <f>E10-F10</f>
        <v>#REF!</v>
      </c>
      <c r="I10" s="97" t="e">
        <f>H10/E10</f>
        <v>#REF!</v>
      </c>
      <c r="J10" s="99"/>
      <c r="K10" s="86">
        <v>0</v>
      </c>
      <c r="L10" s="87">
        <f>$K$4*K10</f>
        <v>0</v>
      </c>
      <c r="M10" s="39"/>
      <c r="N10" s="89" t="e">
        <f>#REF!</f>
        <v>#REF!</v>
      </c>
      <c r="O10" s="39"/>
      <c r="P10" s="82" t="e">
        <f>H10-L10-N10</f>
        <v>#REF!</v>
      </c>
      <c r="Q10" s="84" t="e">
        <f>P10/$P$20</f>
        <v>#REF!</v>
      </c>
      <c r="R10" s="90"/>
      <c r="S10" s="91" t="e">
        <f>-$L$34*Q10</f>
        <v>#REF!</v>
      </c>
      <c r="T10" s="100"/>
      <c r="U10" s="82" t="e">
        <f>ROUND(V10*E10,-3)</f>
        <v>#REF!</v>
      </c>
      <c r="V10" s="93">
        <v>0.253</v>
      </c>
      <c r="W10" s="94"/>
      <c r="X10" s="82" t="e">
        <f>P10-U10</f>
        <v>#REF!</v>
      </c>
      <c r="Y10" s="39"/>
      <c r="Z10" s="39"/>
      <c r="AA10" s="39"/>
      <c r="AB10" s="39"/>
    </row>
    <row r="11" spans="1:28" s="77" customFormat="1">
      <c r="A11" s="70"/>
      <c r="B11" s="96"/>
      <c r="C11" s="70"/>
      <c r="D11" s="71"/>
      <c r="E11" s="70" t="s">
        <v>151</v>
      </c>
      <c r="F11" s="72"/>
      <c r="G11" s="73"/>
      <c r="H11" s="70"/>
      <c r="I11" s="73"/>
      <c r="J11" s="73"/>
      <c r="K11" s="74"/>
      <c r="L11" s="70"/>
      <c r="M11" s="70"/>
      <c r="N11" s="70"/>
      <c r="O11" s="70"/>
      <c r="P11" s="70"/>
      <c r="Q11" s="73"/>
      <c r="R11" s="73"/>
      <c r="S11" s="75"/>
      <c r="T11" s="76"/>
      <c r="U11" s="70"/>
      <c r="V11" s="71"/>
      <c r="W11" s="70"/>
      <c r="X11" s="70"/>
      <c r="Y11" s="70"/>
      <c r="Z11" s="70"/>
      <c r="AA11" s="70"/>
      <c r="AB11" s="70"/>
    </row>
    <row r="12" spans="1:28" s="95" customFormat="1" ht="20.100000000000001" customHeight="1">
      <c r="A12" s="87" t="s">
        <v>17</v>
      </c>
      <c r="B12" s="79"/>
      <c r="C12" s="80" t="s">
        <v>136</v>
      </c>
      <c r="D12" s="81"/>
      <c r="E12" s="82" t="e">
        <f>'決算書(予算比較）'!F10</f>
        <v>#REF!</v>
      </c>
      <c r="F12" s="83" t="e">
        <f>'決算書(予算比較）'!F28</f>
        <v>#REF!</v>
      </c>
      <c r="G12" s="84" t="e">
        <f>F12/E12</f>
        <v>#REF!</v>
      </c>
      <c r="H12" s="82" t="e">
        <f>E12-F12</f>
        <v>#REF!</v>
      </c>
      <c r="I12" s="84" t="e">
        <f>H12/E12</f>
        <v>#REF!</v>
      </c>
      <c r="J12" s="85"/>
      <c r="K12" s="86">
        <v>0.3</v>
      </c>
      <c r="L12" s="87">
        <f>$K$4*K12</f>
        <v>720000</v>
      </c>
      <c r="M12" s="88"/>
      <c r="N12" s="39"/>
      <c r="O12" s="39"/>
      <c r="P12" s="82" t="e">
        <f>H12-L12-N12</f>
        <v>#REF!</v>
      </c>
      <c r="Q12" s="84" t="e">
        <f>P12/$P$20</f>
        <v>#REF!</v>
      </c>
      <c r="R12" s="90"/>
      <c r="S12" s="91" t="e">
        <f>-$L$34*Q12</f>
        <v>#REF!</v>
      </c>
      <c r="T12" s="92"/>
      <c r="U12" s="82" t="e">
        <f>ROUND(V12*E12,-3)</f>
        <v>#REF!</v>
      </c>
      <c r="V12" s="93">
        <v>0.38400000000000001</v>
      </c>
      <c r="W12" s="94"/>
      <c r="X12" s="82" t="e">
        <f>P12-U12</f>
        <v>#REF!</v>
      </c>
      <c r="Y12" s="39"/>
      <c r="Z12" s="39"/>
      <c r="AA12" s="39"/>
      <c r="AB12" s="39"/>
    </row>
    <row r="13" spans="1:28" s="95" customFormat="1" ht="17.25">
      <c r="A13" s="39"/>
      <c r="B13" s="101"/>
      <c r="C13" s="70"/>
      <c r="D13" s="102"/>
      <c r="E13" s="70" t="s">
        <v>153</v>
      </c>
      <c r="F13" s="103"/>
      <c r="G13" s="104"/>
      <c r="H13" s="105"/>
      <c r="I13" s="104"/>
      <c r="J13" s="104"/>
      <c r="K13" s="106"/>
      <c r="L13" s="39"/>
      <c r="M13" s="39"/>
      <c r="N13" s="39"/>
      <c r="O13" s="39"/>
      <c r="P13" s="39"/>
      <c r="Q13" s="104"/>
      <c r="R13" s="104"/>
      <c r="S13" s="107"/>
      <c r="T13" s="100"/>
      <c r="U13" s="105"/>
      <c r="V13" s="102"/>
      <c r="W13" s="105"/>
      <c r="X13" s="105"/>
      <c r="Y13" s="39"/>
      <c r="Z13" s="39"/>
      <c r="AA13" s="39"/>
      <c r="AB13" s="39"/>
    </row>
    <row r="14" spans="1:28" s="95" customFormat="1" ht="20.100000000000001" customHeight="1">
      <c r="A14" s="87" t="s">
        <v>18</v>
      </c>
      <c r="B14" s="79"/>
      <c r="C14" s="80" t="s">
        <v>137</v>
      </c>
      <c r="D14" s="81"/>
      <c r="E14" s="82" t="e">
        <f>'決算書(予算比較）'!F11</f>
        <v>#REF!</v>
      </c>
      <c r="F14" s="83" t="e">
        <f>'決算書(予算比較）'!F29</f>
        <v>#REF!</v>
      </c>
      <c r="G14" s="84" t="e">
        <f>F14/E14</f>
        <v>#REF!</v>
      </c>
      <c r="H14" s="82" t="e">
        <f>E14-F14</f>
        <v>#REF!</v>
      </c>
      <c r="I14" s="84" t="e">
        <f>H14/E14</f>
        <v>#REF!</v>
      </c>
      <c r="J14" s="85"/>
      <c r="K14" s="86">
        <v>0.3</v>
      </c>
      <c r="L14" s="87">
        <f>$K$4*K14</f>
        <v>720000</v>
      </c>
      <c r="M14" s="88"/>
      <c r="N14" s="39"/>
      <c r="O14" s="39"/>
      <c r="P14" s="82" t="e">
        <f>H14-L14-N14</f>
        <v>#REF!</v>
      </c>
      <c r="Q14" s="84" t="e">
        <f>P14/$P$20</f>
        <v>#REF!</v>
      </c>
      <c r="R14" s="90"/>
      <c r="S14" s="91" t="e">
        <f>-$L$34*Q14</f>
        <v>#REF!</v>
      </c>
      <c r="T14" s="92"/>
      <c r="U14" s="82" t="e">
        <f>ROUND(V14*E14,-3)</f>
        <v>#REF!</v>
      </c>
      <c r="V14" s="93">
        <v>0.35399999999999998</v>
      </c>
      <c r="W14" s="94"/>
      <c r="X14" s="82" t="e">
        <f>P14-U14</f>
        <v>#REF!</v>
      </c>
      <c r="Y14" s="39"/>
      <c r="Z14" s="39"/>
      <c r="AA14" s="39"/>
      <c r="AB14" s="39"/>
    </row>
    <row r="15" spans="1:28" s="77" customFormat="1">
      <c r="A15" s="70"/>
      <c r="B15" s="96"/>
      <c r="C15" s="70"/>
      <c r="D15" s="71"/>
      <c r="E15" s="70" t="s">
        <v>154</v>
      </c>
      <c r="F15" s="72"/>
      <c r="G15" s="73"/>
      <c r="H15" s="70"/>
      <c r="I15" s="73"/>
      <c r="J15" s="73"/>
      <c r="K15" s="74"/>
      <c r="L15" s="70"/>
      <c r="M15" s="70"/>
      <c r="N15" s="70"/>
      <c r="O15" s="70"/>
      <c r="P15" s="70"/>
      <c r="Q15" s="73"/>
      <c r="R15" s="73"/>
      <c r="S15" s="75"/>
      <c r="T15" s="76"/>
      <c r="U15" s="70"/>
      <c r="V15" s="71"/>
      <c r="W15" s="70"/>
      <c r="X15" s="70"/>
      <c r="Y15" s="70"/>
      <c r="Z15" s="70"/>
      <c r="AA15" s="70"/>
      <c r="AB15" s="70"/>
    </row>
    <row r="16" spans="1:28" s="95" customFormat="1" ht="20.100000000000001" customHeight="1">
      <c r="A16" s="87" t="s">
        <v>19</v>
      </c>
      <c r="B16" s="79"/>
      <c r="C16" s="80" t="s">
        <v>95</v>
      </c>
      <c r="D16" s="81"/>
      <c r="E16" s="82" t="e">
        <f>'決算書(予算比較）'!F12</f>
        <v>#REF!</v>
      </c>
      <c r="F16" s="83" t="e">
        <f>'決算書(予算比較）'!F30</f>
        <v>#REF!</v>
      </c>
      <c r="G16" s="97" t="e">
        <f>F16/E16</f>
        <v>#REF!</v>
      </c>
      <c r="H16" s="98" t="e">
        <f>E16-F16</f>
        <v>#REF!</v>
      </c>
      <c r="I16" s="97" t="e">
        <f>H16/E16</f>
        <v>#REF!</v>
      </c>
      <c r="J16" s="99"/>
      <c r="K16" s="86">
        <v>0</v>
      </c>
      <c r="L16" s="87">
        <f>$K$4*K16</f>
        <v>0</v>
      </c>
      <c r="M16" s="39"/>
      <c r="N16" s="89" t="e">
        <f>#REF!</f>
        <v>#REF!</v>
      </c>
      <c r="O16" s="39"/>
      <c r="P16" s="82" t="e">
        <f>H16-L16-N16</f>
        <v>#REF!</v>
      </c>
      <c r="Q16" s="84" t="e">
        <f>P16/$P$20</f>
        <v>#REF!</v>
      </c>
      <c r="R16" s="90"/>
      <c r="S16" s="91" t="e">
        <f>-$L$34*Q16</f>
        <v>#REF!</v>
      </c>
      <c r="T16" s="100"/>
      <c r="U16" s="82" t="e">
        <f>ROUND(V16*E16,-3)</f>
        <v>#REF!</v>
      </c>
      <c r="V16" s="93">
        <v>0.35099999999999998</v>
      </c>
      <c r="W16" s="94"/>
      <c r="X16" s="82" t="e">
        <f>P16-U16</f>
        <v>#REF!</v>
      </c>
      <c r="Y16" s="39"/>
      <c r="Z16" s="39"/>
      <c r="AA16" s="39"/>
      <c r="AB16" s="39"/>
    </row>
    <row r="17" spans="1:28" s="95" customFormat="1" ht="17.25">
      <c r="A17" s="39"/>
      <c r="B17" s="101"/>
      <c r="C17" s="70"/>
      <c r="D17" s="102"/>
      <c r="E17" s="70" t="s">
        <v>152</v>
      </c>
      <c r="F17" s="103"/>
      <c r="G17" s="104"/>
      <c r="H17" s="105"/>
      <c r="I17" s="104"/>
      <c r="J17" s="104"/>
      <c r="K17" s="106"/>
      <c r="L17" s="39"/>
      <c r="M17" s="39"/>
      <c r="N17" s="39"/>
      <c r="O17" s="39"/>
      <c r="P17" s="39"/>
      <c r="Q17" s="104"/>
      <c r="R17" s="104"/>
      <c r="S17" s="107"/>
      <c r="T17" s="100"/>
      <c r="U17" s="105"/>
      <c r="V17" s="102"/>
      <c r="W17" s="105"/>
      <c r="X17" s="105"/>
      <c r="Y17" s="39"/>
      <c r="Z17" s="39"/>
      <c r="AA17" s="39"/>
      <c r="AB17" s="39"/>
    </row>
    <row r="18" spans="1:28" s="95" customFormat="1" ht="20.100000000000001" customHeight="1">
      <c r="A18" s="87" t="s">
        <v>20</v>
      </c>
      <c r="B18" s="79"/>
      <c r="C18" s="80" t="s">
        <v>98</v>
      </c>
      <c r="D18" s="81"/>
      <c r="E18" s="82" t="e">
        <f>'決算書(予算比較）'!F13</f>
        <v>#REF!</v>
      </c>
      <c r="F18" s="83" t="e">
        <f>'決算書(予算比較）'!F31</f>
        <v>#REF!</v>
      </c>
      <c r="G18" s="97" t="e">
        <f>F18/E18</f>
        <v>#REF!</v>
      </c>
      <c r="H18" s="98" t="e">
        <f>E18-F18</f>
        <v>#REF!</v>
      </c>
      <c r="I18" s="97" t="e">
        <f>H18/E18</f>
        <v>#REF!</v>
      </c>
      <c r="J18" s="99"/>
      <c r="K18" s="86">
        <v>0</v>
      </c>
      <c r="L18" s="87">
        <f>$K$4*K18</f>
        <v>0</v>
      </c>
      <c r="M18" s="39"/>
      <c r="N18" s="39"/>
      <c r="O18" s="39"/>
      <c r="P18" s="82" t="e">
        <f>H18-L18-N18</f>
        <v>#REF!</v>
      </c>
      <c r="Q18" s="84" t="e">
        <f>P18/$P$20</f>
        <v>#REF!</v>
      </c>
      <c r="R18" s="90"/>
      <c r="S18" s="91" t="e">
        <f>-$L$34*Q18</f>
        <v>#REF!</v>
      </c>
      <c r="T18" s="100"/>
      <c r="U18" s="82" t="e">
        <f>ROUND(V18*E18,-3)</f>
        <v>#REF!</v>
      </c>
      <c r="V18" s="93">
        <v>0.22</v>
      </c>
      <c r="W18" s="94"/>
      <c r="X18" s="82" t="e">
        <f>P18-U18</f>
        <v>#REF!</v>
      </c>
      <c r="Y18" s="39"/>
      <c r="Z18" s="39"/>
      <c r="AA18" s="39"/>
      <c r="AB18" s="39"/>
    </row>
    <row r="19" spans="1:28" s="77" customFormat="1">
      <c r="A19" s="70"/>
      <c r="B19" s="96"/>
      <c r="C19" s="70"/>
      <c r="D19" s="71"/>
      <c r="E19" s="70" t="s">
        <v>152</v>
      </c>
      <c r="F19" s="72"/>
      <c r="G19" s="73"/>
      <c r="H19" s="70"/>
      <c r="I19" s="73"/>
      <c r="J19" s="73"/>
      <c r="K19" s="74"/>
      <c r="L19" s="70"/>
      <c r="M19" s="70"/>
      <c r="N19" s="70"/>
      <c r="O19" s="70"/>
      <c r="P19" s="70"/>
      <c r="Q19" s="73"/>
      <c r="R19" s="73"/>
      <c r="S19" s="75"/>
      <c r="T19" s="76"/>
      <c r="U19" s="70"/>
      <c r="V19" s="71"/>
      <c r="W19" s="70"/>
      <c r="X19" s="70"/>
      <c r="Y19" s="70"/>
      <c r="Z19" s="70"/>
      <c r="AA19" s="70"/>
      <c r="AB19" s="70"/>
    </row>
    <row r="20" spans="1:28" s="77" customFormat="1" ht="24.95" customHeight="1">
      <c r="A20" s="70"/>
      <c r="B20" s="108" t="s">
        <v>138</v>
      </c>
      <c r="C20" s="109"/>
      <c r="D20" s="110"/>
      <c r="E20" s="111" t="e">
        <f>SUM(E6:E18)</f>
        <v>#REF!</v>
      </c>
      <c r="F20" s="111" t="e">
        <f>SUM(F6:F18)</f>
        <v>#REF!</v>
      </c>
      <c r="G20" s="112" t="e">
        <f>F20/E20</f>
        <v>#REF!</v>
      </c>
      <c r="H20" s="111" t="e">
        <f>SUM(H6:H18)</f>
        <v>#REF!</v>
      </c>
      <c r="I20" s="113"/>
      <c r="J20" s="114"/>
      <c r="K20" s="115">
        <f>SUM(K6:K18)</f>
        <v>1</v>
      </c>
      <c r="L20" s="116">
        <f>SUM(L6:L18)</f>
        <v>2400000</v>
      </c>
      <c r="M20" s="117"/>
      <c r="N20" s="111" t="e">
        <f>SUM(N6:N18)</f>
        <v>#REF!</v>
      </c>
      <c r="O20" s="118"/>
      <c r="P20" s="111" t="e">
        <f>SUM(P6:P18)</f>
        <v>#REF!</v>
      </c>
      <c r="Q20" s="119" t="e">
        <f>SUM(Q6:Q18)</f>
        <v>#REF!</v>
      </c>
      <c r="R20" s="120"/>
      <c r="S20" s="111" t="e">
        <f>SUM(S6:S18)</f>
        <v>#REF!</v>
      </c>
      <c r="T20" s="114"/>
      <c r="U20" s="111" t="e">
        <f>SUM(U6:U18)</f>
        <v>#REF!</v>
      </c>
      <c r="V20" s="121"/>
      <c r="W20" s="118">
        <f>SUM(W6:W18)</f>
        <v>0</v>
      </c>
      <c r="X20" s="111" t="e">
        <f>P20-U20</f>
        <v>#REF!</v>
      </c>
      <c r="Y20" s="70"/>
      <c r="Z20" s="70"/>
      <c r="AA20" s="70"/>
      <c r="AB20" s="70"/>
    </row>
    <row r="21" spans="1:28" s="77" customFormat="1" ht="6.75" customHeight="1">
      <c r="A21" s="70"/>
      <c r="B21" s="70"/>
      <c r="C21" s="70"/>
      <c r="D21" s="71"/>
      <c r="E21" s="70"/>
      <c r="F21" s="72"/>
      <c r="G21" s="73"/>
      <c r="H21" s="70"/>
      <c r="I21" s="73"/>
      <c r="J21" s="73"/>
      <c r="K21" s="74"/>
      <c r="L21" s="70"/>
      <c r="M21" s="70"/>
      <c r="N21" s="70"/>
      <c r="O21" s="70"/>
      <c r="P21" s="70"/>
      <c r="Q21" s="73"/>
      <c r="R21" s="73"/>
      <c r="S21" s="75"/>
      <c r="T21" s="76"/>
      <c r="V21" s="71"/>
      <c r="W21" s="70"/>
      <c r="X21" s="70"/>
      <c r="Y21" s="70"/>
      <c r="Z21" s="70"/>
      <c r="AA21" s="70"/>
      <c r="AB21" s="70"/>
    </row>
    <row r="22" spans="1:28" s="95" customFormat="1" ht="20.100000000000001" customHeight="1">
      <c r="A22" s="87" t="s">
        <v>11</v>
      </c>
      <c r="B22" s="122"/>
      <c r="C22" s="80" t="s">
        <v>102</v>
      </c>
      <c r="D22" s="81"/>
      <c r="E22" s="82" t="e">
        <f>'決算書(予算比較）'!F17</f>
        <v>#REF!</v>
      </c>
      <c r="F22" s="83" t="e">
        <f>'決算書(予算比較）'!F35</f>
        <v>#REF!</v>
      </c>
      <c r="G22" s="84" t="e">
        <f>F22/E22</f>
        <v>#REF!</v>
      </c>
      <c r="H22" s="82" t="e">
        <f>E22-F22</f>
        <v>#REF!</v>
      </c>
      <c r="I22" s="84" t="e">
        <f>H22/E22</f>
        <v>#REF!</v>
      </c>
      <c r="J22" s="85"/>
      <c r="K22" s="86">
        <v>0</v>
      </c>
      <c r="L22" s="87">
        <f>$K$4*K22</f>
        <v>0</v>
      </c>
      <c r="M22" s="88"/>
      <c r="N22" s="89" t="e">
        <f>#REF!</f>
        <v>#REF!</v>
      </c>
      <c r="O22" s="39"/>
      <c r="P22" s="82" t="e">
        <f>H22-L22-N22</f>
        <v>#REF!</v>
      </c>
      <c r="Q22" s="123"/>
      <c r="R22" s="90"/>
      <c r="S22" s="91" t="e">
        <f>P22</f>
        <v>#REF!</v>
      </c>
      <c r="T22" s="92"/>
      <c r="U22" s="82" t="e">
        <f>S22</f>
        <v>#REF!</v>
      </c>
      <c r="V22" s="124" t="e">
        <f>I22</f>
        <v>#REF!</v>
      </c>
      <c r="W22" s="94"/>
      <c r="X22" s="82" t="e">
        <f>P22-U22</f>
        <v>#REF!</v>
      </c>
      <c r="Y22" s="39"/>
      <c r="Z22" s="39"/>
      <c r="AA22" s="39"/>
      <c r="AB22" s="39"/>
    </row>
    <row r="23" spans="1:28" s="95" customFormat="1" ht="9.9499999999999993" customHeight="1">
      <c r="A23" s="39"/>
      <c r="B23" s="125"/>
      <c r="C23" s="70"/>
      <c r="D23" s="102"/>
      <c r="E23" s="105"/>
      <c r="F23" s="103"/>
      <c r="G23" s="104"/>
      <c r="H23" s="105"/>
      <c r="I23" s="104"/>
      <c r="J23" s="104"/>
      <c r="K23" s="106"/>
      <c r="L23" s="39"/>
      <c r="M23" s="39"/>
      <c r="N23" s="39"/>
      <c r="O23" s="39"/>
      <c r="P23" s="39"/>
      <c r="Q23" s="126"/>
      <c r="R23" s="104"/>
      <c r="S23" s="107"/>
      <c r="T23" s="100"/>
      <c r="U23" s="105"/>
      <c r="V23" s="102"/>
      <c r="W23" s="105"/>
      <c r="X23" s="105"/>
      <c r="Y23" s="39"/>
      <c r="Z23" s="39"/>
      <c r="AA23" s="39"/>
      <c r="AB23" s="39"/>
    </row>
    <row r="24" spans="1:28" s="95" customFormat="1" ht="20.100000000000001" customHeight="1">
      <c r="A24" s="87" t="s">
        <v>12</v>
      </c>
      <c r="B24" s="122"/>
      <c r="C24" s="80" t="s">
        <v>106</v>
      </c>
      <c r="D24" s="81"/>
      <c r="E24" s="82" t="e">
        <f>'決算書(予算比較）'!F18</f>
        <v>#REF!</v>
      </c>
      <c r="F24" s="83" t="e">
        <f>'決算書(予算比較）'!F36</f>
        <v>#REF!</v>
      </c>
      <c r="G24" s="84" t="e">
        <f>F24/E24</f>
        <v>#REF!</v>
      </c>
      <c r="H24" s="82" t="e">
        <f>E24-F24</f>
        <v>#REF!</v>
      </c>
      <c r="I24" s="84" t="e">
        <f>H24/E24</f>
        <v>#REF!</v>
      </c>
      <c r="J24" s="85"/>
      <c r="K24" s="86">
        <v>0</v>
      </c>
      <c r="L24" s="87">
        <f>$K$4*K24</f>
        <v>0</v>
      </c>
      <c r="M24" s="39"/>
      <c r="N24" s="89" t="e">
        <f>#REF!</f>
        <v>#REF!</v>
      </c>
      <c r="O24" s="39"/>
      <c r="P24" s="82" t="e">
        <f>H24-L24-N24</f>
        <v>#REF!</v>
      </c>
      <c r="Q24" s="123"/>
      <c r="R24" s="104"/>
      <c r="S24" s="91" t="e">
        <f>P24</f>
        <v>#REF!</v>
      </c>
      <c r="T24" s="100"/>
      <c r="U24" s="82" t="e">
        <f>S24</f>
        <v>#REF!</v>
      </c>
      <c r="V24" s="124" t="e">
        <f>I24</f>
        <v>#REF!</v>
      </c>
      <c r="W24" s="94"/>
      <c r="X24" s="127" t="e">
        <f>P24-U24</f>
        <v>#REF!</v>
      </c>
      <c r="Y24" s="39"/>
      <c r="Z24" s="39"/>
      <c r="AA24" s="39"/>
      <c r="AB24" s="39"/>
    </row>
    <row r="25" spans="1:28" s="95" customFormat="1" ht="9.9499999999999993" customHeight="1">
      <c r="A25" s="39"/>
      <c r="B25" s="125"/>
      <c r="C25" s="70"/>
      <c r="D25" s="102"/>
      <c r="E25" s="105"/>
      <c r="F25" s="103"/>
      <c r="G25" s="104"/>
      <c r="H25" s="105"/>
      <c r="I25" s="104"/>
      <c r="J25" s="104"/>
      <c r="K25" s="106"/>
      <c r="L25" s="39"/>
      <c r="M25" s="39"/>
      <c r="N25" s="39"/>
      <c r="O25" s="39"/>
      <c r="P25" s="39"/>
      <c r="Q25" s="126"/>
      <c r="R25" s="104"/>
      <c r="S25" s="107"/>
      <c r="T25" s="100"/>
      <c r="U25" s="105"/>
      <c r="V25" s="102"/>
      <c r="W25" s="105"/>
      <c r="X25" s="105"/>
      <c r="Y25" s="39"/>
      <c r="Z25" s="39"/>
      <c r="AA25" s="39"/>
      <c r="AB25" s="39"/>
    </row>
    <row r="26" spans="1:28" s="95" customFormat="1" ht="20.100000000000001" customHeight="1">
      <c r="A26" s="87" t="s">
        <v>13</v>
      </c>
      <c r="B26" s="122"/>
      <c r="C26" s="80" t="s">
        <v>112</v>
      </c>
      <c r="D26" s="81"/>
      <c r="E26" s="82" t="e">
        <f>'決算書(予算比較）'!F19</f>
        <v>#REF!</v>
      </c>
      <c r="F26" s="83" t="e">
        <f>'決算書(予算比較）'!F37</f>
        <v>#REF!</v>
      </c>
      <c r="G26" s="97" t="e">
        <f>F26/E26</f>
        <v>#REF!</v>
      </c>
      <c r="H26" s="98" t="e">
        <f>E26-F26</f>
        <v>#REF!</v>
      </c>
      <c r="I26" s="97" t="e">
        <f>H26/E26</f>
        <v>#REF!</v>
      </c>
      <c r="J26" s="99"/>
      <c r="K26" s="86">
        <v>0</v>
      </c>
      <c r="L26" s="87">
        <f>$K$4*K26</f>
        <v>0</v>
      </c>
      <c r="M26" s="39"/>
      <c r="N26" s="89" t="e">
        <f>#REF!</f>
        <v>#REF!</v>
      </c>
      <c r="O26" s="39"/>
      <c r="P26" s="82" t="e">
        <f>H26-L26-N26</f>
        <v>#REF!</v>
      </c>
      <c r="Q26" s="123"/>
      <c r="R26" s="104"/>
      <c r="S26" s="91" t="e">
        <f>P26</f>
        <v>#REF!</v>
      </c>
      <c r="T26" s="100"/>
      <c r="U26" s="82" t="e">
        <f>S26</f>
        <v>#REF!</v>
      </c>
      <c r="V26" s="124" t="e">
        <f>I26</f>
        <v>#REF!</v>
      </c>
      <c r="W26" s="94"/>
      <c r="X26" s="127" t="e">
        <f>P26-U26</f>
        <v>#REF!</v>
      </c>
      <c r="Y26" s="39"/>
      <c r="Z26" s="39"/>
      <c r="AA26" s="39"/>
      <c r="AB26" s="39"/>
    </row>
    <row r="27" spans="1:28" s="132" customFormat="1" ht="13.5" customHeight="1">
      <c r="A27" s="39"/>
      <c r="B27" s="125"/>
      <c r="C27" s="128"/>
      <c r="D27" s="102"/>
      <c r="E27" s="129"/>
      <c r="F27" s="130"/>
      <c r="G27" s="131"/>
      <c r="H27" s="129"/>
      <c r="I27" s="131"/>
      <c r="J27" s="104"/>
      <c r="K27" s="106"/>
      <c r="L27" s="39"/>
      <c r="M27" s="39"/>
      <c r="N27" s="39"/>
      <c r="O27" s="39"/>
      <c r="P27" s="39"/>
      <c r="Q27" s="126"/>
      <c r="R27" s="104"/>
      <c r="S27" s="107"/>
      <c r="T27" s="100"/>
      <c r="U27" s="129"/>
      <c r="V27" s="102"/>
      <c r="W27" s="105"/>
      <c r="X27" s="105"/>
      <c r="Y27" s="39"/>
      <c r="Z27" s="39"/>
      <c r="AA27" s="39"/>
      <c r="AB27" s="39"/>
    </row>
    <row r="28" spans="1:28" s="95" customFormat="1" ht="20.100000000000001" customHeight="1">
      <c r="A28" s="87" t="s">
        <v>100</v>
      </c>
      <c r="B28" s="122"/>
      <c r="C28" s="80" t="s">
        <v>139</v>
      </c>
      <c r="D28" s="81"/>
      <c r="E28" s="82" t="e">
        <f>'決算書(予算比較）'!#REF!</f>
        <v>#REF!</v>
      </c>
      <c r="F28" s="83" t="e">
        <f>'決算書(予算比較）'!#REF!</f>
        <v>#REF!</v>
      </c>
      <c r="G28" s="97" t="e">
        <f>F28/E28</f>
        <v>#REF!</v>
      </c>
      <c r="H28" s="98" t="e">
        <f>E28-F28</f>
        <v>#REF!</v>
      </c>
      <c r="I28" s="97" t="e">
        <f>H28/E28</f>
        <v>#REF!</v>
      </c>
      <c r="J28" s="99"/>
      <c r="K28" s="86">
        <v>0</v>
      </c>
      <c r="L28" s="87">
        <f>$K$4*K28</f>
        <v>0</v>
      </c>
      <c r="M28" s="39"/>
      <c r="N28" s="39"/>
      <c r="O28" s="39"/>
      <c r="P28" s="82" t="e">
        <f>H28-L28-N28</f>
        <v>#REF!</v>
      </c>
      <c r="Q28" s="123"/>
      <c r="R28" s="104"/>
      <c r="S28" s="91" t="e">
        <f>P28</f>
        <v>#REF!</v>
      </c>
      <c r="T28" s="100"/>
      <c r="U28" s="82" t="e">
        <f>S28</f>
        <v>#REF!</v>
      </c>
      <c r="V28" s="124" t="e">
        <f>I28</f>
        <v>#REF!</v>
      </c>
      <c r="W28" s="94"/>
      <c r="X28" s="82" t="e">
        <f>P28-U28</f>
        <v>#REF!</v>
      </c>
      <c r="Y28" s="39"/>
      <c r="Z28" s="39"/>
      <c r="AA28" s="39"/>
      <c r="AB28" s="39"/>
    </row>
    <row r="29" spans="1:28" s="77" customFormat="1">
      <c r="A29" s="70"/>
      <c r="B29" s="133"/>
      <c r="C29" s="70"/>
      <c r="D29" s="71"/>
      <c r="E29" s="70"/>
      <c r="F29" s="72"/>
      <c r="G29" s="73"/>
      <c r="H29" s="70"/>
      <c r="I29" s="73"/>
      <c r="J29" s="73"/>
      <c r="K29" s="74"/>
      <c r="L29" s="70"/>
      <c r="M29" s="70"/>
      <c r="N29" s="70"/>
      <c r="O29" s="70"/>
      <c r="P29" s="70"/>
      <c r="Q29" s="73"/>
      <c r="R29" s="73"/>
      <c r="S29" s="75"/>
      <c r="T29" s="76"/>
      <c r="V29" s="71"/>
      <c r="W29" s="70"/>
      <c r="X29" s="70"/>
      <c r="Y29" s="70"/>
      <c r="Z29" s="70"/>
      <c r="AA29" s="70"/>
      <c r="AB29" s="70"/>
    </row>
    <row r="30" spans="1:28" s="77" customFormat="1" ht="24.95" customHeight="1">
      <c r="A30" s="70"/>
      <c r="B30" s="134" t="s">
        <v>149</v>
      </c>
      <c r="C30" s="134"/>
      <c r="D30" s="135"/>
      <c r="E30" s="136" t="e">
        <f>SUM(E22:E28)</f>
        <v>#REF!</v>
      </c>
      <c r="F30" s="136" t="e">
        <f>SUM(F22:F28)</f>
        <v>#REF!</v>
      </c>
      <c r="G30" s="137" t="e">
        <f>F30/E30</f>
        <v>#REF!</v>
      </c>
      <c r="H30" s="136" t="e">
        <f>SUM(H22:H28)</f>
        <v>#REF!</v>
      </c>
      <c r="I30" s="137" t="e">
        <f>H30/E30</f>
        <v>#REF!</v>
      </c>
      <c r="J30" s="138"/>
      <c r="K30" s="139">
        <f>SUM(K22:K28)</f>
        <v>0</v>
      </c>
      <c r="L30" s="136">
        <f>SUM(L22:L28)</f>
        <v>0</v>
      </c>
      <c r="M30" s="140"/>
      <c r="N30" s="136" t="e">
        <f>SUM(N22:N28)</f>
        <v>#REF!</v>
      </c>
      <c r="O30" s="141"/>
      <c r="P30" s="136" t="e">
        <f>SUM(P22:P28)</f>
        <v>#REF!</v>
      </c>
      <c r="Q30" s="142"/>
      <c r="R30" s="143"/>
      <c r="S30" s="136" t="e">
        <f>SUM(S22:S28)</f>
        <v>#REF!</v>
      </c>
      <c r="T30" s="144"/>
      <c r="U30" s="136" t="e">
        <f>SUM(U22:U28)</f>
        <v>#REF!</v>
      </c>
      <c r="V30" s="145"/>
      <c r="W30" s="141">
        <f>SUM(W22:W28)</f>
        <v>0</v>
      </c>
      <c r="X30" s="136" t="e">
        <f>SUM(X22:X28)</f>
        <v>#REF!</v>
      </c>
      <c r="Y30" s="70"/>
      <c r="Z30" s="70"/>
      <c r="AA30" s="70"/>
      <c r="AB30" s="70"/>
    </row>
    <row r="31" spans="1:28" s="77" customFormat="1">
      <c r="A31" s="70"/>
      <c r="B31" s="70"/>
      <c r="C31" s="70"/>
      <c r="D31" s="71"/>
      <c r="E31" s="70"/>
      <c r="F31" s="72"/>
      <c r="G31" s="73"/>
      <c r="H31" s="70"/>
      <c r="I31" s="73"/>
      <c r="J31" s="73"/>
      <c r="K31" s="74"/>
      <c r="L31" s="70"/>
      <c r="M31" s="70"/>
      <c r="N31" s="70"/>
      <c r="O31" s="70"/>
      <c r="P31" s="70"/>
      <c r="Q31" s="146"/>
      <c r="R31" s="73"/>
      <c r="S31" s="75"/>
      <c r="T31" s="76"/>
      <c r="U31" s="70"/>
      <c r="V31" s="71"/>
      <c r="W31" s="70"/>
      <c r="X31" s="70"/>
      <c r="Y31" s="70"/>
      <c r="Z31" s="70"/>
      <c r="AA31" s="70"/>
      <c r="AB31" s="70"/>
    </row>
    <row r="32" spans="1:28" s="77" customFormat="1" ht="24.95" customHeight="1">
      <c r="A32" s="70"/>
      <c r="B32" s="70"/>
      <c r="C32" s="147" t="s">
        <v>140</v>
      </c>
      <c r="D32" s="71"/>
      <c r="E32" s="148" t="e">
        <f>E20+E30</f>
        <v>#REF!</v>
      </c>
      <c r="F32" s="148" t="e">
        <f>F20+F30</f>
        <v>#REF!</v>
      </c>
      <c r="G32" s="149" t="e">
        <f>F32/E32</f>
        <v>#REF!</v>
      </c>
      <c r="H32" s="148" t="e">
        <f>H20+H30</f>
        <v>#REF!</v>
      </c>
      <c r="I32" s="149" t="e">
        <f>H32/E32</f>
        <v>#REF!</v>
      </c>
      <c r="J32" s="73"/>
      <c r="K32" s="150">
        <v>1</v>
      </c>
      <c r="L32" s="148">
        <f>L20+L30</f>
        <v>2400000</v>
      </c>
      <c r="M32" s="70"/>
      <c r="N32" s="80" t="e">
        <f>N20+N30</f>
        <v>#REF!</v>
      </c>
      <c r="O32" s="70"/>
      <c r="P32" s="148" t="e">
        <f>P20+P30</f>
        <v>#REF!</v>
      </c>
      <c r="Q32" s="151"/>
      <c r="R32" s="73"/>
      <c r="S32" s="91" t="e">
        <f>S20+S30</f>
        <v>#REF!</v>
      </c>
      <c r="T32" s="76" t="s">
        <v>141</v>
      </c>
      <c r="U32" s="80" t="e">
        <f>U20+U30</f>
        <v>#REF!</v>
      </c>
      <c r="V32" s="71"/>
      <c r="W32" s="70"/>
      <c r="X32" s="105"/>
      <c r="Y32" s="70"/>
      <c r="Z32" s="70"/>
      <c r="AA32" s="70"/>
      <c r="AB32" s="70"/>
    </row>
    <row r="33" spans="1:28" s="77" customFormat="1" ht="14.25" customHeight="1">
      <c r="A33" s="70"/>
      <c r="B33" s="70"/>
      <c r="C33" s="70"/>
      <c r="D33" s="71"/>
      <c r="E33" s="70"/>
      <c r="F33" s="72"/>
      <c r="G33" s="73"/>
      <c r="H33" s="70"/>
      <c r="I33" s="73"/>
      <c r="J33" s="73"/>
      <c r="K33" s="74"/>
      <c r="L33" s="152" t="s">
        <v>142</v>
      </c>
      <c r="M33" s="152"/>
      <c r="N33" s="152" t="s">
        <v>142</v>
      </c>
      <c r="O33" s="70"/>
      <c r="P33" s="70"/>
      <c r="Q33" s="73"/>
      <c r="R33" s="73"/>
      <c r="S33" s="153" t="s">
        <v>150</v>
      </c>
      <c r="T33" s="76"/>
      <c r="U33" s="105"/>
      <c r="V33" s="71"/>
      <c r="W33" s="70"/>
      <c r="X33" s="105"/>
      <c r="Y33" s="70"/>
      <c r="Z33" s="70"/>
      <c r="AA33" s="70"/>
      <c r="AB33" s="70"/>
    </row>
    <row r="34" spans="1:28" s="77" customFormat="1" ht="24.95" customHeight="1">
      <c r="A34" s="70"/>
      <c r="B34" s="154"/>
      <c r="C34" s="155" t="s">
        <v>143</v>
      </c>
      <c r="D34" s="71"/>
      <c r="E34" s="82" t="e">
        <f>'決算書(予算比較）'!F6+'決算書(予算比較）'!F7+'決算書(予算比較）'!F20+'決算書(予算比較）'!F21+'決算書(予算比較）'!F22</f>
        <v>#REF!</v>
      </c>
      <c r="F34" s="83" t="e">
        <f>'決算書(予算比較）'!F65</f>
        <v>#REF!</v>
      </c>
      <c r="G34" s="84"/>
      <c r="H34" s="82" t="e">
        <f>E34-F34</f>
        <v>#REF!</v>
      </c>
      <c r="I34" s="99"/>
      <c r="J34" s="104"/>
      <c r="K34" s="156" t="s">
        <v>144</v>
      </c>
      <c r="L34" s="1386" t="e">
        <f>H34+L32+N32+H30</f>
        <v>#REF!</v>
      </c>
      <c r="M34" s="1386"/>
      <c r="N34" s="1386"/>
      <c r="O34" s="70"/>
      <c r="P34" s="70"/>
      <c r="Q34" s="104"/>
      <c r="R34" s="104"/>
      <c r="S34" s="105"/>
      <c r="T34" s="100"/>
      <c r="U34" s="105"/>
      <c r="V34" s="71"/>
      <c r="W34" s="70"/>
      <c r="X34" s="70"/>
      <c r="Y34" s="70"/>
      <c r="Z34" s="70"/>
      <c r="AA34" s="70"/>
      <c r="AB34" s="70"/>
    </row>
    <row r="35" spans="1:28" ht="9.75" customHeight="1">
      <c r="A35" s="39"/>
      <c r="B35" s="70"/>
      <c r="C35" s="70"/>
      <c r="D35" s="71"/>
      <c r="E35" s="105"/>
      <c r="F35" s="103"/>
      <c r="G35" s="104"/>
      <c r="H35" s="105"/>
      <c r="I35" s="104"/>
      <c r="J35" s="104"/>
      <c r="K35" s="74"/>
      <c r="L35" s="70"/>
      <c r="M35" s="70"/>
      <c r="N35" s="70"/>
      <c r="O35" s="70"/>
      <c r="P35" s="70"/>
      <c r="Q35" s="104"/>
      <c r="R35" s="104"/>
      <c r="T35" s="100"/>
      <c r="U35" s="105"/>
      <c r="V35" s="102"/>
      <c r="W35" s="105"/>
      <c r="X35" s="105"/>
    </row>
    <row r="36" spans="1:28" ht="24.95" customHeight="1">
      <c r="A36" s="39"/>
      <c r="B36" s="158" t="s">
        <v>127</v>
      </c>
      <c r="C36" s="159"/>
      <c r="D36" s="160"/>
      <c r="E36" s="161" t="e">
        <f>E32+E34</f>
        <v>#REF!</v>
      </c>
      <c r="F36" s="158" t="e">
        <f>F32+F34</f>
        <v>#REF!</v>
      </c>
      <c r="G36" s="162" t="e">
        <f>F36/E36</f>
        <v>#REF!</v>
      </c>
      <c r="H36" s="163" t="e">
        <f>H32+H34</f>
        <v>#REF!</v>
      </c>
      <c r="I36" s="164" t="e">
        <f>H36/E36</f>
        <v>#REF!</v>
      </c>
      <c r="J36" s="165"/>
      <c r="K36" s="1377" t="s">
        <v>141</v>
      </c>
      <c r="L36" s="1377"/>
      <c r="M36" s="1377"/>
      <c r="N36" s="1377"/>
      <c r="O36" s="1377"/>
      <c r="P36" s="1377"/>
      <c r="Q36" s="1377"/>
      <c r="R36" s="1377"/>
      <c r="S36" s="1377"/>
      <c r="T36" s="1377"/>
      <c r="U36" s="1377"/>
      <c r="V36" s="1377"/>
      <c r="W36" s="1378"/>
      <c r="X36" s="166" t="e">
        <f>X20</f>
        <v>#REF!</v>
      </c>
    </row>
    <row r="37" spans="1:28" ht="24.95" hidden="1" customHeight="1">
      <c r="A37" s="39"/>
      <c r="B37" s="39"/>
      <c r="C37" s="70"/>
      <c r="D37" s="167"/>
      <c r="E37" s="39"/>
      <c r="K37" s="106"/>
      <c r="L37" s="39"/>
      <c r="M37" s="39"/>
      <c r="N37" s="39"/>
      <c r="O37" s="39"/>
      <c r="P37" s="39"/>
    </row>
    <row r="38" spans="1:28" ht="17.25" hidden="1">
      <c r="A38" s="39"/>
      <c r="B38" s="39"/>
      <c r="C38" s="168" t="s">
        <v>145</v>
      </c>
      <c r="D38" s="167"/>
      <c r="E38" s="105" t="e">
        <f>E6+E8+E10+E12+E14+E16+E18</f>
        <v>#REF!</v>
      </c>
      <c r="K38" s="106"/>
      <c r="L38" s="39"/>
      <c r="M38" s="39"/>
      <c r="N38" s="39"/>
      <c r="O38" s="39"/>
      <c r="P38" s="39"/>
    </row>
    <row r="39" spans="1:28" hidden="1">
      <c r="B39" s="39"/>
      <c r="C39" s="171" t="s">
        <v>146</v>
      </c>
      <c r="D39" s="167"/>
      <c r="E39" s="39" t="e">
        <f>U22+U24+U26+U28</f>
        <v>#REF!</v>
      </c>
    </row>
    <row r="40" spans="1:28" hidden="1">
      <c r="C40" s="171" t="s">
        <v>147</v>
      </c>
      <c r="E40" s="173" t="e">
        <f>(F34-E39)</f>
        <v>#REF!</v>
      </c>
    </row>
  </sheetData>
  <sheetProtection selectLockedCells="1" selectUnlockedCells="1"/>
  <mergeCells count="18">
    <mergeCell ref="X1:X3"/>
    <mergeCell ref="K2:L3"/>
    <mergeCell ref="N2:N3"/>
    <mergeCell ref="K4:L4"/>
    <mergeCell ref="L34:N34"/>
    <mergeCell ref="K36:W36"/>
    <mergeCell ref="I1:I2"/>
    <mergeCell ref="P1:P3"/>
    <mergeCell ref="Q1:Q2"/>
    <mergeCell ref="S1:S3"/>
    <mergeCell ref="U1:U3"/>
    <mergeCell ref="V1:V2"/>
    <mergeCell ref="H1:H3"/>
    <mergeCell ref="A1:A3"/>
    <mergeCell ref="C1:C3"/>
    <mergeCell ref="E1:E3"/>
    <mergeCell ref="F1:F3"/>
    <mergeCell ref="G1:G2"/>
  </mergeCells>
  <phoneticPr fontId="1"/>
  <printOptions horizontalCentered="1"/>
  <pageMargins left="0.39027777777777778" right="0.39027777777777778" top="0.89027777777777772" bottom="0.52986111111111112" header="0.51180555555555551" footer="0.51180555555555551"/>
  <pageSetup paperSize="9" scale="81" firstPageNumber="0" orientation="landscape" horizontalDpi="300" verticalDpi="300" r:id="rId1"/>
  <headerFooter alignWithMargins="0">
    <oddHeader>&amp;C&amp;18&amp;A&amp;R&amp;D</oddHead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opLeftCell="A10" workbookViewId="0">
      <selection activeCell="D24" sqref="D24"/>
    </sheetView>
  </sheetViews>
  <sheetFormatPr defaultRowHeight="13.5"/>
  <cols>
    <col min="1" max="1" width="23.75" bestFit="1" customWidth="1"/>
    <col min="8" max="8" width="11.375" bestFit="1" customWidth="1"/>
    <col min="9" max="9" width="9.25" bestFit="1" customWidth="1"/>
  </cols>
  <sheetData>
    <row r="1" spans="1:10">
      <c r="A1" t="s">
        <v>222</v>
      </c>
      <c r="B1">
        <v>0</v>
      </c>
      <c r="C1">
        <v>1924863</v>
      </c>
      <c r="D1" t="s">
        <v>194</v>
      </c>
      <c r="E1">
        <v>1924863</v>
      </c>
      <c r="F1">
        <v>1.7</v>
      </c>
      <c r="H1" s="187" t="s">
        <v>221</v>
      </c>
      <c r="I1" s="187" t="s">
        <v>195</v>
      </c>
      <c r="J1" s="185"/>
    </row>
    <row r="2" spans="1:10">
      <c r="A2" t="s">
        <v>196</v>
      </c>
      <c r="B2">
        <v>0</v>
      </c>
      <c r="C2">
        <v>191506</v>
      </c>
      <c r="D2" t="s">
        <v>194</v>
      </c>
      <c r="E2">
        <v>191506</v>
      </c>
      <c r="F2">
        <v>0.2</v>
      </c>
      <c r="G2" t="s">
        <v>197</v>
      </c>
      <c r="H2" s="187">
        <f>E2</f>
        <v>191506</v>
      </c>
      <c r="I2" s="187">
        <f>H2/9*12</f>
        <v>255341.33333333334</v>
      </c>
      <c r="J2" s="185">
        <f>I2/$I$18</f>
        <v>9.9490717001677526E-2</v>
      </c>
    </row>
    <row r="3" spans="1:10">
      <c r="A3" t="s">
        <v>198</v>
      </c>
      <c r="B3">
        <v>0</v>
      </c>
      <c r="C3">
        <v>353192</v>
      </c>
      <c r="D3" t="s">
        <v>194</v>
      </c>
      <c r="E3">
        <v>353192</v>
      </c>
      <c r="F3">
        <v>0.3</v>
      </c>
      <c r="G3" t="s">
        <v>199</v>
      </c>
      <c r="H3" s="187"/>
      <c r="I3" s="187">
        <f t="shared" ref="I3:I17" si="0">H3/9*12</f>
        <v>0</v>
      </c>
      <c r="J3" s="185">
        <f t="shared" ref="J3:J17" si="1">I3/$I$18</f>
        <v>0</v>
      </c>
    </row>
    <row r="4" spans="1:10">
      <c r="A4" t="s">
        <v>200</v>
      </c>
      <c r="B4">
        <v>0</v>
      </c>
      <c r="C4">
        <v>95564</v>
      </c>
      <c r="D4" t="s">
        <v>194</v>
      </c>
      <c r="E4">
        <v>95564</v>
      </c>
      <c r="F4">
        <v>0.1</v>
      </c>
      <c r="G4" t="s">
        <v>199</v>
      </c>
      <c r="H4" s="187">
        <f>SUM(E3:E4)</f>
        <v>448756</v>
      </c>
      <c r="I4" s="187">
        <f t="shared" si="0"/>
        <v>598341.33333333337</v>
      </c>
      <c r="J4" s="185">
        <f t="shared" si="1"/>
        <v>0.23313659205875953</v>
      </c>
    </row>
    <row r="5" spans="1:10">
      <c r="A5" t="s">
        <v>201</v>
      </c>
      <c r="B5">
        <v>0</v>
      </c>
      <c r="C5">
        <v>125798</v>
      </c>
      <c r="D5" t="s">
        <v>194</v>
      </c>
      <c r="E5">
        <v>125798</v>
      </c>
      <c r="F5">
        <v>0.1</v>
      </c>
      <c r="G5" t="s">
        <v>202</v>
      </c>
      <c r="H5" s="187"/>
      <c r="I5" s="187">
        <f t="shared" si="0"/>
        <v>0</v>
      </c>
      <c r="J5" s="185">
        <f t="shared" si="1"/>
        <v>0</v>
      </c>
    </row>
    <row r="6" spans="1:10">
      <c r="A6" t="s">
        <v>203</v>
      </c>
      <c r="B6">
        <v>0</v>
      </c>
      <c r="C6">
        <v>100700</v>
      </c>
      <c r="D6" t="s">
        <v>194</v>
      </c>
      <c r="E6">
        <v>100700</v>
      </c>
      <c r="F6">
        <v>0.1</v>
      </c>
      <c r="G6" t="s">
        <v>202</v>
      </c>
      <c r="H6" s="187"/>
      <c r="I6" s="187">
        <f t="shared" si="0"/>
        <v>0</v>
      </c>
      <c r="J6" s="185">
        <f t="shared" si="1"/>
        <v>0</v>
      </c>
    </row>
    <row r="7" spans="1:10">
      <c r="A7" t="s">
        <v>204</v>
      </c>
      <c r="B7">
        <v>0</v>
      </c>
      <c r="C7">
        <v>670</v>
      </c>
      <c r="D7" t="s">
        <v>194</v>
      </c>
      <c r="E7">
        <v>670</v>
      </c>
      <c r="F7">
        <v>0</v>
      </c>
      <c r="G7" t="s">
        <v>202</v>
      </c>
      <c r="H7" s="187"/>
      <c r="I7" s="187">
        <f t="shared" si="0"/>
        <v>0</v>
      </c>
      <c r="J7" s="185">
        <f t="shared" si="1"/>
        <v>0</v>
      </c>
    </row>
    <row r="8" spans="1:10">
      <c r="A8" t="s">
        <v>205</v>
      </c>
      <c r="B8">
        <v>0</v>
      </c>
      <c r="C8">
        <v>84945</v>
      </c>
      <c r="D8" t="s">
        <v>194</v>
      </c>
      <c r="E8">
        <v>84945</v>
      </c>
      <c r="F8">
        <v>0.1</v>
      </c>
      <c r="G8" t="s">
        <v>202</v>
      </c>
      <c r="H8" s="187">
        <f>SUM(E5:E8)</f>
        <v>312113</v>
      </c>
      <c r="I8" s="187">
        <f t="shared" si="0"/>
        <v>416150.66666666663</v>
      </c>
      <c r="J8" s="185">
        <f t="shared" si="1"/>
        <v>0.16214816327187959</v>
      </c>
    </row>
    <row r="9" spans="1:10">
      <c r="A9" t="s">
        <v>206</v>
      </c>
      <c r="B9">
        <v>0</v>
      </c>
      <c r="C9">
        <v>59359</v>
      </c>
      <c r="D9" t="s">
        <v>194</v>
      </c>
      <c r="E9">
        <v>59359</v>
      </c>
      <c r="F9">
        <v>0.1</v>
      </c>
      <c r="G9" t="s">
        <v>207</v>
      </c>
      <c r="H9" s="187">
        <f>E9</f>
        <v>59359</v>
      </c>
      <c r="I9" s="187">
        <f t="shared" si="0"/>
        <v>79145.333333333328</v>
      </c>
      <c r="J9" s="185">
        <f t="shared" si="1"/>
        <v>3.0838038863025573E-2</v>
      </c>
    </row>
    <row r="10" spans="1:10">
      <c r="A10" t="s">
        <v>208</v>
      </c>
      <c r="B10">
        <v>0</v>
      </c>
      <c r="C10">
        <v>131412</v>
      </c>
      <c r="D10" t="s">
        <v>194</v>
      </c>
      <c r="E10">
        <v>131412</v>
      </c>
      <c r="F10">
        <v>0.1</v>
      </c>
      <c r="G10" t="s">
        <v>209</v>
      </c>
      <c r="H10" s="187"/>
      <c r="I10" s="187">
        <f t="shared" si="0"/>
        <v>0</v>
      </c>
      <c r="J10" s="185">
        <f t="shared" si="1"/>
        <v>0</v>
      </c>
    </row>
    <row r="11" spans="1:10">
      <c r="A11" t="s">
        <v>210</v>
      </c>
      <c r="B11">
        <v>0</v>
      </c>
      <c r="C11">
        <v>53927</v>
      </c>
      <c r="D11" t="s">
        <v>194</v>
      </c>
      <c r="E11">
        <v>53927</v>
      </c>
      <c r="F11">
        <v>0</v>
      </c>
      <c r="G11" t="s">
        <v>209</v>
      </c>
      <c r="H11" s="187"/>
      <c r="I11" s="187">
        <f t="shared" si="0"/>
        <v>0</v>
      </c>
      <c r="J11" s="185">
        <f t="shared" si="1"/>
        <v>0</v>
      </c>
    </row>
    <row r="12" spans="1:10">
      <c r="A12" t="s">
        <v>211</v>
      </c>
      <c r="B12">
        <v>0</v>
      </c>
      <c r="C12">
        <v>109237</v>
      </c>
      <c r="D12" t="s">
        <v>194</v>
      </c>
      <c r="E12">
        <v>109237</v>
      </c>
      <c r="F12">
        <v>0.1</v>
      </c>
      <c r="G12" t="s">
        <v>209</v>
      </c>
      <c r="H12" s="187"/>
      <c r="I12" s="187">
        <f t="shared" si="0"/>
        <v>0</v>
      </c>
      <c r="J12" s="185">
        <f t="shared" si="1"/>
        <v>0</v>
      </c>
    </row>
    <row r="13" spans="1:10">
      <c r="A13" t="s">
        <v>212</v>
      </c>
      <c r="B13">
        <v>0</v>
      </c>
      <c r="C13">
        <v>168454</v>
      </c>
      <c r="D13" t="s">
        <v>194</v>
      </c>
      <c r="E13">
        <v>168454</v>
      </c>
      <c r="F13">
        <v>0.1</v>
      </c>
      <c r="G13" t="s">
        <v>209</v>
      </c>
      <c r="H13" s="187"/>
      <c r="I13" s="187">
        <f t="shared" si="0"/>
        <v>0</v>
      </c>
      <c r="J13" s="185">
        <f t="shared" si="1"/>
        <v>0</v>
      </c>
    </row>
    <row r="14" spans="1:10">
      <c r="A14" t="s">
        <v>213</v>
      </c>
      <c r="B14">
        <v>0</v>
      </c>
      <c r="C14">
        <v>23630</v>
      </c>
      <c r="D14" t="s">
        <v>194</v>
      </c>
      <c r="E14">
        <v>23630</v>
      </c>
      <c r="F14">
        <v>0</v>
      </c>
      <c r="G14" t="s">
        <v>209</v>
      </c>
      <c r="H14" s="187">
        <f>SUM(E10:E14)</f>
        <v>486660</v>
      </c>
      <c r="I14" s="187">
        <f t="shared" si="0"/>
        <v>648880</v>
      </c>
      <c r="J14" s="185">
        <f t="shared" si="1"/>
        <v>0.25282838311090194</v>
      </c>
    </row>
    <row r="15" spans="1:10">
      <c r="A15" t="s">
        <v>214</v>
      </c>
      <c r="B15">
        <v>0</v>
      </c>
      <c r="C15">
        <v>134281</v>
      </c>
      <c r="D15" t="s">
        <v>194</v>
      </c>
      <c r="E15">
        <v>134281</v>
      </c>
      <c r="F15">
        <v>0.1</v>
      </c>
      <c r="G15" t="s">
        <v>215</v>
      </c>
      <c r="H15" s="187">
        <f>E15</f>
        <v>134281</v>
      </c>
      <c r="I15" s="187">
        <f t="shared" si="0"/>
        <v>179041.33333333334</v>
      </c>
      <c r="J15" s="185">
        <f t="shared" si="1"/>
        <v>6.976132846857154E-2</v>
      </c>
    </row>
    <row r="16" spans="1:10">
      <c r="A16" t="s">
        <v>216</v>
      </c>
      <c r="B16">
        <v>0</v>
      </c>
      <c r="C16">
        <v>139356</v>
      </c>
      <c r="D16" t="s">
        <v>194</v>
      </c>
      <c r="E16">
        <v>139356</v>
      </c>
      <c r="F16">
        <v>0.1</v>
      </c>
      <c r="G16" t="s">
        <v>217</v>
      </c>
      <c r="H16" s="187"/>
      <c r="I16" s="187">
        <f t="shared" si="0"/>
        <v>0</v>
      </c>
      <c r="J16" s="185">
        <f t="shared" si="1"/>
        <v>0</v>
      </c>
    </row>
    <row r="17" spans="1:10">
      <c r="A17" t="s">
        <v>218</v>
      </c>
      <c r="B17">
        <v>0</v>
      </c>
      <c r="C17">
        <v>152832</v>
      </c>
      <c r="D17" t="s">
        <v>194</v>
      </c>
      <c r="E17">
        <v>152832</v>
      </c>
      <c r="F17">
        <v>0.1</v>
      </c>
      <c r="G17" t="s">
        <v>217</v>
      </c>
      <c r="H17" s="187">
        <f>SUM(E16:E17)</f>
        <v>292188</v>
      </c>
      <c r="I17" s="187">
        <f t="shared" si="0"/>
        <v>389584</v>
      </c>
      <c r="J17" s="185">
        <f t="shared" si="1"/>
        <v>0.15179677722518434</v>
      </c>
    </row>
    <row r="18" spans="1:10">
      <c r="G18" t="s">
        <v>219</v>
      </c>
      <c r="H18" s="187"/>
      <c r="I18" s="187">
        <f>SUM(I2:I17)</f>
        <v>2566484</v>
      </c>
      <c r="J18" s="185"/>
    </row>
    <row r="19" spans="1:10">
      <c r="A19" t="s">
        <v>231</v>
      </c>
      <c r="B19">
        <v>0</v>
      </c>
      <c r="C19">
        <v>1922357</v>
      </c>
      <c r="D19">
        <v>2030</v>
      </c>
      <c r="E19">
        <v>1920327</v>
      </c>
      <c r="F19">
        <v>1.7</v>
      </c>
    </row>
    <row r="20" spans="1:10">
      <c r="A20" t="s">
        <v>198</v>
      </c>
      <c r="B20">
        <v>0</v>
      </c>
      <c r="C20">
        <v>151210</v>
      </c>
      <c r="D20" t="s">
        <v>194</v>
      </c>
      <c r="E20">
        <v>151210</v>
      </c>
      <c r="F20">
        <v>0.1</v>
      </c>
      <c r="G20" t="s">
        <v>199</v>
      </c>
    </row>
    <row r="21" spans="1:10">
      <c r="A21" t="s">
        <v>200</v>
      </c>
      <c r="B21">
        <v>0</v>
      </c>
      <c r="C21">
        <v>26840</v>
      </c>
      <c r="D21" t="s">
        <v>194</v>
      </c>
      <c r="E21">
        <v>26840</v>
      </c>
      <c r="F21">
        <v>0</v>
      </c>
      <c r="G21" t="s">
        <v>199</v>
      </c>
      <c r="H21">
        <f>SUM(E20:E21)</f>
        <v>178050</v>
      </c>
      <c r="I21" s="186">
        <f>H21/9*12</f>
        <v>237400</v>
      </c>
      <c r="J21" s="185">
        <f>I21/$I$38</f>
        <v>9.2718583866185283E-2</v>
      </c>
    </row>
    <row r="22" spans="1:10">
      <c r="A22" t="s">
        <v>223</v>
      </c>
      <c r="B22">
        <v>0</v>
      </c>
      <c r="C22">
        <v>77210</v>
      </c>
      <c r="D22" t="s">
        <v>194</v>
      </c>
      <c r="E22">
        <v>77210</v>
      </c>
      <c r="F22">
        <v>0.1</v>
      </c>
      <c r="G22" t="s">
        <v>202</v>
      </c>
      <c r="I22" s="186"/>
      <c r="J22" s="185"/>
    </row>
    <row r="23" spans="1:10">
      <c r="A23" t="s">
        <v>201</v>
      </c>
      <c r="B23">
        <v>0</v>
      </c>
      <c r="C23">
        <v>109210</v>
      </c>
      <c r="D23" t="s">
        <v>194</v>
      </c>
      <c r="E23">
        <v>109210</v>
      </c>
      <c r="F23">
        <v>0.1</v>
      </c>
      <c r="G23" t="s">
        <v>202</v>
      </c>
      <c r="I23" s="186"/>
      <c r="J23" s="185"/>
    </row>
    <row r="24" spans="1:10">
      <c r="A24" t="s">
        <v>203</v>
      </c>
      <c r="B24">
        <v>0</v>
      </c>
      <c r="C24">
        <v>45780</v>
      </c>
      <c r="D24" t="s">
        <v>194</v>
      </c>
      <c r="E24">
        <v>45780</v>
      </c>
      <c r="F24">
        <v>0</v>
      </c>
      <c r="G24" t="s">
        <v>202</v>
      </c>
      <c r="I24" s="186"/>
      <c r="J24" s="185"/>
    </row>
    <row r="25" spans="1:10">
      <c r="A25" t="s">
        <v>205</v>
      </c>
      <c r="B25">
        <v>0</v>
      </c>
      <c r="C25">
        <v>25000</v>
      </c>
      <c r="D25" t="s">
        <v>194</v>
      </c>
      <c r="E25">
        <v>25000</v>
      </c>
      <c r="F25">
        <v>0</v>
      </c>
      <c r="G25" t="s">
        <v>202</v>
      </c>
      <c r="I25" s="186"/>
      <c r="J25" s="185"/>
    </row>
    <row r="26" spans="1:10">
      <c r="A26" t="s">
        <v>229</v>
      </c>
      <c r="B26">
        <v>0</v>
      </c>
      <c r="C26">
        <v>2780</v>
      </c>
      <c r="D26">
        <v>2030</v>
      </c>
      <c r="E26">
        <v>750</v>
      </c>
      <c r="F26">
        <v>0</v>
      </c>
      <c r="G26" t="s">
        <v>202</v>
      </c>
      <c r="H26">
        <f>SUM(E22:E26)</f>
        <v>257950</v>
      </c>
      <c r="I26" s="186">
        <f t="shared" ref="I26:I37" si="2">H26/9*12</f>
        <v>343933.33333333331</v>
      </c>
      <c r="J26" s="185">
        <f t="shared" ref="J26:J38" si="3">I26/$I$38</f>
        <v>0.13432608092267617</v>
      </c>
    </row>
    <row r="27" spans="1:10">
      <c r="A27" t="s">
        <v>226</v>
      </c>
      <c r="B27">
        <v>0</v>
      </c>
      <c r="C27">
        <v>26080</v>
      </c>
      <c r="D27" t="s">
        <v>194</v>
      </c>
      <c r="E27">
        <v>26080</v>
      </c>
      <c r="F27">
        <v>0</v>
      </c>
      <c r="G27" t="s">
        <v>207</v>
      </c>
      <c r="H27">
        <f>E27</f>
        <v>26080</v>
      </c>
      <c r="I27" s="186">
        <f t="shared" si="2"/>
        <v>34773.333333333336</v>
      </c>
      <c r="J27" s="185">
        <f t="shared" si="3"/>
        <v>1.3581020315810799E-2</v>
      </c>
    </row>
    <row r="28" spans="1:10">
      <c r="A28" t="s">
        <v>208</v>
      </c>
      <c r="B28">
        <v>0</v>
      </c>
      <c r="C28">
        <v>3420</v>
      </c>
      <c r="D28" t="s">
        <v>194</v>
      </c>
      <c r="E28">
        <v>3420</v>
      </c>
      <c r="F28">
        <v>0</v>
      </c>
      <c r="G28" t="s">
        <v>209</v>
      </c>
      <c r="I28" s="186"/>
      <c r="J28" s="185"/>
    </row>
    <row r="29" spans="1:10">
      <c r="A29" t="s">
        <v>210</v>
      </c>
      <c r="B29">
        <v>0</v>
      </c>
      <c r="C29">
        <v>7460</v>
      </c>
      <c r="D29" t="s">
        <v>194</v>
      </c>
      <c r="E29">
        <v>7460</v>
      </c>
      <c r="F29">
        <v>0</v>
      </c>
      <c r="G29" t="s">
        <v>209</v>
      </c>
      <c r="I29" s="186"/>
      <c r="J29" s="185"/>
    </row>
    <row r="30" spans="1:10">
      <c r="A30" t="s">
        <v>224</v>
      </c>
      <c r="B30">
        <v>0</v>
      </c>
      <c r="C30">
        <v>188340</v>
      </c>
      <c r="D30" t="s">
        <v>194</v>
      </c>
      <c r="E30">
        <v>188340</v>
      </c>
      <c r="F30">
        <v>0.2</v>
      </c>
      <c r="G30" t="s">
        <v>209</v>
      </c>
      <c r="I30" s="186"/>
      <c r="J30" s="185"/>
    </row>
    <row r="31" spans="1:10">
      <c r="A31" t="s">
        <v>228</v>
      </c>
      <c r="B31">
        <v>0</v>
      </c>
      <c r="C31">
        <v>58700</v>
      </c>
      <c r="D31" t="s">
        <v>194</v>
      </c>
      <c r="E31">
        <v>58700</v>
      </c>
      <c r="F31">
        <v>0.1</v>
      </c>
      <c r="G31" t="s">
        <v>209</v>
      </c>
      <c r="I31" s="186"/>
      <c r="J31" s="185"/>
    </row>
    <row r="32" spans="1:10">
      <c r="A32" t="s">
        <v>213</v>
      </c>
      <c r="B32">
        <v>0</v>
      </c>
      <c r="C32">
        <v>29030</v>
      </c>
      <c r="D32" t="s">
        <v>194</v>
      </c>
      <c r="E32">
        <v>29030</v>
      </c>
      <c r="F32">
        <v>0</v>
      </c>
      <c r="G32" t="s">
        <v>209</v>
      </c>
      <c r="H32">
        <f>SUM(E28:E32)</f>
        <v>286950</v>
      </c>
      <c r="I32" s="186">
        <f t="shared" si="2"/>
        <v>382600</v>
      </c>
      <c r="J32" s="185">
        <f t="shared" si="3"/>
        <v>0.14942767559899955</v>
      </c>
    </row>
    <row r="33" spans="1:10">
      <c r="A33" t="s">
        <v>227</v>
      </c>
      <c r="B33">
        <v>0</v>
      </c>
      <c r="C33">
        <v>136210</v>
      </c>
      <c r="D33" t="s">
        <v>194</v>
      </c>
      <c r="E33">
        <v>136210</v>
      </c>
      <c r="F33">
        <v>0.1</v>
      </c>
      <c r="G33" t="s">
        <v>215</v>
      </c>
      <c r="H33">
        <f>E33</f>
        <v>136210</v>
      </c>
      <c r="I33" s="186">
        <f t="shared" si="2"/>
        <v>181613.33333333334</v>
      </c>
      <c r="J33" s="185">
        <f t="shared" si="3"/>
        <v>7.0930627960758774E-2</v>
      </c>
    </row>
    <row r="34" spans="1:10">
      <c r="A34" t="s">
        <v>216</v>
      </c>
      <c r="B34">
        <v>0</v>
      </c>
      <c r="C34">
        <v>47080</v>
      </c>
      <c r="D34" t="s">
        <v>194</v>
      </c>
      <c r="E34">
        <v>47080</v>
      </c>
      <c r="F34">
        <v>0</v>
      </c>
      <c r="G34" t="s">
        <v>217</v>
      </c>
      <c r="I34" s="186"/>
      <c r="J34" s="185"/>
    </row>
    <row r="35" spans="1:10">
      <c r="A35" t="s">
        <v>218</v>
      </c>
      <c r="B35">
        <v>0</v>
      </c>
      <c r="C35">
        <v>32890</v>
      </c>
      <c r="D35" t="s">
        <v>194</v>
      </c>
      <c r="E35">
        <v>32890</v>
      </c>
      <c r="F35">
        <v>0</v>
      </c>
      <c r="G35" t="s">
        <v>217</v>
      </c>
      <c r="H35">
        <f>SUM(E34:E35)</f>
        <v>79970</v>
      </c>
      <c r="I35" s="186">
        <f t="shared" si="2"/>
        <v>106626.66666666666</v>
      </c>
      <c r="J35" s="185">
        <f t="shared" si="3"/>
        <v>4.1643949181571674E-2</v>
      </c>
    </row>
    <row r="36" spans="1:10">
      <c r="A36" t="s">
        <v>230</v>
      </c>
      <c r="B36">
        <v>0</v>
      </c>
      <c r="C36">
        <v>930077</v>
      </c>
      <c r="D36" t="s">
        <v>194</v>
      </c>
      <c r="E36">
        <v>930077</v>
      </c>
      <c r="F36">
        <v>0.8</v>
      </c>
      <c r="G36" t="s">
        <v>197</v>
      </c>
      <c r="H36">
        <f>E36</f>
        <v>930077</v>
      </c>
      <c r="I36" s="186">
        <f t="shared" si="2"/>
        <v>1240102.6666666667</v>
      </c>
      <c r="J36" s="185">
        <f t="shared" si="3"/>
        <v>0.48433261626795854</v>
      </c>
    </row>
    <row r="37" spans="1:10">
      <c r="A37" t="s">
        <v>225</v>
      </c>
      <c r="B37">
        <v>0</v>
      </c>
      <c r="C37">
        <v>25040</v>
      </c>
      <c r="D37" t="s">
        <v>194</v>
      </c>
      <c r="E37">
        <v>25040</v>
      </c>
      <c r="F37">
        <v>0</v>
      </c>
      <c r="G37" t="s">
        <v>232</v>
      </c>
      <c r="H37">
        <f>E37</f>
        <v>25040</v>
      </c>
      <c r="I37" s="186">
        <f t="shared" si="2"/>
        <v>33386.666666666664</v>
      </c>
      <c r="J37" s="185">
        <f t="shared" si="3"/>
        <v>1.3039445886039199E-2</v>
      </c>
    </row>
    <row r="38" spans="1:10">
      <c r="I38" s="188">
        <f>SUM(I21:I37)</f>
        <v>2560436</v>
      </c>
      <c r="J38" s="185">
        <f t="shared" si="3"/>
        <v>1</v>
      </c>
    </row>
  </sheetData>
  <sortState ref="A28:G37">
    <sortCondition ref="G28:G37"/>
  </sortState>
  <phoneticPr fontId="1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zoomScale="55" zoomScaleNormal="55" workbookViewId="0">
      <selection activeCell="E73" sqref="E73"/>
    </sheetView>
  </sheetViews>
  <sheetFormatPr defaultRowHeight="13.5"/>
  <cols>
    <col min="1" max="1" width="11.5" bestFit="1" customWidth="1"/>
    <col min="2" max="2" width="11.5" customWidth="1"/>
    <col min="3" max="3" width="12.5" bestFit="1" customWidth="1"/>
    <col min="4" max="4" width="11.75" bestFit="1" customWidth="1"/>
    <col min="5" max="5" width="7.75" customWidth="1"/>
    <col min="6" max="6" width="6.75" bestFit="1" customWidth="1"/>
    <col min="7" max="7" width="12.5" bestFit="1" customWidth="1"/>
    <col min="8" max="8" width="12.5" style="186" bestFit="1" customWidth="1"/>
    <col min="9" max="9" width="10.5" customWidth="1"/>
    <col min="11" max="11" width="11.5" bestFit="1" customWidth="1"/>
  </cols>
  <sheetData>
    <row r="1" spans="1:9">
      <c r="A1" t="s">
        <v>285</v>
      </c>
      <c r="E1" s="240" t="e">
        <f>H1/$H$25</f>
        <v>#REF!</v>
      </c>
      <c r="H1" s="186" t="e">
        <f>SUM(I2:I5)</f>
        <v>#REF!</v>
      </c>
    </row>
    <row r="2" spans="1:9">
      <c r="C2" t="s">
        <v>288</v>
      </c>
      <c r="E2" s="240"/>
      <c r="G2" s="188"/>
      <c r="I2" s="188" t="e">
        <f>#REF!</f>
        <v>#REF!</v>
      </c>
    </row>
    <row r="3" spans="1:9">
      <c r="C3" t="s">
        <v>281</v>
      </c>
      <c r="E3" s="240"/>
      <c r="G3" s="188"/>
      <c r="I3" s="188" t="e">
        <f>#REF!</f>
        <v>#REF!</v>
      </c>
    </row>
    <row r="4" spans="1:9">
      <c r="C4" t="s">
        <v>282</v>
      </c>
      <c r="E4" s="240"/>
      <c r="G4" s="188"/>
      <c r="I4" s="188" t="e">
        <f>#REF!</f>
        <v>#REF!</v>
      </c>
    </row>
    <row r="5" spans="1:9">
      <c r="C5" t="s">
        <v>284</v>
      </c>
      <c r="E5" s="240"/>
      <c r="G5" s="188"/>
      <c r="I5" s="188" t="e">
        <f>#REF!</f>
        <v>#REF!</v>
      </c>
    </row>
    <row r="6" spans="1:9">
      <c r="A6" t="s">
        <v>286</v>
      </c>
      <c r="C6" t="s">
        <v>283</v>
      </c>
      <c r="E6" s="240" t="e">
        <f>H6/$H$25</f>
        <v>#REF!</v>
      </c>
      <c r="H6" s="186" t="e">
        <f>I7</f>
        <v>#REF!</v>
      </c>
    </row>
    <row r="7" spans="1:9">
      <c r="E7" s="240"/>
      <c r="G7" s="188"/>
      <c r="I7" s="188" t="e">
        <f>#REF!</f>
        <v>#REF!</v>
      </c>
    </row>
    <row r="8" spans="1:9">
      <c r="A8" t="s">
        <v>234</v>
      </c>
      <c r="E8" s="240" t="e">
        <f>G8/$H$25</f>
        <v>#REF!</v>
      </c>
      <c r="G8" s="188" t="e">
        <f>SUM(H17+H14+H9)</f>
        <v>#REF!</v>
      </c>
    </row>
    <row r="9" spans="1:9">
      <c r="C9" t="s">
        <v>289</v>
      </c>
      <c r="F9" s="240" t="e">
        <f>H9/$H$25</f>
        <v>#REF!</v>
      </c>
      <c r="H9" s="186" t="e">
        <f>SUM(I10:I13)</f>
        <v>#REF!</v>
      </c>
    </row>
    <row r="10" spans="1:9">
      <c r="D10" t="s">
        <v>292</v>
      </c>
      <c r="F10" s="240"/>
      <c r="G10" s="188"/>
      <c r="I10" s="188" t="e">
        <f>#REF!</f>
        <v>#REF!</v>
      </c>
    </row>
    <row r="11" spans="1:9">
      <c r="D11" t="s">
        <v>159</v>
      </c>
      <c r="F11" s="240"/>
      <c r="G11" s="188"/>
      <c r="I11" s="188" t="e">
        <f>#REF!</f>
        <v>#REF!</v>
      </c>
    </row>
    <row r="12" spans="1:9">
      <c r="D12" t="s">
        <v>293</v>
      </c>
      <c r="F12" s="240"/>
      <c r="G12" s="188"/>
      <c r="I12" s="188" t="e">
        <f>#REF!</f>
        <v>#REF!</v>
      </c>
    </row>
    <row r="13" spans="1:9">
      <c r="D13" t="s">
        <v>171</v>
      </c>
      <c r="F13" s="240"/>
      <c r="G13" s="188"/>
      <c r="I13" s="188" t="e">
        <f>#REF!</f>
        <v>#REF!</v>
      </c>
    </row>
    <row r="14" spans="1:9">
      <c r="C14" t="s">
        <v>290</v>
      </c>
      <c r="F14" s="240" t="e">
        <f>H14/$H$25</f>
        <v>#REF!</v>
      </c>
      <c r="H14" s="186" t="e">
        <f>SUM(I15:I16)</f>
        <v>#REF!</v>
      </c>
    </row>
    <row r="15" spans="1:9">
      <c r="D15" t="s">
        <v>292</v>
      </c>
      <c r="F15" s="240"/>
      <c r="G15" s="188"/>
      <c r="I15" s="188" t="e">
        <f>#REF!</f>
        <v>#REF!</v>
      </c>
    </row>
    <row r="16" spans="1:9">
      <c r="D16" t="s">
        <v>294</v>
      </c>
      <c r="F16" s="240"/>
      <c r="G16" s="188"/>
      <c r="I16" s="188" t="e">
        <f>#REF!</f>
        <v>#REF!</v>
      </c>
    </row>
    <row r="17" spans="1:13">
      <c r="C17" t="s">
        <v>291</v>
      </c>
      <c r="F17" s="240" t="e">
        <f>H17/$H$25</f>
        <v>#REF!</v>
      </c>
      <c r="H17" s="186" t="e">
        <f>SUM(I18:I20)</f>
        <v>#REF!</v>
      </c>
    </row>
    <row r="18" spans="1:13">
      <c r="D18" t="s">
        <v>158</v>
      </c>
      <c r="E18" s="240"/>
      <c r="G18" s="188"/>
      <c r="I18" s="188" t="e">
        <f>#REF!</f>
        <v>#REF!</v>
      </c>
    </row>
    <row r="19" spans="1:13">
      <c r="D19" t="s">
        <v>295</v>
      </c>
      <c r="E19" s="240"/>
      <c r="G19" s="188"/>
      <c r="I19" s="188" t="e">
        <f>#REF!</f>
        <v>#REF!</v>
      </c>
    </row>
    <row r="20" spans="1:13">
      <c r="D20" t="s">
        <v>296</v>
      </c>
      <c r="E20" s="240"/>
      <c r="G20" s="188"/>
      <c r="I20" s="188" t="e">
        <f>#REF!</f>
        <v>#REF!</v>
      </c>
    </row>
    <row r="21" spans="1:13">
      <c r="A21" t="s">
        <v>287</v>
      </c>
      <c r="E21" s="240" t="e">
        <f>H21/$H$25</f>
        <v>#REF!</v>
      </c>
      <c r="H21" s="186" t="e">
        <f>SUM(I22:I23)</f>
        <v>#REF!</v>
      </c>
    </row>
    <row r="22" spans="1:13">
      <c r="D22" t="s">
        <v>297</v>
      </c>
      <c r="E22" s="240"/>
      <c r="G22" s="188"/>
      <c r="I22" s="188" t="e">
        <f>#REF!</f>
        <v>#REF!</v>
      </c>
    </row>
    <row r="23" spans="1:13">
      <c r="D23" t="s">
        <v>298</v>
      </c>
      <c r="E23" s="240"/>
      <c r="G23" s="188"/>
      <c r="I23" s="188" t="e">
        <f>#REF!</f>
        <v>#REF!</v>
      </c>
    </row>
    <row r="24" spans="1:13">
      <c r="E24" s="240"/>
      <c r="G24" s="188"/>
      <c r="H24" s="188"/>
      <c r="I24" s="188"/>
      <c r="J24" s="188"/>
      <c r="L24" s="188"/>
      <c r="M24" s="188"/>
    </row>
    <row r="25" spans="1:13">
      <c r="E25" s="240" t="e">
        <f>H25/$H$25</f>
        <v>#REF!</v>
      </c>
      <c r="G25" s="188"/>
      <c r="H25" s="188" t="e">
        <f>SUM(H1:H24)</f>
        <v>#REF!</v>
      </c>
      <c r="I25" s="188"/>
      <c r="J25" s="188"/>
    </row>
    <row r="26" spans="1:13">
      <c r="E26" s="188"/>
      <c r="G26" s="188"/>
      <c r="H26" s="188"/>
      <c r="I26" s="188"/>
      <c r="J26" s="188"/>
      <c r="K26" s="188"/>
    </row>
    <row r="27" spans="1:13">
      <c r="E27" s="188"/>
      <c r="G27" s="188"/>
      <c r="H27" s="188"/>
      <c r="I27" s="188"/>
      <c r="J27" s="188"/>
    </row>
    <row r="28" spans="1:13">
      <c r="E28" s="188"/>
      <c r="G28" s="188"/>
      <c r="H28" s="188"/>
      <c r="I28" s="188"/>
      <c r="J28" s="188"/>
    </row>
    <row r="29" spans="1:13">
      <c r="E29" s="188"/>
      <c r="G29" s="188"/>
      <c r="H29" s="188"/>
      <c r="I29" s="188"/>
      <c r="J29" s="188"/>
    </row>
    <row r="30" spans="1:13">
      <c r="E30" s="188"/>
      <c r="G30" s="188"/>
      <c r="H30" s="188"/>
      <c r="I30" s="188"/>
      <c r="J30" s="188"/>
    </row>
    <row r="31" spans="1:13">
      <c r="E31" s="188"/>
      <c r="G31" s="188"/>
      <c r="H31" s="188"/>
      <c r="I31" s="188"/>
      <c r="J31" s="188"/>
    </row>
    <row r="32" spans="1:13">
      <c r="E32" s="188"/>
      <c r="G32" s="188"/>
      <c r="H32" s="188"/>
      <c r="I32" s="188"/>
      <c r="J32" s="188"/>
    </row>
    <row r="33" spans="5:10">
      <c r="E33" s="188"/>
      <c r="G33" s="188"/>
      <c r="H33" s="188"/>
      <c r="I33" s="188"/>
      <c r="J33" s="188"/>
    </row>
    <row r="34" spans="5:10">
      <c r="E34" s="188"/>
      <c r="G34" s="188"/>
      <c r="H34" s="188"/>
      <c r="I34" s="188"/>
      <c r="J34" s="188"/>
    </row>
    <row r="35" spans="5:10">
      <c r="E35" s="188"/>
      <c r="G35" s="188"/>
      <c r="H35" s="188"/>
      <c r="I35" s="188"/>
      <c r="J35" s="188"/>
    </row>
    <row r="36" spans="5:10">
      <c r="E36" s="188"/>
      <c r="G36" s="188"/>
      <c r="H36" s="188"/>
      <c r="I36" s="188"/>
      <c r="J36" s="188"/>
    </row>
    <row r="37" spans="5:10">
      <c r="E37" s="188"/>
      <c r="G37" s="188"/>
      <c r="H37" s="188"/>
      <c r="I37" s="188"/>
      <c r="J37" s="188"/>
    </row>
    <row r="38" spans="5:10">
      <c r="E38" s="188"/>
      <c r="G38" s="188"/>
      <c r="H38" s="188"/>
      <c r="I38" s="188"/>
      <c r="J38" s="188"/>
    </row>
    <row r="39" spans="5:10">
      <c r="E39" s="188"/>
      <c r="G39" s="188"/>
      <c r="H39" s="188"/>
      <c r="I39" s="188"/>
      <c r="J39" s="188"/>
    </row>
    <row r="40" spans="5:10">
      <c r="E40" s="188"/>
      <c r="G40" s="188"/>
      <c r="H40" s="188"/>
      <c r="I40" s="188"/>
      <c r="J40" s="188"/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16"/>
  <sheetViews>
    <sheetView zoomScale="40" zoomScaleNormal="40" workbookViewId="0">
      <selection activeCell="W66" sqref="W66"/>
    </sheetView>
  </sheetViews>
  <sheetFormatPr defaultRowHeight="13.5"/>
  <cols>
    <col min="1" max="1" width="8.875" customWidth="1"/>
    <col min="3" max="3" width="11.125" bestFit="1" customWidth="1"/>
    <col min="5" max="5" width="13.875" bestFit="1" customWidth="1"/>
    <col min="6" max="6" width="13.875" hidden="1" customWidth="1"/>
    <col min="7" max="8" width="10" style="584" bestFit="1" customWidth="1"/>
    <col min="9" max="12" width="10.25" style="584" bestFit="1" customWidth="1"/>
    <col min="13" max="13" width="10.625" style="584" bestFit="1" customWidth="1"/>
    <col min="14" max="18" width="10.25" style="584" bestFit="1" customWidth="1"/>
    <col min="19" max="20" width="10.25" style="591" customWidth="1"/>
  </cols>
  <sheetData>
    <row r="1" spans="2:21">
      <c r="G1" s="1184" t="s">
        <v>458</v>
      </c>
      <c r="H1" s="1184"/>
      <c r="I1" s="1184"/>
      <c r="J1" s="1184"/>
      <c r="K1" s="1184"/>
      <c r="L1" s="1184"/>
      <c r="M1" s="1184"/>
      <c r="N1" s="1184"/>
      <c r="O1" s="1184"/>
      <c r="P1" s="1184"/>
      <c r="Q1" s="1184"/>
      <c r="R1" s="1184"/>
    </row>
    <row r="2" spans="2:21">
      <c r="C2" t="s">
        <v>460</v>
      </c>
      <c r="G2" s="583" t="s">
        <v>451</v>
      </c>
      <c r="H2" s="583" t="s">
        <v>452</v>
      </c>
      <c r="I2" s="583" t="s">
        <v>453</v>
      </c>
      <c r="J2" s="583" t="s">
        <v>454</v>
      </c>
      <c r="K2" s="583" t="s">
        <v>455</v>
      </c>
      <c r="L2" s="583" t="s">
        <v>456</v>
      </c>
      <c r="M2" s="583" t="s">
        <v>445</v>
      </c>
      <c r="N2" s="583" t="s">
        <v>446</v>
      </c>
      <c r="O2" s="583" t="s">
        <v>447</v>
      </c>
      <c r="P2" s="583" t="s">
        <v>448</v>
      </c>
      <c r="Q2" s="583" t="s">
        <v>449</v>
      </c>
      <c r="R2" s="583" t="s">
        <v>450</v>
      </c>
      <c r="S2" s="592" t="s">
        <v>451</v>
      </c>
      <c r="T2" s="592" t="s">
        <v>452</v>
      </c>
    </row>
    <row r="3" spans="2:21">
      <c r="B3" t="s">
        <v>233</v>
      </c>
      <c r="C3" s="579">
        <f>'事業別損益表（決算）'!D9</f>
        <v>31747000</v>
      </c>
      <c r="E3" t="s">
        <v>233</v>
      </c>
      <c r="G3" s="580">
        <v>1212000</v>
      </c>
      <c r="H3" s="580">
        <v>1345000</v>
      </c>
      <c r="I3" s="580">
        <v>1368000</v>
      </c>
      <c r="J3" s="580">
        <v>1102000</v>
      </c>
      <c r="K3" s="580">
        <v>1262000</v>
      </c>
      <c r="L3" s="580">
        <v>1335000</v>
      </c>
      <c r="M3" s="580">
        <v>1610000</v>
      </c>
      <c r="N3" s="580">
        <v>1414000</v>
      </c>
      <c r="O3" s="580">
        <v>1482000</v>
      </c>
      <c r="P3" s="580">
        <v>1476000</v>
      </c>
      <c r="Q3" s="580">
        <v>1590000</v>
      </c>
      <c r="R3" s="580">
        <v>1904000</v>
      </c>
      <c r="S3" s="580">
        <f>1036000+576000</f>
        <v>1612000</v>
      </c>
      <c r="T3" s="580">
        <v>1611000</v>
      </c>
      <c r="U3" s="188">
        <f>SUM(M3:T3)</f>
        <v>12699000</v>
      </c>
    </row>
    <row r="4" spans="2:21">
      <c r="B4" t="s">
        <v>420</v>
      </c>
      <c r="C4" s="579" t="e">
        <f>'事業別損益表（決算）'!K9</f>
        <v>#REF!</v>
      </c>
      <c r="E4" t="s">
        <v>420</v>
      </c>
      <c r="G4" s="580">
        <v>1272000</v>
      </c>
      <c r="H4" s="580">
        <v>1149000</v>
      </c>
      <c r="I4" s="580">
        <v>1437000</v>
      </c>
      <c r="J4" s="580">
        <v>1122000</v>
      </c>
      <c r="K4" s="580">
        <v>1244000</v>
      </c>
      <c r="L4" s="580">
        <v>1304000</v>
      </c>
      <c r="M4" s="580">
        <v>1321000</v>
      </c>
      <c r="N4" s="580">
        <v>1382000</v>
      </c>
      <c r="O4" s="580">
        <v>1407000</v>
      </c>
      <c r="P4" s="580">
        <v>1457000</v>
      </c>
      <c r="Q4" s="580">
        <v>1500000</v>
      </c>
      <c r="R4" s="580">
        <v>1339000</v>
      </c>
      <c r="S4" s="580">
        <v>1432000</v>
      </c>
      <c r="T4" s="580">
        <v>1250000</v>
      </c>
      <c r="U4" s="188">
        <f>SUM(M4:T4)</f>
        <v>11088000</v>
      </c>
    </row>
    <row r="5" spans="2:21">
      <c r="B5" t="s">
        <v>457</v>
      </c>
      <c r="C5" s="188" t="e">
        <f>C3-C4</f>
        <v>#REF!</v>
      </c>
      <c r="E5" t="s">
        <v>457</v>
      </c>
      <c r="G5" s="584">
        <f t="shared" ref="G5:T5" si="0">G3-G4</f>
        <v>-60000</v>
      </c>
      <c r="H5" s="584">
        <f t="shared" si="0"/>
        <v>196000</v>
      </c>
      <c r="I5" s="584">
        <f t="shared" si="0"/>
        <v>-69000</v>
      </c>
      <c r="J5" s="584">
        <f t="shared" si="0"/>
        <v>-20000</v>
      </c>
      <c r="K5" s="584">
        <f t="shared" si="0"/>
        <v>18000</v>
      </c>
      <c r="L5" s="584">
        <f t="shared" si="0"/>
        <v>31000</v>
      </c>
      <c r="M5" s="584">
        <f t="shared" si="0"/>
        <v>289000</v>
      </c>
      <c r="N5" s="584">
        <f t="shared" si="0"/>
        <v>32000</v>
      </c>
      <c r="O5" s="584">
        <f t="shared" si="0"/>
        <v>75000</v>
      </c>
      <c r="P5" s="584">
        <f t="shared" si="0"/>
        <v>19000</v>
      </c>
      <c r="Q5" s="589">
        <f t="shared" si="0"/>
        <v>90000</v>
      </c>
      <c r="R5" s="590">
        <f t="shared" si="0"/>
        <v>565000</v>
      </c>
      <c r="S5" s="591">
        <f t="shared" si="0"/>
        <v>180000</v>
      </c>
      <c r="T5" s="591">
        <f t="shared" si="0"/>
        <v>361000</v>
      </c>
    </row>
    <row r="6" spans="2:21">
      <c r="C6" s="188"/>
      <c r="E6" t="s">
        <v>461</v>
      </c>
      <c r="M6" s="580" t="e">
        <f>#REF!</f>
        <v>#REF!</v>
      </c>
      <c r="N6" s="584" t="e">
        <f t="shared" ref="N6:T6" si="1">$M$6</f>
        <v>#REF!</v>
      </c>
      <c r="O6" s="584" t="e">
        <f t="shared" si="1"/>
        <v>#REF!</v>
      </c>
      <c r="P6" s="584" t="e">
        <f t="shared" si="1"/>
        <v>#REF!</v>
      </c>
      <c r="Q6" s="584" t="e">
        <f t="shared" si="1"/>
        <v>#REF!</v>
      </c>
      <c r="R6" s="584" t="e">
        <f t="shared" si="1"/>
        <v>#REF!</v>
      </c>
      <c r="S6" s="591" t="e">
        <f t="shared" si="1"/>
        <v>#REF!</v>
      </c>
      <c r="T6" s="591" t="e">
        <f t="shared" si="1"/>
        <v>#REF!</v>
      </c>
    </row>
    <row r="7" spans="2:21">
      <c r="C7" s="188"/>
      <c r="E7" t="s">
        <v>462</v>
      </c>
      <c r="M7" s="580" t="e">
        <f>#REF!</f>
        <v>#REF!</v>
      </c>
      <c r="N7" s="584" t="e">
        <f t="shared" ref="N7:T7" si="2">$M$7</f>
        <v>#REF!</v>
      </c>
      <c r="O7" s="584" t="e">
        <f t="shared" si="2"/>
        <v>#REF!</v>
      </c>
      <c r="P7" s="584" t="e">
        <f t="shared" si="2"/>
        <v>#REF!</v>
      </c>
      <c r="Q7" s="584" t="e">
        <f t="shared" si="2"/>
        <v>#REF!</v>
      </c>
      <c r="R7" s="584" t="e">
        <f t="shared" si="2"/>
        <v>#REF!</v>
      </c>
      <c r="S7" s="591" t="e">
        <f t="shared" si="2"/>
        <v>#REF!</v>
      </c>
      <c r="T7" s="591" t="e">
        <f t="shared" si="2"/>
        <v>#REF!</v>
      </c>
    </row>
    <row r="8" spans="2:21">
      <c r="C8" s="188"/>
      <c r="E8" t="s">
        <v>463</v>
      </c>
      <c r="M8" s="581" t="e">
        <f>M6-M7</f>
        <v>#REF!</v>
      </c>
      <c r="N8" s="584" t="e">
        <f t="shared" ref="N8:T8" si="3">$M$8</f>
        <v>#REF!</v>
      </c>
      <c r="O8" s="584" t="e">
        <f t="shared" si="3"/>
        <v>#REF!</v>
      </c>
      <c r="P8" s="584" t="e">
        <f t="shared" si="3"/>
        <v>#REF!</v>
      </c>
      <c r="Q8" s="584" t="e">
        <f t="shared" si="3"/>
        <v>#REF!</v>
      </c>
      <c r="R8" s="584" t="e">
        <f t="shared" si="3"/>
        <v>#REF!</v>
      </c>
      <c r="S8" s="591" t="e">
        <f t="shared" si="3"/>
        <v>#REF!</v>
      </c>
      <c r="T8" s="591" t="e">
        <f t="shared" si="3"/>
        <v>#REF!</v>
      </c>
    </row>
    <row r="9" spans="2:21">
      <c r="C9" s="188"/>
      <c r="G9" s="1184" t="s">
        <v>459</v>
      </c>
      <c r="H9" s="1184"/>
      <c r="I9" s="1184"/>
      <c r="J9" s="1184"/>
      <c r="K9" s="1184"/>
      <c r="L9" s="1184"/>
      <c r="M9" s="1184"/>
      <c r="N9" s="1184"/>
      <c r="O9" s="1184"/>
      <c r="P9" s="1184"/>
      <c r="Q9" s="1184"/>
      <c r="R9" s="1184"/>
    </row>
    <row r="10" spans="2:21">
      <c r="C10" t="s">
        <v>333</v>
      </c>
      <c r="G10" s="584" t="s">
        <v>451</v>
      </c>
      <c r="H10" s="584" t="s">
        <v>452</v>
      </c>
      <c r="I10" s="584" t="s">
        <v>453</v>
      </c>
      <c r="J10" s="584" t="s">
        <v>454</v>
      </c>
      <c r="K10" s="584" t="s">
        <v>455</v>
      </c>
      <c r="L10" s="584" t="s">
        <v>456</v>
      </c>
      <c r="M10" s="584" t="s">
        <v>445</v>
      </c>
      <c r="N10" s="584" t="s">
        <v>446</v>
      </c>
      <c r="O10" s="584" t="s">
        <v>447</v>
      </c>
      <c r="P10" s="584" t="s">
        <v>448</v>
      </c>
      <c r="Q10" s="584" t="s">
        <v>449</v>
      </c>
      <c r="R10" s="584" t="s">
        <v>450</v>
      </c>
      <c r="S10" s="591" t="s">
        <v>451</v>
      </c>
      <c r="T10" s="591" t="s">
        <v>452</v>
      </c>
    </row>
    <row r="11" spans="2:21">
      <c r="B11" t="s">
        <v>233</v>
      </c>
      <c r="C11" s="579" t="e">
        <f>#REF!</f>
        <v>#REF!</v>
      </c>
      <c r="E11" t="s">
        <v>233</v>
      </c>
      <c r="F11">
        <f>1368000+1423000+1356000+1333000+1403000+1292000</f>
        <v>8175000</v>
      </c>
      <c r="G11" s="578">
        <f t="shared" ref="G11:H13" si="4">G3+F11</f>
        <v>9387000</v>
      </c>
      <c r="H11" s="578">
        <f t="shared" si="4"/>
        <v>10732000</v>
      </c>
      <c r="I11" s="578">
        <f t="shared" ref="I11:L13" si="5">I3+H11</f>
        <v>12100000</v>
      </c>
      <c r="J11" s="578">
        <f t="shared" si="5"/>
        <v>13202000</v>
      </c>
      <c r="K11" s="578">
        <f t="shared" si="5"/>
        <v>14464000</v>
      </c>
      <c r="L11" s="578">
        <f t="shared" si="5"/>
        <v>15799000</v>
      </c>
      <c r="M11" s="578">
        <f>M3</f>
        <v>1610000</v>
      </c>
      <c r="N11" s="578">
        <f t="shared" ref="N11:O16" si="6">M11+N3</f>
        <v>3024000</v>
      </c>
      <c r="O11" s="578">
        <f t="shared" si="6"/>
        <v>4506000</v>
      </c>
      <c r="P11" s="578">
        <f t="shared" ref="P11:R13" si="7">O11+P3</f>
        <v>5982000</v>
      </c>
      <c r="Q11" s="578">
        <f t="shared" si="7"/>
        <v>7572000</v>
      </c>
      <c r="R11" s="578">
        <f t="shared" si="7"/>
        <v>9476000</v>
      </c>
      <c r="S11" s="578">
        <f t="shared" ref="S11:S16" si="8">R11+S3</f>
        <v>11088000</v>
      </c>
      <c r="T11" s="578">
        <f t="shared" ref="T11:T16" si="9">S11+T3</f>
        <v>12699000</v>
      </c>
    </row>
    <row r="12" spans="2:21">
      <c r="B12" t="s">
        <v>420</v>
      </c>
      <c r="C12" s="579" t="e">
        <f>#REF!</f>
        <v>#REF!</v>
      </c>
      <c r="E12" t="s">
        <v>420</v>
      </c>
      <c r="F12">
        <f>1255000+1195000+1183000+1268000+1134000+1325000</f>
        <v>7360000</v>
      </c>
      <c r="G12" s="578">
        <f t="shared" si="4"/>
        <v>8632000</v>
      </c>
      <c r="H12" s="578">
        <f t="shared" si="4"/>
        <v>9781000</v>
      </c>
      <c r="I12" s="578">
        <f t="shared" si="5"/>
        <v>11218000</v>
      </c>
      <c r="J12" s="578">
        <f t="shared" si="5"/>
        <v>12340000</v>
      </c>
      <c r="K12" s="578">
        <f t="shared" si="5"/>
        <v>13584000</v>
      </c>
      <c r="L12" s="578">
        <f t="shared" si="5"/>
        <v>14888000</v>
      </c>
      <c r="M12" s="578">
        <f>M4</f>
        <v>1321000</v>
      </c>
      <c r="N12" s="578">
        <f t="shared" si="6"/>
        <v>2703000</v>
      </c>
      <c r="O12" s="578">
        <f t="shared" si="6"/>
        <v>4110000</v>
      </c>
      <c r="P12" s="578">
        <f t="shared" si="7"/>
        <v>5567000</v>
      </c>
      <c r="Q12" s="578">
        <f t="shared" si="7"/>
        <v>7067000</v>
      </c>
      <c r="R12" s="578">
        <f t="shared" si="7"/>
        <v>8406000</v>
      </c>
      <c r="S12" s="578">
        <f t="shared" si="8"/>
        <v>9838000</v>
      </c>
      <c r="T12" s="578">
        <f t="shared" si="9"/>
        <v>11088000</v>
      </c>
    </row>
    <row r="13" spans="2:21">
      <c r="B13" t="s">
        <v>457</v>
      </c>
      <c r="C13" s="188" t="e">
        <f>C11-C12</f>
        <v>#REF!</v>
      </c>
      <c r="E13" t="s">
        <v>457</v>
      </c>
      <c r="F13">
        <f>F11-F12</f>
        <v>815000</v>
      </c>
      <c r="G13" s="578">
        <f t="shared" si="4"/>
        <v>755000</v>
      </c>
      <c r="H13" s="578">
        <f t="shared" si="4"/>
        <v>951000</v>
      </c>
      <c r="I13" s="578">
        <f t="shared" si="5"/>
        <v>882000</v>
      </c>
      <c r="J13" s="578">
        <f t="shared" si="5"/>
        <v>862000</v>
      </c>
      <c r="K13" s="578">
        <f t="shared" si="5"/>
        <v>880000</v>
      </c>
      <c r="L13" s="578">
        <f t="shared" si="5"/>
        <v>911000</v>
      </c>
      <c r="M13" s="578">
        <f>M5</f>
        <v>289000</v>
      </c>
      <c r="N13" s="578">
        <f t="shared" si="6"/>
        <v>321000</v>
      </c>
      <c r="O13" s="578">
        <f t="shared" si="6"/>
        <v>396000</v>
      </c>
      <c r="P13" s="578">
        <f t="shared" si="7"/>
        <v>415000</v>
      </c>
      <c r="Q13" s="578">
        <f t="shared" si="7"/>
        <v>505000</v>
      </c>
      <c r="R13" s="578">
        <f t="shared" si="7"/>
        <v>1070000</v>
      </c>
      <c r="S13" s="578">
        <f t="shared" si="8"/>
        <v>1250000</v>
      </c>
      <c r="T13" s="578">
        <f t="shared" si="9"/>
        <v>1611000</v>
      </c>
    </row>
    <row r="14" spans="2:21">
      <c r="E14" t="s">
        <v>461</v>
      </c>
      <c r="M14" s="582" t="e">
        <f>M6</f>
        <v>#REF!</v>
      </c>
      <c r="N14" s="578" t="e">
        <f t="shared" si="6"/>
        <v>#REF!</v>
      </c>
      <c r="O14" s="578" t="e">
        <f t="shared" si="6"/>
        <v>#REF!</v>
      </c>
      <c r="P14" s="578" t="e">
        <f t="shared" ref="P14:R16" si="10">O14+P6</f>
        <v>#REF!</v>
      </c>
      <c r="Q14" s="578" t="e">
        <f t="shared" si="10"/>
        <v>#REF!</v>
      </c>
      <c r="R14" s="578" t="e">
        <f t="shared" si="10"/>
        <v>#REF!</v>
      </c>
      <c r="S14" s="578" t="e">
        <f t="shared" si="8"/>
        <v>#REF!</v>
      </c>
      <c r="T14" s="578" t="e">
        <f t="shared" si="9"/>
        <v>#REF!</v>
      </c>
    </row>
    <row r="15" spans="2:21">
      <c r="E15" t="s">
        <v>462</v>
      </c>
      <c r="M15" s="582" t="e">
        <f>M7</f>
        <v>#REF!</v>
      </c>
      <c r="N15" s="578" t="e">
        <f t="shared" si="6"/>
        <v>#REF!</v>
      </c>
      <c r="O15" s="578" t="e">
        <f t="shared" si="6"/>
        <v>#REF!</v>
      </c>
      <c r="P15" s="578" t="e">
        <f t="shared" si="10"/>
        <v>#REF!</v>
      </c>
      <c r="Q15" s="578" t="e">
        <f t="shared" si="10"/>
        <v>#REF!</v>
      </c>
      <c r="R15" s="578" t="e">
        <f t="shared" si="10"/>
        <v>#REF!</v>
      </c>
      <c r="S15" s="578" t="e">
        <f t="shared" si="8"/>
        <v>#REF!</v>
      </c>
      <c r="T15" s="578" t="e">
        <f t="shared" si="9"/>
        <v>#REF!</v>
      </c>
    </row>
    <row r="16" spans="2:21">
      <c r="E16" t="s">
        <v>463</v>
      </c>
      <c r="M16" s="582" t="e">
        <f>M14-M15</f>
        <v>#REF!</v>
      </c>
      <c r="N16" s="578" t="e">
        <f t="shared" si="6"/>
        <v>#REF!</v>
      </c>
      <c r="O16" s="578" t="e">
        <f t="shared" si="6"/>
        <v>#REF!</v>
      </c>
      <c r="P16" s="578" t="e">
        <f t="shared" si="10"/>
        <v>#REF!</v>
      </c>
      <c r="Q16" s="578" t="e">
        <f t="shared" si="10"/>
        <v>#REF!</v>
      </c>
      <c r="R16" s="578" t="e">
        <f t="shared" si="10"/>
        <v>#REF!</v>
      </c>
      <c r="S16" s="578" t="e">
        <f t="shared" si="8"/>
        <v>#REF!</v>
      </c>
      <c r="T16" s="578" t="e">
        <f t="shared" si="9"/>
        <v>#REF!</v>
      </c>
    </row>
  </sheetData>
  <mergeCells count="2">
    <mergeCell ref="G1:R1"/>
    <mergeCell ref="G9:R9"/>
  </mergeCells>
  <phoneticPr fontId="1"/>
  <printOptions horizontalCentered="1"/>
  <pageMargins left="0.23622047244094491" right="0.23622047244094491" top="0.74803149606299213" bottom="0.35433070866141736" header="0.31496062992125984" footer="0.31496062992125984"/>
  <pageSetup paperSize="9" scale="69" orientation="landscape" r:id="rId1"/>
  <headerFooter>
    <oddHeader>&amp;C&amp;"メイリオ,ボールド"&amp;20&amp;A　経営状況報告書&amp;R出力：&amp;D</oddHead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125"/>
  <sheetViews>
    <sheetView showGridLines="0" zoomScaleNormal="100" zoomScaleSheetLayoutView="100" workbookViewId="0">
      <selection activeCell="B96" sqref="B96"/>
    </sheetView>
  </sheetViews>
  <sheetFormatPr defaultColWidth="9" defaultRowHeight="13.5"/>
  <cols>
    <col min="1" max="1" width="28.25" style="480" customWidth="1"/>
    <col min="2" max="4" width="12.625" style="474" customWidth="1"/>
    <col min="5" max="5" width="20.625" style="474" customWidth="1"/>
    <col min="6" max="16384" width="9" style="95"/>
  </cols>
  <sheetData>
    <row r="1" spans="1:5" ht="21">
      <c r="A1" s="1387" t="s">
        <v>802</v>
      </c>
      <c r="B1" s="1387"/>
      <c r="C1" s="1387"/>
      <c r="D1" s="1387"/>
      <c r="E1" s="1387"/>
    </row>
    <row r="2" spans="1:5">
      <c r="A2" s="1388" t="s">
        <v>803</v>
      </c>
      <c r="B2" s="1388"/>
      <c r="C2" s="1388"/>
      <c r="D2" s="1388"/>
      <c r="E2" s="1388"/>
    </row>
    <row r="3" spans="1:5">
      <c r="A3" s="475"/>
      <c r="B3" s="466"/>
      <c r="C3" s="466"/>
      <c r="D3" s="466"/>
      <c r="E3" s="1019" t="s">
        <v>410</v>
      </c>
    </row>
    <row r="4" spans="1:5" s="481" customFormat="1" ht="20.100000000000001" customHeight="1">
      <c r="A4" s="476" t="s">
        <v>55</v>
      </c>
      <c r="B4" s="1389" t="s">
        <v>769</v>
      </c>
      <c r="C4" s="1389"/>
      <c r="D4" s="1390"/>
      <c r="E4" s="992" t="s">
        <v>770</v>
      </c>
    </row>
    <row r="5" spans="1:5" s="481" customFormat="1" ht="12">
      <c r="A5" s="477" t="s">
        <v>737</v>
      </c>
      <c r="B5" s="482"/>
      <c r="C5" s="482"/>
      <c r="D5" s="482"/>
      <c r="E5" s="482"/>
    </row>
    <row r="6" spans="1:5" s="481" customFormat="1">
      <c r="A6" s="478" t="s">
        <v>364</v>
      </c>
      <c r="B6" s="471"/>
      <c r="C6" s="473"/>
      <c r="D6" s="473"/>
      <c r="E6" s="483"/>
    </row>
    <row r="7" spans="1:5" s="481" customFormat="1">
      <c r="A7" s="478" t="s">
        <v>412</v>
      </c>
      <c r="B7" s="1020"/>
      <c r="C7" s="473">
        <f>'②事業別損益表（事業別）'!W51</f>
        <v>291000</v>
      </c>
      <c r="D7" s="473"/>
      <c r="E7" s="483"/>
    </row>
    <row r="8" spans="1:5" s="481" customFormat="1">
      <c r="A8" s="478" t="s">
        <v>365</v>
      </c>
      <c r="B8" s="471"/>
      <c r="C8" s="473"/>
      <c r="D8" s="473"/>
      <c r="E8" s="483"/>
    </row>
    <row r="9" spans="1:5" s="481" customFormat="1">
      <c r="A9" s="478" t="s">
        <v>398</v>
      </c>
      <c r="B9" s="1020"/>
      <c r="C9" s="473">
        <f>'②事業別損益表（事業別）'!W53</f>
        <v>307000</v>
      </c>
      <c r="D9" s="473"/>
      <c r="E9" s="483" t="s">
        <v>403</v>
      </c>
    </row>
    <row r="10" spans="1:5" s="481" customFormat="1">
      <c r="A10" s="478" t="s">
        <v>366</v>
      </c>
      <c r="B10" s="471"/>
      <c r="C10" s="473"/>
      <c r="D10" s="473"/>
      <c r="E10" s="483"/>
    </row>
    <row r="11" spans="1:5" s="481" customFormat="1">
      <c r="A11" s="478" t="s">
        <v>399</v>
      </c>
      <c r="B11" s="1020"/>
      <c r="C11" s="473">
        <f>'②事業別損益表（事業別）'!W52</f>
        <v>2000000</v>
      </c>
      <c r="D11" s="473"/>
      <c r="E11" s="483" t="s">
        <v>801</v>
      </c>
    </row>
    <row r="12" spans="1:5" s="481" customFormat="1">
      <c r="A12" s="478" t="s">
        <v>367</v>
      </c>
      <c r="B12" s="473"/>
      <c r="C12" s="473"/>
      <c r="D12" s="473"/>
      <c r="E12" s="483"/>
    </row>
    <row r="13" spans="1:5" s="481" customFormat="1">
      <c r="A13" s="478" t="s">
        <v>685</v>
      </c>
      <c r="B13" s="473">
        <f>'②事業別損益表（事業別）'!W9</f>
        <v>52923000</v>
      </c>
      <c r="C13" s="473"/>
      <c r="D13" s="473"/>
      <c r="E13" s="483"/>
    </row>
    <row r="14" spans="1:5" s="481" customFormat="1">
      <c r="A14" s="478" t="s">
        <v>683</v>
      </c>
      <c r="B14" s="473">
        <f>'②事業別損益表（事業別）'!W6</f>
        <v>103993000</v>
      </c>
      <c r="C14" s="473"/>
      <c r="D14" s="473"/>
      <c r="E14" s="483" t="s">
        <v>754</v>
      </c>
    </row>
    <row r="15" spans="1:5" s="481" customFormat="1">
      <c r="A15" s="478" t="s">
        <v>684</v>
      </c>
      <c r="B15" s="473">
        <f>'②事業別損益表（事業別）'!W7</f>
        <v>54942000</v>
      </c>
      <c r="C15" s="473"/>
      <c r="D15" s="473"/>
      <c r="E15" s="483" t="s">
        <v>755</v>
      </c>
    </row>
    <row r="16" spans="1:5" s="481" customFormat="1">
      <c r="A16" s="478" t="s">
        <v>687</v>
      </c>
      <c r="B16" s="473">
        <f>'②事業別損益表（事業別）'!W11</f>
        <v>17402000</v>
      </c>
      <c r="C16" s="473"/>
      <c r="D16" s="473"/>
      <c r="E16" s="483"/>
    </row>
    <row r="17" spans="1:5" s="481" customFormat="1">
      <c r="A17" s="478" t="s">
        <v>688</v>
      </c>
      <c r="B17" s="473">
        <f>'②事業別損益表（事業別）'!W8</f>
        <v>17486000</v>
      </c>
      <c r="C17" s="473"/>
      <c r="D17" s="473"/>
      <c r="E17" s="483" t="s">
        <v>756</v>
      </c>
    </row>
    <row r="18" spans="1:5" s="481" customFormat="1">
      <c r="A18" s="478" t="s">
        <v>686</v>
      </c>
      <c r="B18" s="472">
        <f>'②事業別損益表（事業別）'!W10</f>
        <v>33812000</v>
      </c>
      <c r="C18" s="473">
        <f>SUM(B13:B18)</f>
        <v>280558000</v>
      </c>
      <c r="D18" s="473"/>
      <c r="E18" s="483" t="s">
        <v>757</v>
      </c>
    </row>
    <row r="19" spans="1:5" s="481" customFormat="1">
      <c r="A19" s="478" t="s">
        <v>368</v>
      </c>
      <c r="B19" s="473"/>
      <c r="C19" s="473"/>
      <c r="D19" s="473"/>
      <c r="E19" s="483"/>
    </row>
    <row r="20" spans="1:5" s="481" customFormat="1">
      <c r="A20" s="478" t="s">
        <v>370</v>
      </c>
      <c r="B20" s="473">
        <f>'②事業別損益表（事業別）'!W50</f>
        <v>1000</v>
      </c>
      <c r="C20" s="473"/>
      <c r="D20" s="473"/>
      <c r="E20" s="483" t="s">
        <v>413</v>
      </c>
    </row>
    <row r="21" spans="1:5" s="481" customFormat="1">
      <c r="A21" s="478" t="s">
        <v>369</v>
      </c>
      <c r="B21" s="472">
        <f>'②事業別損益表（事業別）'!W54</f>
        <v>698000</v>
      </c>
      <c r="C21" s="472">
        <f>SUM(B20:B21)</f>
        <v>699000</v>
      </c>
      <c r="D21" s="473"/>
      <c r="E21" s="483"/>
    </row>
    <row r="22" spans="1:5" s="481" customFormat="1">
      <c r="A22" s="478" t="s">
        <v>400</v>
      </c>
      <c r="B22" s="473"/>
      <c r="C22" s="473"/>
      <c r="D22" s="472">
        <f>SUM(C7:C21)</f>
        <v>283855000</v>
      </c>
      <c r="E22" s="483"/>
    </row>
    <row r="23" spans="1:5" s="481" customFormat="1">
      <c r="A23" s="478"/>
      <c r="B23" s="473"/>
      <c r="C23" s="473"/>
      <c r="D23" s="473"/>
      <c r="E23" s="483"/>
    </row>
    <row r="24" spans="1:5" s="481" customFormat="1">
      <c r="A24" s="478" t="s">
        <v>736</v>
      </c>
      <c r="B24" s="473"/>
      <c r="C24" s="473"/>
      <c r="D24" s="473"/>
      <c r="E24" s="483"/>
    </row>
    <row r="25" spans="1:5" s="481" customFormat="1">
      <c r="A25" s="478" t="s">
        <v>735</v>
      </c>
      <c r="B25" s="473"/>
      <c r="C25" s="473"/>
      <c r="D25" s="473"/>
      <c r="E25" s="483"/>
    </row>
    <row r="26" spans="1:5" s="481" customFormat="1">
      <c r="A26" s="478" t="s">
        <v>371</v>
      </c>
      <c r="B26" s="473"/>
      <c r="C26" s="473"/>
      <c r="D26" s="473"/>
      <c r="E26" s="483"/>
    </row>
    <row r="27" spans="1:5" s="481" customFormat="1">
      <c r="A27" s="478" t="s">
        <v>724</v>
      </c>
      <c r="B27" s="473">
        <f>'②事業別損益表（事業別）'!S13</f>
        <v>153022000</v>
      </c>
      <c r="C27" s="473"/>
      <c r="D27" s="473"/>
      <c r="E27" s="483"/>
    </row>
    <row r="28" spans="1:5" s="481" customFormat="1">
      <c r="A28" s="478" t="s">
        <v>389</v>
      </c>
      <c r="B28" s="473">
        <f>'②事業別損益表（事業別）'!S14</f>
        <v>14916000</v>
      </c>
      <c r="C28" s="473"/>
      <c r="D28" s="473"/>
      <c r="E28" s="483" t="s">
        <v>404</v>
      </c>
    </row>
    <row r="29" spans="1:5" s="481" customFormat="1">
      <c r="A29" s="478" t="s">
        <v>390</v>
      </c>
      <c r="B29" s="472">
        <f>'②事業別損益表（事業別）'!S15</f>
        <v>2222000</v>
      </c>
      <c r="C29" s="1020"/>
      <c r="D29" s="473"/>
      <c r="E29" s="483" t="s">
        <v>810</v>
      </c>
    </row>
    <row r="30" spans="1:5" s="481" customFormat="1">
      <c r="A30" s="478" t="s">
        <v>727</v>
      </c>
      <c r="B30" s="470">
        <f>SUM(B27:B29)</f>
        <v>170160000</v>
      </c>
      <c r="C30" s="473"/>
      <c r="D30" s="473"/>
      <c r="E30" s="483"/>
    </row>
    <row r="31" spans="1:5" s="481" customFormat="1">
      <c r="A31" s="478" t="s">
        <v>372</v>
      </c>
      <c r="B31" s="473"/>
      <c r="C31" s="473"/>
      <c r="D31" s="473"/>
      <c r="E31" s="483"/>
    </row>
    <row r="32" spans="1:5" s="481" customFormat="1">
      <c r="A32" s="478" t="s">
        <v>396</v>
      </c>
      <c r="B32" s="473">
        <f>'②事業別損益表（事業別）'!S17</f>
        <v>9797000</v>
      </c>
      <c r="C32" s="473"/>
      <c r="D32" s="473"/>
      <c r="E32" s="483" t="s">
        <v>409</v>
      </c>
    </row>
    <row r="33" spans="1:5" s="481" customFormat="1">
      <c r="A33" s="478" t="s">
        <v>689</v>
      </c>
      <c r="B33" s="473">
        <f>'②事業別損益表（事業別）'!S18</f>
        <v>93000</v>
      </c>
      <c r="C33" s="473"/>
      <c r="D33" s="473"/>
      <c r="E33" s="483" t="s">
        <v>758</v>
      </c>
    </row>
    <row r="34" spans="1:5" s="481" customFormat="1">
      <c r="A34" s="478" t="s">
        <v>691</v>
      </c>
      <c r="B34" s="473">
        <f>'②事業別損益表（事業別）'!S19</f>
        <v>7066000</v>
      </c>
      <c r="C34" s="473"/>
      <c r="D34" s="473"/>
      <c r="E34" s="1021" t="s">
        <v>748</v>
      </c>
    </row>
    <row r="35" spans="1:5" s="481" customFormat="1">
      <c r="A35" s="478" t="s">
        <v>693</v>
      </c>
      <c r="B35" s="473">
        <f>'②事業別損益表（事業別）'!S20</f>
        <v>1520000</v>
      </c>
      <c r="C35" s="473"/>
      <c r="D35" s="473"/>
      <c r="E35" s="483" t="s">
        <v>763</v>
      </c>
    </row>
    <row r="36" spans="1:5" s="481" customFormat="1">
      <c r="A36" s="478" t="s">
        <v>695</v>
      </c>
      <c r="B36" s="473">
        <f>'②事業別損益表（事業別）'!S21</f>
        <v>3990000</v>
      </c>
      <c r="C36" s="473"/>
      <c r="D36" s="473"/>
      <c r="E36" s="483"/>
    </row>
    <row r="37" spans="1:5" s="481" customFormat="1">
      <c r="A37" s="478" t="s">
        <v>697</v>
      </c>
      <c r="B37" s="473">
        <f>'②事業別損益表（事業別）'!S22</f>
        <v>1448000</v>
      </c>
      <c r="C37" s="473"/>
      <c r="D37" s="473"/>
      <c r="E37" s="483" t="s">
        <v>749</v>
      </c>
    </row>
    <row r="38" spans="1:5" s="481" customFormat="1">
      <c r="A38" s="478" t="s">
        <v>699</v>
      </c>
      <c r="B38" s="473">
        <f>'②事業別損益表（事業別）'!S23</f>
        <v>455000</v>
      </c>
      <c r="C38" s="473"/>
      <c r="D38" s="473"/>
      <c r="E38" s="483" t="s">
        <v>762</v>
      </c>
    </row>
    <row r="39" spans="1:5" s="481" customFormat="1">
      <c r="A39" s="478" t="s">
        <v>717</v>
      </c>
      <c r="B39" s="473">
        <f>'②事業別損益表（事業別）'!S24</f>
        <v>306000</v>
      </c>
      <c r="C39" s="473"/>
      <c r="D39" s="473"/>
      <c r="E39" s="483"/>
    </row>
    <row r="40" spans="1:5" s="481" customFormat="1">
      <c r="A40" s="478" t="s">
        <v>719</v>
      </c>
      <c r="B40" s="473">
        <f>'②事業別損益表（事業別）'!S25</f>
        <v>250000</v>
      </c>
      <c r="C40" s="473"/>
      <c r="D40" s="473"/>
      <c r="E40" s="483"/>
    </row>
    <row r="41" spans="1:5" s="481" customFormat="1">
      <c r="A41" s="478" t="s">
        <v>701</v>
      </c>
      <c r="B41" s="473">
        <f>'②事業別損益表（事業別）'!S27</f>
        <v>2965000</v>
      </c>
      <c r="C41" s="473"/>
      <c r="D41" s="473"/>
      <c r="E41" s="1021" t="s">
        <v>759</v>
      </c>
    </row>
    <row r="42" spans="1:5" s="481" customFormat="1">
      <c r="A42" s="478" t="s">
        <v>703</v>
      </c>
      <c r="B42" s="473">
        <f>'②事業別損益表（事業別）'!S28</f>
        <v>1469000</v>
      </c>
      <c r="C42" s="473"/>
      <c r="D42" s="473"/>
      <c r="E42" s="483" t="s">
        <v>406</v>
      </c>
    </row>
    <row r="43" spans="1:5" s="481" customFormat="1">
      <c r="A43" s="478" t="s">
        <v>721</v>
      </c>
      <c r="B43" s="473">
        <f>'②事業別損益表（事業別）'!S29</f>
        <v>14561000</v>
      </c>
      <c r="C43" s="473"/>
      <c r="D43" s="473"/>
      <c r="E43" s="483" t="s">
        <v>753</v>
      </c>
    </row>
    <row r="44" spans="1:5" s="481" customFormat="1">
      <c r="A44" s="478" t="s">
        <v>705</v>
      </c>
      <c r="B44" s="473">
        <f>'②事業別損益表（事業別）'!S30</f>
        <v>65000</v>
      </c>
      <c r="C44" s="473"/>
      <c r="D44" s="473"/>
      <c r="E44" s="483" t="s">
        <v>764</v>
      </c>
    </row>
    <row r="45" spans="1:5" s="481" customFormat="1">
      <c r="A45" s="478" t="s">
        <v>707</v>
      </c>
      <c r="B45" s="473">
        <f>'②事業別損益表（事業別）'!S32</f>
        <v>154000</v>
      </c>
      <c r="C45" s="473"/>
      <c r="D45" s="473"/>
      <c r="E45" s="483" t="s">
        <v>751</v>
      </c>
    </row>
    <row r="46" spans="1:5" s="481" customFormat="1">
      <c r="A46" s="478" t="s">
        <v>723</v>
      </c>
      <c r="B46" s="473">
        <f>'②事業別損益表（事業別）'!S34</f>
        <v>2861000</v>
      </c>
      <c r="C46" s="473"/>
      <c r="D46" s="473"/>
      <c r="E46" s="483" t="s">
        <v>750</v>
      </c>
    </row>
    <row r="47" spans="1:5" s="481" customFormat="1">
      <c r="A47" s="478" t="s">
        <v>709</v>
      </c>
      <c r="B47" s="473">
        <f>'②事業別損益表（事業別）'!S35</f>
        <v>8000</v>
      </c>
      <c r="C47" s="473"/>
      <c r="D47" s="473"/>
      <c r="E47" s="483" t="s">
        <v>766</v>
      </c>
    </row>
    <row r="48" spans="1:5" s="481" customFormat="1">
      <c r="A48" s="478" t="s">
        <v>711</v>
      </c>
      <c r="B48" s="473">
        <f>'②事業別損益表（事業別）'!S36</f>
        <v>774000</v>
      </c>
      <c r="C48" s="473"/>
      <c r="D48" s="473"/>
      <c r="E48" s="1021"/>
    </row>
    <row r="49" spans="1:5" s="481" customFormat="1">
      <c r="A49" s="478" t="s">
        <v>712</v>
      </c>
      <c r="B49" s="473">
        <f>'②事業別損益表（事業別）'!S37</f>
        <v>1200000</v>
      </c>
      <c r="C49" s="473"/>
      <c r="D49" s="473"/>
      <c r="E49" s="483" t="s">
        <v>760</v>
      </c>
    </row>
    <row r="50" spans="1:5" s="481" customFormat="1" hidden="1">
      <c r="A50" s="478" t="s">
        <v>752</v>
      </c>
      <c r="B50" s="473">
        <f>'②事業別損益表（事業別）'!S38</f>
        <v>0</v>
      </c>
      <c r="C50" s="473"/>
      <c r="D50" s="473"/>
      <c r="E50" s="483" t="s">
        <v>760</v>
      </c>
    </row>
    <row r="51" spans="1:5" s="481" customFormat="1">
      <c r="A51" s="478" t="s">
        <v>714</v>
      </c>
      <c r="B51" s="473">
        <f>'②事業別損益表（事業別）'!S39</f>
        <v>13023000</v>
      </c>
      <c r="C51" s="473"/>
      <c r="D51" s="473"/>
      <c r="E51" s="483" t="s">
        <v>407</v>
      </c>
    </row>
    <row r="52" spans="1:5" s="481" customFormat="1">
      <c r="A52" s="478" t="s">
        <v>715</v>
      </c>
      <c r="B52" s="472">
        <f>'②事業別損益表（事業別）'!S41</f>
        <v>301000</v>
      </c>
      <c r="C52" s="1020"/>
      <c r="D52" s="473"/>
      <c r="E52" s="483"/>
    </row>
    <row r="53" spans="1:5" s="481" customFormat="1">
      <c r="A53" s="478" t="s">
        <v>728</v>
      </c>
      <c r="B53" s="470">
        <f>SUM(B32:B52)</f>
        <v>62306000</v>
      </c>
      <c r="C53" s="473"/>
      <c r="D53" s="473"/>
      <c r="E53" s="483"/>
    </row>
    <row r="54" spans="1:5" s="481" customFormat="1">
      <c r="A54" s="478" t="s">
        <v>729</v>
      </c>
      <c r="B54" s="473"/>
      <c r="C54" s="473">
        <f>B30+B53</f>
        <v>232466000</v>
      </c>
      <c r="D54" s="473"/>
      <c r="E54" s="483"/>
    </row>
    <row r="55" spans="1:5" s="481" customFormat="1">
      <c r="A55" s="478" t="s">
        <v>734</v>
      </c>
      <c r="B55" s="473"/>
      <c r="C55" s="473"/>
      <c r="D55" s="473"/>
      <c r="E55" s="483"/>
    </row>
    <row r="56" spans="1:5" s="481" customFormat="1">
      <c r="A56" s="478" t="s">
        <v>371</v>
      </c>
      <c r="B56" s="473"/>
      <c r="C56" s="473"/>
      <c r="D56" s="473"/>
      <c r="E56" s="483"/>
    </row>
    <row r="57" spans="1:5" s="481" customFormat="1">
      <c r="A57" s="478" t="s">
        <v>724</v>
      </c>
      <c r="B57" s="473">
        <f>'②事業別損益表（事業別）'!U13</f>
        <v>6301000</v>
      </c>
      <c r="C57" s="473"/>
      <c r="D57" s="473"/>
      <c r="E57" s="483"/>
    </row>
    <row r="58" spans="1:5" s="481" customFormat="1">
      <c r="A58" s="478" t="s">
        <v>401</v>
      </c>
      <c r="B58" s="473">
        <f>'②事業別損益表（事業別）'!U14</f>
        <v>2235000</v>
      </c>
      <c r="C58" s="473"/>
      <c r="D58" s="473"/>
      <c r="E58" s="483"/>
    </row>
    <row r="59" spans="1:5" s="481" customFormat="1">
      <c r="A59" s="478" t="s">
        <v>402</v>
      </c>
      <c r="B59" s="472">
        <f>'②事業別損益表（事業別）'!U15</f>
        <v>832000</v>
      </c>
      <c r="C59" s="1020"/>
      <c r="D59" s="473"/>
      <c r="E59" s="483"/>
    </row>
    <row r="60" spans="1:5" s="481" customFormat="1">
      <c r="A60" s="478" t="s">
        <v>727</v>
      </c>
      <c r="B60" s="472">
        <f>SUM(B57:B59)</f>
        <v>9368000</v>
      </c>
      <c r="C60" s="473"/>
      <c r="D60" s="473"/>
      <c r="E60" s="483"/>
    </row>
    <row r="61" spans="1:5" s="481" customFormat="1">
      <c r="A61" s="478" t="s">
        <v>372</v>
      </c>
      <c r="B61" s="473"/>
      <c r="C61" s="473"/>
      <c r="D61" s="473"/>
      <c r="E61" s="483"/>
    </row>
    <row r="62" spans="1:5" s="481" customFormat="1">
      <c r="A62" s="478" t="s">
        <v>396</v>
      </c>
      <c r="B62" s="473">
        <f>'②事業別損益表（事業別）'!U17</f>
        <v>1000</v>
      </c>
      <c r="C62" s="473"/>
      <c r="D62" s="473"/>
      <c r="E62" s="483"/>
    </row>
    <row r="63" spans="1:5" s="481" customFormat="1">
      <c r="A63" s="478" t="s">
        <v>689</v>
      </c>
      <c r="B63" s="473">
        <f>'②事業別損益表（事業別）'!U18</f>
        <v>18000</v>
      </c>
      <c r="C63" s="473"/>
      <c r="D63" s="473"/>
      <c r="E63" s="483"/>
    </row>
    <row r="64" spans="1:5" s="481" customFormat="1">
      <c r="A64" s="478" t="s">
        <v>690</v>
      </c>
      <c r="B64" s="473">
        <f>'②事業別損益表（事業別）'!U19</f>
        <v>280000</v>
      </c>
      <c r="C64" s="473"/>
      <c r="D64" s="473"/>
      <c r="E64" s="479"/>
    </row>
    <row r="65" spans="1:5" s="481" customFormat="1">
      <c r="A65" s="478" t="s">
        <v>692</v>
      </c>
      <c r="B65" s="473">
        <f>'②事業別損益表（事業別）'!U20</f>
        <v>324000</v>
      </c>
      <c r="C65" s="473"/>
      <c r="D65" s="473"/>
      <c r="E65" s="483"/>
    </row>
    <row r="66" spans="1:5" s="481" customFormat="1">
      <c r="A66" s="478" t="s">
        <v>694</v>
      </c>
      <c r="B66" s="473">
        <f>'②事業別損益表（事業別）'!U21</f>
        <v>1737000</v>
      </c>
      <c r="C66" s="473"/>
      <c r="D66" s="473"/>
      <c r="E66" s="483"/>
    </row>
    <row r="67" spans="1:5" s="481" customFormat="1">
      <c r="A67" s="478" t="s">
        <v>696</v>
      </c>
      <c r="B67" s="473">
        <f>'②事業別損益表（事業別）'!U22</f>
        <v>195000</v>
      </c>
      <c r="C67" s="473"/>
      <c r="D67" s="473"/>
      <c r="E67" s="1021"/>
    </row>
    <row r="68" spans="1:5" s="481" customFormat="1">
      <c r="A68" s="478" t="s">
        <v>698</v>
      </c>
      <c r="B68" s="473">
        <f>'②事業別損益表（事業別）'!U23</f>
        <v>865000</v>
      </c>
      <c r="C68" s="473"/>
      <c r="D68" s="473"/>
      <c r="E68" s="483" t="s">
        <v>761</v>
      </c>
    </row>
    <row r="69" spans="1:5" s="481" customFormat="1">
      <c r="A69" s="478" t="s">
        <v>716</v>
      </c>
      <c r="B69" s="473">
        <f>'②事業別損益表（事業別）'!U24</f>
        <v>25000</v>
      </c>
      <c r="C69" s="473"/>
      <c r="D69" s="473"/>
      <c r="E69" s="1021"/>
    </row>
    <row r="70" spans="1:5" s="481" customFormat="1">
      <c r="A70" s="478" t="s">
        <v>718</v>
      </c>
      <c r="B70" s="473">
        <f>'②事業別損益表（事業別）'!U25</f>
        <v>1952000</v>
      </c>
      <c r="C70" s="473"/>
      <c r="D70" s="473"/>
      <c r="E70" s="483" t="s">
        <v>405</v>
      </c>
    </row>
    <row r="71" spans="1:5" s="481" customFormat="1">
      <c r="A71" s="478" t="s">
        <v>725</v>
      </c>
      <c r="B71" s="473">
        <f>'②事業別損益表（事業別）'!U26</f>
        <v>8138000</v>
      </c>
      <c r="C71" s="473"/>
      <c r="D71" s="473"/>
      <c r="E71" s="483"/>
    </row>
    <row r="72" spans="1:5" s="481" customFormat="1">
      <c r="A72" s="478" t="s">
        <v>700</v>
      </c>
      <c r="B72" s="473">
        <f>'②事業別損益表（事業別）'!U27</f>
        <v>1254000</v>
      </c>
      <c r="C72" s="473"/>
      <c r="D72" s="473"/>
      <c r="E72" s="483"/>
    </row>
    <row r="73" spans="1:5" s="481" customFormat="1">
      <c r="A73" s="478" t="s">
        <v>702</v>
      </c>
      <c r="B73" s="473">
        <f>'②事業別損益表（事業別）'!U28</f>
        <v>364000</v>
      </c>
      <c r="C73" s="473"/>
      <c r="D73" s="473"/>
      <c r="E73" s="483"/>
    </row>
    <row r="74" spans="1:5" s="481" customFormat="1">
      <c r="A74" s="478" t="s">
        <v>720</v>
      </c>
      <c r="B74" s="473">
        <f>'②事業別損益表（事業別）'!U29</f>
        <v>-8418000</v>
      </c>
      <c r="C74" s="473"/>
      <c r="D74" s="473"/>
      <c r="E74" s="483" t="s">
        <v>804</v>
      </c>
    </row>
    <row r="75" spans="1:5" s="481" customFormat="1">
      <c r="A75" s="478" t="s">
        <v>704</v>
      </c>
      <c r="B75" s="473">
        <f>'②事業別損益表（事業別）'!U30</f>
        <v>66000</v>
      </c>
      <c r="C75" s="473"/>
      <c r="D75" s="473"/>
      <c r="E75" s="483" t="s">
        <v>765</v>
      </c>
    </row>
    <row r="76" spans="1:5" s="481" customFormat="1">
      <c r="A76" s="478" t="s">
        <v>795</v>
      </c>
      <c r="B76" s="473">
        <f>'②事業別損益表（事業別）'!U31</f>
        <v>6000</v>
      </c>
      <c r="C76" s="473"/>
      <c r="D76" s="473"/>
      <c r="E76" s="483"/>
    </row>
    <row r="77" spans="1:5" s="481" customFormat="1">
      <c r="A77" s="478" t="s">
        <v>706</v>
      </c>
      <c r="B77" s="473">
        <f>'②事業別損益表（事業別）'!U32</f>
        <v>478000</v>
      </c>
      <c r="C77" s="473"/>
      <c r="D77" s="473"/>
      <c r="E77" s="483"/>
    </row>
    <row r="78" spans="1:5" s="481" customFormat="1">
      <c r="A78" s="478" t="s">
        <v>722</v>
      </c>
      <c r="B78" s="473">
        <f>'②事業別損益表（事業別）'!U34</f>
        <v>200000</v>
      </c>
      <c r="C78" s="473"/>
      <c r="D78" s="473"/>
      <c r="E78" s="483"/>
    </row>
    <row r="79" spans="1:5" s="481" customFormat="1">
      <c r="A79" s="478" t="s">
        <v>708</v>
      </c>
      <c r="B79" s="473">
        <f>'②事業別損益表（事業別）'!U35</f>
        <v>58000</v>
      </c>
      <c r="C79" s="473"/>
      <c r="D79" s="473"/>
      <c r="E79" s="483" t="s">
        <v>767</v>
      </c>
    </row>
    <row r="80" spans="1:5" s="481" customFormat="1">
      <c r="A80" s="478" t="s">
        <v>710</v>
      </c>
      <c r="B80" s="473">
        <f>'②事業別損益表（事業別）'!U36</f>
        <v>73000</v>
      </c>
      <c r="C80" s="473"/>
      <c r="D80" s="473"/>
      <c r="E80" s="483" t="s">
        <v>408</v>
      </c>
    </row>
    <row r="81" spans="1:5" s="481" customFormat="1">
      <c r="A81" s="478" t="s">
        <v>712</v>
      </c>
      <c r="B81" s="473">
        <f>'②事業別損益表（事業別）'!U37</f>
        <v>-1200000</v>
      </c>
      <c r="C81" s="473"/>
      <c r="D81" s="473"/>
      <c r="E81" s="1021"/>
    </row>
    <row r="82" spans="1:5" s="481" customFormat="1" hidden="1">
      <c r="A82" s="478" t="s">
        <v>752</v>
      </c>
      <c r="B82" s="473">
        <f>'②事業別損益表（事業別）'!U38</f>
        <v>0</v>
      </c>
      <c r="C82" s="473"/>
      <c r="D82" s="473"/>
      <c r="E82" s="1021"/>
    </row>
    <row r="83" spans="1:5" s="481" customFormat="1">
      <c r="A83" s="478" t="s">
        <v>713</v>
      </c>
      <c r="B83" s="473">
        <f>'②事業別損益表（事業別）'!U39</f>
        <v>2040000</v>
      </c>
      <c r="C83" s="473"/>
      <c r="D83" s="473"/>
      <c r="E83" s="483"/>
    </row>
    <row r="84" spans="1:5" s="481" customFormat="1">
      <c r="A84" s="478" t="s">
        <v>726</v>
      </c>
      <c r="B84" s="473">
        <f>'②事業別損益表（事業別）'!U40</f>
        <v>217000</v>
      </c>
      <c r="C84" s="473"/>
      <c r="D84" s="473"/>
      <c r="E84" s="483"/>
    </row>
    <row r="85" spans="1:5" s="481" customFormat="1">
      <c r="A85" s="478" t="s">
        <v>391</v>
      </c>
      <c r="B85" s="473">
        <f>'②事業別損益表（事業別）'!U41</f>
        <v>295000</v>
      </c>
      <c r="C85" s="1020"/>
      <c r="D85" s="473"/>
      <c r="E85" s="483"/>
    </row>
    <row r="86" spans="1:5" s="481" customFormat="1">
      <c r="A86" s="478" t="s">
        <v>812</v>
      </c>
      <c r="B86" s="472">
        <f>'②事業別損益表（事業別）'!U42</f>
        <v>15000000</v>
      </c>
      <c r="C86" s="1020"/>
      <c r="D86" s="473"/>
      <c r="E86" s="483"/>
    </row>
    <row r="87" spans="1:5" s="481" customFormat="1">
      <c r="A87" s="478" t="s">
        <v>728</v>
      </c>
      <c r="B87" s="472">
        <f>SUM(B62:B86)</f>
        <v>23968000</v>
      </c>
      <c r="C87" s="473"/>
      <c r="D87" s="473"/>
      <c r="E87" s="483"/>
    </row>
    <row r="88" spans="1:5" s="481" customFormat="1">
      <c r="A88" s="478" t="s">
        <v>730</v>
      </c>
      <c r="B88" s="473"/>
      <c r="C88" s="472">
        <f>B87+B60</f>
        <v>33336000</v>
      </c>
      <c r="D88" s="473"/>
      <c r="E88" s="483"/>
    </row>
    <row r="89" spans="1:5" s="481" customFormat="1">
      <c r="A89" s="478" t="s">
        <v>731</v>
      </c>
      <c r="B89" s="473"/>
      <c r="C89" s="473"/>
      <c r="D89" s="473">
        <f>C88+C54</f>
        <v>265802000</v>
      </c>
      <c r="E89" s="483"/>
    </row>
    <row r="90" spans="1:5" s="481" customFormat="1">
      <c r="A90" s="479" t="s">
        <v>397</v>
      </c>
      <c r="B90" s="473"/>
      <c r="C90" s="471"/>
      <c r="D90" s="1018">
        <f>D22-D89</f>
        <v>18053000</v>
      </c>
      <c r="E90" s="483"/>
    </row>
    <row r="91" spans="1:5" s="481" customFormat="1">
      <c r="A91" s="478"/>
      <c r="B91" s="473"/>
      <c r="C91" s="473"/>
      <c r="D91" s="473"/>
      <c r="E91" s="483"/>
    </row>
    <row r="92" spans="1:5" s="481" customFormat="1">
      <c r="A92" s="478" t="s">
        <v>732</v>
      </c>
      <c r="B92" s="473"/>
      <c r="C92" s="473"/>
      <c r="D92" s="473"/>
      <c r="E92" s="483"/>
    </row>
    <row r="93" spans="1:5" s="481" customFormat="1">
      <c r="A93" s="478" t="s">
        <v>738</v>
      </c>
      <c r="B93" s="1020"/>
      <c r="C93" s="473">
        <f>'②事業別損益表（事業別）'!W64</f>
        <v>192000</v>
      </c>
      <c r="D93" s="473"/>
      <c r="E93" s="483"/>
    </row>
    <row r="94" spans="1:5" s="481" customFormat="1" hidden="1">
      <c r="A94" s="478" t="s">
        <v>739</v>
      </c>
      <c r="B94" s="1020"/>
      <c r="C94" s="472">
        <f>'②事業別損益表（事業別）'!W65</f>
        <v>0</v>
      </c>
      <c r="D94" s="473"/>
      <c r="E94" s="483"/>
    </row>
    <row r="95" spans="1:5" s="481" customFormat="1">
      <c r="A95" s="478" t="s">
        <v>740</v>
      </c>
      <c r="B95" s="473"/>
      <c r="C95" s="473"/>
      <c r="D95" s="473">
        <f>SUM(C93:C94)</f>
        <v>192000</v>
      </c>
      <c r="E95" s="483"/>
    </row>
    <row r="96" spans="1:5" s="481" customFormat="1">
      <c r="A96" s="478"/>
      <c r="B96" s="473"/>
      <c r="C96" s="473"/>
      <c r="D96" s="473"/>
      <c r="E96" s="483"/>
    </row>
    <row r="97" spans="1:5" s="481" customFormat="1">
      <c r="A97" s="478" t="s">
        <v>733</v>
      </c>
      <c r="B97" s="473"/>
      <c r="C97" s="473"/>
      <c r="D97" s="473"/>
      <c r="E97" s="483"/>
    </row>
    <row r="98" spans="1:5" s="481" customFormat="1">
      <c r="A98" s="478" t="s">
        <v>741</v>
      </c>
      <c r="B98" s="473"/>
      <c r="C98" s="474">
        <f>'②事業別損益表（事業別）'!W57</f>
        <v>839000</v>
      </c>
      <c r="D98" s="473"/>
      <c r="E98" s="483" t="s">
        <v>768</v>
      </c>
    </row>
    <row r="99" spans="1:5" s="481" customFormat="1" hidden="1">
      <c r="A99" s="478" t="s">
        <v>794</v>
      </c>
      <c r="B99" s="473"/>
      <c r="C99" s="474">
        <f>'②事業別損益表（事業別）'!W58</f>
        <v>0</v>
      </c>
      <c r="D99" s="473"/>
      <c r="E99" s="483"/>
    </row>
    <row r="100" spans="1:5" s="481" customFormat="1" hidden="1">
      <c r="A100" s="478" t="s">
        <v>792</v>
      </c>
      <c r="B100" s="473"/>
      <c r="C100" s="474">
        <f>'②事業別損益表（事業別）'!W59</f>
        <v>0</v>
      </c>
      <c r="D100" s="473"/>
      <c r="E100" s="483"/>
    </row>
    <row r="101" spans="1:5" s="481" customFormat="1" hidden="1">
      <c r="A101" s="478" t="s">
        <v>793</v>
      </c>
      <c r="B101" s="1020"/>
      <c r="C101" s="1017">
        <f>'②事業別損益表（事業別）'!W68</f>
        <v>0</v>
      </c>
      <c r="D101" s="473"/>
      <c r="E101" s="483"/>
    </row>
    <row r="102" spans="1:5" s="481" customFormat="1">
      <c r="A102" s="478" t="s">
        <v>742</v>
      </c>
      <c r="B102" s="473"/>
      <c r="C102" s="473"/>
      <c r="D102" s="472">
        <f>SUM(C98:C101)</f>
        <v>839000</v>
      </c>
      <c r="E102" s="483"/>
    </row>
    <row r="103" spans="1:5" s="481" customFormat="1">
      <c r="A103" s="478"/>
      <c r="B103" s="473"/>
      <c r="C103" s="473"/>
      <c r="D103" s="473"/>
      <c r="E103" s="483"/>
    </row>
    <row r="104" spans="1:5" s="481" customFormat="1" ht="20.100000000000001" customHeight="1">
      <c r="A104" s="478" t="s">
        <v>743</v>
      </c>
      <c r="B104" s="473"/>
      <c r="C104" s="473"/>
      <c r="D104" s="473">
        <f>D90+D95-D102</f>
        <v>17406000</v>
      </c>
      <c r="E104" s="483"/>
    </row>
    <row r="105" spans="1:5" s="481" customFormat="1" ht="20.100000000000001" customHeight="1">
      <c r="A105" s="478" t="s">
        <v>744</v>
      </c>
      <c r="B105" s="473"/>
      <c r="C105" s="473"/>
      <c r="D105" s="473">
        <f>①ベース事業別内訳!C494</f>
        <v>6963000</v>
      </c>
      <c r="E105" s="483"/>
    </row>
    <row r="106" spans="1:5" s="481" customFormat="1" ht="20.100000000000001" customHeight="1">
      <c r="A106" s="479" t="s">
        <v>745</v>
      </c>
      <c r="B106" s="473"/>
      <c r="C106" s="473"/>
      <c r="D106" s="472">
        <f>D104-D105</f>
        <v>10443000</v>
      </c>
      <c r="E106" s="483"/>
    </row>
    <row r="107" spans="1:5" s="481" customFormat="1" ht="20.100000000000001" customHeight="1">
      <c r="A107" s="479" t="s">
        <v>746</v>
      </c>
      <c r="B107" s="473"/>
      <c r="C107" s="473"/>
      <c r="D107" s="470">
        <v>105482422</v>
      </c>
      <c r="E107" s="483"/>
    </row>
    <row r="108" spans="1:5" s="481" customFormat="1" ht="20.100000000000001" customHeight="1">
      <c r="A108" s="479" t="s">
        <v>747</v>
      </c>
      <c r="B108" s="473"/>
      <c r="C108" s="473"/>
      <c r="D108" s="1018">
        <f>SUM(D106:D107)</f>
        <v>115925422</v>
      </c>
      <c r="E108" s="483"/>
    </row>
    <row r="109" spans="1:5" s="481" customFormat="1" ht="12">
      <c r="A109" s="480"/>
      <c r="B109" s="484"/>
      <c r="C109" s="484"/>
      <c r="D109" s="484"/>
      <c r="E109" s="484"/>
    </row>
    <row r="110" spans="1:5" s="481" customFormat="1" ht="12">
      <c r="A110" s="480"/>
      <c r="B110" s="484"/>
      <c r="C110" s="484"/>
      <c r="D110" s="484"/>
      <c r="E110" s="484"/>
    </row>
    <row r="111" spans="1:5" s="481" customFormat="1" ht="12">
      <c r="A111" s="480"/>
      <c r="B111" s="484"/>
      <c r="C111" s="484"/>
      <c r="D111" s="484"/>
      <c r="E111" s="484"/>
    </row>
    <row r="112" spans="1:5" s="481" customFormat="1" ht="12">
      <c r="A112" s="480"/>
      <c r="B112" s="484"/>
      <c r="C112" s="484"/>
      <c r="D112" s="484"/>
      <c r="E112" s="484"/>
    </row>
    <row r="113" spans="1:5" s="481" customFormat="1" ht="12">
      <c r="A113" s="480"/>
      <c r="B113" s="484"/>
      <c r="C113" s="484"/>
      <c r="D113" s="484"/>
      <c r="E113" s="484"/>
    </row>
    <row r="114" spans="1:5" s="481" customFormat="1" ht="12">
      <c r="A114" s="480"/>
      <c r="B114" s="484"/>
      <c r="C114" s="484"/>
      <c r="D114" s="484"/>
      <c r="E114" s="484"/>
    </row>
    <row r="115" spans="1:5" s="481" customFormat="1" ht="12">
      <c r="A115" s="480"/>
      <c r="B115" s="484"/>
      <c r="C115" s="484"/>
      <c r="D115" s="484"/>
      <c r="E115" s="484"/>
    </row>
    <row r="116" spans="1:5" s="481" customFormat="1" ht="12">
      <c r="A116" s="480"/>
      <c r="B116" s="484"/>
      <c r="C116" s="484"/>
      <c r="D116" s="484"/>
      <c r="E116" s="484"/>
    </row>
    <row r="117" spans="1:5" s="481" customFormat="1" ht="12">
      <c r="A117" s="480"/>
      <c r="B117" s="484"/>
      <c r="C117" s="484"/>
      <c r="D117" s="484"/>
      <c r="E117" s="484"/>
    </row>
    <row r="118" spans="1:5" s="481" customFormat="1" ht="12">
      <c r="A118" s="480"/>
      <c r="B118" s="484"/>
      <c r="C118" s="484"/>
      <c r="D118" s="484"/>
      <c r="E118" s="484"/>
    </row>
    <row r="119" spans="1:5" s="481" customFormat="1" ht="12">
      <c r="A119" s="480"/>
      <c r="B119" s="484"/>
      <c r="C119" s="484"/>
      <c r="D119" s="484"/>
      <c r="E119" s="484"/>
    </row>
    <row r="120" spans="1:5" s="481" customFormat="1" ht="12">
      <c r="A120" s="480"/>
      <c r="B120" s="484"/>
      <c r="C120" s="484"/>
      <c r="D120" s="484"/>
      <c r="E120" s="484"/>
    </row>
    <row r="121" spans="1:5" s="481" customFormat="1" ht="12">
      <c r="A121" s="480"/>
      <c r="B121" s="484"/>
      <c r="C121" s="484"/>
      <c r="D121" s="484"/>
      <c r="E121" s="484"/>
    </row>
    <row r="122" spans="1:5" s="481" customFormat="1" ht="12">
      <c r="A122" s="480"/>
      <c r="B122" s="484"/>
      <c r="C122" s="484"/>
      <c r="D122" s="484"/>
      <c r="E122" s="484"/>
    </row>
    <row r="123" spans="1:5" s="481" customFormat="1" ht="12">
      <c r="A123" s="480"/>
      <c r="B123" s="484"/>
      <c r="C123" s="484"/>
      <c r="D123" s="484"/>
      <c r="E123" s="484"/>
    </row>
    <row r="124" spans="1:5" s="481" customFormat="1" ht="12">
      <c r="A124" s="480"/>
      <c r="B124" s="484"/>
      <c r="C124" s="484"/>
      <c r="D124" s="484"/>
      <c r="E124" s="484"/>
    </row>
    <row r="125" spans="1:5" s="481" customFormat="1" ht="12">
      <c r="A125" s="480"/>
      <c r="B125" s="484"/>
      <c r="C125" s="484"/>
      <c r="D125" s="484"/>
      <c r="E125" s="484"/>
    </row>
  </sheetData>
  <mergeCells count="3">
    <mergeCell ref="A1:E1"/>
    <mergeCell ref="A2:E2"/>
    <mergeCell ref="B4:D4"/>
  </mergeCells>
  <phoneticPr fontId="1"/>
  <printOptions horizontalCentered="1"/>
  <pageMargins left="0.25" right="0.25" top="0.75" bottom="0.75" header="0.3" footer="0.3"/>
  <pageSetup paperSize="9" scale="98" firstPageNumber="0" orientation="portrait" horizontalDpi="300" verticalDpi="300" r:id="rId1"/>
  <headerFooter alignWithMargins="0">
    <oddHeader xml:space="preserve">&amp;L&amp;"メイリオ,レギュラー"&amp;18第6号議案　2019年度予算案について&amp;R
</oddHeader>
    <oddFooter>&amp;L第６号議案&amp;C&amp;P</oddFooter>
  </headerFooter>
  <rowBreaks count="1" manualBreakCount="1">
    <brk id="54" max="4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view="pageBreakPreview" topLeftCell="A10" zoomScale="60" zoomScaleNormal="70" workbookViewId="0">
      <selection activeCell="F16" sqref="F16"/>
    </sheetView>
  </sheetViews>
  <sheetFormatPr defaultColWidth="9" defaultRowHeight="13.5"/>
  <cols>
    <col min="1" max="1" width="4" style="612" customWidth="1"/>
    <col min="2" max="2" width="24.125" style="5" bestFit="1" customWidth="1"/>
    <col min="3" max="3" width="5.5" style="1" bestFit="1" customWidth="1"/>
    <col min="4" max="4" width="13" style="613" bestFit="1" customWidth="1"/>
    <col min="5" max="5" width="6.75" style="191" hidden="1" customWidth="1"/>
    <col min="6" max="6" width="13" style="613" bestFit="1" customWidth="1"/>
    <col min="7" max="7" width="12.875" style="613" hidden="1" customWidth="1"/>
    <col min="8" max="8" width="5.25" style="193" hidden="1" customWidth="1"/>
    <col min="9" max="9" width="13.75" style="613" hidden="1" customWidth="1"/>
    <col min="10" max="10" width="15.125" style="614" hidden="1" customWidth="1"/>
    <col min="11" max="11" width="7.875" style="944" hidden="1" customWidth="1"/>
    <col min="12" max="12" width="2.875" style="1031" hidden="1" customWidth="1"/>
    <col min="13" max="13" width="12.5" style="613" customWidth="1"/>
    <col min="14" max="14" width="7.75" style="829" hidden="1" customWidth="1"/>
    <col min="15" max="15" width="15.125" style="614" customWidth="1"/>
    <col min="16" max="16" width="15.375" style="614" bestFit="1" customWidth="1"/>
    <col min="17" max="17" width="3.5" style="931" customWidth="1"/>
    <col min="18" max="18" width="12.875" style="936" hidden="1" customWidth="1"/>
    <col min="19" max="19" width="3.875" style="193" hidden="1" customWidth="1"/>
    <col min="20" max="20" width="11.625" style="518" hidden="1" customWidth="1"/>
    <col min="21" max="21" width="3.875" style="5" hidden="1" customWidth="1"/>
    <col min="22" max="22" width="13.125" style="5" hidden="1" customWidth="1"/>
    <col min="23" max="23" width="3.875" style="5" hidden="1" customWidth="1"/>
    <col min="24" max="24" width="9" style="5" hidden="1" customWidth="1"/>
    <col min="25" max="25" width="11.75" style="5" bestFit="1" customWidth="1"/>
    <col min="26" max="26" width="14.375" style="5" bestFit="1" customWidth="1"/>
    <col min="27" max="16384" width="9" style="5"/>
  </cols>
  <sheetData>
    <row r="1" spans="1:25" ht="18.75">
      <c r="A1" s="1269" t="s">
        <v>809</v>
      </c>
      <c r="B1" s="1269"/>
      <c r="C1" s="1269"/>
      <c r="D1" s="1269"/>
      <c r="E1" s="1269"/>
      <c r="F1" s="1269"/>
      <c r="G1" s="1269"/>
      <c r="H1" s="1269"/>
      <c r="I1" s="1269"/>
      <c r="J1" s="1269"/>
      <c r="K1" s="1269"/>
      <c r="L1" s="1269"/>
      <c r="M1" s="1269"/>
      <c r="N1" s="1269"/>
      <c r="O1" s="1269"/>
      <c r="P1" s="1269"/>
      <c r="Q1" s="932"/>
    </row>
    <row r="2" spans="1:25">
      <c r="A2" s="1270" t="s">
        <v>410</v>
      </c>
      <c r="B2" s="1270"/>
      <c r="C2" s="1270"/>
      <c r="D2" s="1270"/>
      <c r="E2" s="1270"/>
      <c r="F2" s="1270"/>
      <c r="G2" s="1270"/>
      <c r="H2" s="1270"/>
      <c r="I2" s="1270"/>
      <c r="J2" s="1270"/>
      <c r="K2" s="1271"/>
      <c r="L2" s="1270"/>
      <c r="M2" s="1270"/>
      <c r="N2" s="1270"/>
      <c r="O2" s="1270"/>
      <c r="P2" s="1270"/>
      <c r="Q2" s="633"/>
    </row>
    <row r="3" spans="1:25" ht="27" customHeight="1">
      <c r="A3" s="1272" t="s">
        <v>411</v>
      </c>
      <c r="B3" s="1273"/>
      <c r="C3" s="1274"/>
      <c r="D3" s="1281" t="s">
        <v>377</v>
      </c>
      <c r="E3" s="832"/>
      <c r="F3" s="1281" t="s">
        <v>378</v>
      </c>
      <c r="G3" s="1283"/>
      <c r="H3" s="1283"/>
      <c r="I3" s="1283"/>
      <c r="J3" s="1283"/>
      <c r="K3" s="1283"/>
      <c r="L3" s="1283"/>
      <c r="M3" s="1283"/>
      <c r="N3" s="1283"/>
      <c r="O3" s="1284"/>
      <c r="P3" s="1285" t="s">
        <v>380</v>
      </c>
      <c r="Q3" s="933"/>
      <c r="R3" s="1248" t="s">
        <v>773</v>
      </c>
      <c r="S3" s="1248"/>
      <c r="T3" s="1248"/>
      <c r="U3" s="1248"/>
      <c r="V3" s="1248"/>
      <c r="W3" s="1248"/>
    </row>
    <row r="4" spans="1:25" ht="18" customHeight="1">
      <c r="A4" s="1275"/>
      <c r="B4" s="1276"/>
      <c r="C4" s="1277"/>
      <c r="D4" s="1282"/>
      <c r="E4" s="1297" t="s">
        <v>473</v>
      </c>
      <c r="F4" s="1291" t="s">
        <v>177</v>
      </c>
      <c r="G4" s="1306"/>
      <c r="H4" s="1306"/>
      <c r="I4" s="1307"/>
      <c r="J4" s="1294" t="s">
        <v>160</v>
      </c>
      <c r="K4" s="1022"/>
      <c r="L4" s="1029"/>
      <c r="M4" s="1300" t="s">
        <v>635</v>
      </c>
      <c r="N4" s="1147"/>
      <c r="O4" s="1288" t="s">
        <v>483</v>
      </c>
      <c r="P4" s="1286"/>
      <c r="Q4" s="933"/>
      <c r="R4" s="1249" t="s">
        <v>636</v>
      </c>
      <c r="S4" s="930"/>
      <c r="T4" s="1243" t="s">
        <v>637</v>
      </c>
      <c r="U4" s="661"/>
      <c r="V4" s="1243" t="s">
        <v>638</v>
      </c>
      <c r="W4" s="661"/>
    </row>
    <row r="5" spans="1:25" ht="18" customHeight="1">
      <c r="A5" s="1275"/>
      <c r="B5" s="1276"/>
      <c r="C5" s="1277"/>
      <c r="D5" s="1282"/>
      <c r="E5" s="1298"/>
      <c r="F5" s="1292"/>
      <c r="G5" s="1305" t="s">
        <v>326</v>
      </c>
      <c r="H5" s="821"/>
      <c r="I5" s="1303" t="s">
        <v>327</v>
      </c>
      <c r="J5" s="1295"/>
      <c r="K5" s="1254" t="s">
        <v>481</v>
      </c>
      <c r="L5" s="1030"/>
      <c r="M5" s="1301"/>
      <c r="N5" s="1308" t="s">
        <v>481</v>
      </c>
      <c r="O5" s="1289"/>
      <c r="P5" s="1286"/>
      <c r="Q5" s="933"/>
      <c r="R5" s="1250"/>
      <c r="S5" s="1252" t="s">
        <v>481</v>
      </c>
      <c r="T5" s="1244"/>
      <c r="U5" s="1246" t="s">
        <v>481</v>
      </c>
      <c r="V5" s="1244"/>
      <c r="W5" s="1246" t="s">
        <v>481</v>
      </c>
    </row>
    <row r="6" spans="1:25">
      <c r="A6" s="1278"/>
      <c r="B6" s="1279"/>
      <c r="C6" s="1280"/>
      <c r="D6" s="1282"/>
      <c r="E6" s="1299"/>
      <c r="F6" s="1293"/>
      <c r="G6" s="1304"/>
      <c r="H6" s="822" t="s">
        <v>481</v>
      </c>
      <c r="I6" s="1304"/>
      <c r="J6" s="1296"/>
      <c r="K6" s="1255"/>
      <c r="L6" s="1030"/>
      <c r="M6" s="1302"/>
      <c r="N6" s="1309"/>
      <c r="O6" s="1290"/>
      <c r="P6" s="1287"/>
      <c r="Q6" s="933"/>
      <c r="R6" s="1251"/>
      <c r="S6" s="1253"/>
      <c r="T6" s="1245"/>
      <c r="U6" s="1247"/>
      <c r="V6" s="1245"/>
      <c r="W6" s="1247"/>
    </row>
    <row r="7" spans="1:25" s="95" customFormat="1" ht="39.950000000000003" customHeight="1">
      <c r="A7" s="1260" t="s">
        <v>474</v>
      </c>
      <c r="B7" s="1259"/>
      <c r="C7" s="1140"/>
      <c r="D7" s="787">
        <f>①ベース事業別内訳!C33</f>
        <v>36093000</v>
      </c>
      <c r="E7" s="833">
        <f t="shared" ref="E7:E21" si="0">ROUND(D7/$D$22,3)</f>
        <v>0.13100000000000001</v>
      </c>
      <c r="F7" s="603">
        <f>①ベース事業別内訳!D33</f>
        <v>29192000</v>
      </c>
      <c r="G7" s="672">
        <f>(①ベース事業別内訳!D8+①ベース事業別内訳!D9+①ベース事業別内訳!D10+①ベース事業別内訳!D11)</f>
        <v>26754000</v>
      </c>
      <c r="H7" s="824">
        <f t="shared" ref="H7:H20" si="1">G7/D7</f>
        <v>0.74125176627046796</v>
      </c>
      <c r="I7" s="672">
        <f>F7-G7</f>
        <v>2438000</v>
      </c>
      <c r="J7" s="604">
        <f>D7-F7</f>
        <v>6901000</v>
      </c>
      <c r="K7" s="1023">
        <f>J7/D7</f>
        <v>0.19120050979414291</v>
      </c>
      <c r="L7" s="1027"/>
      <c r="M7" s="1148">
        <f>ROUNDUP(-$Y$21*N7,0)</f>
        <v>5367096</v>
      </c>
      <c r="N7" s="1055">
        <f>E7+3%</f>
        <v>0.161</v>
      </c>
      <c r="O7" s="1104">
        <f>F7+M7</f>
        <v>34559096</v>
      </c>
      <c r="P7" s="1028">
        <f>D7-O7</f>
        <v>1533904</v>
      </c>
      <c r="Q7" s="931"/>
      <c r="R7" s="605">
        <f>ROUND(D7/12,-3)</f>
        <v>3008000</v>
      </c>
      <c r="S7" s="945"/>
      <c r="T7" s="605">
        <f>ROUND(F7/12,-3)</f>
        <v>2433000</v>
      </c>
      <c r="U7" s="945"/>
      <c r="V7" s="605">
        <f>ROUND(J7/12,-3)</f>
        <v>575000</v>
      </c>
      <c r="W7" s="945"/>
    </row>
    <row r="8" spans="1:25" ht="30" customHeight="1">
      <c r="A8" s="1258" t="s">
        <v>595</v>
      </c>
      <c r="B8" s="1259"/>
      <c r="C8" s="1049"/>
      <c r="D8" s="787">
        <f>①ベース事業別内訳!C62</f>
        <v>55477000</v>
      </c>
      <c r="E8" s="833">
        <f t="shared" si="0"/>
        <v>0.20200000000000001</v>
      </c>
      <c r="F8" s="603">
        <f>①ベース事業別内訳!D62</f>
        <v>37225000</v>
      </c>
      <c r="G8" s="672">
        <f>(①ベース事業別内訳!D38+①ベース事業別内訳!D39+①ベース事業別内訳!D40)</f>
        <v>25886000</v>
      </c>
      <c r="H8" s="824">
        <f t="shared" si="1"/>
        <v>0.46660778340573572</v>
      </c>
      <c r="I8" s="672">
        <f>F8-G8</f>
        <v>11339000</v>
      </c>
      <c r="J8" s="604">
        <f>D8-F8</f>
        <v>18252000</v>
      </c>
      <c r="K8" s="1023">
        <f>J8/D8</f>
        <v>0.3290012077076987</v>
      </c>
      <c r="L8" s="1027"/>
      <c r="M8" s="1148">
        <f>ROUNDUP(-$Y$21*N8,0)</f>
        <v>10734192</v>
      </c>
      <c r="N8" s="1055">
        <f>E8+12%</f>
        <v>0.32200000000000001</v>
      </c>
      <c r="O8" s="1104">
        <f>F8+M8</f>
        <v>47959192</v>
      </c>
      <c r="P8" s="1028">
        <f>D8-O8</f>
        <v>7517808</v>
      </c>
      <c r="R8" s="605">
        <f t="shared" ref="R8:R30" si="2">ROUND(D8/12,-3)</f>
        <v>4623000</v>
      </c>
      <c r="S8" s="597"/>
      <c r="T8" s="605">
        <f t="shared" ref="T8:T30" si="3">ROUND(F8/12,-3)</f>
        <v>3102000</v>
      </c>
      <c r="U8" s="597"/>
      <c r="V8" s="605">
        <f t="shared" ref="V8:V30" si="4">ROUND(J8/12,-3)</f>
        <v>1521000</v>
      </c>
      <c r="W8" s="597"/>
    </row>
    <row r="9" spans="1:25" s="95" customFormat="1" ht="30" customHeight="1">
      <c r="A9" s="942" t="s">
        <v>632</v>
      </c>
      <c r="B9" s="943"/>
      <c r="C9" s="1141"/>
      <c r="D9" s="787">
        <f>①ベース事業別内訳!C406</f>
        <v>5461000</v>
      </c>
      <c r="E9" s="833">
        <f t="shared" si="0"/>
        <v>0.02</v>
      </c>
      <c r="F9" s="603">
        <f>①ベース事業別内訳!D406</f>
        <v>5417000</v>
      </c>
      <c r="G9" s="672">
        <f>①ベース事業別内訳!D382+①ベース事業別内訳!D383+①ベース事業別内訳!D384</f>
        <v>3305000</v>
      </c>
      <c r="H9" s="824">
        <f t="shared" si="1"/>
        <v>0.6052005127266068</v>
      </c>
      <c r="I9" s="672">
        <f>F9-G9</f>
        <v>2112000</v>
      </c>
      <c r="J9" s="604">
        <f>D9-F9</f>
        <v>44000</v>
      </c>
      <c r="K9" s="1023">
        <f>J9/D9</f>
        <v>8.057132393334554E-3</v>
      </c>
      <c r="L9" s="1027"/>
      <c r="M9" s="1148">
        <f>ROUNDUP(-$Y$21*N9,0)</f>
        <v>0</v>
      </c>
      <c r="N9" s="1055">
        <f>E9-2%</f>
        <v>0</v>
      </c>
      <c r="O9" s="1104">
        <f>F9+M9</f>
        <v>5417000</v>
      </c>
      <c r="P9" s="1028">
        <f>D9-O9</f>
        <v>44000</v>
      </c>
      <c r="Q9" s="931"/>
      <c r="R9" s="605">
        <f>ROUND(D9/5,-3)</f>
        <v>1092000</v>
      </c>
      <c r="S9" s="945"/>
      <c r="T9" s="605">
        <f>ROUND(F9/5,-3)</f>
        <v>1083000</v>
      </c>
      <c r="U9" s="945"/>
      <c r="V9" s="605">
        <f>ROUND(J9/5,-3)</f>
        <v>9000</v>
      </c>
      <c r="W9" s="945"/>
    </row>
    <row r="10" spans="1:25" ht="30" customHeight="1">
      <c r="A10" s="1260" t="s">
        <v>478</v>
      </c>
      <c r="B10" s="1259"/>
      <c r="C10" s="1049"/>
      <c r="D10" s="787">
        <f>D11+D12+D13</f>
        <v>52662000</v>
      </c>
      <c r="E10" s="833">
        <f t="shared" si="0"/>
        <v>0.192</v>
      </c>
      <c r="F10" s="603">
        <f>F11+F12+F13</f>
        <v>48730000</v>
      </c>
      <c r="G10" s="672">
        <f>G11+G12+G13</f>
        <v>39992000</v>
      </c>
      <c r="H10" s="824">
        <f t="shared" si="1"/>
        <v>0.75940906156241694</v>
      </c>
      <c r="I10" s="672">
        <f>I11+I12+I13</f>
        <v>8738000</v>
      </c>
      <c r="J10" s="604">
        <f>J11+J12+J13</f>
        <v>3932000</v>
      </c>
      <c r="K10" s="1023">
        <f>J10/D10</f>
        <v>7.4664843720329652E-2</v>
      </c>
      <c r="L10" s="1027"/>
      <c r="M10" s="1148">
        <f>ROUNDUP(-$Y$21*N10,0)</f>
        <v>3900312</v>
      </c>
      <c r="N10" s="1055">
        <f>E10-7.5%</f>
        <v>0.11700000000000001</v>
      </c>
      <c r="O10" s="1104">
        <f>F10+M10</f>
        <v>52630312</v>
      </c>
      <c r="P10" s="1028">
        <f>D10-O10</f>
        <v>31688</v>
      </c>
      <c r="R10" s="605">
        <f>ROUND(D10/12,-3)</f>
        <v>4389000</v>
      </c>
      <c r="S10" s="597"/>
      <c r="T10" s="605">
        <f t="shared" si="3"/>
        <v>4061000</v>
      </c>
      <c r="U10" s="597"/>
      <c r="V10" s="605">
        <f t="shared" si="4"/>
        <v>328000</v>
      </c>
      <c r="W10" s="597"/>
      <c r="Y10" s="173"/>
    </row>
    <row r="11" spans="1:25" ht="20.100000000000001" customHeight="1">
      <c r="A11" s="686"/>
      <c r="B11" s="685" t="s">
        <v>507</v>
      </c>
      <c r="C11" s="1050"/>
      <c r="D11" s="845">
        <f>(①ベース事業別内訳!C148+①ベース事業別内訳!C149)+①ベース事業別内訳!C152</f>
        <v>31619000</v>
      </c>
      <c r="E11" s="834">
        <f t="shared" si="0"/>
        <v>0.115</v>
      </c>
      <c r="F11" s="682">
        <f>①ベース事業別内訳!D178-F12</f>
        <v>30514000</v>
      </c>
      <c r="G11" s="683">
        <f>(①ベース事業別内訳!D153+①ベース事業別内訳!D155+①ベース事業別内訳!D156)</f>
        <v>26488000</v>
      </c>
      <c r="H11" s="823">
        <f t="shared" si="1"/>
        <v>0.83772415319902593</v>
      </c>
      <c r="I11" s="683">
        <f t="shared" ref="I11:I16" si="5">F11-G11</f>
        <v>4026000</v>
      </c>
      <c r="J11" s="684">
        <f t="shared" ref="J11:J16" si="6">D11-F11</f>
        <v>1105000</v>
      </c>
      <c r="K11" s="1024">
        <f t="shared" ref="K11:K28" si="7">J11/D11</f>
        <v>3.4947341788165345E-2</v>
      </c>
      <c r="L11" s="1027"/>
      <c r="M11" s="1149"/>
      <c r="N11" s="1150"/>
      <c r="O11" s="1105"/>
      <c r="P11" s="1066"/>
      <c r="R11" s="605">
        <f t="shared" si="2"/>
        <v>2635000</v>
      </c>
      <c r="S11" s="597"/>
      <c r="T11" s="605">
        <f t="shared" si="3"/>
        <v>2543000</v>
      </c>
      <c r="U11" s="597"/>
      <c r="V11" s="605">
        <f t="shared" si="4"/>
        <v>92000</v>
      </c>
      <c r="W11" s="597"/>
    </row>
    <row r="12" spans="1:25" ht="20.100000000000001" customHeight="1">
      <c r="A12" s="686"/>
      <c r="B12" s="685" t="s">
        <v>508</v>
      </c>
      <c r="C12" s="1050"/>
      <c r="D12" s="845">
        <f>①ベース事業別内訳!C150</f>
        <v>13500000</v>
      </c>
      <c r="E12" s="834">
        <f t="shared" si="0"/>
        <v>4.9000000000000002E-2</v>
      </c>
      <c r="F12" s="682">
        <f>G12</f>
        <v>13180000</v>
      </c>
      <c r="G12" s="683">
        <f>①ベース事業別内訳!D154</f>
        <v>13180000</v>
      </c>
      <c r="H12" s="823">
        <f t="shared" si="1"/>
        <v>0.97629629629629633</v>
      </c>
      <c r="I12" s="683">
        <f t="shared" si="5"/>
        <v>0</v>
      </c>
      <c r="J12" s="684">
        <f t="shared" si="6"/>
        <v>320000</v>
      </c>
      <c r="K12" s="1024">
        <f t="shared" si="7"/>
        <v>2.3703703703703703E-2</v>
      </c>
      <c r="L12" s="1027"/>
      <c r="M12" s="1149"/>
      <c r="N12" s="1150"/>
      <c r="O12" s="1105"/>
      <c r="P12" s="1066"/>
      <c r="R12" s="605">
        <f t="shared" si="2"/>
        <v>1125000</v>
      </c>
      <c r="S12" s="597"/>
      <c r="T12" s="605">
        <f t="shared" si="3"/>
        <v>1098000</v>
      </c>
      <c r="U12" s="597"/>
      <c r="V12" s="605">
        <f t="shared" si="4"/>
        <v>27000</v>
      </c>
      <c r="W12" s="597"/>
    </row>
    <row r="13" spans="1:25" ht="20.100000000000001" customHeight="1">
      <c r="A13" s="313"/>
      <c r="B13" s="681" t="s">
        <v>616</v>
      </c>
      <c r="C13" s="1051"/>
      <c r="D13" s="845">
        <f>①ベース事業別内訳!C232</f>
        <v>7543000</v>
      </c>
      <c r="E13" s="834">
        <f t="shared" si="0"/>
        <v>2.7E-2</v>
      </c>
      <c r="F13" s="682">
        <f>①ベース事業別内訳!D232</f>
        <v>5036000</v>
      </c>
      <c r="G13" s="683">
        <f>(①ベース事業別内訳!D208+①ベース事業別内訳!D209+①ベース事業別内訳!D210)</f>
        <v>324000</v>
      </c>
      <c r="H13" s="823">
        <f t="shared" si="1"/>
        <v>4.2953731936895133E-2</v>
      </c>
      <c r="I13" s="683">
        <f t="shared" si="5"/>
        <v>4712000</v>
      </c>
      <c r="J13" s="684">
        <f t="shared" si="6"/>
        <v>2507000</v>
      </c>
      <c r="K13" s="1024">
        <f t="shared" si="7"/>
        <v>0.33236112952406205</v>
      </c>
      <c r="L13" s="1027"/>
      <c r="M13" s="1149"/>
      <c r="N13" s="1150"/>
      <c r="O13" s="1105"/>
      <c r="P13" s="1066"/>
      <c r="R13" s="605">
        <f t="shared" si="2"/>
        <v>629000</v>
      </c>
      <c r="S13" s="597"/>
      <c r="T13" s="605">
        <f t="shared" si="3"/>
        <v>420000</v>
      </c>
      <c r="U13" s="597"/>
      <c r="V13" s="605">
        <f t="shared" si="4"/>
        <v>209000</v>
      </c>
      <c r="W13" s="597"/>
    </row>
    <row r="14" spans="1:25" s="95" customFormat="1" ht="30" customHeight="1">
      <c r="A14" s="1260" t="s">
        <v>633</v>
      </c>
      <c r="B14" s="1267"/>
      <c r="C14" s="1268"/>
      <c r="D14" s="787">
        <f>①ベース事業別内訳!C205</f>
        <v>25247000</v>
      </c>
      <c r="E14" s="833">
        <f t="shared" si="0"/>
        <v>9.1999999999999998E-2</v>
      </c>
      <c r="F14" s="603">
        <f>①ベース事業別内訳!D205</f>
        <v>24395000</v>
      </c>
      <c r="G14" s="672">
        <f>(①ベース事業別内訳!D181+①ベース事業別内訳!D182+①ベース事業別内訳!D183)</f>
        <v>4214000</v>
      </c>
      <c r="H14" s="824">
        <f t="shared" si="1"/>
        <v>0.16691092010931993</v>
      </c>
      <c r="I14" s="672">
        <f>F14-G14</f>
        <v>20181000</v>
      </c>
      <c r="J14" s="604">
        <f t="shared" si="6"/>
        <v>852000</v>
      </c>
      <c r="K14" s="1023">
        <f t="shared" si="7"/>
        <v>3.3746583752525053E-2</v>
      </c>
      <c r="L14" s="1027"/>
      <c r="M14" s="1148">
        <f>ROUNDUP(-$Y$21*N14,0)</f>
        <v>733392</v>
      </c>
      <c r="N14" s="1055">
        <f>E14-7%</f>
        <v>2.1999999999999992E-2</v>
      </c>
      <c r="O14" s="1104">
        <f>F14+M14</f>
        <v>25128392</v>
      </c>
      <c r="P14" s="1028">
        <f>D14-O14</f>
        <v>118608</v>
      </c>
      <c r="Q14" s="931"/>
      <c r="R14" s="605">
        <f t="shared" si="2"/>
        <v>2104000</v>
      </c>
      <c r="S14" s="945"/>
      <c r="T14" s="605">
        <f t="shared" si="3"/>
        <v>2033000</v>
      </c>
      <c r="U14" s="945"/>
      <c r="V14" s="605">
        <f t="shared" si="4"/>
        <v>71000</v>
      </c>
      <c r="W14" s="945"/>
    </row>
    <row r="15" spans="1:25" ht="30" customHeight="1">
      <c r="A15" s="1258" t="s">
        <v>476</v>
      </c>
      <c r="B15" s="1259"/>
      <c r="C15" s="1049"/>
      <c r="D15" s="787">
        <f>①ベース事業別内訳!C116</f>
        <v>17400000</v>
      </c>
      <c r="E15" s="833">
        <f t="shared" si="0"/>
        <v>6.3E-2</v>
      </c>
      <c r="F15" s="603">
        <f>①ベース事業別内訳!D116</f>
        <v>13357000</v>
      </c>
      <c r="G15" s="672">
        <f>(①ベース事業別内訳!D92+①ベース事業別内訳!D93+①ベース事業別内訳!D94)</f>
        <v>12301000</v>
      </c>
      <c r="H15" s="824">
        <f t="shared" si="1"/>
        <v>0.70695402298850574</v>
      </c>
      <c r="I15" s="672">
        <f t="shared" si="5"/>
        <v>1056000</v>
      </c>
      <c r="J15" s="604">
        <f t="shared" si="6"/>
        <v>4043000</v>
      </c>
      <c r="K15" s="1023">
        <f t="shared" si="7"/>
        <v>0.23235632183908045</v>
      </c>
      <c r="L15" s="1027"/>
      <c r="M15" s="1148">
        <f>ROUNDUP(-$Y$21*N15,0)</f>
        <v>2100168</v>
      </c>
      <c r="N15" s="1055">
        <f>E15</f>
        <v>6.3E-2</v>
      </c>
      <c r="O15" s="1104">
        <f t="shared" ref="O15:O21" si="8">F15+M15</f>
        <v>15457168</v>
      </c>
      <c r="P15" s="1028">
        <f>D15-O15</f>
        <v>1942832</v>
      </c>
      <c r="R15" s="605">
        <f>ROUND(D15/12,-3)</f>
        <v>1450000</v>
      </c>
      <c r="S15" s="597"/>
      <c r="T15" s="605">
        <f t="shared" si="3"/>
        <v>1113000</v>
      </c>
      <c r="U15" s="597"/>
      <c r="V15" s="605">
        <f t="shared" si="4"/>
        <v>337000</v>
      </c>
      <c r="W15" s="597"/>
    </row>
    <row r="16" spans="1:25" ht="30" customHeight="1">
      <c r="A16" s="1258" t="s">
        <v>569</v>
      </c>
      <c r="B16" s="1259"/>
      <c r="C16" s="1140"/>
      <c r="D16" s="787">
        <f>①ベース事業別内訳!C90</f>
        <v>20259000</v>
      </c>
      <c r="E16" s="833">
        <f t="shared" si="0"/>
        <v>7.3999999999999996E-2</v>
      </c>
      <c r="F16" s="603">
        <f>①ベース事業別内訳!D90</f>
        <v>16935000</v>
      </c>
      <c r="G16" s="672">
        <f>(①ベース事業別内訳!D66+①ベース事業別内訳!D67+①ベース事業別内訳!D68)</f>
        <v>12806000</v>
      </c>
      <c r="H16" s="824">
        <f t="shared" si="1"/>
        <v>0.63211412211856455</v>
      </c>
      <c r="I16" s="672">
        <f t="shared" si="5"/>
        <v>4129000</v>
      </c>
      <c r="J16" s="604">
        <f t="shared" si="6"/>
        <v>3324000</v>
      </c>
      <c r="K16" s="1023">
        <f t="shared" si="7"/>
        <v>0.164075225825559</v>
      </c>
      <c r="L16" s="1027"/>
      <c r="M16" s="1148">
        <f>ROUNDUP(-$Y$21*N16,0)</f>
        <v>2466864</v>
      </c>
      <c r="N16" s="1055">
        <f>E16</f>
        <v>7.3999999999999996E-2</v>
      </c>
      <c r="O16" s="1104">
        <f t="shared" si="8"/>
        <v>19401864</v>
      </c>
      <c r="P16" s="1028">
        <f>D16-O16</f>
        <v>857136</v>
      </c>
      <c r="R16" s="605">
        <f t="shared" si="2"/>
        <v>1688000</v>
      </c>
      <c r="S16" s="597"/>
      <c r="T16" s="605">
        <f t="shared" si="3"/>
        <v>1411000</v>
      </c>
      <c r="U16" s="597"/>
      <c r="V16" s="605">
        <f t="shared" si="4"/>
        <v>277000</v>
      </c>
      <c r="W16" s="597"/>
    </row>
    <row r="17" spans="1:26" ht="30" customHeight="1">
      <c r="A17" s="1260" t="s">
        <v>488</v>
      </c>
      <c r="B17" s="1259"/>
      <c r="C17" s="1049"/>
      <c r="D17" s="787">
        <f>D18+D19</f>
        <v>21005000</v>
      </c>
      <c r="E17" s="833">
        <f t="shared" si="0"/>
        <v>7.6999999999999999E-2</v>
      </c>
      <c r="F17" s="603">
        <f>F18+F19</f>
        <v>17029000</v>
      </c>
      <c r="G17" s="672">
        <f>G18+G19</f>
        <v>13079000</v>
      </c>
      <c r="H17" s="824">
        <f t="shared" si="1"/>
        <v>0.6226612711259224</v>
      </c>
      <c r="I17" s="672">
        <f>I18+I19</f>
        <v>3950000</v>
      </c>
      <c r="J17" s="604">
        <f>J18+J19</f>
        <v>3976000</v>
      </c>
      <c r="K17" s="1023">
        <f t="shared" si="7"/>
        <v>0.18928826469888121</v>
      </c>
      <c r="L17" s="1027"/>
      <c r="M17" s="1148">
        <f>ROUNDUP(-$Y$21*N17,0)</f>
        <v>2566872</v>
      </c>
      <c r="N17" s="1055">
        <f>E17</f>
        <v>7.6999999999999999E-2</v>
      </c>
      <c r="O17" s="1104">
        <f t="shared" si="8"/>
        <v>19595872</v>
      </c>
      <c r="P17" s="1028">
        <f>D17-O17</f>
        <v>1409128</v>
      </c>
      <c r="R17" s="605">
        <f t="shared" si="2"/>
        <v>1750000</v>
      </c>
      <c r="S17" s="597"/>
      <c r="T17" s="605">
        <f t="shared" si="3"/>
        <v>1419000</v>
      </c>
      <c r="U17" s="597"/>
      <c r="V17" s="605">
        <f t="shared" si="4"/>
        <v>331000</v>
      </c>
      <c r="W17" s="597"/>
      <c r="Y17" s="173"/>
    </row>
    <row r="18" spans="1:26" ht="20.100000000000001" customHeight="1">
      <c r="A18" s="659"/>
      <c r="B18" s="681" t="s">
        <v>470</v>
      </c>
      <c r="C18" s="1051"/>
      <c r="D18" s="845">
        <f>①ベース事業別内訳!C291</f>
        <v>11581000</v>
      </c>
      <c r="E18" s="834">
        <f t="shared" si="0"/>
        <v>4.2000000000000003E-2</v>
      </c>
      <c r="F18" s="682">
        <f>①ベース事業別内訳!D291</f>
        <v>8425000</v>
      </c>
      <c r="G18" s="683">
        <f>(①ベース事業別内訳!D265+①ベース事業別内訳!D266+①ベース事業別内訳!D267)</f>
        <v>6157000</v>
      </c>
      <c r="H18" s="823">
        <f t="shared" si="1"/>
        <v>0.53164666263707794</v>
      </c>
      <c r="I18" s="683">
        <f>F18-G18</f>
        <v>2268000</v>
      </c>
      <c r="J18" s="684">
        <f>D18-F18</f>
        <v>3156000</v>
      </c>
      <c r="K18" s="1024">
        <f t="shared" si="7"/>
        <v>0.27251532682842589</v>
      </c>
      <c r="L18" s="1027"/>
      <c r="M18" s="1149"/>
      <c r="N18" s="1151">
        <f>E18+1.4%</f>
        <v>5.6000000000000001E-2</v>
      </c>
      <c r="O18" s="1105"/>
      <c r="P18" s="1066"/>
      <c r="R18" s="605">
        <f t="shared" si="2"/>
        <v>965000</v>
      </c>
      <c r="S18" s="597"/>
      <c r="T18" s="605">
        <f t="shared" si="3"/>
        <v>702000</v>
      </c>
      <c r="U18" s="597"/>
      <c r="V18" s="605">
        <f t="shared" si="4"/>
        <v>263000</v>
      </c>
      <c r="W18" s="597"/>
    </row>
    <row r="19" spans="1:26" ht="20.100000000000001" customHeight="1" thickBot="1">
      <c r="A19" s="313"/>
      <c r="B19" s="681" t="s">
        <v>471</v>
      </c>
      <c r="C19" s="1051"/>
      <c r="D19" s="845">
        <f>①ベース事業別内訳!C319</f>
        <v>9424000</v>
      </c>
      <c r="E19" s="834">
        <f t="shared" si="0"/>
        <v>3.4000000000000002E-2</v>
      </c>
      <c r="F19" s="682">
        <f>①ベース事業別内訳!D319</f>
        <v>8604000</v>
      </c>
      <c r="G19" s="683">
        <f>(①ベース事業別内訳!D295+①ベース事業別内訳!D296+①ベース事業別内訳!D297)</f>
        <v>6922000</v>
      </c>
      <c r="H19" s="823">
        <f t="shared" si="1"/>
        <v>0.73450764006791169</v>
      </c>
      <c r="I19" s="683">
        <f>F19-G19</f>
        <v>1682000</v>
      </c>
      <c r="J19" s="684">
        <f>D19-F19</f>
        <v>820000</v>
      </c>
      <c r="K19" s="1024">
        <f t="shared" si="7"/>
        <v>8.7011884550084892E-2</v>
      </c>
      <c r="L19" s="1027"/>
      <c r="M19" s="1149"/>
      <c r="N19" s="1151">
        <f>E19-1.4%</f>
        <v>2.0000000000000004E-2</v>
      </c>
      <c r="O19" s="1105"/>
      <c r="P19" s="1066"/>
      <c r="R19" s="605">
        <f t="shared" si="2"/>
        <v>785000</v>
      </c>
      <c r="S19" s="597"/>
      <c r="T19" s="605">
        <f t="shared" si="3"/>
        <v>717000</v>
      </c>
      <c r="U19" s="597"/>
      <c r="V19" s="605">
        <f t="shared" si="4"/>
        <v>68000</v>
      </c>
      <c r="W19" s="597"/>
    </row>
    <row r="20" spans="1:26" ht="30" customHeight="1">
      <c r="A20" s="1258" t="s">
        <v>477</v>
      </c>
      <c r="B20" s="1259"/>
      <c r="C20" s="1049"/>
      <c r="D20" s="787">
        <f>①ベース事業別内訳!C147</f>
        <v>31747000</v>
      </c>
      <c r="E20" s="833">
        <f t="shared" si="0"/>
        <v>0.11600000000000001</v>
      </c>
      <c r="F20" s="603">
        <f>①ベース事業別内訳!D147</f>
        <v>26310000</v>
      </c>
      <c r="G20" s="672">
        <f>(①ベース事業別内訳!D123+①ベース事業別内訳!D124+①ベース事業別内訳!D125)</f>
        <v>24358000</v>
      </c>
      <c r="H20" s="824">
        <f t="shared" si="1"/>
        <v>0.76725359876523769</v>
      </c>
      <c r="I20" s="672">
        <f>F20-G20</f>
        <v>1952000</v>
      </c>
      <c r="J20" s="604">
        <f>D20-F20</f>
        <v>5437000</v>
      </c>
      <c r="K20" s="1023">
        <f t="shared" si="7"/>
        <v>0.17126027656156487</v>
      </c>
      <c r="L20" s="1027"/>
      <c r="M20" s="1148">
        <f>ROUNDUP(-$Y$21*N20,0)</f>
        <v>4867056</v>
      </c>
      <c r="N20" s="1055">
        <f>E20+3%</f>
        <v>0.14600000000000002</v>
      </c>
      <c r="O20" s="1104">
        <f t="shared" si="8"/>
        <v>31177056</v>
      </c>
      <c r="P20" s="1028">
        <f>D20-O20</f>
        <v>569944</v>
      </c>
      <c r="R20" s="605">
        <f t="shared" si="2"/>
        <v>2646000</v>
      </c>
      <c r="S20" s="597"/>
      <c r="T20" s="605">
        <f t="shared" si="3"/>
        <v>2193000</v>
      </c>
      <c r="U20" s="597"/>
      <c r="V20" s="605">
        <f t="shared" si="4"/>
        <v>453000</v>
      </c>
      <c r="W20" s="597"/>
      <c r="Y20" s="1043" t="s">
        <v>772</v>
      </c>
    </row>
    <row r="21" spans="1:26" ht="30" customHeight="1" thickBot="1">
      <c r="A21" s="1258" t="s">
        <v>479</v>
      </c>
      <c r="B21" s="1259"/>
      <c r="C21" s="1049"/>
      <c r="D21" s="787">
        <f>①ベース事業別内訳!C260</f>
        <v>9167000</v>
      </c>
      <c r="E21" s="833">
        <f t="shared" si="0"/>
        <v>3.3000000000000002E-2</v>
      </c>
      <c r="F21" s="603">
        <f>①ベース事業別内訳!D260</f>
        <v>8525000</v>
      </c>
      <c r="G21" s="672">
        <f>(①ベース事業別内訳!D236+①ベース事業別内訳!D237+①ベース事業別内訳!D238)</f>
        <v>4356000</v>
      </c>
      <c r="H21" s="824">
        <f>G21/D21</f>
        <v>0.47518272062834077</v>
      </c>
      <c r="I21" s="672">
        <f>F21-G21</f>
        <v>4169000</v>
      </c>
      <c r="J21" s="604">
        <f>D21-F21</f>
        <v>642000</v>
      </c>
      <c r="K21" s="1023">
        <f t="shared" si="7"/>
        <v>7.0033816952110833E-2</v>
      </c>
      <c r="L21" s="1027"/>
      <c r="M21" s="1148">
        <f>ROUNDUP(-$Y$21*N21,0)</f>
        <v>600048</v>
      </c>
      <c r="N21" s="1055">
        <f>E21-1.5%</f>
        <v>1.8000000000000002E-2</v>
      </c>
      <c r="O21" s="1104">
        <f t="shared" si="8"/>
        <v>9125048</v>
      </c>
      <c r="P21" s="1028">
        <f>D21-O21</f>
        <v>41952</v>
      </c>
      <c r="R21" s="605">
        <f t="shared" si="2"/>
        <v>764000</v>
      </c>
      <c r="S21" s="597"/>
      <c r="T21" s="605">
        <f t="shared" si="3"/>
        <v>710000</v>
      </c>
      <c r="U21" s="597"/>
      <c r="V21" s="605">
        <f t="shared" si="4"/>
        <v>54000</v>
      </c>
      <c r="W21" s="597"/>
      <c r="Y21" s="1044">
        <f>J29</f>
        <v>-33336000</v>
      </c>
    </row>
    <row r="22" spans="1:26" s="41" customFormat="1" ht="14.25" customHeight="1">
      <c r="A22" s="1261" t="s">
        <v>592</v>
      </c>
      <c r="B22" s="1262"/>
      <c r="C22" s="1052"/>
      <c r="D22" s="1038">
        <f>D7+D8+D9+D10+D14+D15+D16+D17+D20+D21</f>
        <v>274518000</v>
      </c>
      <c r="E22" s="1060"/>
      <c r="F22" s="1038">
        <f>F7+F8+F9+F10+F14+F15+F16+F17+F20+F21</f>
        <v>227115000</v>
      </c>
      <c r="G22" s="1038">
        <f>G7+G8+G9+G10+G14+G15+G16+G17+G20+G21</f>
        <v>167051000</v>
      </c>
      <c r="H22" s="1121">
        <f>G22/D22</f>
        <v>0.60852475976074427</v>
      </c>
      <c r="I22" s="1038">
        <f>I7+I8+I9+I10+I14+I15+I16+I17+I20+I21</f>
        <v>60064000</v>
      </c>
      <c r="J22" s="1038">
        <f>J7+J8+J9+J10+J14+J15+J16+J17+J20+J21</f>
        <v>47403000</v>
      </c>
      <c r="K22" s="1039"/>
      <c r="L22" s="1120"/>
      <c r="M22" s="1152">
        <f>M7+M8+M9+M10+M14+M15+M16+M17+M20+M21</f>
        <v>33336000</v>
      </c>
      <c r="N22" s="1153">
        <f>N7+N8+N9+N10+N14+N15+N16+N17+N20+N21</f>
        <v>1</v>
      </c>
      <c r="O22" s="1152">
        <f>O7+O8+O9+O10+O14+O15+O16+O17+O20+O21</f>
        <v>260451000</v>
      </c>
      <c r="P22" s="1122">
        <f>P7+P8+P9+P10+P14+P15+P16+P17+P20+P21</f>
        <v>14067000</v>
      </c>
      <c r="Q22" s="931"/>
      <c r="R22" s="1034"/>
      <c r="S22" s="1036"/>
      <c r="T22" s="1034"/>
      <c r="U22" s="1036"/>
      <c r="V22" s="1034"/>
      <c r="W22" s="1036"/>
      <c r="Z22" s="1068"/>
    </row>
    <row r="23" spans="1:26" s="41" customFormat="1" ht="14.25">
      <c r="A23" s="1143"/>
      <c r="B23" s="1142"/>
      <c r="C23" s="1053"/>
      <c r="D23" s="706"/>
      <c r="E23" s="1032"/>
      <c r="F23" s="706"/>
      <c r="G23" s="706"/>
      <c r="H23" s="1033"/>
      <c r="I23" s="706"/>
      <c r="J23" s="1034"/>
      <c r="K23" s="1035"/>
      <c r="L23" s="1027"/>
      <c r="M23" s="1042"/>
      <c r="N23" s="1040"/>
      <c r="O23" s="1067"/>
      <c r="P23" s="934"/>
      <c r="Q23" s="931"/>
      <c r="R23" s="1034"/>
      <c r="S23" s="1036"/>
      <c r="T23" s="1034"/>
      <c r="U23" s="1036"/>
      <c r="V23" s="1034"/>
      <c r="W23" s="1036"/>
    </row>
    <row r="24" spans="1:26" ht="30" customHeight="1">
      <c r="A24" s="1260" t="s">
        <v>594</v>
      </c>
      <c r="B24" s="1259"/>
      <c r="C24" s="1049"/>
      <c r="D24" s="787">
        <f>D25+D26+D27</f>
        <v>6040000</v>
      </c>
      <c r="E24" s="833"/>
      <c r="F24" s="603">
        <f>F25+F26+F27</f>
        <v>5351000</v>
      </c>
      <c r="G24" s="672">
        <f>G25+G26+G27</f>
        <v>3109000</v>
      </c>
      <c r="H24" s="824">
        <f>G24/D24</f>
        <v>0.5147350993377483</v>
      </c>
      <c r="I24" s="672">
        <f>I25+I26+I27</f>
        <v>2242000</v>
      </c>
      <c r="J24" s="604">
        <f>J25+J26+J27</f>
        <v>689000</v>
      </c>
      <c r="K24" s="1023">
        <f t="shared" si="7"/>
        <v>0.1140728476821192</v>
      </c>
      <c r="L24" s="1027"/>
      <c r="M24" s="1062"/>
      <c r="N24" s="1063"/>
      <c r="O24" s="605">
        <f>F24</f>
        <v>5351000</v>
      </c>
      <c r="P24" s="605">
        <f>D24-O24</f>
        <v>689000</v>
      </c>
      <c r="R24" s="605">
        <f t="shared" si="2"/>
        <v>503000</v>
      </c>
      <c r="S24" s="597"/>
      <c r="T24" s="605">
        <f t="shared" si="3"/>
        <v>446000</v>
      </c>
      <c r="U24" s="597"/>
      <c r="V24" s="605">
        <f t="shared" si="4"/>
        <v>57000</v>
      </c>
      <c r="W24" s="597"/>
    </row>
    <row r="25" spans="1:26" hidden="1">
      <c r="A25" s="659"/>
      <c r="B25" s="681" t="s">
        <v>376</v>
      </c>
      <c r="C25" s="1051"/>
      <c r="D25" s="845">
        <f>①ベース事業別内訳!C330</f>
        <v>281000</v>
      </c>
      <c r="E25" s="835"/>
      <c r="F25" s="682">
        <f>①ベース事業別内訳!D330</f>
        <v>173000</v>
      </c>
      <c r="G25" s="683"/>
      <c r="H25" s="823"/>
      <c r="I25" s="683">
        <f>F25-G25</f>
        <v>173000</v>
      </c>
      <c r="J25" s="684">
        <f>D25-F25</f>
        <v>108000</v>
      </c>
      <c r="K25" s="1024">
        <f t="shared" si="7"/>
        <v>0.38434163701067614</v>
      </c>
      <c r="L25" s="1027"/>
      <c r="M25" s="1062"/>
      <c r="N25" s="1063"/>
      <c r="O25" s="605">
        <f>-J25</f>
        <v>-108000</v>
      </c>
      <c r="P25" s="605"/>
      <c r="R25" s="605">
        <f t="shared" si="2"/>
        <v>23000</v>
      </c>
      <c r="S25" s="597"/>
      <c r="T25" s="605">
        <f t="shared" si="3"/>
        <v>14000</v>
      </c>
      <c r="U25" s="597"/>
      <c r="V25" s="605">
        <f t="shared" si="4"/>
        <v>9000</v>
      </c>
      <c r="W25" s="597"/>
    </row>
    <row r="26" spans="1:26" hidden="1">
      <c r="A26" s="313"/>
      <c r="B26" s="681" t="s">
        <v>778</v>
      </c>
      <c r="C26" s="1051"/>
      <c r="D26" s="845">
        <f>①ベース事業別内訳!C358</f>
        <v>5000000</v>
      </c>
      <c r="E26" s="834"/>
      <c r="F26" s="682">
        <f>①ベース事業別内訳!D358</f>
        <v>5000000</v>
      </c>
      <c r="G26" s="683">
        <f>①ベース事業別内訳!D333</f>
        <v>3069000</v>
      </c>
      <c r="H26" s="823"/>
      <c r="I26" s="683">
        <f>F26-G26</f>
        <v>1931000</v>
      </c>
      <c r="J26" s="684">
        <f>D26-F26</f>
        <v>0</v>
      </c>
      <c r="K26" s="1024">
        <f>J26/D26</f>
        <v>0</v>
      </c>
      <c r="L26" s="1027"/>
      <c r="M26" s="1062"/>
      <c r="N26" s="1063"/>
      <c r="O26" s="605">
        <f>-J26</f>
        <v>0</v>
      </c>
      <c r="P26" s="605"/>
      <c r="R26" s="605">
        <f t="shared" si="2"/>
        <v>417000</v>
      </c>
      <c r="S26" s="597"/>
      <c r="T26" s="605">
        <f t="shared" si="3"/>
        <v>417000</v>
      </c>
      <c r="U26" s="597"/>
      <c r="V26" s="605">
        <f t="shared" si="4"/>
        <v>0</v>
      </c>
      <c r="W26" s="597"/>
    </row>
    <row r="27" spans="1:26" hidden="1">
      <c r="A27" s="313"/>
      <c r="B27" s="681" t="s">
        <v>808</v>
      </c>
      <c r="C27" s="1051"/>
      <c r="D27" s="845">
        <f>①ベース事業別内訳!C377+①ベース事業別内訳!C435</f>
        <v>759000</v>
      </c>
      <c r="E27" s="835"/>
      <c r="F27" s="682">
        <f>①ベース事業別内訳!D377+①ベース事業別内訳!D435</f>
        <v>178000</v>
      </c>
      <c r="G27" s="683">
        <f>①ベース事業別内訳!D362+①ベース事業別内訳!D363+①ベース事業別内訳!D364</f>
        <v>40000</v>
      </c>
      <c r="H27" s="823"/>
      <c r="I27" s="683">
        <f>F27-G27</f>
        <v>138000</v>
      </c>
      <c r="J27" s="684">
        <f>D27-F27</f>
        <v>581000</v>
      </c>
      <c r="K27" s="1024">
        <f t="shared" si="7"/>
        <v>0.76548089591567847</v>
      </c>
      <c r="L27" s="1027"/>
      <c r="M27" s="1062"/>
      <c r="N27" s="1063"/>
      <c r="O27" s="605">
        <f>-J27</f>
        <v>-581000</v>
      </c>
      <c r="P27" s="605"/>
      <c r="R27" s="605">
        <f t="shared" si="2"/>
        <v>63000</v>
      </c>
      <c r="S27" s="597"/>
      <c r="T27" s="605">
        <f t="shared" si="3"/>
        <v>15000</v>
      </c>
      <c r="U27" s="597"/>
      <c r="V27" s="605">
        <f t="shared" si="4"/>
        <v>48000</v>
      </c>
      <c r="W27" s="597"/>
    </row>
    <row r="28" spans="1:26" ht="24.95" customHeight="1">
      <c r="A28" s="1396" t="s">
        <v>386</v>
      </c>
      <c r="B28" s="1397"/>
      <c r="C28" s="1054" t="s">
        <v>382</v>
      </c>
      <c r="D28" s="846">
        <f>D22+D24</f>
        <v>280558000</v>
      </c>
      <c r="E28" s="836"/>
      <c r="F28" s="678">
        <f>F22+F24</f>
        <v>232466000</v>
      </c>
      <c r="G28" s="679">
        <f>G22+G24</f>
        <v>170160000</v>
      </c>
      <c r="H28" s="825"/>
      <c r="I28" s="679">
        <f>I22+I24</f>
        <v>62306000</v>
      </c>
      <c r="J28" s="680">
        <f>J22+J24</f>
        <v>48092000</v>
      </c>
      <c r="K28" s="1025">
        <f t="shared" si="7"/>
        <v>0.17141553618146693</v>
      </c>
      <c r="L28" s="1027"/>
      <c r="M28" s="1056">
        <f>M22+M24</f>
        <v>33336000</v>
      </c>
      <c r="N28" s="1056"/>
      <c r="O28" s="1056">
        <f>O22+O24</f>
        <v>265802000</v>
      </c>
      <c r="P28" s="1056">
        <f>P22+P24</f>
        <v>14756000</v>
      </c>
      <c r="Q28" s="934"/>
      <c r="R28" s="605">
        <f t="shared" si="2"/>
        <v>23380000</v>
      </c>
      <c r="S28" s="597"/>
      <c r="T28" s="605">
        <f t="shared" si="3"/>
        <v>19372000</v>
      </c>
      <c r="U28" s="597"/>
      <c r="V28" s="605">
        <f t="shared" si="4"/>
        <v>4008000</v>
      </c>
      <c r="W28" s="597"/>
      <c r="Z28" s="1059"/>
    </row>
    <row r="29" spans="1:26" ht="30" customHeight="1">
      <c r="A29" s="1398" t="s">
        <v>480</v>
      </c>
      <c r="B29" s="1399"/>
      <c r="C29" s="1144" t="s">
        <v>383</v>
      </c>
      <c r="D29" s="847">
        <f>(①ベース事業別内訳!C469)</f>
        <v>0</v>
      </c>
      <c r="E29" s="837"/>
      <c r="F29" s="608">
        <f>(①ベース事業別内訳!D469)</f>
        <v>33336000</v>
      </c>
      <c r="G29" s="674">
        <f>(①ベース事業別内訳!D438+①ベース事業別内訳!D439+①ベース事業別内訳!D440+①ベース事業別内訳!D441)</f>
        <v>9368000</v>
      </c>
      <c r="H29" s="826"/>
      <c r="I29" s="674">
        <f>F29-G29</f>
        <v>23968000</v>
      </c>
      <c r="J29" s="609">
        <f>D29-F29</f>
        <v>-33336000</v>
      </c>
      <c r="K29" s="1026"/>
      <c r="L29" s="1027"/>
      <c r="M29" s="1085"/>
      <c r="N29" s="1055"/>
      <c r="O29" s="1086"/>
      <c r="P29" s="1154"/>
      <c r="Q29" s="935"/>
      <c r="R29" s="605">
        <f t="shared" si="2"/>
        <v>0</v>
      </c>
      <c r="S29" s="597"/>
      <c r="T29" s="605">
        <f t="shared" si="3"/>
        <v>2778000</v>
      </c>
      <c r="U29" s="597"/>
      <c r="V29" s="605">
        <f t="shared" si="4"/>
        <v>-2778000</v>
      </c>
      <c r="W29" s="597"/>
    </row>
    <row r="30" spans="1:26" s="171" customFormat="1" ht="39.950000000000003" customHeight="1">
      <c r="A30" s="1265" t="s">
        <v>387</v>
      </c>
      <c r="B30" s="1266"/>
      <c r="C30" s="1069" t="s">
        <v>385</v>
      </c>
      <c r="D30" s="848">
        <f>D28+D29</f>
        <v>280558000</v>
      </c>
      <c r="E30" s="1061"/>
      <c r="F30" s="1089">
        <f>F28+F29</f>
        <v>265802000</v>
      </c>
      <c r="G30" s="1095">
        <f>G28+G29</f>
        <v>179528000</v>
      </c>
      <c r="H30" s="1096">
        <f>G30/D30</f>
        <v>0.63989620684493043</v>
      </c>
      <c r="I30" s="1095">
        <f>I28+I29</f>
        <v>86274000</v>
      </c>
      <c r="J30" s="1097">
        <f>J28+J29</f>
        <v>14756000</v>
      </c>
      <c r="K30" s="1098">
        <f t="shared" ref="K30" si="9">J30/D30</f>
        <v>5.259518530927651E-2</v>
      </c>
      <c r="L30" s="1099"/>
      <c r="M30" s="1088"/>
      <c r="N30" s="1058"/>
      <c r="O30" s="1056">
        <f>O28</f>
        <v>265802000</v>
      </c>
      <c r="P30" s="1056">
        <f>P28</f>
        <v>14756000</v>
      </c>
      <c r="Q30" s="934"/>
      <c r="R30" s="1073">
        <f t="shared" si="2"/>
        <v>23380000</v>
      </c>
      <c r="S30" s="1074"/>
      <c r="T30" s="1146">
        <f t="shared" si="3"/>
        <v>22150000</v>
      </c>
      <c r="U30" s="1074"/>
      <c r="V30" s="1073">
        <f t="shared" si="4"/>
        <v>1230000</v>
      </c>
      <c r="W30" s="1074"/>
      <c r="Y30" s="1075"/>
      <c r="Z30" s="1075"/>
    </row>
    <row r="31" spans="1:26" ht="20.100000000000001" customHeight="1"/>
    <row r="32" spans="1:26" ht="27.75" hidden="1" customHeight="1">
      <c r="E32" s="1136"/>
      <c r="F32" s="1137"/>
    </row>
    <row r="33" spans="1:13" ht="27.75" customHeight="1">
      <c r="A33" s="1391" t="s">
        <v>678</v>
      </c>
      <c r="B33" s="1392"/>
      <c r="C33" s="1393"/>
      <c r="D33" s="1394">
        <f>①ベース事業別内訳!C494</f>
        <v>6963000</v>
      </c>
      <c r="E33" s="1395"/>
      <c r="F33" s="844"/>
      <c r="M33" s="5"/>
    </row>
    <row r="34" spans="1:13" ht="30" customHeight="1"/>
  </sheetData>
  <mergeCells count="39">
    <mergeCell ref="A33:C33"/>
    <mergeCell ref="D33:E33"/>
    <mergeCell ref="A22:B22"/>
    <mergeCell ref="A24:B24"/>
    <mergeCell ref="A28:B28"/>
    <mergeCell ref="A29:B29"/>
    <mergeCell ref="A30:B30"/>
    <mergeCell ref="A21:B21"/>
    <mergeCell ref="S5:S6"/>
    <mergeCell ref="U5:U6"/>
    <mergeCell ref="W5:W6"/>
    <mergeCell ref="A7:B7"/>
    <mergeCell ref="A8:B8"/>
    <mergeCell ref="A10:B10"/>
    <mergeCell ref="A14:C14"/>
    <mergeCell ref="A15:B15"/>
    <mergeCell ref="A16:B16"/>
    <mergeCell ref="A17:B17"/>
    <mergeCell ref="A20:B20"/>
    <mergeCell ref="R3:W3"/>
    <mergeCell ref="E4:E6"/>
    <mergeCell ref="F4:F6"/>
    <mergeCell ref="G4:I4"/>
    <mergeCell ref="J4:J6"/>
    <mergeCell ref="M4:M6"/>
    <mergeCell ref="O4:O6"/>
    <mergeCell ref="R4:R6"/>
    <mergeCell ref="T4:T6"/>
    <mergeCell ref="V4:V6"/>
    <mergeCell ref="A1:P1"/>
    <mergeCell ref="A2:P2"/>
    <mergeCell ref="A3:C6"/>
    <mergeCell ref="D3:D6"/>
    <mergeCell ref="F3:O3"/>
    <mergeCell ref="P3:P6"/>
    <mergeCell ref="G5:G6"/>
    <mergeCell ref="I5:I6"/>
    <mergeCell ref="K5:K6"/>
    <mergeCell ref="N5:N6"/>
  </mergeCells>
  <phoneticPr fontId="1"/>
  <printOptions horizontalCentered="1"/>
  <pageMargins left="0.62992125984251968" right="0.62992125984251968" top="1.1417322834645669" bottom="0.74803149606299213" header="0.51181102362204722" footer="0.31496062992125984"/>
  <pageSetup paperSize="9" scale="89" fitToWidth="0" fitToHeight="0" orientation="portrait" r:id="rId1"/>
  <headerFooter>
    <oddHeader>&amp;L&amp;"メイリオ,レギュラー"&amp;18第６号議案　2019年度予算案について</oddHeader>
    <oddFooter>&amp;L&amp;"メイリオ,レギュラー"第６号議案&amp;C&amp;"メイリオ,レギュラー"
3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view="pageLayout" topLeftCell="A25" zoomScaleNormal="70" zoomScaleSheetLayoutView="90" workbookViewId="0">
      <selection activeCell="M33" sqref="M33"/>
    </sheetView>
  </sheetViews>
  <sheetFormatPr defaultColWidth="9" defaultRowHeight="13.5"/>
  <cols>
    <col min="1" max="1" width="4" style="612" customWidth="1"/>
    <col min="2" max="2" width="24.125" style="5" bestFit="1" customWidth="1"/>
    <col min="3" max="3" width="6.625" style="1" customWidth="1"/>
    <col min="4" max="4" width="13" style="613" bestFit="1" customWidth="1"/>
    <col min="5" max="5" width="6.75" style="191" hidden="1" customWidth="1"/>
    <col min="6" max="6" width="13" style="613" bestFit="1" customWidth="1"/>
    <col min="7" max="7" width="12.875" style="613" hidden="1" customWidth="1"/>
    <col min="8" max="8" width="5.25" style="193" hidden="1" customWidth="1"/>
    <col min="9" max="9" width="13.75" style="613" hidden="1" customWidth="1"/>
    <col min="10" max="10" width="15.125" style="614" hidden="1" customWidth="1"/>
    <col min="11" max="11" width="7.875" style="944" hidden="1" customWidth="1"/>
    <col min="12" max="12" width="2.875" style="1031" hidden="1" customWidth="1"/>
    <col min="13" max="13" width="13.625" style="613" bestFit="1" customWidth="1"/>
    <col min="14" max="14" width="7.75" style="829" hidden="1" customWidth="1"/>
    <col min="15" max="15" width="15.125" style="614" customWidth="1"/>
    <col min="16" max="16" width="13.5" style="614" bestFit="1" customWidth="1"/>
    <col min="17" max="17" width="3.5" style="931" customWidth="1"/>
    <col min="18" max="18" width="12.875" style="936" hidden="1" customWidth="1"/>
    <col min="19" max="19" width="3.875" style="193" hidden="1" customWidth="1"/>
    <col min="20" max="20" width="11.625" style="518" hidden="1" customWidth="1"/>
    <col min="21" max="21" width="3.875" style="5" hidden="1" customWidth="1"/>
    <col min="22" max="22" width="13.125" style="5" hidden="1" customWidth="1"/>
    <col min="23" max="23" width="3.875" style="5" hidden="1" customWidth="1"/>
    <col min="24" max="24" width="0" style="5" hidden="1" customWidth="1"/>
    <col min="25" max="25" width="11.75" style="5" bestFit="1" customWidth="1"/>
    <col min="26" max="26" width="14.375" style="5" bestFit="1" customWidth="1"/>
    <col min="27" max="16384" width="9" style="5"/>
  </cols>
  <sheetData>
    <row r="1" spans="1:25" ht="18.75">
      <c r="A1" s="1269" t="s">
        <v>807</v>
      </c>
      <c r="B1" s="1269"/>
      <c r="C1" s="1269"/>
      <c r="D1" s="1269"/>
      <c r="E1" s="1269"/>
      <c r="F1" s="1269"/>
      <c r="G1" s="1269"/>
      <c r="H1" s="1269"/>
      <c r="I1" s="1269"/>
      <c r="J1" s="1269"/>
      <c r="K1" s="1269"/>
      <c r="L1" s="1269"/>
      <c r="M1" s="1269"/>
      <c r="N1" s="1269"/>
      <c r="O1" s="1269"/>
      <c r="P1" s="1269"/>
      <c r="Q1" s="932"/>
    </row>
    <row r="2" spans="1:25">
      <c r="A2" s="1270" t="s">
        <v>410</v>
      </c>
      <c r="B2" s="1270"/>
      <c r="C2" s="1270"/>
      <c r="D2" s="1270"/>
      <c r="E2" s="1270"/>
      <c r="F2" s="1270"/>
      <c r="G2" s="1270"/>
      <c r="H2" s="1270"/>
      <c r="I2" s="1270"/>
      <c r="J2" s="1270"/>
      <c r="K2" s="1271"/>
      <c r="L2" s="1270"/>
      <c r="M2" s="1270"/>
      <c r="N2" s="1270"/>
      <c r="O2" s="1270"/>
      <c r="P2" s="1270"/>
      <c r="Q2" s="633"/>
    </row>
    <row r="3" spans="1:25" ht="27" customHeight="1">
      <c r="A3" s="1272" t="s">
        <v>411</v>
      </c>
      <c r="B3" s="1273"/>
      <c r="C3" s="1274"/>
      <c r="D3" s="1281" t="s">
        <v>377</v>
      </c>
      <c r="E3" s="832"/>
      <c r="F3" s="1281" t="s">
        <v>378</v>
      </c>
      <c r="G3" s="1283"/>
      <c r="H3" s="1283"/>
      <c r="I3" s="1283"/>
      <c r="J3" s="1283"/>
      <c r="K3" s="1283"/>
      <c r="L3" s="1283"/>
      <c r="M3" s="1283"/>
      <c r="N3" s="1283"/>
      <c r="O3" s="1284"/>
      <c r="P3" s="1285" t="s">
        <v>380</v>
      </c>
      <c r="Q3" s="933"/>
      <c r="R3" s="1248" t="s">
        <v>773</v>
      </c>
      <c r="S3" s="1248"/>
      <c r="T3" s="1248"/>
      <c r="U3" s="1248"/>
      <c r="V3" s="1248"/>
      <c r="W3" s="1248"/>
    </row>
    <row r="4" spans="1:25" ht="18" customHeight="1">
      <c r="A4" s="1275"/>
      <c r="B4" s="1276"/>
      <c r="C4" s="1277"/>
      <c r="D4" s="1282"/>
      <c r="E4" s="1297" t="s">
        <v>473</v>
      </c>
      <c r="F4" s="1291" t="s">
        <v>177</v>
      </c>
      <c r="G4" s="1306"/>
      <c r="H4" s="1306"/>
      <c r="I4" s="1307"/>
      <c r="J4" s="1294" t="s">
        <v>160</v>
      </c>
      <c r="K4" s="1022"/>
      <c r="L4" s="1029"/>
      <c r="M4" s="1402" t="s">
        <v>166</v>
      </c>
      <c r="N4" s="1102"/>
      <c r="O4" s="1288" t="s">
        <v>483</v>
      </c>
      <c r="P4" s="1286"/>
      <c r="Q4" s="933"/>
      <c r="R4" s="1249" t="s">
        <v>636</v>
      </c>
      <c r="S4" s="930"/>
      <c r="T4" s="1243" t="s">
        <v>637</v>
      </c>
      <c r="U4" s="661"/>
      <c r="V4" s="1243" t="s">
        <v>638</v>
      </c>
      <c r="W4" s="661"/>
    </row>
    <row r="5" spans="1:25" ht="18" customHeight="1">
      <c r="A5" s="1275"/>
      <c r="B5" s="1276"/>
      <c r="C5" s="1277"/>
      <c r="D5" s="1282"/>
      <c r="E5" s="1298"/>
      <c r="F5" s="1292"/>
      <c r="G5" s="1305" t="s">
        <v>326</v>
      </c>
      <c r="H5" s="821"/>
      <c r="I5" s="1303" t="s">
        <v>327</v>
      </c>
      <c r="J5" s="1295"/>
      <c r="K5" s="1254" t="s">
        <v>481</v>
      </c>
      <c r="L5" s="1030"/>
      <c r="M5" s="1337"/>
      <c r="N5" s="1400" t="s">
        <v>481</v>
      </c>
      <c r="O5" s="1289"/>
      <c r="P5" s="1286"/>
      <c r="Q5" s="933"/>
      <c r="R5" s="1250"/>
      <c r="S5" s="1252" t="s">
        <v>481</v>
      </c>
      <c r="T5" s="1244"/>
      <c r="U5" s="1246" t="s">
        <v>481</v>
      </c>
      <c r="V5" s="1244"/>
      <c r="W5" s="1246" t="s">
        <v>481</v>
      </c>
    </row>
    <row r="6" spans="1:25">
      <c r="A6" s="1278"/>
      <c r="B6" s="1279"/>
      <c r="C6" s="1280"/>
      <c r="D6" s="1282"/>
      <c r="E6" s="1299"/>
      <c r="F6" s="1293"/>
      <c r="G6" s="1304"/>
      <c r="H6" s="822" t="s">
        <v>481</v>
      </c>
      <c r="I6" s="1304"/>
      <c r="J6" s="1296"/>
      <c r="K6" s="1255"/>
      <c r="L6" s="1030"/>
      <c r="M6" s="1338"/>
      <c r="N6" s="1401"/>
      <c r="O6" s="1290"/>
      <c r="P6" s="1287"/>
      <c r="Q6" s="933"/>
      <c r="R6" s="1251"/>
      <c r="S6" s="1253"/>
      <c r="T6" s="1245"/>
      <c r="U6" s="1247"/>
      <c r="V6" s="1245"/>
      <c r="W6" s="1247"/>
    </row>
    <row r="7" spans="1:25" s="95" customFormat="1" ht="39.950000000000003" customHeight="1">
      <c r="A7" s="1260" t="s">
        <v>474</v>
      </c>
      <c r="B7" s="1259"/>
      <c r="C7" s="1048"/>
      <c r="D7" s="787">
        <f>①ベース事業別内訳!C33</f>
        <v>36093000</v>
      </c>
      <c r="E7" s="833">
        <f>ROUND(D7/$D$23,3)</f>
        <v>0.13100000000000001</v>
      </c>
      <c r="F7" s="603">
        <f>①ベース事業別内訳!D33</f>
        <v>29192000</v>
      </c>
      <c r="G7" s="672">
        <f>(①ベース事業別内訳!D8+①ベース事業別内訳!D9+①ベース事業別内訳!D10+①ベース事業別内訳!D11)</f>
        <v>26754000</v>
      </c>
      <c r="H7" s="824">
        <f t="shared" ref="H7:H13" si="0">G7/D7</f>
        <v>0.74125176627046796</v>
      </c>
      <c r="I7" s="672">
        <f>F7-G7</f>
        <v>2438000</v>
      </c>
      <c r="J7" s="604">
        <f>D7-F7</f>
        <v>6901000</v>
      </c>
      <c r="K7" s="1023">
        <f>J7/D7</f>
        <v>0.19120050979414291</v>
      </c>
      <c r="L7" s="1027"/>
      <c r="M7" s="1041">
        <f>ROUNDUP(-$Y$21*N7,0)</f>
        <v>5367096</v>
      </c>
      <c r="N7" s="828">
        <f>E7+3%</f>
        <v>0.161</v>
      </c>
      <c r="O7" s="1104">
        <f>F7+M7</f>
        <v>34559096</v>
      </c>
      <c r="P7" s="1028">
        <f>D7-O7</f>
        <v>1533904</v>
      </c>
      <c r="Q7" s="931"/>
      <c r="R7" s="605">
        <f>ROUND(D7/12,-3)</f>
        <v>3008000</v>
      </c>
      <c r="S7" s="945"/>
      <c r="T7" s="605">
        <f>ROUND(F7/12,-3)</f>
        <v>2433000</v>
      </c>
      <c r="U7" s="945"/>
      <c r="V7" s="605">
        <f>ROUND(J7/12,-3)</f>
        <v>575000</v>
      </c>
      <c r="W7" s="945"/>
    </row>
    <row r="8" spans="1:25" ht="30" customHeight="1">
      <c r="A8" s="1258" t="s">
        <v>776</v>
      </c>
      <c r="B8" s="1259"/>
      <c r="C8" s="1049"/>
      <c r="D8" s="787">
        <f>①ベース事業別内訳!C62</f>
        <v>55477000</v>
      </c>
      <c r="E8" s="833">
        <f>ROUND(D8/$D$23,3)</f>
        <v>0.20200000000000001</v>
      </c>
      <c r="F8" s="603">
        <f>①ベース事業別内訳!D62</f>
        <v>37225000</v>
      </c>
      <c r="G8" s="672">
        <f>(①ベース事業別内訳!D38+①ベース事業別内訳!D39+①ベース事業別内訳!D40)</f>
        <v>25886000</v>
      </c>
      <c r="H8" s="824">
        <f t="shared" si="0"/>
        <v>0.46660778340573572</v>
      </c>
      <c r="I8" s="672">
        <f>F8-G8</f>
        <v>11339000</v>
      </c>
      <c r="J8" s="604">
        <f>D8-F8</f>
        <v>18252000</v>
      </c>
      <c r="K8" s="1023">
        <f t="shared" ref="K8:K31" si="1">J8/D8</f>
        <v>0.3290012077076987</v>
      </c>
      <c r="L8" s="1027"/>
      <c r="M8" s="1041">
        <f>ROUNDUP(-$Y$21*N8,0)</f>
        <v>10734192</v>
      </c>
      <c r="N8" s="828">
        <f>E8+12%</f>
        <v>0.32200000000000001</v>
      </c>
      <c r="O8" s="1104">
        <f>F8+M8</f>
        <v>47959192</v>
      </c>
      <c r="P8" s="1028">
        <f>D8-O8</f>
        <v>7517808</v>
      </c>
      <c r="R8" s="605">
        <f t="shared" ref="R8:R31" si="2">ROUND(D8/12,-3)</f>
        <v>4623000</v>
      </c>
      <c r="S8" s="597"/>
      <c r="T8" s="605">
        <f t="shared" ref="T8:T31" si="3">ROUND(F8/12,-3)</f>
        <v>3102000</v>
      </c>
      <c r="U8" s="597"/>
      <c r="V8" s="605">
        <f t="shared" ref="V8:V31" si="4">ROUND(J8/12,-3)</f>
        <v>1521000</v>
      </c>
      <c r="W8" s="597"/>
    </row>
    <row r="9" spans="1:25" s="95" customFormat="1" ht="30" customHeight="1">
      <c r="A9" s="942" t="s">
        <v>632</v>
      </c>
      <c r="B9" s="943"/>
      <c r="C9" s="1091"/>
      <c r="D9" s="787">
        <f>①ベース事業別内訳!C406</f>
        <v>5461000</v>
      </c>
      <c r="E9" s="833">
        <f>ROUND(D9/$D$23,3)</f>
        <v>0.02</v>
      </c>
      <c r="F9" s="603">
        <f>①ベース事業別内訳!D406</f>
        <v>5417000</v>
      </c>
      <c r="G9" s="672">
        <f>①ベース事業別内訳!D382+①ベース事業別内訳!D383+①ベース事業別内訳!D384</f>
        <v>3305000</v>
      </c>
      <c r="H9" s="824">
        <f t="shared" si="0"/>
        <v>0.6052005127266068</v>
      </c>
      <c r="I9" s="672">
        <f>F9-G9</f>
        <v>2112000</v>
      </c>
      <c r="J9" s="604">
        <f>D9-F9</f>
        <v>44000</v>
      </c>
      <c r="K9" s="1023">
        <f t="shared" si="1"/>
        <v>8.057132393334554E-3</v>
      </c>
      <c r="L9" s="1027"/>
      <c r="M9" s="1041">
        <f>ROUNDUP(-$Y$21*N9,0)</f>
        <v>0</v>
      </c>
      <c r="N9" s="828">
        <f>E9-2%</f>
        <v>0</v>
      </c>
      <c r="O9" s="1104">
        <f>F9+M9</f>
        <v>5417000</v>
      </c>
      <c r="P9" s="1028">
        <f>D9-O9</f>
        <v>44000</v>
      </c>
      <c r="Q9" s="931"/>
      <c r="R9" s="605">
        <f>ROUND(D9/5,-3)</f>
        <v>1092000</v>
      </c>
      <c r="S9" s="945"/>
      <c r="T9" s="605">
        <f>ROUND(F9/5,-3)</f>
        <v>1083000</v>
      </c>
      <c r="U9" s="945"/>
      <c r="V9" s="605">
        <f>ROUND(J9/5,-3)</f>
        <v>9000</v>
      </c>
      <c r="W9" s="945"/>
    </row>
    <row r="10" spans="1:25" ht="30" customHeight="1">
      <c r="A10" s="1260" t="s">
        <v>478</v>
      </c>
      <c r="B10" s="1259"/>
      <c r="C10" s="1049"/>
      <c r="D10" s="787">
        <f>D11+D12+D13</f>
        <v>52662000</v>
      </c>
      <c r="E10" s="833">
        <f>ROUND(D10/$D$23,3)</f>
        <v>0.192</v>
      </c>
      <c r="F10" s="603">
        <f>F11+F12+F13</f>
        <v>48730000</v>
      </c>
      <c r="G10" s="672">
        <f>G11+G12+G13</f>
        <v>39992000</v>
      </c>
      <c r="H10" s="824">
        <f t="shared" si="0"/>
        <v>0.75940906156241694</v>
      </c>
      <c r="I10" s="672">
        <f>I11+I12+I13</f>
        <v>8738000</v>
      </c>
      <c r="J10" s="604">
        <f>J11+J12+J13</f>
        <v>3932000</v>
      </c>
      <c r="K10" s="1023">
        <f t="shared" si="1"/>
        <v>7.4664843720329652E-2</v>
      </c>
      <c r="L10" s="1027"/>
      <c r="M10" s="1041">
        <f>ROUNDUP(-$Y$21*N10,0)</f>
        <v>3900312</v>
      </c>
      <c r="N10" s="828">
        <f>E10-7.5%</f>
        <v>0.11700000000000001</v>
      </c>
      <c r="O10" s="1104">
        <f>F10+M10</f>
        <v>52630312</v>
      </c>
      <c r="P10" s="1028">
        <f>D10-O10</f>
        <v>31688</v>
      </c>
      <c r="R10" s="605">
        <f t="shared" si="2"/>
        <v>4389000</v>
      </c>
      <c r="S10" s="597"/>
      <c r="T10" s="605">
        <f t="shared" si="3"/>
        <v>4061000</v>
      </c>
      <c r="U10" s="597"/>
      <c r="V10" s="605">
        <f t="shared" si="4"/>
        <v>328000</v>
      </c>
      <c r="W10" s="597"/>
      <c r="Y10" s="173"/>
    </row>
    <row r="11" spans="1:25" ht="20.100000000000001" customHeight="1">
      <c r="A11" s="686"/>
      <c r="B11" s="685" t="s">
        <v>507</v>
      </c>
      <c r="C11" s="1050"/>
      <c r="D11" s="845">
        <f>(①ベース事業別内訳!C148+①ベース事業別内訳!C149)+①ベース事業別内訳!C152</f>
        <v>31619000</v>
      </c>
      <c r="E11" s="834">
        <f t="shared" ref="E11:E16" si="5">ROUND(D11/$D$23,3)</f>
        <v>0.115</v>
      </c>
      <c r="F11" s="682">
        <f>①ベース事業別内訳!D178-F12</f>
        <v>30514000</v>
      </c>
      <c r="G11" s="683">
        <f>(①ベース事業別内訳!D153+①ベース事業別内訳!D155+①ベース事業別内訳!D156)</f>
        <v>26488000</v>
      </c>
      <c r="H11" s="823">
        <f t="shared" si="0"/>
        <v>0.83772415319902593</v>
      </c>
      <c r="I11" s="683">
        <f t="shared" ref="I11:I16" si="6">F11-G11</f>
        <v>4026000</v>
      </c>
      <c r="J11" s="684">
        <f t="shared" ref="J11:J16" si="7">D11-F11</f>
        <v>1105000</v>
      </c>
      <c r="K11" s="1024">
        <f t="shared" si="1"/>
        <v>3.4947341788165345E-2</v>
      </c>
      <c r="L11" s="1027"/>
      <c r="M11" s="1064"/>
      <c r="N11" s="1065"/>
      <c r="O11" s="1105"/>
      <c r="P11" s="1066"/>
      <c r="R11" s="605">
        <f t="shared" si="2"/>
        <v>2635000</v>
      </c>
      <c r="S11" s="597"/>
      <c r="T11" s="605">
        <f t="shared" si="3"/>
        <v>2543000</v>
      </c>
      <c r="U11" s="597"/>
      <c r="V11" s="605">
        <f t="shared" si="4"/>
        <v>92000</v>
      </c>
      <c r="W11" s="597"/>
    </row>
    <row r="12" spans="1:25" ht="20.100000000000001" customHeight="1">
      <c r="A12" s="686"/>
      <c r="B12" s="685" t="s">
        <v>508</v>
      </c>
      <c r="C12" s="1050"/>
      <c r="D12" s="845">
        <f>①ベース事業別内訳!C150</f>
        <v>13500000</v>
      </c>
      <c r="E12" s="834">
        <f t="shared" si="5"/>
        <v>4.9000000000000002E-2</v>
      </c>
      <c r="F12" s="682">
        <f>G12</f>
        <v>13180000</v>
      </c>
      <c r="G12" s="683">
        <f>①ベース事業別内訳!D154</f>
        <v>13180000</v>
      </c>
      <c r="H12" s="823">
        <f t="shared" si="0"/>
        <v>0.97629629629629633</v>
      </c>
      <c r="I12" s="683">
        <f t="shared" si="6"/>
        <v>0</v>
      </c>
      <c r="J12" s="684">
        <f t="shared" si="7"/>
        <v>320000</v>
      </c>
      <c r="K12" s="1024">
        <f t="shared" si="1"/>
        <v>2.3703703703703703E-2</v>
      </c>
      <c r="L12" s="1027"/>
      <c r="M12" s="1064"/>
      <c r="N12" s="1065"/>
      <c r="O12" s="1105"/>
      <c r="P12" s="1066"/>
      <c r="R12" s="605">
        <f t="shared" si="2"/>
        <v>1125000</v>
      </c>
      <c r="S12" s="597"/>
      <c r="T12" s="605">
        <f t="shared" si="3"/>
        <v>1098000</v>
      </c>
      <c r="U12" s="597"/>
      <c r="V12" s="605">
        <f t="shared" si="4"/>
        <v>27000</v>
      </c>
      <c r="W12" s="597"/>
    </row>
    <row r="13" spans="1:25" ht="20.100000000000001" customHeight="1">
      <c r="A13" s="313"/>
      <c r="B13" s="681" t="s">
        <v>616</v>
      </c>
      <c r="C13" s="1051"/>
      <c r="D13" s="845">
        <f>①ベース事業別内訳!C232</f>
        <v>7543000</v>
      </c>
      <c r="E13" s="834">
        <f t="shared" si="5"/>
        <v>2.7E-2</v>
      </c>
      <c r="F13" s="682">
        <f>①ベース事業別内訳!D232</f>
        <v>5036000</v>
      </c>
      <c r="G13" s="683">
        <f>(①ベース事業別内訳!D208+①ベース事業別内訳!D209+①ベース事業別内訳!D210)</f>
        <v>324000</v>
      </c>
      <c r="H13" s="823">
        <f t="shared" si="0"/>
        <v>4.2953731936895133E-2</v>
      </c>
      <c r="I13" s="683">
        <f t="shared" si="6"/>
        <v>4712000</v>
      </c>
      <c r="J13" s="684">
        <f t="shared" si="7"/>
        <v>2507000</v>
      </c>
      <c r="K13" s="1024">
        <f t="shared" si="1"/>
        <v>0.33236112952406205</v>
      </c>
      <c r="L13" s="1027"/>
      <c r="M13" s="1064"/>
      <c r="N13" s="1065"/>
      <c r="O13" s="1105"/>
      <c r="P13" s="1066"/>
      <c r="R13" s="605">
        <f t="shared" si="2"/>
        <v>629000</v>
      </c>
      <c r="S13" s="597"/>
      <c r="T13" s="605">
        <f t="shared" si="3"/>
        <v>420000</v>
      </c>
      <c r="U13" s="597"/>
      <c r="V13" s="605">
        <f t="shared" si="4"/>
        <v>209000</v>
      </c>
      <c r="W13" s="597"/>
    </row>
    <row r="14" spans="1:25" s="95" customFormat="1" ht="30" customHeight="1">
      <c r="A14" s="1260" t="s">
        <v>633</v>
      </c>
      <c r="B14" s="1267"/>
      <c r="C14" s="1268"/>
      <c r="D14" s="787">
        <f>①ベース事業別内訳!C205</f>
        <v>25247000</v>
      </c>
      <c r="E14" s="833">
        <f t="shared" si="5"/>
        <v>9.1999999999999998E-2</v>
      </c>
      <c r="F14" s="603">
        <f>①ベース事業別内訳!D205</f>
        <v>24395000</v>
      </c>
      <c r="G14" s="672">
        <f>(①ベース事業別内訳!D181+①ベース事業別内訳!D182+①ベース事業別内訳!D183)</f>
        <v>4214000</v>
      </c>
      <c r="H14" s="824">
        <f t="shared" ref="H14:H22" si="8">G14/D14</f>
        <v>0.16691092010931993</v>
      </c>
      <c r="I14" s="672">
        <f t="shared" si="6"/>
        <v>20181000</v>
      </c>
      <c r="J14" s="604">
        <f t="shared" si="7"/>
        <v>852000</v>
      </c>
      <c r="K14" s="1023">
        <f t="shared" si="1"/>
        <v>3.3746583752525053E-2</v>
      </c>
      <c r="L14" s="1027"/>
      <c r="M14" s="1041">
        <f>ROUNDUP(-$Y$21*N14,0)</f>
        <v>733392</v>
      </c>
      <c r="N14" s="828">
        <f>E14-7%</f>
        <v>2.1999999999999992E-2</v>
      </c>
      <c r="O14" s="1104">
        <f t="shared" ref="O14:O22" si="9">F14+M14</f>
        <v>25128392</v>
      </c>
      <c r="P14" s="1028">
        <f>D14-O14</f>
        <v>118608</v>
      </c>
      <c r="Q14" s="931"/>
      <c r="R14" s="605">
        <f t="shared" si="2"/>
        <v>2104000</v>
      </c>
      <c r="S14" s="945"/>
      <c r="T14" s="605">
        <f t="shared" si="3"/>
        <v>2033000</v>
      </c>
      <c r="U14" s="945"/>
      <c r="V14" s="605">
        <f t="shared" si="4"/>
        <v>71000</v>
      </c>
      <c r="W14" s="945"/>
    </row>
    <row r="15" spans="1:25" ht="30" customHeight="1">
      <c r="A15" s="1258" t="s">
        <v>476</v>
      </c>
      <c r="B15" s="1259"/>
      <c r="C15" s="1049"/>
      <c r="D15" s="787">
        <f>①ベース事業別内訳!C116</f>
        <v>17400000</v>
      </c>
      <c r="E15" s="833">
        <f t="shared" si="5"/>
        <v>6.3E-2</v>
      </c>
      <c r="F15" s="603">
        <f>①ベース事業別内訳!D116</f>
        <v>13357000</v>
      </c>
      <c r="G15" s="672">
        <f>(①ベース事業別内訳!D92+①ベース事業別内訳!D93+①ベース事業別内訳!D94)</f>
        <v>12301000</v>
      </c>
      <c r="H15" s="824">
        <f t="shared" si="8"/>
        <v>0.70695402298850574</v>
      </c>
      <c r="I15" s="672">
        <f t="shared" si="6"/>
        <v>1056000</v>
      </c>
      <c r="J15" s="604">
        <f t="shared" si="7"/>
        <v>4043000</v>
      </c>
      <c r="K15" s="1023">
        <f t="shared" si="1"/>
        <v>0.23235632183908045</v>
      </c>
      <c r="L15" s="1027"/>
      <c r="M15" s="1041">
        <f>ROUNDUP(-$Y$21*N15,0)</f>
        <v>2100168</v>
      </c>
      <c r="N15" s="828">
        <f>E15</f>
        <v>6.3E-2</v>
      </c>
      <c r="O15" s="1104">
        <f t="shared" si="9"/>
        <v>15457168</v>
      </c>
      <c r="P15" s="1028">
        <f>D15-O15</f>
        <v>1942832</v>
      </c>
      <c r="R15" s="605">
        <f t="shared" si="2"/>
        <v>1450000</v>
      </c>
      <c r="S15" s="597"/>
      <c r="T15" s="605">
        <f t="shared" si="3"/>
        <v>1113000</v>
      </c>
      <c r="U15" s="597"/>
      <c r="V15" s="605">
        <f t="shared" si="4"/>
        <v>337000</v>
      </c>
      <c r="W15" s="597"/>
    </row>
    <row r="16" spans="1:25" ht="30" customHeight="1">
      <c r="A16" s="1258" t="s">
        <v>569</v>
      </c>
      <c r="B16" s="1259"/>
      <c r="C16" s="1048"/>
      <c r="D16" s="787">
        <f>①ベース事業別内訳!C90</f>
        <v>20259000</v>
      </c>
      <c r="E16" s="833">
        <f t="shared" si="5"/>
        <v>7.3999999999999996E-2</v>
      </c>
      <c r="F16" s="603">
        <f>①ベース事業別内訳!D90</f>
        <v>16935000</v>
      </c>
      <c r="G16" s="672">
        <f>(①ベース事業別内訳!D66+①ベース事業別内訳!D67+①ベース事業別内訳!D68)</f>
        <v>12806000</v>
      </c>
      <c r="H16" s="824">
        <f t="shared" si="8"/>
        <v>0.63211412211856455</v>
      </c>
      <c r="I16" s="672">
        <f t="shared" si="6"/>
        <v>4129000</v>
      </c>
      <c r="J16" s="604">
        <f t="shared" si="7"/>
        <v>3324000</v>
      </c>
      <c r="K16" s="1023">
        <f t="shared" si="1"/>
        <v>0.164075225825559</v>
      </c>
      <c r="L16" s="1027"/>
      <c r="M16" s="1041">
        <f>ROUNDUP(-$Y$21*N16,0)</f>
        <v>2466864</v>
      </c>
      <c r="N16" s="828">
        <f>E16</f>
        <v>7.3999999999999996E-2</v>
      </c>
      <c r="O16" s="1104">
        <f t="shared" si="9"/>
        <v>19401864</v>
      </c>
      <c r="P16" s="1028">
        <f>D16-O16</f>
        <v>857136</v>
      </c>
      <c r="R16" s="605">
        <f t="shared" si="2"/>
        <v>1688000</v>
      </c>
      <c r="S16" s="597"/>
      <c r="T16" s="605">
        <f t="shared" si="3"/>
        <v>1411000</v>
      </c>
      <c r="U16" s="597"/>
      <c r="V16" s="605">
        <f t="shared" si="4"/>
        <v>277000</v>
      </c>
      <c r="W16" s="597"/>
    </row>
    <row r="17" spans="1:26" ht="30" customHeight="1">
      <c r="A17" s="1260" t="s">
        <v>488</v>
      </c>
      <c r="B17" s="1259"/>
      <c r="C17" s="1049"/>
      <c r="D17" s="787">
        <f>D18+D19</f>
        <v>21005000</v>
      </c>
      <c r="E17" s="833">
        <f t="shared" ref="E17:E22" si="10">ROUND(D17/$D$23,3)</f>
        <v>7.5999999999999998E-2</v>
      </c>
      <c r="F17" s="603">
        <f>F18+F19</f>
        <v>17029000</v>
      </c>
      <c r="G17" s="672">
        <f>G18+G19</f>
        <v>13079000</v>
      </c>
      <c r="H17" s="824">
        <f t="shared" si="8"/>
        <v>0.6226612711259224</v>
      </c>
      <c r="I17" s="672">
        <f>I18+I19</f>
        <v>3950000</v>
      </c>
      <c r="J17" s="604">
        <f>J18+J19</f>
        <v>3976000</v>
      </c>
      <c r="K17" s="1023">
        <f t="shared" si="1"/>
        <v>0.18928826469888121</v>
      </c>
      <c r="L17" s="1027"/>
      <c r="M17" s="1041">
        <f>ROUNDUP(-$Y$21*N17,0)</f>
        <v>2533536</v>
      </c>
      <c r="N17" s="828">
        <f>E17</f>
        <v>7.5999999999999998E-2</v>
      </c>
      <c r="O17" s="1104">
        <f t="shared" si="9"/>
        <v>19562536</v>
      </c>
      <c r="P17" s="1028">
        <f>D17-O17</f>
        <v>1442464</v>
      </c>
      <c r="R17" s="605">
        <f t="shared" si="2"/>
        <v>1750000</v>
      </c>
      <c r="S17" s="597"/>
      <c r="T17" s="605">
        <f t="shared" si="3"/>
        <v>1419000</v>
      </c>
      <c r="U17" s="597"/>
      <c r="V17" s="605">
        <f t="shared" si="4"/>
        <v>331000</v>
      </c>
      <c r="W17" s="597"/>
      <c r="Y17" s="173"/>
    </row>
    <row r="18" spans="1:26" ht="20.100000000000001" customHeight="1">
      <c r="A18" s="659"/>
      <c r="B18" s="681" t="s">
        <v>470</v>
      </c>
      <c r="C18" s="1051"/>
      <c r="D18" s="845">
        <f>①ベース事業別内訳!C291</f>
        <v>11581000</v>
      </c>
      <c r="E18" s="834">
        <f t="shared" si="10"/>
        <v>4.2000000000000003E-2</v>
      </c>
      <c r="F18" s="682">
        <f>①ベース事業別内訳!D291</f>
        <v>8425000</v>
      </c>
      <c r="G18" s="683">
        <f>(①ベース事業別内訳!D265+①ベース事業別内訳!D266+①ベース事業別内訳!D267)</f>
        <v>6157000</v>
      </c>
      <c r="H18" s="823">
        <f t="shared" si="8"/>
        <v>0.53164666263707794</v>
      </c>
      <c r="I18" s="683">
        <f>F18-G18</f>
        <v>2268000</v>
      </c>
      <c r="J18" s="684">
        <f>D18-F18</f>
        <v>3156000</v>
      </c>
      <c r="K18" s="1024">
        <f t="shared" si="1"/>
        <v>0.27251532682842589</v>
      </c>
      <c r="L18" s="1027"/>
      <c r="M18" s="1064"/>
      <c r="N18" s="1138">
        <f>E18+1.4%</f>
        <v>5.6000000000000001E-2</v>
      </c>
      <c r="O18" s="1105"/>
      <c r="P18" s="1066"/>
      <c r="R18" s="605">
        <f t="shared" si="2"/>
        <v>965000</v>
      </c>
      <c r="S18" s="597"/>
      <c r="T18" s="605">
        <f t="shared" si="3"/>
        <v>702000</v>
      </c>
      <c r="U18" s="597"/>
      <c r="V18" s="605">
        <f t="shared" si="4"/>
        <v>263000</v>
      </c>
      <c r="W18" s="597"/>
    </row>
    <row r="19" spans="1:26" ht="20.100000000000001" customHeight="1" thickBot="1">
      <c r="A19" s="313"/>
      <c r="B19" s="681" t="s">
        <v>471</v>
      </c>
      <c r="C19" s="1051"/>
      <c r="D19" s="845">
        <f>①ベース事業別内訳!C319</f>
        <v>9424000</v>
      </c>
      <c r="E19" s="834">
        <f t="shared" si="10"/>
        <v>3.4000000000000002E-2</v>
      </c>
      <c r="F19" s="682">
        <f>①ベース事業別内訳!D319</f>
        <v>8604000</v>
      </c>
      <c r="G19" s="683">
        <f>(①ベース事業別内訳!D295+①ベース事業別内訳!D296+①ベース事業別内訳!D297)</f>
        <v>6922000</v>
      </c>
      <c r="H19" s="823">
        <f t="shared" si="8"/>
        <v>0.73450764006791169</v>
      </c>
      <c r="I19" s="683">
        <f>F19-G19</f>
        <v>1682000</v>
      </c>
      <c r="J19" s="684">
        <f>D19-F19</f>
        <v>820000</v>
      </c>
      <c r="K19" s="1024">
        <f t="shared" si="1"/>
        <v>8.7011884550084892E-2</v>
      </c>
      <c r="L19" s="1027"/>
      <c r="M19" s="1064"/>
      <c r="N19" s="1138">
        <f>E19-1.4%</f>
        <v>2.0000000000000004E-2</v>
      </c>
      <c r="O19" s="1105"/>
      <c r="P19" s="1066"/>
      <c r="R19" s="605">
        <f t="shared" si="2"/>
        <v>785000</v>
      </c>
      <c r="S19" s="597"/>
      <c r="T19" s="605">
        <f t="shared" si="3"/>
        <v>717000</v>
      </c>
      <c r="U19" s="597"/>
      <c r="V19" s="605">
        <f t="shared" si="4"/>
        <v>68000</v>
      </c>
      <c r="W19" s="597"/>
    </row>
    <row r="20" spans="1:26" ht="30" customHeight="1">
      <c r="A20" s="1258" t="s">
        <v>477</v>
      </c>
      <c r="B20" s="1259"/>
      <c r="C20" s="1049"/>
      <c r="D20" s="787">
        <f>①ベース事業別内訳!C147</f>
        <v>31747000</v>
      </c>
      <c r="E20" s="833">
        <f t="shared" si="10"/>
        <v>0.11600000000000001</v>
      </c>
      <c r="F20" s="603">
        <f>①ベース事業別内訳!D147</f>
        <v>26310000</v>
      </c>
      <c r="G20" s="672">
        <f>(①ベース事業別内訳!D123+①ベース事業別内訳!D124+①ベース事業別内訳!D125)</f>
        <v>24358000</v>
      </c>
      <c r="H20" s="824">
        <f t="shared" si="8"/>
        <v>0.76725359876523769</v>
      </c>
      <c r="I20" s="672">
        <f>F20-G20</f>
        <v>1952000</v>
      </c>
      <c r="J20" s="604">
        <f>D20-F20</f>
        <v>5437000</v>
      </c>
      <c r="K20" s="1023">
        <f t="shared" si="1"/>
        <v>0.17126027656156487</v>
      </c>
      <c r="L20" s="1027"/>
      <c r="M20" s="1041">
        <f>ROUNDUP(-$Y$21*N20,0)</f>
        <v>4867056</v>
      </c>
      <c r="N20" s="828">
        <f>E20+3%</f>
        <v>0.14600000000000002</v>
      </c>
      <c r="O20" s="1104">
        <f t="shared" si="9"/>
        <v>31177056</v>
      </c>
      <c r="P20" s="1028">
        <f>D20-O20</f>
        <v>569944</v>
      </c>
      <c r="R20" s="605">
        <f t="shared" si="2"/>
        <v>2646000</v>
      </c>
      <c r="S20" s="597"/>
      <c r="T20" s="605">
        <f t="shared" si="3"/>
        <v>2193000</v>
      </c>
      <c r="U20" s="597"/>
      <c r="V20" s="605">
        <f t="shared" si="4"/>
        <v>453000</v>
      </c>
      <c r="W20" s="597"/>
      <c r="Y20" s="1043" t="s">
        <v>772</v>
      </c>
    </row>
    <row r="21" spans="1:26" ht="30" customHeight="1" thickBot="1">
      <c r="A21" s="1258" t="s">
        <v>479</v>
      </c>
      <c r="B21" s="1259"/>
      <c r="C21" s="1049"/>
      <c r="D21" s="787">
        <f>①ベース事業別内訳!C260</f>
        <v>9167000</v>
      </c>
      <c r="E21" s="833">
        <f t="shared" si="10"/>
        <v>3.3000000000000002E-2</v>
      </c>
      <c r="F21" s="603">
        <f>①ベース事業別内訳!D260</f>
        <v>8525000</v>
      </c>
      <c r="G21" s="672">
        <f>(①ベース事業別内訳!D236+①ベース事業別内訳!D237+①ベース事業別内訳!D238)</f>
        <v>4356000</v>
      </c>
      <c r="H21" s="824">
        <f t="shared" si="8"/>
        <v>0.47518272062834077</v>
      </c>
      <c r="I21" s="672">
        <f>F21-G21</f>
        <v>4169000</v>
      </c>
      <c r="J21" s="604">
        <f>D21-F21</f>
        <v>642000</v>
      </c>
      <c r="K21" s="1023">
        <f t="shared" si="1"/>
        <v>7.0033816952110833E-2</v>
      </c>
      <c r="L21" s="1027"/>
      <c r="M21" s="1041">
        <f>ROUNDUP(-$Y$21*N21,0)</f>
        <v>600048</v>
      </c>
      <c r="N21" s="828">
        <f>E21-1.5%</f>
        <v>1.8000000000000002E-2</v>
      </c>
      <c r="O21" s="1104">
        <f t="shared" si="9"/>
        <v>9125048</v>
      </c>
      <c r="P21" s="1028">
        <f>D21-O21</f>
        <v>41952</v>
      </c>
      <c r="R21" s="605">
        <f t="shared" si="2"/>
        <v>764000</v>
      </c>
      <c r="S21" s="597"/>
      <c r="T21" s="605">
        <f t="shared" si="3"/>
        <v>710000</v>
      </c>
      <c r="U21" s="597"/>
      <c r="V21" s="605">
        <f t="shared" si="4"/>
        <v>54000</v>
      </c>
      <c r="W21" s="597"/>
      <c r="Y21" s="1044">
        <f>J30</f>
        <v>-33336000</v>
      </c>
    </row>
    <row r="22" spans="1:26" ht="30" customHeight="1">
      <c r="A22" s="1119" t="s">
        <v>797</v>
      </c>
      <c r="B22" s="1125"/>
      <c r="C22" s="1053"/>
      <c r="D22" s="706">
        <f>①ベース事業別内訳!C435</f>
        <v>140000</v>
      </c>
      <c r="E22" s="1124">
        <f t="shared" si="10"/>
        <v>1E-3</v>
      </c>
      <c r="F22" s="706">
        <f>①ベース事業別内訳!D435</f>
        <v>38000</v>
      </c>
      <c r="G22" s="706">
        <f>①ベース事業別内訳!D411+①ベース事業別内訳!D412+①ベース事業別内訳!D413</f>
        <v>0</v>
      </c>
      <c r="H22" s="824">
        <f t="shared" si="8"/>
        <v>0</v>
      </c>
      <c r="I22" s="672">
        <f>F22-G22</f>
        <v>38000</v>
      </c>
      <c r="J22" s="604">
        <f>D22-F22</f>
        <v>102000</v>
      </c>
      <c r="K22" s="1023">
        <f t="shared" si="1"/>
        <v>0.72857142857142854</v>
      </c>
      <c r="L22" s="1027"/>
      <c r="M22" s="1041">
        <f>ROUNDUP(-$Y$21*N22,0)</f>
        <v>33336</v>
      </c>
      <c r="N22" s="828">
        <f>E22</f>
        <v>1E-3</v>
      </c>
      <c r="O22" s="1104">
        <f t="shared" si="9"/>
        <v>71336</v>
      </c>
      <c r="P22" s="1028">
        <f>D22-O22</f>
        <v>68664</v>
      </c>
      <c r="R22" s="1034"/>
      <c r="S22" s="1036"/>
      <c r="T22" s="1034"/>
      <c r="U22" s="1036"/>
      <c r="V22" s="1034"/>
      <c r="W22" s="1036"/>
      <c r="Y22" s="1118"/>
    </row>
    <row r="23" spans="1:26" s="41" customFormat="1" ht="14.25" customHeight="1">
      <c r="A23" s="1261" t="s">
        <v>592</v>
      </c>
      <c r="B23" s="1262"/>
      <c r="C23" s="1052"/>
      <c r="D23" s="1145">
        <f t="shared" ref="D23:O23" si="11">D17+D14+D10+D20+D15+D8+D7+D21+D16+D9+D22</f>
        <v>274658000</v>
      </c>
      <c r="E23" s="1145"/>
      <c r="F23" s="1145">
        <f t="shared" si="11"/>
        <v>227153000</v>
      </c>
      <c r="G23" s="1037">
        <f t="shared" si="11"/>
        <v>167051000</v>
      </c>
      <c r="H23" s="1037"/>
      <c r="I23" s="1037">
        <f t="shared" si="11"/>
        <v>60102000</v>
      </c>
      <c r="J23" s="1037">
        <f t="shared" si="11"/>
        <v>47505000</v>
      </c>
      <c r="K23" s="1037"/>
      <c r="L23" s="1126"/>
      <c r="M23" s="1037">
        <f t="shared" si="11"/>
        <v>33336000</v>
      </c>
      <c r="N23" s="1123">
        <f>N7+N8+N9+N10+N14+N15+N16+N17+N20+N21+N22</f>
        <v>1</v>
      </c>
      <c r="O23" s="1037">
        <f t="shared" si="11"/>
        <v>260489000</v>
      </c>
      <c r="P23" s="1037">
        <f>P17+P14+P10+P20+P15+P8+P7+P21+P16+P9+P22</f>
        <v>14169000</v>
      </c>
      <c r="Q23" s="931"/>
      <c r="R23" s="1034"/>
      <c r="S23" s="1036"/>
      <c r="T23" s="1034"/>
      <c r="U23" s="1036"/>
      <c r="V23" s="1034"/>
      <c r="W23" s="1036"/>
      <c r="Z23" s="1068"/>
    </row>
    <row r="24" spans="1:26" s="41" customFormat="1" ht="14.25">
      <c r="A24" s="1094"/>
      <c r="B24" s="1093"/>
      <c r="C24" s="1053"/>
      <c r="D24" s="706"/>
      <c r="E24" s="1032"/>
      <c r="F24" s="706"/>
      <c r="G24" s="706"/>
      <c r="H24" s="1033"/>
      <c r="I24" s="706"/>
      <c r="J24" s="1034"/>
      <c r="K24" s="1035"/>
      <c r="L24" s="1027"/>
      <c r="M24" s="1042"/>
      <c r="N24" s="1040"/>
      <c r="O24" s="1106"/>
      <c r="P24" s="934"/>
      <c r="Q24" s="931"/>
      <c r="R24" s="1034"/>
      <c r="S24" s="1036"/>
      <c r="T24" s="1034"/>
      <c r="U24" s="1036"/>
      <c r="V24" s="1034"/>
      <c r="W24" s="1036"/>
    </row>
    <row r="25" spans="1:26" ht="30" customHeight="1">
      <c r="A25" s="1260" t="s">
        <v>775</v>
      </c>
      <c r="B25" s="1259"/>
      <c r="C25" s="1049"/>
      <c r="D25" s="787">
        <f>D26+D27+D28</f>
        <v>5900000</v>
      </c>
      <c r="E25" s="833"/>
      <c r="F25" s="603">
        <f>F26+F27+F28</f>
        <v>5313000</v>
      </c>
      <c r="G25" s="672">
        <f>G26+G27+G28</f>
        <v>40000</v>
      </c>
      <c r="H25" s="824">
        <f>G25/D25</f>
        <v>6.7796610169491523E-3</v>
      </c>
      <c r="I25" s="672">
        <f>I26+I27+I28</f>
        <v>5273000</v>
      </c>
      <c r="J25" s="604">
        <f>J26+J27+J28</f>
        <v>587000</v>
      </c>
      <c r="K25" s="1023">
        <f t="shared" si="1"/>
        <v>9.9491525423728813E-2</v>
      </c>
      <c r="L25" s="1027"/>
      <c r="M25" s="1062"/>
      <c r="N25" s="1103"/>
      <c r="O25" s="605">
        <f>F25</f>
        <v>5313000</v>
      </c>
      <c r="P25" s="605">
        <f>D25-O25</f>
        <v>587000</v>
      </c>
      <c r="R25" s="605">
        <f t="shared" si="2"/>
        <v>492000</v>
      </c>
      <c r="S25" s="597"/>
      <c r="T25" s="605">
        <f t="shared" si="3"/>
        <v>443000</v>
      </c>
      <c r="U25" s="597"/>
      <c r="V25" s="605">
        <f t="shared" si="4"/>
        <v>49000</v>
      </c>
      <c r="W25" s="597"/>
    </row>
    <row r="26" spans="1:26" hidden="1">
      <c r="A26" s="659"/>
      <c r="B26" s="681" t="s">
        <v>376</v>
      </c>
      <c r="C26" s="1051"/>
      <c r="D26" s="845">
        <f>①ベース事業別内訳!C330</f>
        <v>281000</v>
      </c>
      <c r="E26" s="835"/>
      <c r="F26" s="682">
        <f>①ベース事業別内訳!D330</f>
        <v>173000</v>
      </c>
      <c r="G26" s="683"/>
      <c r="H26" s="823"/>
      <c r="I26" s="683">
        <f>F26-G26</f>
        <v>173000</v>
      </c>
      <c r="J26" s="684">
        <f>D26-F26</f>
        <v>108000</v>
      </c>
      <c r="K26" s="1024">
        <f t="shared" si="1"/>
        <v>0.38434163701067614</v>
      </c>
      <c r="L26" s="1027"/>
      <c r="M26" s="1062"/>
      <c r="N26" s="1063"/>
      <c r="O26" s="605">
        <f>-J26</f>
        <v>-108000</v>
      </c>
      <c r="P26" s="605"/>
      <c r="R26" s="605">
        <f t="shared" si="2"/>
        <v>23000</v>
      </c>
      <c r="S26" s="597"/>
      <c r="T26" s="605">
        <f t="shared" si="3"/>
        <v>14000</v>
      </c>
      <c r="U26" s="597"/>
      <c r="V26" s="605">
        <f t="shared" si="4"/>
        <v>9000</v>
      </c>
      <c r="W26" s="597"/>
    </row>
    <row r="27" spans="1:26" hidden="1">
      <c r="A27" s="313"/>
      <c r="B27" s="681" t="s">
        <v>167</v>
      </c>
      <c r="C27" s="1051"/>
      <c r="D27" s="845">
        <f>①ベース事業別内訳!C358</f>
        <v>5000000</v>
      </c>
      <c r="E27" s="834"/>
      <c r="F27" s="682">
        <f>①ベース事業別内訳!D358</f>
        <v>5000000</v>
      </c>
      <c r="G27" s="683"/>
      <c r="H27" s="823"/>
      <c r="I27" s="683">
        <f>F27-G27</f>
        <v>5000000</v>
      </c>
      <c r="J27" s="684">
        <f>D27-F27</f>
        <v>0</v>
      </c>
      <c r="K27" s="1024">
        <f t="shared" si="1"/>
        <v>0</v>
      </c>
      <c r="L27" s="1027"/>
      <c r="M27" s="1062"/>
      <c r="N27" s="1063"/>
      <c r="O27" s="605">
        <f>-J27</f>
        <v>0</v>
      </c>
      <c r="P27" s="605"/>
      <c r="R27" s="605">
        <f t="shared" si="2"/>
        <v>417000</v>
      </c>
      <c r="S27" s="597"/>
      <c r="T27" s="605">
        <f t="shared" si="3"/>
        <v>417000</v>
      </c>
      <c r="U27" s="597"/>
      <c r="V27" s="605">
        <f t="shared" si="4"/>
        <v>0</v>
      </c>
      <c r="W27" s="597"/>
    </row>
    <row r="28" spans="1:26" hidden="1">
      <c r="A28" s="313"/>
      <c r="B28" s="681" t="s">
        <v>158</v>
      </c>
      <c r="C28" s="1051"/>
      <c r="D28" s="845">
        <f>①ベース事業別内訳!C377</f>
        <v>619000</v>
      </c>
      <c r="E28" s="835"/>
      <c r="F28" s="682">
        <f>①ベース事業別内訳!D377</f>
        <v>140000</v>
      </c>
      <c r="G28" s="683">
        <f>①ベース事業別内訳!D362+①ベース事業別内訳!D363+①ベース事業別内訳!D364</f>
        <v>40000</v>
      </c>
      <c r="H28" s="823"/>
      <c r="I28" s="683">
        <f>F28-G28</f>
        <v>100000</v>
      </c>
      <c r="J28" s="684">
        <f>D28-F28</f>
        <v>479000</v>
      </c>
      <c r="K28" s="1024">
        <f t="shared" si="1"/>
        <v>0.77382875605815837</v>
      </c>
      <c r="L28" s="1027"/>
      <c r="M28" s="1062"/>
      <c r="N28" s="1063"/>
      <c r="O28" s="605">
        <f>-J28</f>
        <v>-479000</v>
      </c>
      <c r="P28" s="605"/>
      <c r="R28" s="605">
        <f t="shared" si="2"/>
        <v>52000</v>
      </c>
      <c r="S28" s="597"/>
      <c r="T28" s="605">
        <f t="shared" si="3"/>
        <v>12000</v>
      </c>
      <c r="U28" s="597"/>
      <c r="V28" s="605">
        <f t="shared" si="4"/>
        <v>40000</v>
      </c>
      <c r="W28" s="597"/>
    </row>
    <row r="29" spans="1:26" ht="24.95" customHeight="1">
      <c r="A29" s="1396" t="s">
        <v>386</v>
      </c>
      <c r="B29" s="1397"/>
      <c r="C29" s="1054" t="s">
        <v>382</v>
      </c>
      <c r="D29" s="1077">
        <f>D23+D25</f>
        <v>280558000</v>
      </c>
      <c r="E29" s="1078"/>
      <c r="F29" s="1079">
        <f>F23+F25</f>
        <v>232466000</v>
      </c>
      <c r="G29" s="1080">
        <f>G23+G25</f>
        <v>167091000</v>
      </c>
      <c r="H29" s="1081">
        <f>H25+H17+H14+H10+H20+H15+H8+H7+H21+H16+H9</f>
        <v>5.9503254407180677</v>
      </c>
      <c r="I29" s="1080">
        <f>I23+I25</f>
        <v>65375000</v>
      </c>
      <c r="J29" s="1082">
        <f>J23+J25</f>
        <v>48092000</v>
      </c>
      <c r="K29" s="1083">
        <f t="shared" si="1"/>
        <v>0.17141553618146693</v>
      </c>
      <c r="L29" s="1084"/>
      <c r="M29" s="1057">
        <f>M23+M25</f>
        <v>33336000</v>
      </c>
      <c r="N29" s="1057"/>
      <c r="O29" s="1057">
        <f>O23+O25</f>
        <v>265802000</v>
      </c>
      <c r="P29" s="1057">
        <f>P23+P25</f>
        <v>14756000</v>
      </c>
      <c r="Q29" s="934"/>
      <c r="R29" s="605">
        <f t="shared" si="2"/>
        <v>23380000</v>
      </c>
      <c r="S29" s="597"/>
      <c r="T29" s="605">
        <f t="shared" si="3"/>
        <v>19372000</v>
      </c>
      <c r="U29" s="597"/>
      <c r="V29" s="605">
        <f t="shared" si="4"/>
        <v>4008000</v>
      </c>
      <c r="W29" s="597"/>
      <c r="Z29" s="1059"/>
    </row>
    <row r="30" spans="1:26" ht="30" customHeight="1" thickBot="1">
      <c r="A30" s="1335" t="s">
        <v>774</v>
      </c>
      <c r="B30" s="1336"/>
      <c r="C30" s="1092" t="s">
        <v>383</v>
      </c>
      <c r="D30" s="847">
        <f>(①ベース事業別内訳!C469)</f>
        <v>0</v>
      </c>
      <c r="E30" s="837"/>
      <c r="F30" s="608">
        <f>(①ベース事業別内訳!D469)</f>
        <v>33336000</v>
      </c>
      <c r="G30" s="674">
        <f>(①ベース事業別内訳!D438+①ベース事業別内訳!D440+①ベース事業別内訳!D441)</f>
        <v>12437000</v>
      </c>
      <c r="H30" s="826"/>
      <c r="I30" s="674">
        <f>F30-G30</f>
        <v>20899000</v>
      </c>
      <c r="J30" s="609">
        <f>D30-F30</f>
        <v>-33336000</v>
      </c>
      <c r="K30" s="1026"/>
      <c r="L30" s="1027"/>
      <c r="M30" s="1085"/>
      <c r="N30" s="1100"/>
      <c r="O30" s="1086"/>
      <c r="P30" s="1087"/>
      <c r="Q30" s="935"/>
      <c r="R30" s="605">
        <f t="shared" si="2"/>
        <v>0</v>
      </c>
      <c r="S30" s="597"/>
      <c r="T30" s="605">
        <f t="shared" si="3"/>
        <v>2778000</v>
      </c>
      <c r="U30" s="597"/>
      <c r="V30" s="605">
        <f t="shared" si="4"/>
        <v>-2778000</v>
      </c>
      <c r="W30" s="597"/>
    </row>
    <row r="31" spans="1:26" s="171" customFormat="1" ht="39.950000000000003" customHeight="1" thickBot="1">
      <c r="A31" s="1265" t="s">
        <v>387</v>
      </c>
      <c r="B31" s="1266"/>
      <c r="C31" s="1069" t="s">
        <v>385</v>
      </c>
      <c r="D31" s="848">
        <f>D29+D30</f>
        <v>280558000</v>
      </c>
      <c r="E31" s="1061"/>
      <c r="F31" s="1089">
        <f>F29+F30</f>
        <v>265802000</v>
      </c>
      <c r="G31" s="1095">
        <f>G29+G30</f>
        <v>179528000</v>
      </c>
      <c r="H31" s="1096">
        <f>G31/D31</f>
        <v>0.63989620684493043</v>
      </c>
      <c r="I31" s="1095">
        <f>I29+I30</f>
        <v>86274000</v>
      </c>
      <c r="J31" s="1097">
        <f>J29+J30</f>
        <v>14756000</v>
      </c>
      <c r="K31" s="1098">
        <f t="shared" si="1"/>
        <v>5.259518530927651E-2</v>
      </c>
      <c r="L31" s="1099"/>
      <c r="M31" s="1088"/>
      <c r="N31" s="1058"/>
      <c r="O31" s="1090">
        <f>O29</f>
        <v>265802000</v>
      </c>
      <c r="P31" s="1101">
        <f>P29</f>
        <v>14756000</v>
      </c>
      <c r="Q31" s="934"/>
      <c r="R31" s="1073">
        <f t="shared" si="2"/>
        <v>23380000</v>
      </c>
      <c r="S31" s="1074"/>
      <c r="T31" s="1073">
        <f t="shared" si="3"/>
        <v>22150000</v>
      </c>
      <c r="U31" s="1074"/>
      <c r="V31" s="1073">
        <f t="shared" si="4"/>
        <v>1230000</v>
      </c>
      <c r="W31" s="1074"/>
      <c r="Y31" s="1075"/>
      <c r="Z31" s="1075"/>
    </row>
    <row r="32" spans="1:26" ht="20.100000000000001" customHeight="1"/>
    <row r="33" spans="1:13" ht="27.75" customHeight="1">
      <c r="A33" s="1391" t="s">
        <v>678</v>
      </c>
      <c r="B33" s="1392"/>
      <c r="C33" s="1393"/>
      <c r="D33" s="1394">
        <f>①ベース事業別内訳!C494</f>
        <v>6963000</v>
      </c>
      <c r="E33" s="1395"/>
      <c r="F33" s="844"/>
      <c r="M33" s="5"/>
    </row>
    <row r="34" spans="1:13" ht="20.100000000000001" customHeight="1">
      <c r="M34" s="5"/>
    </row>
  </sheetData>
  <mergeCells count="39">
    <mergeCell ref="D33:E33"/>
    <mergeCell ref="A23:B23"/>
    <mergeCell ref="A25:B25"/>
    <mergeCell ref="A29:B29"/>
    <mergeCell ref="A30:B30"/>
    <mergeCell ref="A31:B31"/>
    <mergeCell ref="A33:C33"/>
    <mergeCell ref="A21:B21"/>
    <mergeCell ref="S5:S6"/>
    <mergeCell ref="U5:U6"/>
    <mergeCell ref="W5:W6"/>
    <mergeCell ref="A7:B7"/>
    <mergeCell ref="A8:B8"/>
    <mergeCell ref="A10:B10"/>
    <mergeCell ref="A14:C14"/>
    <mergeCell ref="A15:B15"/>
    <mergeCell ref="A16:B16"/>
    <mergeCell ref="A17:B17"/>
    <mergeCell ref="A20:B20"/>
    <mergeCell ref="R3:W3"/>
    <mergeCell ref="E4:E6"/>
    <mergeCell ref="F4:F6"/>
    <mergeCell ref="G4:I4"/>
    <mergeCell ref="J4:J6"/>
    <mergeCell ref="M4:M6"/>
    <mergeCell ref="O4:O6"/>
    <mergeCell ref="R4:R6"/>
    <mergeCell ref="T4:T6"/>
    <mergeCell ref="V4:V6"/>
    <mergeCell ref="A1:P1"/>
    <mergeCell ref="A2:P2"/>
    <mergeCell ref="A3:C6"/>
    <mergeCell ref="D3:D6"/>
    <mergeCell ref="F3:O3"/>
    <mergeCell ref="P3:P6"/>
    <mergeCell ref="G5:G6"/>
    <mergeCell ref="I5:I6"/>
    <mergeCell ref="K5:K6"/>
    <mergeCell ref="N5:N6"/>
  </mergeCells>
  <phoneticPr fontId="1"/>
  <printOptions horizontalCentered="1"/>
  <pageMargins left="0.62992125984251968" right="0.62992125984251968" top="1.1417322834645669" bottom="0.74803149606299213" header="0.51181102362204722" footer="0.31496062992125984"/>
  <pageSetup paperSize="9" scale="88" fitToWidth="0" fitToHeight="0" orientation="portrait" r:id="rId1"/>
  <headerFooter>
    <oddHeader>&amp;L&amp;"メイリオ,レギュラー"&amp;18第６号議案　2019年度予算案について</oddHeader>
    <oddFooter xml:space="preserve">&amp;L第６号議案
&amp;C3
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D13" sqref="D13"/>
    </sheetView>
  </sheetViews>
  <sheetFormatPr defaultColWidth="9" defaultRowHeight="13.5"/>
  <cols>
    <col min="1" max="1" width="3.75" style="5" customWidth="1"/>
    <col min="2" max="2" width="17.25" style="5" bestFit="1" customWidth="1"/>
    <col min="3" max="3" width="10.625" style="518" customWidth="1"/>
    <col min="4" max="13" width="10.625" style="5" customWidth="1"/>
    <col min="14" max="16384" width="9" style="5"/>
  </cols>
  <sheetData>
    <row r="1" spans="1:13" ht="25.5" customHeight="1">
      <c r="A1" s="1403" t="s">
        <v>545</v>
      </c>
      <c r="B1" s="1403"/>
      <c r="C1" s="1403"/>
      <c r="D1" s="1403"/>
      <c r="E1" s="1403"/>
      <c r="F1" s="1403"/>
      <c r="G1" s="1403"/>
      <c r="H1" s="1403"/>
      <c r="I1" s="1403"/>
      <c r="J1" s="1403"/>
      <c r="K1" s="1403"/>
      <c r="L1" s="1403"/>
      <c r="M1" s="1403"/>
    </row>
    <row r="2" spans="1:13" ht="32.25" customHeight="1">
      <c r="A2" s="1391"/>
      <c r="B2" s="1393"/>
      <c r="C2" s="802" t="s">
        <v>535</v>
      </c>
      <c r="D2" s="800" t="s">
        <v>536</v>
      </c>
      <c r="E2" s="800" t="s">
        <v>537</v>
      </c>
      <c r="F2" s="800" t="s">
        <v>538</v>
      </c>
      <c r="G2" s="800" t="s">
        <v>539</v>
      </c>
      <c r="H2" s="799" t="s">
        <v>298</v>
      </c>
      <c r="I2" s="799" t="s">
        <v>521</v>
      </c>
      <c r="J2" s="799" t="s">
        <v>522</v>
      </c>
      <c r="K2" s="800" t="s">
        <v>540</v>
      </c>
      <c r="L2" s="800" t="s">
        <v>541</v>
      </c>
      <c r="M2" s="799" t="s">
        <v>523</v>
      </c>
    </row>
    <row r="3" spans="1:13" s="805" customFormat="1" ht="30" customHeight="1">
      <c r="A3" s="816" t="s">
        <v>542</v>
      </c>
      <c r="B3" s="803"/>
      <c r="C3" s="804" t="e">
        <f>SUM(C4:C9)</f>
        <v>#REF!</v>
      </c>
      <c r="D3" s="804" t="e">
        <f t="shared" ref="D3:M3" si="0">SUM(D4:D9)</f>
        <v>#REF!</v>
      </c>
      <c r="E3" s="804" t="e">
        <f t="shared" si="0"/>
        <v>#REF!</v>
      </c>
      <c r="F3" s="804" t="e">
        <f t="shared" si="0"/>
        <v>#REF!</v>
      </c>
      <c r="G3" s="804" t="e">
        <f t="shared" si="0"/>
        <v>#REF!</v>
      </c>
      <c r="H3" s="804" t="e">
        <f t="shared" si="0"/>
        <v>#REF!</v>
      </c>
      <c r="I3" s="804" t="e">
        <f t="shared" si="0"/>
        <v>#REF!</v>
      </c>
      <c r="J3" s="804" t="e">
        <f t="shared" si="0"/>
        <v>#REF!</v>
      </c>
      <c r="K3" s="804" t="e">
        <f t="shared" si="0"/>
        <v>#REF!</v>
      </c>
      <c r="L3" s="804" t="e">
        <f t="shared" si="0"/>
        <v>#REF!</v>
      </c>
      <c r="M3" s="804" t="e">
        <f t="shared" si="0"/>
        <v>#REF!</v>
      </c>
    </row>
    <row r="4" spans="1:13" s="805" customFormat="1" ht="24.95" customHeight="1">
      <c r="A4" s="806"/>
      <c r="B4" s="807" t="s">
        <v>526</v>
      </c>
      <c r="C4" s="807" t="e">
        <f>①ベース事業別内訳!#REF!</f>
        <v>#REF!</v>
      </c>
      <c r="D4" s="807" t="e">
        <f>①ベース事業別内訳!#REF!</f>
        <v>#REF!</v>
      </c>
      <c r="E4" s="807" t="e">
        <f>①ベース事業別内訳!#REF!</f>
        <v>#REF!</v>
      </c>
      <c r="F4" s="807"/>
      <c r="G4" s="807"/>
      <c r="H4" s="807"/>
      <c r="I4" s="807"/>
      <c r="J4" s="807"/>
      <c r="K4" s="807"/>
      <c r="L4" s="807" t="e">
        <f>①ベース事業別内訳!#REF!</f>
        <v>#REF!</v>
      </c>
      <c r="M4" s="807"/>
    </row>
    <row r="5" spans="1:13" s="805" customFormat="1" ht="24.95" customHeight="1">
      <c r="A5" s="806"/>
      <c r="B5" s="808" t="s">
        <v>525</v>
      </c>
      <c r="C5" s="808"/>
      <c r="D5" s="808"/>
      <c r="E5" s="808"/>
      <c r="F5" s="808" t="e">
        <f>①ベース事業別内訳!#REF!</f>
        <v>#REF!</v>
      </c>
      <c r="G5" s="808" t="e">
        <f>①ベース事業別内訳!#REF!</f>
        <v>#REF!</v>
      </c>
      <c r="H5" s="808"/>
      <c r="I5" s="808"/>
      <c r="J5" s="808"/>
      <c r="K5" s="808"/>
      <c r="L5" s="808"/>
      <c r="M5" s="808"/>
    </row>
    <row r="6" spans="1:13" s="805" customFormat="1" ht="24.95" customHeight="1">
      <c r="A6" s="806"/>
      <c r="B6" s="808" t="s">
        <v>527</v>
      </c>
      <c r="C6" s="808"/>
      <c r="D6" s="808"/>
      <c r="E6" s="808"/>
      <c r="F6" s="808"/>
      <c r="G6" s="808" t="e">
        <f>①ベース事業別内訳!#REF!</f>
        <v>#REF!</v>
      </c>
      <c r="H6" s="808" t="e">
        <f>①ベース事業別内訳!#REF!</f>
        <v>#REF!</v>
      </c>
      <c r="I6" s="808" t="e">
        <f>①ベース事業別内訳!#REF!</f>
        <v>#REF!</v>
      </c>
      <c r="J6" s="808" t="e">
        <f>①ベース事業別内訳!#REF!</f>
        <v>#REF!</v>
      </c>
      <c r="K6" s="808"/>
      <c r="L6" s="808"/>
      <c r="M6" s="808"/>
    </row>
    <row r="7" spans="1:13" s="805" customFormat="1" ht="24.95" customHeight="1">
      <c r="A7" s="806"/>
      <c r="B7" s="808" t="s">
        <v>533</v>
      </c>
      <c r="C7" s="808"/>
      <c r="D7" s="808"/>
      <c r="E7" s="808"/>
      <c r="F7" s="808"/>
      <c r="G7" s="808" t="e">
        <f>①ベース事業別内訳!#REF!</f>
        <v>#REF!</v>
      </c>
      <c r="H7" s="808" t="e">
        <f>①ベース事業別内訳!#REF!</f>
        <v>#REF!</v>
      </c>
      <c r="I7" s="808" t="e">
        <f>①ベース事業別内訳!#REF!</f>
        <v>#REF!</v>
      </c>
      <c r="J7" s="808" t="e">
        <f>①ベース事業別内訳!#REF!</f>
        <v>#REF!</v>
      </c>
      <c r="K7" s="808" t="e">
        <f>①ベース事業別内訳!#REF!</f>
        <v>#REF!</v>
      </c>
      <c r="L7" s="808"/>
      <c r="M7" s="808" t="e">
        <f>①ベース事業別内訳!#REF!</f>
        <v>#REF!</v>
      </c>
    </row>
    <row r="8" spans="1:13" s="805" customFormat="1" ht="24.95" customHeight="1">
      <c r="A8" s="806"/>
      <c r="B8" s="808" t="s">
        <v>528</v>
      </c>
      <c r="C8" s="808"/>
      <c r="D8" s="808"/>
      <c r="E8" s="808"/>
      <c r="F8" s="808"/>
      <c r="G8" s="808"/>
      <c r="H8" s="808"/>
      <c r="I8" s="808"/>
      <c r="J8" s="808"/>
      <c r="K8" s="808"/>
      <c r="L8" s="808"/>
      <c r="M8" s="808"/>
    </row>
    <row r="9" spans="1:13" s="805" customFormat="1" ht="24.95" customHeight="1">
      <c r="A9" s="809"/>
      <c r="B9" s="810" t="s">
        <v>524</v>
      </c>
      <c r="C9" s="810"/>
      <c r="D9" s="810"/>
      <c r="E9" s="810"/>
      <c r="F9" s="810"/>
      <c r="G9" s="810"/>
      <c r="H9" s="810"/>
      <c r="I9" s="810"/>
      <c r="J9" s="810"/>
      <c r="K9" s="810"/>
      <c r="L9" s="810"/>
      <c r="M9" s="810"/>
    </row>
    <row r="10" spans="1:13" s="805" customFormat="1" ht="30" customHeight="1">
      <c r="A10" s="816" t="s">
        <v>543</v>
      </c>
      <c r="B10" s="803"/>
      <c r="C10" s="804" t="e">
        <f>SUM(C14:C22)+C11</f>
        <v>#REF!</v>
      </c>
      <c r="D10" s="804" t="e">
        <f t="shared" ref="D10:M10" si="1">SUM(D14:D22)+D11</f>
        <v>#REF!</v>
      </c>
      <c r="E10" s="804" t="e">
        <f t="shared" si="1"/>
        <v>#REF!</v>
      </c>
      <c r="F10" s="804" t="e">
        <f t="shared" si="1"/>
        <v>#REF!</v>
      </c>
      <c r="G10" s="804" t="e">
        <f t="shared" si="1"/>
        <v>#REF!</v>
      </c>
      <c r="H10" s="804" t="e">
        <f t="shared" si="1"/>
        <v>#REF!</v>
      </c>
      <c r="I10" s="804" t="e">
        <f t="shared" si="1"/>
        <v>#REF!</v>
      </c>
      <c r="J10" s="804" t="e">
        <f t="shared" si="1"/>
        <v>#REF!</v>
      </c>
      <c r="K10" s="804" t="e">
        <f t="shared" si="1"/>
        <v>#REF!</v>
      </c>
      <c r="L10" s="804" t="e">
        <f t="shared" si="1"/>
        <v>#REF!</v>
      </c>
      <c r="M10" s="804" t="e">
        <f t="shared" si="1"/>
        <v>#REF!</v>
      </c>
    </row>
    <row r="11" spans="1:13" s="805" customFormat="1" ht="24.95" customHeight="1">
      <c r="A11" s="806"/>
      <c r="B11" s="811" t="s">
        <v>326</v>
      </c>
      <c r="C11" s="812" t="e">
        <f>SUM(C12:C13)</f>
        <v>#REF!</v>
      </c>
      <c r="D11" s="607" t="e">
        <f t="shared" ref="D11:M11" si="2">SUM(D12:D13)</f>
        <v>#REF!</v>
      </c>
      <c r="E11" s="607" t="e">
        <f t="shared" si="2"/>
        <v>#REF!</v>
      </c>
      <c r="F11" s="607" t="e">
        <f t="shared" si="2"/>
        <v>#REF!</v>
      </c>
      <c r="G11" s="607" t="e">
        <f t="shared" si="2"/>
        <v>#REF!</v>
      </c>
      <c r="H11" s="607" t="e">
        <f t="shared" si="2"/>
        <v>#REF!</v>
      </c>
      <c r="I11" s="607" t="e">
        <f t="shared" si="2"/>
        <v>#REF!</v>
      </c>
      <c r="J11" s="607" t="e">
        <f t="shared" si="2"/>
        <v>#REF!</v>
      </c>
      <c r="K11" s="607" t="e">
        <f t="shared" si="2"/>
        <v>#REF!</v>
      </c>
      <c r="L11" s="607" t="e">
        <f t="shared" si="2"/>
        <v>#REF!</v>
      </c>
      <c r="M11" s="607" t="e">
        <f t="shared" si="2"/>
        <v>#REF!</v>
      </c>
    </row>
    <row r="12" spans="1:13" s="805" customFormat="1" ht="20.100000000000001" customHeight="1">
      <c r="A12" s="806"/>
      <c r="B12" s="813"/>
      <c r="C12" s="814" t="e">
        <f>①ベース事業別内訳!#REF!</f>
        <v>#REF!</v>
      </c>
      <c r="D12" s="814" t="e">
        <f>①ベース事業別内訳!#REF!</f>
        <v>#REF!</v>
      </c>
      <c r="E12" s="814" t="e">
        <f>①ベース事業別内訳!#REF!</f>
        <v>#REF!</v>
      </c>
      <c r="F12" s="814" t="e">
        <f>①ベース事業別内訳!#REF!</f>
        <v>#REF!</v>
      </c>
      <c r="G12" s="814" t="e">
        <f>①ベース事業別内訳!#REF!</f>
        <v>#REF!</v>
      </c>
      <c r="H12" s="814" t="e">
        <f>①ベース事業別内訳!#REF!</f>
        <v>#REF!</v>
      </c>
      <c r="I12" s="814" t="e">
        <f>①ベース事業別内訳!#REF!</f>
        <v>#REF!</v>
      </c>
      <c r="J12" s="814" t="e">
        <f>①ベース事業別内訳!#REF!</f>
        <v>#REF!</v>
      </c>
      <c r="K12" s="814" t="e">
        <f>①ベース事業別内訳!#REF!</f>
        <v>#REF!</v>
      </c>
      <c r="L12" s="814" t="e">
        <f>①ベース事業別内訳!#REF!</f>
        <v>#REF!</v>
      </c>
      <c r="M12" s="814" t="e">
        <f>①ベース事業別内訳!#REF!</f>
        <v>#REF!</v>
      </c>
    </row>
    <row r="13" spans="1:13" s="805" customFormat="1" ht="20.100000000000001" customHeight="1">
      <c r="A13" s="806"/>
      <c r="B13" s="815"/>
      <c r="C13" s="810" t="e">
        <f>①ベース事業別内訳!#REF!</f>
        <v>#REF!</v>
      </c>
      <c r="D13" s="810"/>
      <c r="E13" s="810"/>
      <c r="F13" s="810"/>
      <c r="G13" s="810" t="e">
        <f>①ベース事業別内訳!#REF!</f>
        <v>#REF!</v>
      </c>
      <c r="H13" s="810"/>
      <c r="I13" s="810"/>
      <c r="J13" s="810"/>
      <c r="K13" s="810"/>
      <c r="L13" s="810"/>
      <c r="M13" s="810"/>
    </row>
    <row r="14" spans="1:13" s="805" customFormat="1" ht="20.100000000000001" customHeight="1">
      <c r="A14" s="806"/>
      <c r="B14" s="807" t="s">
        <v>534</v>
      </c>
      <c r="C14" s="807"/>
      <c r="D14" s="807"/>
      <c r="E14" s="807" t="e">
        <f>①ベース事業別内訳!#REF!</f>
        <v>#REF!</v>
      </c>
      <c r="F14" s="807"/>
      <c r="G14" s="807" t="e">
        <f>①ベース事業別内訳!#REF!</f>
        <v>#REF!</v>
      </c>
      <c r="H14" s="807" t="e">
        <f>①ベース事業別内訳!#REF!</f>
        <v>#REF!</v>
      </c>
      <c r="I14" s="807" t="e">
        <f>①ベース事業別内訳!#REF!</f>
        <v>#REF!</v>
      </c>
      <c r="J14" s="807" t="e">
        <f>①ベース事業別内訳!#REF!</f>
        <v>#REF!</v>
      </c>
      <c r="K14" s="807" t="e">
        <f>①ベース事業別内訳!#REF!</f>
        <v>#REF!</v>
      </c>
      <c r="L14" s="807" t="e">
        <f>①ベース事業別内訳!#REF!</f>
        <v>#REF!</v>
      </c>
      <c r="M14" s="807" t="e">
        <f>①ベース事業別内訳!#REF!</f>
        <v>#REF!</v>
      </c>
    </row>
    <row r="15" spans="1:13" s="805" customFormat="1" ht="20.100000000000001" customHeight="1">
      <c r="A15" s="806"/>
      <c r="B15" s="808" t="s">
        <v>516</v>
      </c>
      <c r="C15" s="808" t="e">
        <f>①ベース事業別内訳!#REF!</f>
        <v>#REF!</v>
      </c>
      <c r="D15" s="808"/>
      <c r="E15" s="808" t="e">
        <f>①ベース事業別内訳!#REF!</f>
        <v>#REF!</v>
      </c>
      <c r="F15" s="808" t="e">
        <f>①ベース事業別内訳!#REF!</f>
        <v>#REF!</v>
      </c>
      <c r="G15" s="808" t="e">
        <f>①ベース事業別内訳!#REF!</f>
        <v>#REF!</v>
      </c>
      <c r="H15" s="808" t="e">
        <f>①ベース事業別内訳!#REF!</f>
        <v>#REF!</v>
      </c>
      <c r="I15" s="808" t="e">
        <f>①ベース事業別内訳!#REF!</f>
        <v>#REF!</v>
      </c>
      <c r="J15" s="808" t="e">
        <f>①ベース事業別内訳!#REF!</f>
        <v>#REF!</v>
      </c>
      <c r="K15" s="808" t="e">
        <f>①ベース事業別内訳!#REF!</f>
        <v>#REF!</v>
      </c>
      <c r="L15" s="808" t="e">
        <f>①ベース事業別内訳!#REF!</f>
        <v>#REF!</v>
      </c>
      <c r="M15" s="808" t="e">
        <f>①ベース事業別内訳!#REF!</f>
        <v>#REF!</v>
      </c>
    </row>
    <row r="16" spans="1:13" s="805" customFormat="1" ht="20.100000000000001" customHeight="1">
      <c r="A16" s="806"/>
      <c r="B16" s="808" t="s">
        <v>517</v>
      </c>
      <c r="C16" s="808" t="e">
        <f>①ベース事業別内訳!#REF!</f>
        <v>#REF!</v>
      </c>
      <c r="D16" s="808" t="e">
        <f>①ベース事業別内訳!#REF!</f>
        <v>#REF!</v>
      </c>
      <c r="E16" s="808" t="e">
        <f>①ベース事業別内訳!#REF!</f>
        <v>#REF!</v>
      </c>
      <c r="F16" s="808" t="e">
        <f>①ベース事業別内訳!#REF!</f>
        <v>#REF!</v>
      </c>
      <c r="G16" s="808" t="e">
        <f>①ベース事業別内訳!#REF!</f>
        <v>#REF!</v>
      </c>
      <c r="H16" s="808" t="e">
        <f>①ベース事業別内訳!#REF!</f>
        <v>#REF!</v>
      </c>
      <c r="I16" s="808"/>
      <c r="J16" s="808"/>
      <c r="K16" s="808"/>
      <c r="L16" s="808" t="e">
        <f>①ベース事業別内訳!#REF!</f>
        <v>#REF!</v>
      </c>
      <c r="M16" s="808"/>
    </row>
    <row r="17" spans="1:13" s="805" customFormat="1" ht="20.100000000000001" customHeight="1">
      <c r="A17" s="806"/>
      <c r="B17" s="808" t="s">
        <v>529</v>
      </c>
      <c r="C17" s="808" t="e">
        <f>①ベース事業別内訳!#REF!</f>
        <v>#REF!</v>
      </c>
      <c r="D17" s="808" t="e">
        <f>①ベース事業別内訳!#REF!</f>
        <v>#REF!</v>
      </c>
      <c r="E17" s="808" t="e">
        <f>①ベース事業別内訳!#REF!</f>
        <v>#REF!</v>
      </c>
      <c r="F17" s="808" t="e">
        <f>①ベース事業別内訳!#REF!</f>
        <v>#REF!</v>
      </c>
      <c r="G17" s="808" t="e">
        <f>①ベース事業別内訳!#REF!</f>
        <v>#REF!</v>
      </c>
      <c r="H17" s="808" t="e">
        <f>①ベース事業別内訳!#REF!</f>
        <v>#REF!</v>
      </c>
      <c r="I17" s="808"/>
      <c r="J17" s="808"/>
      <c r="K17" s="808"/>
      <c r="L17" s="808" t="e">
        <f>①ベース事業別内訳!#REF!</f>
        <v>#REF!</v>
      </c>
      <c r="M17" s="808"/>
    </row>
    <row r="18" spans="1:13" s="805" customFormat="1" ht="20.100000000000001" customHeight="1">
      <c r="A18" s="806"/>
      <c r="B18" s="808" t="s">
        <v>520</v>
      </c>
      <c r="C18" s="808" t="e">
        <f>①ベース事業別内訳!#REF!</f>
        <v>#REF!</v>
      </c>
      <c r="D18" s="808"/>
      <c r="E18" s="808" t="e">
        <f>①ベース事業別内訳!#REF!</f>
        <v>#REF!</v>
      </c>
      <c r="F18" s="808" t="e">
        <f>①ベース事業別内訳!#REF!</f>
        <v>#REF!</v>
      </c>
      <c r="G18" s="808" t="e">
        <f>①ベース事業別内訳!#REF!</f>
        <v>#REF!</v>
      </c>
      <c r="H18" s="808"/>
      <c r="I18" s="808" t="e">
        <f>①ベース事業別内訳!#REF!</f>
        <v>#REF!</v>
      </c>
      <c r="J18" s="808" t="e">
        <f>①ベース事業別内訳!#REF!</f>
        <v>#REF!</v>
      </c>
      <c r="K18" s="808" t="e">
        <f>①ベース事業別内訳!#REF!</f>
        <v>#REF!</v>
      </c>
      <c r="L18" s="808" t="e">
        <f>①ベース事業別内訳!#REF!</f>
        <v>#REF!</v>
      </c>
      <c r="M18" s="808" t="e">
        <f>①ベース事業別内訳!#REF!</f>
        <v>#REF!</v>
      </c>
    </row>
    <row r="19" spans="1:13" s="805" customFormat="1" ht="20.100000000000001" customHeight="1">
      <c r="A19" s="806"/>
      <c r="B19" s="808" t="s">
        <v>518</v>
      </c>
      <c r="C19" s="808" t="e">
        <f>①ベース事業別内訳!#REF!</f>
        <v>#REF!</v>
      </c>
      <c r="D19" s="808"/>
      <c r="E19" s="808" t="e">
        <f>①ベース事業別内訳!#REF!</f>
        <v>#REF!</v>
      </c>
      <c r="F19" s="808" t="e">
        <f>①ベース事業別内訳!#REF!</f>
        <v>#REF!</v>
      </c>
      <c r="G19" s="808" t="e">
        <f>①ベース事業別内訳!#REF!</f>
        <v>#REF!</v>
      </c>
      <c r="H19" s="808"/>
      <c r="I19" s="808" t="e">
        <f>①ベース事業別内訳!#REF!</f>
        <v>#REF!</v>
      </c>
      <c r="J19" s="808"/>
      <c r="K19" s="808" t="e">
        <f>①ベース事業別内訳!#REF!</f>
        <v>#REF!</v>
      </c>
      <c r="L19" s="808" t="e">
        <f>①ベース事業別内訳!#REF!</f>
        <v>#REF!</v>
      </c>
      <c r="M19" s="808"/>
    </row>
    <row r="20" spans="1:13" s="805" customFormat="1" ht="20.100000000000001" customHeight="1">
      <c r="A20" s="806"/>
      <c r="B20" s="808" t="s">
        <v>532</v>
      </c>
      <c r="C20" s="808" t="e">
        <f>①ベース事業別内訳!#REF!</f>
        <v>#REF!</v>
      </c>
      <c r="D20" s="808"/>
      <c r="E20" s="808" t="e">
        <f>①ベース事業別内訳!#REF!</f>
        <v>#REF!</v>
      </c>
      <c r="F20" s="808"/>
      <c r="G20" s="808"/>
      <c r="H20" s="808"/>
      <c r="I20" s="808"/>
      <c r="J20" s="808"/>
      <c r="K20" s="808"/>
      <c r="L20" s="808"/>
      <c r="M20" s="808"/>
    </row>
    <row r="21" spans="1:13" s="805" customFormat="1" ht="20.100000000000001" customHeight="1">
      <c r="A21" s="806"/>
      <c r="B21" s="808" t="s">
        <v>519</v>
      </c>
      <c r="C21" s="808" t="e">
        <f>①ベース事業別内訳!#REF!-C11-C15-C16-C17-C18-C19-C20+①ベース事業別内訳!#REF!-C14</f>
        <v>#REF!</v>
      </c>
      <c r="D21" s="808" t="e">
        <f>①ベース事業別内訳!#REF!-D11-D15-D16-D17-D18-D19-D20-D14</f>
        <v>#REF!</v>
      </c>
      <c r="E21" s="808" t="e">
        <f>①ベース事業別内訳!#REF!-E11-E15-E16-E17-E18-E19-E20-E14</f>
        <v>#REF!</v>
      </c>
      <c r="F21" s="808" t="e">
        <f>①ベース事業別内訳!#REF!-F11-F15-F16-F17-F18-F19-F20-F14</f>
        <v>#REF!</v>
      </c>
      <c r="G21" s="808" t="e">
        <f>①ベース事業別内訳!#REF!-G11-G15-G16-G17-G18-G19-G20-G14</f>
        <v>#REF!</v>
      </c>
      <c r="H21" s="808" t="e">
        <f>①ベース事業別内訳!#REF!-H11-H15-H16-H17-H18-H19-H20-H14</f>
        <v>#REF!</v>
      </c>
      <c r="I21" s="808" t="e">
        <f>①ベース事業別内訳!#REF!-I11-I15-I16-I17-I18-I19-I20-I14</f>
        <v>#REF!</v>
      </c>
      <c r="J21" s="808" t="e">
        <f>①ベース事業別内訳!#REF!-J11-J15-J16-J17-J18-J19-J20-J14</f>
        <v>#REF!</v>
      </c>
      <c r="K21" s="808" t="e">
        <f>①ベース事業別内訳!#REF!-K11-K15-K16-K17-K18-K19-K20-K14</f>
        <v>#REF!</v>
      </c>
      <c r="L21" s="808" t="e">
        <f>①ベース事業別内訳!#REF!-L11-L15-L16-L17-L18-L19-L20-L14</f>
        <v>#REF!</v>
      </c>
      <c r="M21" s="808" t="e">
        <f>①ベース事業別内訳!#REF!-M11-M15-M16-M17-M18-M19-M20-M14</f>
        <v>#REF!</v>
      </c>
    </row>
    <row r="22" spans="1:13" s="805" customFormat="1" ht="24.95" customHeight="1">
      <c r="A22" s="809"/>
      <c r="B22" s="810" t="s">
        <v>494</v>
      </c>
      <c r="C22" s="810" t="e">
        <f>'事業別損益表（予算拠点別）'!M7</f>
        <v>#REF!</v>
      </c>
      <c r="D22" s="810" t="e">
        <f>'事業別損益表（予算拠点別）'!M11</f>
        <v>#REF!</v>
      </c>
      <c r="E22" s="810" t="e">
        <f>'事業別損益表（予算拠点別）'!M10</f>
        <v>#REF!</v>
      </c>
      <c r="F22" s="810" t="e">
        <f>'事業別損益表（予算拠点別）'!M12</f>
        <v>#REF!</v>
      </c>
      <c r="G22" s="810" t="e">
        <f>'事業別損益表（予算拠点別）'!M13</f>
        <v>#REF!</v>
      </c>
      <c r="H22" s="810" t="e">
        <f>'事業別損益表（予算拠点別）'!M20</f>
        <v>#REF!</v>
      </c>
      <c r="I22" s="810" t="e">
        <f>'事業別損益表（予算拠点別）'!M22</f>
        <v>#REF!</v>
      </c>
      <c r="J22" s="810" t="e">
        <f>'事業別損益表（予算拠点別）'!M23</f>
        <v>#REF!</v>
      </c>
      <c r="K22" s="810" t="e">
        <f>'事業別損益表（予算拠点別）'!M17</f>
        <v>#REF!</v>
      </c>
      <c r="L22" s="810" t="e">
        <f>'事業別損益表（予算拠点別）'!M19</f>
        <v>#REF!</v>
      </c>
      <c r="M22" s="810" t="e">
        <f>'事業別損益表（予算拠点別）'!O18</f>
        <v>#REF!</v>
      </c>
    </row>
    <row r="23" spans="1:13" s="805" customFormat="1" ht="30" customHeight="1">
      <c r="A23" s="817" t="s">
        <v>544</v>
      </c>
      <c r="B23" s="803"/>
      <c r="C23" s="804" t="e">
        <f>C3-C10</f>
        <v>#REF!</v>
      </c>
      <c r="D23" s="804" t="e">
        <f>D3-D10</f>
        <v>#REF!</v>
      </c>
      <c r="E23" s="804" t="e">
        <f t="shared" ref="E23:M23" si="3">E3-E10</f>
        <v>#REF!</v>
      </c>
      <c r="F23" s="804" t="e">
        <f t="shared" si="3"/>
        <v>#REF!</v>
      </c>
      <c r="G23" s="804" t="e">
        <f t="shared" si="3"/>
        <v>#REF!</v>
      </c>
      <c r="H23" s="804" t="e">
        <f t="shared" si="3"/>
        <v>#REF!</v>
      </c>
      <c r="I23" s="804" t="e">
        <f t="shared" si="3"/>
        <v>#REF!</v>
      </c>
      <c r="J23" s="804" t="e">
        <f t="shared" si="3"/>
        <v>#REF!</v>
      </c>
      <c r="K23" s="804" t="e">
        <f t="shared" si="3"/>
        <v>#REF!</v>
      </c>
      <c r="L23" s="804" t="e">
        <f t="shared" si="3"/>
        <v>#REF!</v>
      </c>
      <c r="M23" s="804" t="e">
        <f t="shared" si="3"/>
        <v>#REF!</v>
      </c>
    </row>
    <row r="24" spans="1:13" s="805" customFormat="1">
      <c r="C24" s="805" t="s">
        <v>531</v>
      </c>
    </row>
  </sheetData>
  <mergeCells count="2">
    <mergeCell ref="A2:B2"/>
    <mergeCell ref="A1:M1"/>
  </mergeCells>
  <phoneticPr fontId="1"/>
  <printOptions horizontalCentered="1"/>
  <pageMargins left="0.23622047244094491" right="0.23622047244094491" top="0.74803149606299213" bottom="0.15748031496062992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zoomScaleNormal="100" workbookViewId="0">
      <selection activeCell="F4" sqref="F4"/>
    </sheetView>
  </sheetViews>
  <sheetFormatPr defaultColWidth="9" defaultRowHeight="13.5"/>
  <cols>
    <col min="1" max="1" width="3" style="5" customWidth="1"/>
    <col min="2" max="2" width="2.875" style="5" customWidth="1"/>
    <col min="3" max="3" width="16.75" style="5" bestFit="1" customWidth="1"/>
    <col min="4" max="4" width="16.125" style="518" bestFit="1" customWidth="1"/>
    <col min="5" max="5" width="7.5" style="193" customWidth="1"/>
    <col min="6" max="6" width="14.125" style="518" bestFit="1" customWidth="1"/>
    <col min="7" max="7" width="6.25" style="193" bestFit="1" customWidth="1"/>
    <col min="8" max="8" width="10.25" style="518" bestFit="1" customWidth="1"/>
    <col min="9" max="16384" width="9" style="5"/>
  </cols>
  <sheetData>
    <row r="1" spans="1:7">
      <c r="D1" s="1243" t="s">
        <v>492</v>
      </c>
      <c r="E1" s="662"/>
      <c r="F1" s="1243" t="s">
        <v>493</v>
      </c>
      <c r="G1" s="664"/>
    </row>
    <row r="2" spans="1:7" ht="24" customHeight="1">
      <c r="D2" s="1404"/>
      <c r="E2" s="663" t="s">
        <v>495</v>
      </c>
      <c r="F2" s="1404"/>
      <c r="G2" s="597" t="s">
        <v>495</v>
      </c>
    </row>
    <row r="3" spans="1:7" ht="30" customHeight="1">
      <c r="A3" s="343" t="s">
        <v>496</v>
      </c>
      <c r="B3" s="660"/>
      <c r="C3" s="661"/>
      <c r="D3" s="657">
        <f>SUM(D4:D6)</f>
        <v>17657000</v>
      </c>
      <c r="E3" s="597">
        <f>D3/$D$3</f>
        <v>1</v>
      </c>
      <c r="F3" s="657">
        <f>SUM(F4:F6)</f>
        <v>33709000</v>
      </c>
      <c r="G3" s="597">
        <f>F3/$F$3</f>
        <v>1</v>
      </c>
    </row>
    <row r="4" spans="1:7" ht="30" customHeight="1">
      <c r="A4" s="659"/>
      <c r="B4" s="1406" t="s">
        <v>324</v>
      </c>
      <c r="C4" s="1407"/>
      <c r="D4" s="666">
        <v>10577000</v>
      </c>
      <c r="E4" s="667">
        <f>D4/$D$3</f>
        <v>0.5990258820864246</v>
      </c>
      <c r="F4" s="666">
        <v>24250000</v>
      </c>
      <c r="G4" s="597">
        <f>F4/$F$3</f>
        <v>0.71939244712094697</v>
      </c>
    </row>
    <row r="5" spans="1:7" ht="30" customHeight="1">
      <c r="A5" s="659"/>
      <c r="B5" s="1405" t="s">
        <v>325</v>
      </c>
      <c r="C5" s="1405"/>
      <c r="D5" s="666">
        <v>6271000</v>
      </c>
      <c r="E5" s="667">
        <f>D5/$D$3</f>
        <v>0.35515659511808351</v>
      </c>
      <c r="F5" s="666">
        <v>8650000</v>
      </c>
      <c r="G5" s="597">
        <f>F5/$F$3</f>
        <v>0.25660802752973982</v>
      </c>
    </row>
    <row r="6" spans="1:7" ht="30" customHeight="1">
      <c r="A6" s="599"/>
      <c r="B6" s="1405" t="s">
        <v>498</v>
      </c>
      <c r="C6" s="1405"/>
      <c r="D6" s="666">
        <v>809000</v>
      </c>
      <c r="E6" s="667">
        <f>D6/$D$3</f>
        <v>4.5817522795491873E-2</v>
      </c>
      <c r="F6" s="666">
        <v>809000</v>
      </c>
      <c r="G6" s="597">
        <f>F6/$F$3</f>
        <v>2.3999525349313239E-2</v>
      </c>
    </row>
    <row r="7" spans="1:7" ht="15.75" customHeight="1">
      <c r="D7" s="655"/>
      <c r="F7" s="655"/>
    </row>
    <row r="8" spans="1:7" ht="30" customHeight="1">
      <c r="A8" s="343" t="s">
        <v>497</v>
      </c>
      <c r="B8" s="461"/>
      <c r="C8" s="606"/>
      <c r="D8" s="657">
        <f>D9+D14</f>
        <v>24562070</v>
      </c>
      <c r="E8" s="597">
        <f t="shared" ref="E8:E31" si="0">D8/$D$3</f>
        <v>1.3910669989239395</v>
      </c>
      <c r="F8" s="657">
        <f>F9+F14</f>
        <v>22853000</v>
      </c>
      <c r="G8" s="597">
        <f t="shared" ref="G8:G31" si="1">F8/$F$3</f>
        <v>0.67794950903319584</v>
      </c>
    </row>
    <row r="9" spans="1:7" ht="30" customHeight="1">
      <c r="A9" s="659"/>
      <c r="B9" s="658" t="s">
        <v>326</v>
      </c>
      <c r="C9" s="656"/>
      <c r="D9" s="657">
        <f>SUM(D10:D13)</f>
        <v>16268000</v>
      </c>
      <c r="E9" s="597">
        <f t="shared" si="0"/>
        <v>0.92133431500254859</v>
      </c>
      <c r="F9" s="657">
        <f>SUM(F10:F13)</f>
        <v>19331000</v>
      </c>
      <c r="G9" s="597">
        <f t="shared" si="1"/>
        <v>0.57346702661010418</v>
      </c>
    </row>
    <row r="10" spans="1:7" ht="30" customHeight="1">
      <c r="A10" s="659"/>
      <c r="B10" s="659"/>
      <c r="C10" s="665" t="s">
        <v>500</v>
      </c>
      <c r="D10" s="666">
        <v>10681000</v>
      </c>
      <c r="E10" s="667">
        <f t="shared" si="0"/>
        <v>0.60491589737781049</v>
      </c>
      <c r="F10" s="666">
        <v>10681000</v>
      </c>
      <c r="G10" s="597">
        <f t="shared" si="1"/>
        <v>0.3168589990803643</v>
      </c>
    </row>
    <row r="11" spans="1:7" ht="30" customHeight="1">
      <c r="A11" s="659"/>
      <c r="B11" s="599"/>
      <c r="C11" s="665" t="s">
        <v>499</v>
      </c>
      <c r="D11" s="666">
        <v>5587000</v>
      </c>
      <c r="E11" s="667">
        <f t="shared" si="0"/>
        <v>0.31641841762473805</v>
      </c>
      <c r="F11" s="666">
        <v>8650000</v>
      </c>
      <c r="G11" s="597">
        <f t="shared" si="1"/>
        <v>0.25660802752973982</v>
      </c>
    </row>
    <row r="12" spans="1:7" ht="30" hidden="1" customHeight="1">
      <c r="A12" s="659"/>
      <c r="B12" s="656"/>
      <c r="C12" s="656" t="s">
        <v>392</v>
      </c>
      <c r="D12" s="657">
        <v>0</v>
      </c>
      <c r="E12" s="597">
        <f t="shared" si="0"/>
        <v>0</v>
      </c>
      <c r="F12" s="657">
        <v>0</v>
      </c>
      <c r="G12" s="597">
        <f t="shared" si="1"/>
        <v>0</v>
      </c>
    </row>
    <row r="13" spans="1:7" ht="30" hidden="1" customHeight="1">
      <c r="A13" s="659"/>
      <c r="B13" s="656"/>
      <c r="C13" s="656" t="s">
        <v>119</v>
      </c>
      <c r="D13" s="657">
        <v>0</v>
      </c>
      <c r="E13" s="597">
        <f t="shared" si="0"/>
        <v>0</v>
      </c>
      <c r="F13" s="657">
        <v>0</v>
      </c>
      <c r="G13" s="597">
        <f t="shared" si="1"/>
        <v>0</v>
      </c>
    </row>
    <row r="14" spans="1:7" ht="30" customHeight="1">
      <c r="A14" s="599"/>
      <c r="B14" s="656" t="s">
        <v>327</v>
      </c>
      <c r="C14" s="656"/>
      <c r="D14" s="657">
        <f>SUM(D15:D31)</f>
        <v>8294070</v>
      </c>
      <c r="E14" s="597">
        <f t="shared" si="0"/>
        <v>0.46973268392139095</v>
      </c>
      <c r="F14" s="657">
        <f>SUM(F15:F31)</f>
        <v>3522000</v>
      </c>
      <c r="G14" s="597">
        <f t="shared" si="1"/>
        <v>0.10448248242309176</v>
      </c>
    </row>
    <row r="15" spans="1:7" ht="30" hidden="1" customHeight="1">
      <c r="C15" s="5" t="s">
        <v>93</v>
      </c>
      <c r="D15" s="655">
        <v>941000</v>
      </c>
      <c r="E15" s="193">
        <f t="shared" si="0"/>
        <v>5.3293311434558531E-2</v>
      </c>
      <c r="F15" s="655">
        <v>941000</v>
      </c>
      <c r="G15" s="193">
        <f t="shared" si="1"/>
        <v>2.7915393515084992E-2</v>
      </c>
    </row>
    <row r="16" spans="1:7" ht="30" hidden="1" customHeight="1">
      <c r="C16" s="5" t="s">
        <v>81</v>
      </c>
      <c r="D16" s="655">
        <v>293000</v>
      </c>
      <c r="E16" s="193">
        <f t="shared" si="0"/>
        <v>1.6593985388231296E-2</v>
      </c>
      <c r="F16" s="655">
        <v>293000</v>
      </c>
      <c r="G16" s="193">
        <f t="shared" si="1"/>
        <v>8.6920407012963889E-3</v>
      </c>
    </row>
    <row r="17" spans="3:7" ht="30" hidden="1" customHeight="1">
      <c r="C17" s="5" t="s">
        <v>121</v>
      </c>
      <c r="D17" s="655">
        <v>562000</v>
      </c>
      <c r="E17" s="193">
        <f t="shared" si="0"/>
        <v>3.182873647845047E-2</v>
      </c>
      <c r="F17" s="655">
        <v>562000</v>
      </c>
      <c r="G17" s="193">
        <f t="shared" si="1"/>
        <v>1.6672105372452461E-2</v>
      </c>
    </row>
    <row r="18" spans="3:7" ht="30" hidden="1" customHeight="1">
      <c r="C18" s="5" t="s">
        <v>82</v>
      </c>
      <c r="D18" s="655">
        <v>645000</v>
      </c>
      <c r="E18" s="193">
        <f t="shared" si="0"/>
        <v>3.6529421759075718E-2</v>
      </c>
      <c r="F18" s="655">
        <v>645000</v>
      </c>
      <c r="G18" s="193">
        <f t="shared" si="1"/>
        <v>1.9134355810021063E-2</v>
      </c>
    </row>
    <row r="19" spans="3:7" ht="30" hidden="1" customHeight="1">
      <c r="C19" s="5" t="s">
        <v>122</v>
      </c>
      <c r="D19" s="655">
        <v>17000</v>
      </c>
      <c r="E19" s="193">
        <f t="shared" si="0"/>
        <v>9.6279096109191822E-4</v>
      </c>
      <c r="F19" s="655">
        <v>17000</v>
      </c>
      <c r="G19" s="193">
        <f t="shared" si="1"/>
        <v>5.0431635468272567E-4</v>
      </c>
    </row>
    <row r="20" spans="3:7" ht="30" hidden="1" customHeight="1">
      <c r="C20" s="5" t="s">
        <v>83</v>
      </c>
      <c r="D20" s="655">
        <v>25000</v>
      </c>
      <c r="E20" s="193">
        <f t="shared" si="0"/>
        <v>1.4158690604292915E-3</v>
      </c>
      <c r="F20" s="655">
        <v>25000</v>
      </c>
      <c r="G20" s="193">
        <f t="shared" si="1"/>
        <v>7.4164169806283185E-4</v>
      </c>
    </row>
    <row r="21" spans="3:7" ht="30" hidden="1" customHeight="1">
      <c r="C21" s="5" t="s">
        <v>94</v>
      </c>
      <c r="D21" s="655">
        <v>58000</v>
      </c>
      <c r="E21" s="193">
        <f t="shared" si="0"/>
        <v>3.2848162201959564E-3</v>
      </c>
      <c r="F21" s="655">
        <v>58000</v>
      </c>
      <c r="G21" s="193">
        <f t="shared" si="1"/>
        <v>1.72060873950577E-3</v>
      </c>
    </row>
    <row r="22" spans="3:7" ht="30" hidden="1" customHeight="1">
      <c r="C22" s="5" t="s">
        <v>115</v>
      </c>
      <c r="D22" s="655">
        <v>9000</v>
      </c>
      <c r="E22" s="193">
        <f t="shared" si="0"/>
        <v>5.0971286175454495E-4</v>
      </c>
      <c r="F22" s="655">
        <v>9000</v>
      </c>
      <c r="G22" s="193">
        <f t="shared" si="1"/>
        <v>2.6699101130261949E-4</v>
      </c>
    </row>
    <row r="23" spans="3:7" ht="30" hidden="1" customHeight="1">
      <c r="C23" s="5" t="s">
        <v>85</v>
      </c>
      <c r="D23" s="655">
        <v>109000</v>
      </c>
      <c r="E23" s="193">
        <f t="shared" si="0"/>
        <v>6.1731891034717112E-3</v>
      </c>
      <c r="F23" s="655">
        <v>109000</v>
      </c>
      <c r="G23" s="193">
        <f t="shared" si="1"/>
        <v>3.2335578035539471E-3</v>
      </c>
    </row>
    <row r="24" spans="3:7" ht="30" hidden="1" customHeight="1">
      <c r="C24" s="5" t="s">
        <v>86</v>
      </c>
      <c r="D24" s="655">
        <v>71000</v>
      </c>
      <c r="E24" s="193">
        <f t="shared" si="0"/>
        <v>4.0210681316191878E-3</v>
      </c>
      <c r="F24" s="655">
        <v>71000</v>
      </c>
      <c r="G24" s="193">
        <f t="shared" si="1"/>
        <v>2.1062624224984427E-3</v>
      </c>
    </row>
    <row r="25" spans="3:7" ht="30" hidden="1" customHeight="1">
      <c r="C25" s="5" t="s">
        <v>97</v>
      </c>
      <c r="D25" s="655">
        <v>0</v>
      </c>
      <c r="E25" s="193">
        <f t="shared" si="0"/>
        <v>0</v>
      </c>
      <c r="F25" s="655">
        <v>0</v>
      </c>
      <c r="G25" s="193">
        <f t="shared" si="1"/>
        <v>0</v>
      </c>
    </row>
    <row r="26" spans="3:7" ht="30" hidden="1" customHeight="1">
      <c r="C26" s="5" t="s">
        <v>87</v>
      </c>
      <c r="D26" s="655">
        <v>0</v>
      </c>
      <c r="E26" s="193">
        <f t="shared" si="0"/>
        <v>0</v>
      </c>
      <c r="F26" s="655">
        <v>0</v>
      </c>
      <c r="G26" s="193">
        <f t="shared" si="1"/>
        <v>0</v>
      </c>
    </row>
    <row r="27" spans="3:7" ht="30" hidden="1" customHeight="1">
      <c r="C27" s="5" t="s">
        <v>88</v>
      </c>
      <c r="D27" s="655">
        <v>792000</v>
      </c>
      <c r="E27" s="193">
        <f t="shared" si="0"/>
        <v>4.4854731834399954E-2</v>
      </c>
      <c r="F27" s="655">
        <v>792000</v>
      </c>
      <c r="G27" s="193">
        <f t="shared" si="1"/>
        <v>2.3495208994630513E-2</v>
      </c>
    </row>
    <row r="28" spans="3:7" ht="30" hidden="1" customHeight="1">
      <c r="C28" s="5" t="s">
        <v>105</v>
      </c>
      <c r="D28" s="655">
        <v>0</v>
      </c>
      <c r="E28" s="193">
        <f t="shared" si="0"/>
        <v>0</v>
      </c>
      <c r="F28" s="655">
        <v>0</v>
      </c>
      <c r="G28" s="193">
        <f t="shared" si="1"/>
        <v>0</v>
      </c>
    </row>
    <row r="29" spans="3:7" ht="30" hidden="1" customHeight="1">
      <c r="C29" s="5" t="s">
        <v>89</v>
      </c>
      <c r="D29" s="655">
        <v>260000</v>
      </c>
      <c r="E29" s="193">
        <f t="shared" si="0"/>
        <v>1.4725038228464632E-2</v>
      </c>
      <c r="F29" s="655">
        <v>0</v>
      </c>
      <c r="G29" s="193">
        <f t="shared" si="1"/>
        <v>0</v>
      </c>
    </row>
    <row r="30" spans="3:7" ht="30" hidden="1" customHeight="1">
      <c r="C30" s="5" t="s">
        <v>90</v>
      </c>
      <c r="D30" s="655">
        <v>595000</v>
      </c>
      <c r="E30" s="193">
        <f t="shared" si="0"/>
        <v>3.3697683638217138E-2</v>
      </c>
      <c r="F30" s="655">
        <v>0</v>
      </c>
      <c r="G30" s="193">
        <f t="shared" si="1"/>
        <v>0</v>
      </c>
    </row>
    <row r="31" spans="3:7" ht="30" hidden="1" customHeight="1">
      <c r="C31" s="5" t="s">
        <v>494</v>
      </c>
      <c r="D31" s="655">
        <v>3917070</v>
      </c>
      <c r="E31" s="193">
        <f t="shared" si="0"/>
        <v>0.2218423288214306</v>
      </c>
      <c r="F31" s="655"/>
      <c r="G31" s="193">
        <f t="shared" si="1"/>
        <v>0</v>
      </c>
    </row>
    <row r="32" spans="3:7" ht="18" customHeight="1">
      <c r="D32" s="655"/>
      <c r="F32" s="655"/>
    </row>
    <row r="33" spans="1:7" ht="30" customHeight="1">
      <c r="A33" s="460" t="s">
        <v>160</v>
      </c>
      <c r="B33" s="461"/>
      <c r="C33" s="606"/>
      <c r="D33" s="668">
        <f>D3-D9-D14</f>
        <v>-6905070</v>
      </c>
      <c r="E33" s="597">
        <f>D33/$D$3</f>
        <v>-0.39106699892393953</v>
      </c>
      <c r="F33" s="657">
        <f>F3-F9-F14</f>
        <v>10856000</v>
      </c>
      <c r="G33" s="597">
        <f>F33/$F$3</f>
        <v>0.3220504909668041</v>
      </c>
    </row>
    <row r="34" spans="1:7" ht="30" customHeight="1"/>
    <row r="35" spans="1:7" ht="30" customHeight="1"/>
  </sheetData>
  <mergeCells count="5">
    <mergeCell ref="D1:D2"/>
    <mergeCell ref="F1:F2"/>
    <mergeCell ref="B6:C6"/>
    <mergeCell ref="B5:C5"/>
    <mergeCell ref="B4:C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headerFooter>
    <oddHeader>&amp;C&amp;"HGPｺﾞｼｯｸM,ﾒﾃﾞｨｳﾑ"&amp;16&amp;A&amp;R内部理事会資料
20160220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showGridLines="0" workbookViewId="0">
      <selection activeCell="L24" sqref="L24"/>
    </sheetView>
  </sheetViews>
  <sheetFormatPr defaultColWidth="9" defaultRowHeight="13.5"/>
  <cols>
    <col min="1" max="1" width="29.375" style="5" customWidth="1"/>
    <col min="2" max="2" width="14.375" style="5" bestFit="1" customWidth="1"/>
    <col min="3" max="3" width="13.125" style="5" hidden="1" customWidth="1"/>
    <col min="4" max="4" width="12.875" style="5" bestFit="1" customWidth="1"/>
    <col min="5" max="5" width="1.375" style="17" customWidth="1"/>
    <col min="6" max="6" width="14.375" style="39" bestFit="1" customWidth="1"/>
    <col min="7" max="7" width="1.375" style="17" customWidth="1"/>
    <col min="8" max="8" width="14.625" style="40" customWidth="1"/>
    <col min="9" max="9" width="11.625" style="5" bestFit="1" customWidth="1"/>
    <col min="10" max="10" width="9" style="16"/>
    <col min="11" max="16384" width="9" style="5"/>
  </cols>
  <sheetData>
    <row r="1" spans="1:10" ht="21">
      <c r="A1" s="1387" t="s">
        <v>661</v>
      </c>
      <c r="B1" s="1387"/>
      <c r="C1" s="1387"/>
      <c r="D1" s="1387"/>
      <c r="E1" s="1387"/>
      <c r="F1" s="1387"/>
      <c r="G1" s="1387"/>
      <c r="H1" s="1387"/>
    </row>
    <row r="2" spans="1:10">
      <c r="A2" s="1388" t="s">
        <v>662</v>
      </c>
      <c r="B2" s="1388"/>
      <c r="C2" s="1388"/>
      <c r="D2" s="1388"/>
      <c r="E2" s="1388"/>
      <c r="F2" s="1388"/>
      <c r="G2" s="1388"/>
      <c r="H2" s="1388"/>
    </row>
    <row r="3" spans="1:10" ht="20.100000000000001" customHeight="1">
      <c r="A3" s="1408" t="s">
        <v>55</v>
      </c>
      <c r="B3" s="1410" t="s">
        <v>663</v>
      </c>
      <c r="C3" s="1411"/>
      <c r="D3" s="1412"/>
      <c r="E3" s="260"/>
      <c r="F3" s="280" t="s">
        <v>664</v>
      </c>
      <c r="H3" s="18" t="s">
        <v>56</v>
      </c>
      <c r="J3" s="17"/>
    </row>
    <row r="4" spans="1:10" ht="14.25">
      <c r="A4" s="1409"/>
      <c r="B4" s="282" t="s">
        <v>322</v>
      </c>
      <c r="C4" s="283" t="s">
        <v>57</v>
      </c>
      <c r="D4" s="284" t="s">
        <v>316</v>
      </c>
      <c r="F4" s="281" t="s">
        <v>323</v>
      </c>
      <c r="H4" s="247" t="s">
        <v>58</v>
      </c>
      <c r="J4" s="17"/>
    </row>
    <row r="5" spans="1:10" ht="20.100000000000001" customHeight="1">
      <c r="A5" s="10" t="s">
        <v>7</v>
      </c>
      <c r="B5" s="6"/>
      <c r="C5" s="261"/>
      <c r="D5" s="253"/>
      <c r="F5" s="20"/>
      <c r="H5" s="21"/>
      <c r="J5" s="17"/>
    </row>
    <row r="6" spans="1:10" ht="15" customHeight="1">
      <c r="A6" s="22" t="s">
        <v>59</v>
      </c>
      <c r="B6" s="23" t="e">
        <f>#REF!</f>
        <v>#REF!</v>
      </c>
      <c r="C6" s="250"/>
      <c r="D6" s="255" t="e">
        <f>#REF!</f>
        <v>#REF!</v>
      </c>
      <c r="F6" s="24" t="e">
        <f>①ベース事業別内訳!#REF!</f>
        <v>#REF!</v>
      </c>
      <c r="H6" s="25" t="e">
        <f>F6-B6</f>
        <v>#REF!</v>
      </c>
      <c r="I6" s="173" t="e">
        <f>F6-D6</f>
        <v>#REF!</v>
      </c>
      <c r="J6" s="17"/>
    </row>
    <row r="7" spans="1:10" ht="15" customHeight="1">
      <c r="A7" s="26" t="s">
        <v>60</v>
      </c>
      <c r="B7" s="23" t="e">
        <f>#REF!</f>
        <v>#REF!</v>
      </c>
      <c r="C7" s="251"/>
      <c r="D7" s="256" t="e">
        <f>#REF!</f>
        <v>#REF!</v>
      </c>
      <c r="F7" s="28" t="e">
        <f>①ベース事業別内訳!#REF!</f>
        <v>#REF!</v>
      </c>
      <c r="H7" s="29" t="e">
        <f t="shared" ref="H7:H23" si="0">F7-B7</f>
        <v>#REF!</v>
      </c>
      <c r="I7" s="173" t="e">
        <f t="shared" ref="I7:I23" si="1">F7-D7</f>
        <v>#REF!</v>
      </c>
      <c r="J7" s="17"/>
    </row>
    <row r="8" spans="1:10" ht="15" customHeight="1">
      <c r="A8" s="26" t="s">
        <v>61</v>
      </c>
      <c r="B8" s="23" t="e">
        <f>SUM(B9:B19)</f>
        <v>#REF!</v>
      </c>
      <c r="C8" s="251"/>
      <c r="D8" s="256" t="e">
        <f>SUM(D9:D19)</f>
        <v>#REF!</v>
      </c>
      <c r="F8" s="28" t="e">
        <f>SUM(F9:F19)</f>
        <v>#REF!</v>
      </c>
      <c r="H8" s="29" t="e">
        <f>SUM(H9:H19)</f>
        <v>#REF!</v>
      </c>
      <c r="I8" s="173" t="e">
        <f t="shared" si="1"/>
        <v>#REF!</v>
      </c>
      <c r="J8" s="17" t="e">
        <f>F8/D8</f>
        <v>#REF!</v>
      </c>
    </row>
    <row r="9" spans="1:10" ht="15" customHeight="1">
      <c r="A9" s="23" t="s">
        <v>299</v>
      </c>
      <c r="B9" s="23" t="e">
        <f>#REF!</f>
        <v>#REF!</v>
      </c>
      <c r="C9" s="250"/>
      <c r="D9" s="256" t="e">
        <f>#REF!</f>
        <v>#REF!</v>
      </c>
      <c r="F9" s="24" t="e">
        <f>①ベース事業別内訳!#REF!</f>
        <v>#REF!</v>
      </c>
      <c r="H9" s="25" t="e">
        <f t="shared" ref="H9:H16" si="2">F9-B9</f>
        <v>#REF!</v>
      </c>
      <c r="I9" s="173" t="e">
        <f t="shared" si="1"/>
        <v>#REF!</v>
      </c>
      <c r="J9" s="17" t="e">
        <f t="shared" ref="J9:J22" si="3">F9/D9</f>
        <v>#REF!</v>
      </c>
    </row>
    <row r="10" spans="1:10" ht="15" customHeight="1">
      <c r="A10" s="27" t="s">
        <v>300</v>
      </c>
      <c r="B10" s="23" t="e">
        <f>#REF!</f>
        <v>#REF!</v>
      </c>
      <c r="C10" s="251"/>
      <c r="D10" s="256" t="e">
        <f>#REF!</f>
        <v>#REF!</v>
      </c>
      <c r="E10" s="32"/>
      <c r="F10" s="28" t="e">
        <f>①ベース事業別内訳!#REF!</f>
        <v>#REF!</v>
      </c>
      <c r="H10" s="29" t="e">
        <f t="shared" si="2"/>
        <v>#REF!</v>
      </c>
      <c r="I10" s="173" t="e">
        <f t="shared" si="1"/>
        <v>#REF!</v>
      </c>
      <c r="J10" s="17" t="e">
        <f t="shared" si="3"/>
        <v>#REF!</v>
      </c>
    </row>
    <row r="11" spans="1:10" ht="15" customHeight="1">
      <c r="A11" s="27" t="s">
        <v>304</v>
      </c>
      <c r="B11" s="23" t="e">
        <f>#REF!</f>
        <v>#REF!</v>
      </c>
      <c r="C11" s="251"/>
      <c r="D11" s="256" t="e">
        <f>#REF!</f>
        <v>#REF!</v>
      </c>
      <c r="E11" s="32"/>
      <c r="F11" s="28" t="e">
        <f>①ベース事業別内訳!#REF!</f>
        <v>#REF!</v>
      </c>
      <c r="H11" s="29" t="e">
        <f t="shared" si="2"/>
        <v>#REF!</v>
      </c>
      <c r="I11" s="173" t="e">
        <f t="shared" si="1"/>
        <v>#REF!</v>
      </c>
      <c r="J11" s="17" t="e">
        <f t="shared" si="3"/>
        <v>#REF!</v>
      </c>
    </row>
    <row r="12" spans="1:10" ht="15" customHeight="1">
      <c r="A12" s="27" t="s">
        <v>301</v>
      </c>
      <c r="B12" s="23" t="e">
        <f>#REF!</f>
        <v>#REF!</v>
      </c>
      <c r="C12" s="251"/>
      <c r="D12" s="256" t="e">
        <f>#REF!</f>
        <v>#REF!</v>
      </c>
      <c r="E12" s="32"/>
      <c r="F12" s="28" t="e">
        <f>①ベース事業別内訳!#REF!</f>
        <v>#REF!</v>
      </c>
      <c r="H12" s="29" t="e">
        <f t="shared" si="2"/>
        <v>#REF!</v>
      </c>
      <c r="I12" s="173" t="e">
        <f t="shared" si="1"/>
        <v>#REF!</v>
      </c>
      <c r="J12" s="17" t="e">
        <f t="shared" si="3"/>
        <v>#REF!</v>
      </c>
    </row>
    <row r="13" spans="1:10" ht="15" customHeight="1">
      <c r="A13" s="23" t="s">
        <v>302</v>
      </c>
      <c r="B13" s="23" t="e">
        <f>#REF!</f>
        <v>#REF!</v>
      </c>
      <c r="C13" s="250"/>
      <c r="D13" s="256" t="e">
        <f>#REF!</f>
        <v>#REF!</v>
      </c>
      <c r="E13" s="32"/>
      <c r="F13" s="24" t="e">
        <f>①ベース事業別内訳!#REF!</f>
        <v>#REF!</v>
      </c>
      <c r="H13" s="25" t="e">
        <f>F13-B13</f>
        <v>#REF!</v>
      </c>
      <c r="I13" s="173" t="e">
        <f t="shared" si="1"/>
        <v>#REF!</v>
      </c>
      <c r="J13" s="17" t="e">
        <f t="shared" si="3"/>
        <v>#REF!</v>
      </c>
    </row>
    <row r="14" spans="1:10" ht="15" customHeight="1">
      <c r="A14" s="27" t="s">
        <v>303</v>
      </c>
      <c r="B14" s="23" t="e">
        <f>#REF!</f>
        <v>#REF!</v>
      </c>
      <c r="C14" s="250"/>
      <c r="D14" s="256" t="e">
        <f>#REF!</f>
        <v>#REF!</v>
      </c>
      <c r="E14" s="32"/>
      <c r="F14" s="24" t="e">
        <f>①ベース事業別内訳!#REF!</f>
        <v>#REF!</v>
      </c>
      <c r="H14" s="25" t="e">
        <f t="shared" si="2"/>
        <v>#REF!</v>
      </c>
      <c r="I14" s="173" t="e">
        <f t="shared" si="1"/>
        <v>#REF!</v>
      </c>
      <c r="J14" s="17" t="e">
        <f t="shared" si="3"/>
        <v>#REF!</v>
      </c>
    </row>
    <row r="15" spans="1:10" ht="15" customHeight="1">
      <c r="A15" s="27" t="s">
        <v>63</v>
      </c>
      <c r="B15" s="23" t="e">
        <f>#REF!</f>
        <v>#REF!</v>
      </c>
      <c r="C15" s="251"/>
      <c r="D15" s="256" t="e">
        <f>#REF!</f>
        <v>#REF!</v>
      </c>
      <c r="F15" s="28" t="e">
        <f>①ベース事業別内訳!#REF!</f>
        <v>#REF!</v>
      </c>
      <c r="H15" s="29" t="e">
        <f t="shared" si="2"/>
        <v>#REF!</v>
      </c>
      <c r="I15" s="173" t="e">
        <f t="shared" si="1"/>
        <v>#REF!</v>
      </c>
      <c r="J15" s="17" t="e">
        <f t="shared" si="3"/>
        <v>#REF!</v>
      </c>
    </row>
    <row r="16" spans="1:10" ht="15" customHeight="1">
      <c r="A16" s="27" t="s">
        <v>64</v>
      </c>
      <c r="B16" s="23" t="e">
        <f>#REF!</f>
        <v>#REF!</v>
      </c>
      <c r="C16" s="251"/>
      <c r="D16" s="256" t="e">
        <f>#REF!</f>
        <v>#REF!</v>
      </c>
      <c r="F16" s="28" t="e">
        <f>①ベース事業別内訳!#REF!</f>
        <v>#REF!</v>
      </c>
      <c r="H16" s="29" t="e">
        <f t="shared" si="2"/>
        <v>#REF!</v>
      </c>
      <c r="I16" s="173" t="e">
        <f t="shared" si="1"/>
        <v>#REF!</v>
      </c>
      <c r="J16" s="17" t="e">
        <f t="shared" si="3"/>
        <v>#REF!</v>
      </c>
    </row>
    <row r="17" spans="1:11" ht="15" customHeight="1">
      <c r="A17" s="23" t="s">
        <v>62</v>
      </c>
      <c r="B17" s="23" t="e">
        <f>#REF!</f>
        <v>#REF!</v>
      </c>
      <c r="C17" s="250"/>
      <c r="D17" s="256" t="e">
        <f>#REF!</f>
        <v>#REF!</v>
      </c>
      <c r="F17" s="24" t="e">
        <f>①ベース事業別内訳!#REF!</f>
        <v>#REF!</v>
      </c>
      <c r="H17" s="25" t="e">
        <f t="shared" si="0"/>
        <v>#REF!</v>
      </c>
      <c r="I17" s="173" t="e">
        <f t="shared" si="1"/>
        <v>#REF!</v>
      </c>
      <c r="J17" s="17" t="e">
        <f t="shared" si="3"/>
        <v>#REF!</v>
      </c>
    </row>
    <row r="18" spans="1:11" ht="15" customHeight="1">
      <c r="A18" s="27" t="s">
        <v>162</v>
      </c>
      <c r="B18" s="23" t="e">
        <f>#REF!</f>
        <v>#REF!</v>
      </c>
      <c r="C18" s="251"/>
      <c r="D18" s="256" t="e">
        <f>#REF!</f>
        <v>#REF!</v>
      </c>
      <c r="F18" s="28" t="e">
        <f>①ベース事業別内訳!#REF!</f>
        <v>#REF!</v>
      </c>
      <c r="H18" s="29" t="e">
        <f t="shared" si="0"/>
        <v>#REF!</v>
      </c>
      <c r="I18" s="173" t="e">
        <f t="shared" si="1"/>
        <v>#REF!</v>
      </c>
      <c r="J18" s="17" t="e">
        <f t="shared" si="3"/>
        <v>#REF!</v>
      </c>
    </row>
    <row r="19" spans="1:11" ht="15" customHeight="1">
      <c r="A19" s="27" t="s">
        <v>65</v>
      </c>
      <c r="B19" s="23" t="e">
        <f>#REF!</f>
        <v>#REF!</v>
      </c>
      <c r="C19" s="251"/>
      <c r="D19" s="256" t="e">
        <f>#REF!</f>
        <v>#REF!</v>
      </c>
      <c r="F19" s="28" t="e">
        <f>①ベース事業別内訳!#REF!</f>
        <v>#REF!</v>
      </c>
      <c r="H19" s="29" t="e">
        <f t="shared" si="0"/>
        <v>#REF!</v>
      </c>
      <c r="I19" s="173" t="e">
        <f t="shared" si="1"/>
        <v>#REF!</v>
      </c>
      <c r="J19" s="17" t="e">
        <f t="shared" si="3"/>
        <v>#REF!</v>
      </c>
    </row>
    <row r="20" spans="1:11" ht="15" customHeight="1">
      <c r="A20" s="26" t="s">
        <v>66</v>
      </c>
      <c r="B20" s="23" t="e">
        <f>#REF!</f>
        <v>#REF!</v>
      </c>
      <c r="C20" s="251"/>
      <c r="D20" s="256" t="e">
        <f>#REF!</f>
        <v>#REF!</v>
      </c>
      <c r="E20" s="32"/>
      <c r="F20" s="28" t="e">
        <f>①ベース事業別内訳!#REF!</f>
        <v>#REF!</v>
      </c>
      <c r="H20" s="29" t="e">
        <f t="shared" si="0"/>
        <v>#REF!</v>
      </c>
      <c r="I20" s="173" t="e">
        <f t="shared" si="1"/>
        <v>#REF!</v>
      </c>
      <c r="J20" s="17" t="e">
        <f t="shared" si="3"/>
        <v>#REF!</v>
      </c>
    </row>
    <row r="21" spans="1:11" ht="15" customHeight="1">
      <c r="A21" s="26" t="s">
        <v>67</v>
      </c>
      <c r="B21" s="23" t="e">
        <f>#REF!</f>
        <v>#REF!</v>
      </c>
      <c r="C21" s="251"/>
      <c r="D21" s="256" t="e">
        <f>#REF!</f>
        <v>#REF!</v>
      </c>
      <c r="E21" s="32"/>
      <c r="F21" s="28" t="e">
        <f>①ベース事業別内訳!#REF!</f>
        <v>#REF!</v>
      </c>
      <c r="H21" s="29" t="e">
        <f t="shared" si="0"/>
        <v>#REF!</v>
      </c>
      <c r="I21" s="173" t="e">
        <f t="shared" si="1"/>
        <v>#REF!</v>
      </c>
      <c r="J21" s="17" t="e">
        <f t="shared" si="3"/>
        <v>#REF!</v>
      </c>
    </row>
    <row r="22" spans="1:11" ht="15" customHeight="1">
      <c r="A22" s="33" t="s">
        <v>68</v>
      </c>
      <c r="B22" s="182" t="e">
        <f>#REF!</f>
        <v>#REF!</v>
      </c>
      <c r="C22" s="259"/>
      <c r="D22" s="257" t="e">
        <f>#REF!</f>
        <v>#REF!</v>
      </c>
      <c r="E22" s="32"/>
      <c r="F22" s="34" t="e">
        <f>①ベース事業別内訳!#REF!</f>
        <v>#REF!</v>
      </c>
      <c r="H22" s="35" t="e">
        <f t="shared" si="0"/>
        <v>#REF!</v>
      </c>
      <c r="I22" s="173" t="e">
        <f t="shared" si="1"/>
        <v>#REF!</v>
      </c>
      <c r="J22" s="17" t="e">
        <f t="shared" si="3"/>
        <v>#REF!</v>
      </c>
    </row>
    <row r="23" spans="1:11" ht="20.100000000000001" customHeight="1">
      <c r="A23" s="267" t="s">
        <v>25</v>
      </c>
      <c r="B23" s="268" t="e">
        <f>#REF!</f>
        <v>#REF!</v>
      </c>
      <c r="C23" s="277">
        <f>C6+C7+C8+C20+C21+C22</f>
        <v>0</v>
      </c>
      <c r="D23" s="278" t="e">
        <f>#REF!</f>
        <v>#REF!</v>
      </c>
      <c r="E23" s="32"/>
      <c r="F23" s="275" t="e">
        <f>F6+F7+F8+F20+F21+F22</f>
        <v>#REF!</v>
      </c>
      <c r="H23" s="36" t="e">
        <f t="shared" si="0"/>
        <v>#REF!</v>
      </c>
      <c r="I23" s="173" t="e">
        <f t="shared" si="1"/>
        <v>#REF!</v>
      </c>
      <c r="J23" s="17" t="e">
        <f>F23/D23</f>
        <v>#REF!</v>
      </c>
    </row>
    <row r="24" spans="1:11" ht="14.25">
      <c r="A24" s="263"/>
      <c r="B24" s="272"/>
      <c r="C24" s="265"/>
      <c r="D24" s="279"/>
      <c r="E24" s="32"/>
      <c r="F24" s="276"/>
      <c r="H24" s="35"/>
    </row>
    <row r="25" spans="1:11" ht="20.100000000000001" customHeight="1">
      <c r="A25" s="10" t="s">
        <v>26</v>
      </c>
      <c r="B25" s="6"/>
      <c r="C25" s="261"/>
      <c r="D25" s="253"/>
      <c r="F25" s="30"/>
      <c r="H25" s="31"/>
    </row>
    <row r="26" spans="1:11" ht="15" customHeight="1">
      <c r="A26" s="11" t="s">
        <v>69</v>
      </c>
      <c r="B26" s="6"/>
      <c r="C26" s="258"/>
      <c r="D26" s="254"/>
      <c r="F26" s="30"/>
      <c r="H26" s="31"/>
    </row>
    <row r="27" spans="1:11" ht="15" customHeight="1">
      <c r="A27" s="23" t="s">
        <v>299</v>
      </c>
      <c r="B27" s="23" t="e">
        <f>#REF!</f>
        <v>#REF!</v>
      </c>
      <c r="C27" s="250"/>
      <c r="D27" s="255" t="e">
        <f>#REF!</f>
        <v>#REF!</v>
      </c>
      <c r="F27" s="24" t="e">
        <f>①ベース事業別内訳!#REF!</f>
        <v>#REF!</v>
      </c>
      <c r="H27" s="25" t="e">
        <f t="shared" ref="H27:H34" si="4">F27-B27</f>
        <v>#REF!</v>
      </c>
      <c r="I27" s="173" t="e">
        <f>F27-D27</f>
        <v>#REF!</v>
      </c>
      <c r="K27" s="16"/>
    </row>
    <row r="28" spans="1:11" ht="15" customHeight="1">
      <c r="A28" s="27" t="s">
        <v>300</v>
      </c>
      <c r="B28" s="27" t="e">
        <f>#REF!</f>
        <v>#REF!</v>
      </c>
      <c r="C28" s="251"/>
      <c r="D28" s="256" t="e">
        <f>#REF!</f>
        <v>#REF!</v>
      </c>
      <c r="F28" s="28" t="e">
        <f>①ベース事業別内訳!#REF!</f>
        <v>#REF!</v>
      </c>
      <c r="H28" s="29" t="e">
        <f t="shared" si="4"/>
        <v>#REF!</v>
      </c>
      <c r="I28" s="173" t="e">
        <f t="shared" ref="I28:I37" si="5">F28-D28</f>
        <v>#REF!</v>
      </c>
    </row>
    <row r="29" spans="1:11" ht="15" customHeight="1">
      <c r="A29" s="27" t="s">
        <v>304</v>
      </c>
      <c r="B29" s="27" t="e">
        <f>#REF!</f>
        <v>#REF!</v>
      </c>
      <c r="C29" s="251"/>
      <c r="D29" s="256" t="e">
        <f>#REF!</f>
        <v>#REF!</v>
      </c>
      <c r="F29" s="28" t="e">
        <f>①ベース事業別内訳!#REF!</f>
        <v>#REF!</v>
      </c>
      <c r="H29" s="29" t="e">
        <f t="shared" si="4"/>
        <v>#REF!</v>
      </c>
      <c r="I29" s="173" t="e">
        <f t="shared" si="5"/>
        <v>#REF!</v>
      </c>
    </row>
    <row r="30" spans="1:11" ht="15" customHeight="1">
      <c r="A30" s="27" t="s">
        <v>301</v>
      </c>
      <c r="B30" s="27" t="e">
        <f>#REF!</f>
        <v>#REF!</v>
      </c>
      <c r="C30" s="251"/>
      <c r="D30" s="256" t="e">
        <f>#REF!</f>
        <v>#REF!</v>
      </c>
      <c r="F30" s="28" t="e">
        <f>①ベース事業別内訳!#REF!</f>
        <v>#REF!</v>
      </c>
      <c r="H30" s="29" t="e">
        <f t="shared" si="4"/>
        <v>#REF!</v>
      </c>
      <c r="I30" s="173" t="e">
        <f t="shared" si="5"/>
        <v>#REF!</v>
      </c>
    </row>
    <row r="31" spans="1:11" ht="15" customHeight="1">
      <c r="A31" s="23" t="s">
        <v>302</v>
      </c>
      <c r="B31" s="27" t="e">
        <f>#REF!</f>
        <v>#REF!</v>
      </c>
      <c r="C31" s="250"/>
      <c r="D31" s="256" t="e">
        <f>#REF!</f>
        <v>#REF!</v>
      </c>
      <c r="F31" s="24" t="e">
        <f>①ベース事業別内訳!#REF!</f>
        <v>#REF!</v>
      </c>
      <c r="H31" s="25" t="e">
        <f t="shared" si="4"/>
        <v>#REF!</v>
      </c>
      <c r="I31" s="173" t="e">
        <f t="shared" si="5"/>
        <v>#REF!</v>
      </c>
      <c r="K31" s="16"/>
    </row>
    <row r="32" spans="1:11" ht="15" customHeight="1">
      <c r="A32" s="27" t="s">
        <v>303</v>
      </c>
      <c r="B32" s="27" t="e">
        <f>#REF!</f>
        <v>#REF!</v>
      </c>
      <c r="C32" s="258"/>
      <c r="D32" s="286" t="e">
        <f>#REF!</f>
        <v>#REF!</v>
      </c>
      <c r="E32" s="287"/>
      <c r="F32" s="28" t="e">
        <f>①ベース事業別内訳!#REF!</f>
        <v>#REF!</v>
      </c>
      <c r="H32" s="29" t="e">
        <f t="shared" si="4"/>
        <v>#REF!</v>
      </c>
      <c r="I32" s="173" t="e">
        <f t="shared" si="5"/>
        <v>#REF!</v>
      </c>
      <c r="K32" s="16"/>
    </row>
    <row r="33" spans="1:11" ht="15" customHeight="1">
      <c r="A33" s="23" t="s">
        <v>63</v>
      </c>
      <c r="B33" s="23" t="e">
        <f>#REF!</f>
        <v>#REF!</v>
      </c>
      <c r="C33" s="250"/>
      <c r="D33" s="255" t="e">
        <f>#REF!</f>
        <v>#REF!</v>
      </c>
      <c r="F33" s="24" t="e">
        <f>①ベース事業別内訳!#REF!</f>
        <v>#REF!</v>
      </c>
      <c r="H33" s="25" t="e">
        <f t="shared" si="4"/>
        <v>#REF!</v>
      </c>
      <c r="I33" s="173" t="e">
        <f t="shared" si="5"/>
        <v>#REF!</v>
      </c>
      <c r="K33" s="16"/>
    </row>
    <row r="34" spans="1:11" ht="15" customHeight="1">
      <c r="A34" s="27" t="s">
        <v>64</v>
      </c>
      <c r="B34" s="27" t="e">
        <f>#REF!</f>
        <v>#REF!</v>
      </c>
      <c r="C34" s="251"/>
      <c r="D34" s="256" t="e">
        <f>#REF!</f>
        <v>#REF!</v>
      </c>
      <c r="F34" s="28" t="e">
        <f>①ベース事業別内訳!#REF!</f>
        <v>#REF!</v>
      </c>
      <c r="H34" s="29" t="e">
        <f t="shared" si="4"/>
        <v>#REF!</v>
      </c>
      <c r="I34" s="173" t="e">
        <f t="shared" si="5"/>
        <v>#REF!</v>
      </c>
      <c r="K34" s="16"/>
    </row>
    <row r="35" spans="1:11" ht="15" customHeight="1">
      <c r="A35" s="23" t="s">
        <v>62</v>
      </c>
      <c r="B35" s="6" t="e">
        <f>#REF!</f>
        <v>#REF!</v>
      </c>
      <c r="C35" s="250"/>
      <c r="D35" s="255" t="e">
        <f>#REF!</f>
        <v>#REF!</v>
      </c>
      <c r="F35" s="24" t="e">
        <f>①ベース事業別内訳!#REF!</f>
        <v>#REF!</v>
      </c>
      <c r="H35" s="25" t="e">
        <f>F35-B35</f>
        <v>#REF!</v>
      </c>
      <c r="I35" s="173" t="e">
        <f t="shared" si="5"/>
        <v>#REF!</v>
      </c>
      <c r="K35" s="16"/>
    </row>
    <row r="36" spans="1:11" ht="15" customHeight="1">
      <c r="A36" s="27" t="s">
        <v>162</v>
      </c>
      <c r="B36" s="27" t="e">
        <f>#REF!</f>
        <v>#REF!</v>
      </c>
      <c r="C36" s="251"/>
      <c r="D36" s="256" t="e">
        <f>#REF!</f>
        <v>#REF!</v>
      </c>
      <c r="F36" s="24" t="e">
        <f>①ベース事業別内訳!#REF!</f>
        <v>#REF!</v>
      </c>
      <c r="H36" s="25" t="e">
        <f>F36-B36</f>
        <v>#REF!</v>
      </c>
      <c r="I36" s="173" t="e">
        <f t="shared" si="5"/>
        <v>#REF!</v>
      </c>
      <c r="K36" s="16"/>
    </row>
    <row r="37" spans="1:11" ht="15" customHeight="1">
      <c r="A37" s="182" t="s">
        <v>65</v>
      </c>
      <c r="B37" s="182" t="e">
        <f>#REF!</f>
        <v>#REF!</v>
      </c>
      <c r="C37" s="251"/>
      <c r="D37" s="257" t="e">
        <f>#REF!</f>
        <v>#REF!</v>
      </c>
      <c r="E37" s="289"/>
      <c r="F37" s="241" t="e">
        <f>①ベース事業別内訳!#REF!</f>
        <v>#REF!</v>
      </c>
      <c r="H37" s="242" t="e">
        <f>F37-B37</f>
        <v>#REF!</v>
      </c>
      <c r="I37" s="173" t="e">
        <f t="shared" si="5"/>
        <v>#REF!</v>
      </c>
      <c r="K37" s="16"/>
    </row>
    <row r="38" spans="1:11" ht="20.100000000000001" customHeight="1">
      <c r="A38" s="272" t="s">
        <v>70</v>
      </c>
      <c r="B38" s="288" t="e">
        <f>SUM(B27:B37)</f>
        <v>#REF!</v>
      </c>
      <c r="C38" s="265">
        <f>SUM(C36:C37)</f>
        <v>0</v>
      </c>
      <c r="D38" s="279" t="e">
        <f>SUM(D27:D37)</f>
        <v>#REF!</v>
      </c>
      <c r="E38" s="37"/>
      <c r="F38" s="274" t="e">
        <f>SUM(F27:F37)</f>
        <v>#REF!</v>
      </c>
      <c r="H38" s="35" t="e">
        <f>SUM(H36:H37)</f>
        <v>#REF!</v>
      </c>
    </row>
    <row r="39" spans="1:11" s="41" customFormat="1" ht="14.25">
      <c r="A39" s="38"/>
      <c r="B39" s="38"/>
      <c r="C39" s="38"/>
      <c r="D39" s="248"/>
      <c r="E39" s="37"/>
      <c r="F39" s="39"/>
      <c r="G39" s="17"/>
      <c r="H39" s="40"/>
      <c r="J39" s="17"/>
    </row>
    <row r="40" spans="1:11" ht="14.25">
      <c r="A40" s="42" t="s">
        <v>28</v>
      </c>
      <c r="B40" s="42"/>
      <c r="C40" s="249"/>
      <c r="D40" s="253"/>
      <c r="F40" s="20"/>
      <c r="H40" s="21"/>
    </row>
    <row r="41" spans="1:11" ht="15" customHeight="1">
      <c r="A41" s="23" t="s">
        <v>29</v>
      </c>
      <c r="B41" s="23" t="e">
        <f>#REF!</f>
        <v>#REF!</v>
      </c>
      <c r="C41" s="250"/>
      <c r="D41" s="255" t="e">
        <f>#REF!</f>
        <v>#REF!</v>
      </c>
      <c r="F41" s="24" t="e">
        <f>①ベース事業別内訳!#REF!</f>
        <v>#REF!</v>
      </c>
      <c r="H41" s="25" t="e">
        <f t="shared" ref="H41:H67" si="6">F41-B41</f>
        <v>#REF!</v>
      </c>
    </row>
    <row r="42" spans="1:11" ht="15" customHeight="1">
      <c r="A42" s="27" t="s">
        <v>30</v>
      </c>
      <c r="B42" s="23" t="e">
        <f>#REF!</f>
        <v>#REF!</v>
      </c>
      <c r="C42" s="251"/>
      <c r="D42" s="256" t="e">
        <f>#REF!</f>
        <v>#REF!</v>
      </c>
      <c r="F42" s="24" t="e">
        <f>①ベース事業別内訳!#REF!</f>
        <v>#REF!</v>
      </c>
      <c r="H42" s="29" t="e">
        <f t="shared" si="6"/>
        <v>#REF!</v>
      </c>
    </row>
    <row r="43" spans="1:11" ht="15" customHeight="1">
      <c r="A43" s="27" t="s">
        <v>31</v>
      </c>
      <c r="B43" s="23" t="e">
        <f>#REF!</f>
        <v>#REF!</v>
      </c>
      <c r="C43" s="251"/>
      <c r="D43" s="256" t="e">
        <f>#REF!</f>
        <v>#REF!</v>
      </c>
      <c r="F43" s="24" t="e">
        <f>①ベース事業別内訳!#REF!</f>
        <v>#REF!</v>
      </c>
      <c r="H43" s="29" t="e">
        <f t="shared" si="6"/>
        <v>#REF!</v>
      </c>
    </row>
    <row r="44" spans="1:11" ht="15" customHeight="1">
      <c r="A44" s="27" t="s">
        <v>32</v>
      </c>
      <c r="B44" s="23" t="e">
        <f>#REF!</f>
        <v>#REF!</v>
      </c>
      <c r="C44" s="251"/>
      <c r="D44" s="256" t="e">
        <f>#REF!</f>
        <v>#REF!</v>
      </c>
      <c r="F44" s="24" t="e">
        <f>①ベース事業別内訳!#REF!</f>
        <v>#REF!</v>
      </c>
      <c r="H44" s="29" t="e">
        <f t="shared" si="6"/>
        <v>#REF!</v>
      </c>
    </row>
    <row r="45" spans="1:11" ht="15" customHeight="1">
      <c r="A45" s="27" t="s">
        <v>33</v>
      </c>
      <c r="B45" s="23" t="e">
        <f>#REF!</f>
        <v>#REF!</v>
      </c>
      <c r="C45" s="251"/>
      <c r="D45" s="256" t="e">
        <f>#REF!</f>
        <v>#REF!</v>
      </c>
      <c r="F45" s="24" t="e">
        <f>①ベース事業別内訳!#REF!</f>
        <v>#REF!</v>
      </c>
      <c r="H45" s="29" t="e">
        <f t="shared" si="6"/>
        <v>#REF!</v>
      </c>
    </row>
    <row r="46" spans="1:11" ht="15" customHeight="1">
      <c r="A46" s="27" t="s">
        <v>34</v>
      </c>
      <c r="B46" s="23" t="e">
        <f>#REF!</f>
        <v>#REF!</v>
      </c>
      <c r="C46" s="251"/>
      <c r="D46" s="256" t="e">
        <f>#REF!</f>
        <v>#REF!</v>
      </c>
      <c r="F46" s="24" t="e">
        <f>①ベース事業別内訳!#REF!</f>
        <v>#REF!</v>
      </c>
      <c r="H46" s="29" t="e">
        <f t="shared" si="6"/>
        <v>#REF!</v>
      </c>
    </row>
    <row r="47" spans="1:11" ht="15" customHeight="1">
      <c r="A47" s="27" t="s">
        <v>35</v>
      </c>
      <c r="B47" s="23" t="e">
        <f>#REF!</f>
        <v>#REF!</v>
      </c>
      <c r="C47" s="251"/>
      <c r="D47" s="256" t="e">
        <f>#REF!</f>
        <v>#REF!</v>
      </c>
      <c r="F47" s="24" t="e">
        <f>①ベース事業別内訳!#REF!</f>
        <v>#REF!</v>
      </c>
      <c r="H47" s="29" t="e">
        <f t="shared" si="6"/>
        <v>#REF!</v>
      </c>
    </row>
    <row r="48" spans="1:11" ht="15" customHeight="1">
      <c r="A48" s="27" t="s">
        <v>36</v>
      </c>
      <c r="B48" s="23" t="e">
        <f>#REF!</f>
        <v>#REF!</v>
      </c>
      <c r="C48" s="251"/>
      <c r="D48" s="256" t="e">
        <f>#REF!</f>
        <v>#REF!</v>
      </c>
      <c r="F48" s="24" t="e">
        <f>①ベース事業別内訳!#REF!</f>
        <v>#REF!</v>
      </c>
      <c r="H48" s="29" t="e">
        <f t="shared" si="6"/>
        <v>#REF!</v>
      </c>
    </row>
    <row r="49" spans="1:8" ht="15" customHeight="1">
      <c r="A49" s="27" t="s">
        <v>37</v>
      </c>
      <c r="B49" s="23" t="e">
        <f>#REF!</f>
        <v>#REF!</v>
      </c>
      <c r="C49" s="251"/>
      <c r="D49" s="256" t="e">
        <f>#REF!</f>
        <v>#REF!</v>
      </c>
      <c r="F49" s="24" t="e">
        <f>①ベース事業別内訳!#REF!</f>
        <v>#REF!</v>
      </c>
      <c r="H49" s="29" t="e">
        <f t="shared" si="6"/>
        <v>#REF!</v>
      </c>
    </row>
    <row r="50" spans="1:8" ht="15" customHeight="1">
      <c r="A50" s="27" t="s">
        <v>38</v>
      </c>
      <c r="B50" s="23" t="e">
        <f>#REF!</f>
        <v>#REF!</v>
      </c>
      <c r="C50" s="251"/>
      <c r="D50" s="256" t="e">
        <f>#REF!</f>
        <v>#REF!</v>
      </c>
      <c r="F50" s="24" t="e">
        <f>①ベース事業別内訳!#REF!</f>
        <v>#REF!</v>
      </c>
      <c r="H50" s="29" t="e">
        <f t="shared" si="6"/>
        <v>#REF!</v>
      </c>
    </row>
    <row r="51" spans="1:8" ht="15" customHeight="1">
      <c r="A51" s="27" t="s">
        <v>39</v>
      </c>
      <c r="B51" s="23" t="e">
        <f>#REF!</f>
        <v>#REF!</v>
      </c>
      <c r="C51" s="251"/>
      <c r="D51" s="256" t="e">
        <f>#REF!</f>
        <v>#REF!</v>
      </c>
      <c r="F51" s="24" t="e">
        <f>①ベース事業別内訳!#REF!</f>
        <v>#REF!</v>
      </c>
      <c r="H51" s="29" t="e">
        <f t="shared" si="6"/>
        <v>#REF!</v>
      </c>
    </row>
    <row r="52" spans="1:8" ht="15" customHeight="1">
      <c r="A52" s="27" t="s">
        <v>40</v>
      </c>
      <c r="B52" s="23" t="e">
        <f>#REF!</f>
        <v>#REF!</v>
      </c>
      <c r="C52" s="251"/>
      <c r="D52" s="256" t="e">
        <f>#REF!</f>
        <v>#REF!</v>
      </c>
      <c r="F52" s="24" t="e">
        <f>①ベース事業別内訳!#REF!</f>
        <v>#REF!</v>
      </c>
      <c r="H52" s="29" t="e">
        <f t="shared" si="6"/>
        <v>#REF!</v>
      </c>
    </row>
    <row r="53" spans="1:8" ht="15" customHeight="1">
      <c r="A53" s="27" t="s">
        <v>41</v>
      </c>
      <c r="B53" s="23" t="e">
        <f>#REF!</f>
        <v>#REF!</v>
      </c>
      <c r="C53" s="251"/>
      <c r="D53" s="256" t="e">
        <f>#REF!</f>
        <v>#REF!</v>
      </c>
      <c r="F53" s="24" t="e">
        <f>①ベース事業別内訳!#REF!</f>
        <v>#REF!</v>
      </c>
      <c r="H53" s="29" t="e">
        <f t="shared" si="6"/>
        <v>#REF!</v>
      </c>
    </row>
    <row r="54" spans="1:8" ht="15" customHeight="1">
      <c r="A54" s="27" t="s">
        <v>42</v>
      </c>
      <c r="B54" s="23" t="e">
        <f>#REF!</f>
        <v>#REF!</v>
      </c>
      <c r="C54" s="251"/>
      <c r="D54" s="256" t="e">
        <f>#REF!</f>
        <v>#REF!</v>
      </c>
      <c r="F54" s="24" t="e">
        <f>①ベース事業別内訳!#REF!</f>
        <v>#REF!</v>
      </c>
      <c r="H54" s="29" t="e">
        <f t="shared" si="6"/>
        <v>#REF!</v>
      </c>
    </row>
    <row r="55" spans="1:8" ht="15" customHeight="1">
      <c r="A55" s="27" t="s">
        <v>43</v>
      </c>
      <c r="B55" s="23" t="e">
        <f>#REF!</f>
        <v>#REF!</v>
      </c>
      <c r="C55" s="251"/>
      <c r="D55" s="256" t="e">
        <f>#REF!</f>
        <v>#REF!</v>
      </c>
      <c r="F55" s="24" t="e">
        <f>①ベース事業別内訳!#REF!</f>
        <v>#REF!</v>
      </c>
      <c r="H55" s="29" t="e">
        <f t="shared" si="6"/>
        <v>#REF!</v>
      </c>
    </row>
    <row r="56" spans="1:8" ht="15" customHeight="1">
      <c r="A56" s="27" t="s">
        <v>44</v>
      </c>
      <c r="B56" s="23" t="e">
        <f>#REF!</f>
        <v>#REF!</v>
      </c>
      <c r="C56" s="251"/>
      <c r="D56" s="256" t="e">
        <f>#REF!</f>
        <v>#REF!</v>
      </c>
      <c r="F56" s="24" t="e">
        <f>①ベース事業別内訳!#REF!</f>
        <v>#REF!</v>
      </c>
      <c r="H56" s="29" t="e">
        <f t="shared" si="6"/>
        <v>#REF!</v>
      </c>
    </row>
    <row r="57" spans="1:8" ht="15" customHeight="1">
      <c r="A57" s="27" t="s">
        <v>45</v>
      </c>
      <c r="B57" s="23" t="e">
        <f>#REF!</f>
        <v>#REF!</v>
      </c>
      <c r="C57" s="251"/>
      <c r="D57" s="256" t="e">
        <f>#REF!</f>
        <v>#REF!</v>
      </c>
      <c r="F57" s="24" t="e">
        <f>①ベース事業別内訳!#REF!</f>
        <v>#REF!</v>
      </c>
      <c r="H57" s="29" t="e">
        <f t="shared" si="6"/>
        <v>#REF!</v>
      </c>
    </row>
    <row r="58" spans="1:8" ht="15" customHeight="1">
      <c r="A58" s="27" t="s">
        <v>46</v>
      </c>
      <c r="B58" s="23" t="e">
        <f>#REF!</f>
        <v>#REF!</v>
      </c>
      <c r="C58" s="251"/>
      <c r="D58" s="256" t="e">
        <f>#REF!</f>
        <v>#REF!</v>
      </c>
      <c r="F58" s="24" t="e">
        <f>①ベース事業別内訳!#REF!</f>
        <v>#REF!</v>
      </c>
      <c r="H58" s="29" t="e">
        <f t="shared" si="6"/>
        <v>#REF!</v>
      </c>
    </row>
    <row r="59" spans="1:8" ht="15" customHeight="1">
      <c r="A59" s="27" t="s">
        <v>47</v>
      </c>
      <c r="B59" s="23" t="e">
        <f>#REF!</f>
        <v>#REF!</v>
      </c>
      <c r="C59" s="251"/>
      <c r="D59" s="256" t="e">
        <f>#REF!</f>
        <v>#REF!</v>
      </c>
      <c r="F59" s="24" t="e">
        <f>①ベース事業別内訳!#REF!</f>
        <v>#REF!</v>
      </c>
      <c r="H59" s="29" t="e">
        <f t="shared" si="6"/>
        <v>#REF!</v>
      </c>
    </row>
    <row r="60" spans="1:8" ht="15" customHeight="1">
      <c r="A60" s="27" t="s">
        <v>48</v>
      </c>
      <c r="B60" s="23" t="e">
        <f>#REF!</f>
        <v>#REF!</v>
      </c>
      <c r="C60" s="251"/>
      <c r="D60" s="256" t="e">
        <f>#REF!</f>
        <v>#REF!</v>
      </c>
      <c r="F60" s="24" t="e">
        <f>①ベース事業別内訳!#REF!</f>
        <v>#REF!</v>
      </c>
      <c r="H60" s="29" t="e">
        <f t="shared" si="6"/>
        <v>#REF!</v>
      </c>
    </row>
    <row r="61" spans="1:8" ht="15" customHeight="1">
      <c r="A61" s="27" t="s">
        <v>49</v>
      </c>
      <c r="B61" s="23" t="e">
        <f>#REF!</f>
        <v>#REF!</v>
      </c>
      <c r="C61" s="251"/>
      <c r="D61" s="256" t="e">
        <f>#REF!</f>
        <v>#REF!</v>
      </c>
      <c r="F61" s="24" t="e">
        <f>①ベース事業別内訳!#REF!</f>
        <v>#REF!</v>
      </c>
      <c r="H61" s="29" t="e">
        <f t="shared" si="6"/>
        <v>#REF!</v>
      </c>
    </row>
    <row r="62" spans="1:8" ht="15" customHeight="1">
      <c r="A62" s="27" t="s">
        <v>50</v>
      </c>
      <c r="B62" s="23" t="e">
        <f>#REF!</f>
        <v>#REF!</v>
      </c>
      <c r="C62" s="251"/>
      <c r="D62" s="256" t="e">
        <f>#REF!</f>
        <v>#REF!</v>
      </c>
      <c r="F62" s="24" t="e">
        <f>①ベース事業別内訳!#REF!</f>
        <v>#REF!</v>
      </c>
      <c r="H62" s="29" t="e">
        <f t="shared" si="6"/>
        <v>#REF!</v>
      </c>
    </row>
    <row r="63" spans="1:8" ht="15" customHeight="1">
      <c r="A63" s="27" t="s">
        <v>51</v>
      </c>
      <c r="B63" s="23" t="e">
        <f>#REF!</f>
        <v>#REF!</v>
      </c>
      <c r="C63" s="251"/>
      <c r="D63" s="256" t="e">
        <f>#REF!</f>
        <v>#REF!</v>
      </c>
      <c r="F63" s="24" t="e">
        <f>①ベース事業別内訳!#REF!</f>
        <v>#REF!</v>
      </c>
      <c r="H63" s="29" t="e">
        <f t="shared" si="6"/>
        <v>#REF!</v>
      </c>
    </row>
    <row r="64" spans="1:8" ht="15" customHeight="1">
      <c r="A64" s="27" t="s">
        <v>52</v>
      </c>
      <c r="B64" s="23" t="e">
        <f>#REF!</f>
        <v>#REF!</v>
      </c>
      <c r="C64" s="251"/>
      <c r="D64" s="256" t="e">
        <f>#REF!</f>
        <v>#REF!</v>
      </c>
      <c r="F64" s="24" t="e">
        <f>①ベース事業別内訳!#REF!</f>
        <v>#REF!</v>
      </c>
      <c r="H64" s="29" t="e">
        <f t="shared" si="6"/>
        <v>#REF!</v>
      </c>
    </row>
    <row r="65" spans="1:10" ht="15" customHeight="1">
      <c r="A65" s="8" t="s">
        <v>71</v>
      </c>
      <c r="B65" s="6" t="e">
        <f>#REF!</f>
        <v>#REF!</v>
      </c>
      <c r="C65" s="252">
        <f>SUM(C41:C64)</f>
        <v>0</v>
      </c>
      <c r="D65" s="257" t="e">
        <f>#REF!</f>
        <v>#REF!</v>
      </c>
      <c r="E65" s="37"/>
      <c r="F65" s="34" t="e">
        <f>SUM(F41:F64)</f>
        <v>#REF!</v>
      </c>
      <c r="G65" s="37"/>
      <c r="H65" s="35" t="e">
        <f t="shared" si="6"/>
        <v>#REF!</v>
      </c>
    </row>
    <row r="66" spans="1:10" s="9" customFormat="1" ht="20.100000000000001" customHeight="1">
      <c r="A66" s="263" t="s">
        <v>53</v>
      </c>
      <c r="B66" s="264" t="e">
        <f>#REF!</f>
        <v>#REF!</v>
      </c>
      <c r="C66" s="265">
        <f>C38+C65</f>
        <v>0</v>
      </c>
      <c r="D66" s="266" t="e">
        <f>#REF!</f>
        <v>#REF!</v>
      </c>
      <c r="E66" s="43"/>
      <c r="F66" s="274" t="e">
        <f>F65+F38</f>
        <v>#REF!</v>
      </c>
      <c r="G66" s="43"/>
      <c r="H66" s="44" t="e">
        <f t="shared" si="6"/>
        <v>#REF!</v>
      </c>
      <c r="J66" s="45"/>
    </row>
    <row r="67" spans="1:10" s="9" customFormat="1" ht="20.100000000000001" customHeight="1">
      <c r="A67" s="267" t="s">
        <v>54</v>
      </c>
      <c r="B67" s="268" t="e">
        <f>#REF!</f>
        <v>#REF!</v>
      </c>
      <c r="C67" s="269">
        <f>C23-C66</f>
        <v>0</v>
      </c>
      <c r="D67" s="270" t="e">
        <f>#REF!</f>
        <v>#REF!</v>
      </c>
      <c r="E67" s="43"/>
      <c r="F67" s="275" t="e">
        <f>F23-F66</f>
        <v>#REF!</v>
      </c>
      <c r="G67" s="43"/>
      <c r="H67" s="36" t="e">
        <f t="shared" si="6"/>
        <v>#REF!</v>
      </c>
      <c r="J67" s="45"/>
    </row>
    <row r="68" spans="1:10" ht="14.25">
      <c r="A68" s="271"/>
      <c r="B68" s="272"/>
      <c r="C68" s="265"/>
      <c r="D68" s="273"/>
      <c r="F68" s="276"/>
      <c r="H68" s="35"/>
    </row>
  </sheetData>
  <mergeCells count="4">
    <mergeCell ref="A1:H1"/>
    <mergeCell ref="A2:H2"/>
    <mergeCell ref="A3:A4"/>
    <mergeCell ref="B3:D3"/>
  </mergeCells>
  <phoneticPr fontId="1"/>
  <printOptions horizontalCentered="1"/>
  <pageMargins left="0.25" right="0.25" top="0.75" bottom="0.75" header="0.3" footer="0.3"/>
  <pageSetup paperSize="9" firstPageNumber="0" orientation="portrait" horizontalDpi="300" verticalDpi="300" r:id="rId1"/>
  <headerFooter alignWithMargins="0"/>
  <rowBreaks count="1" manualBreakCount="1">
    <brk id="24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activeCell="D23" sqref="D23"/>
    </sheetView>
  </sheetViews>
  <sheetFormatPr defaultRowHeight="13.5"/>
  <cols>
    <col min="1" max="1" width="21.125" customWidth="1"/>
    <col min="2" max="14" width="10.625" style="946" customWidth="1"/>
  </cols>
  <sheetData>
    <row r="1" spans="1:14" ht="21.75" customHeight="1">
      <c r="A1" s="957"/>
      <c r="B1" s="961" t="s">
        <v>599</v>
      </c>
      <c r="C1" s="958" t="s">
        <v>600</v>
      </c>
      <c r="D1" s="958" t="s">
        <v>601</v>
      </c>
      <c r="E1" s="958" t="s">
        <v>602</v>
      </c>
      <c r="F1" s="958" t="s">
        <v>603</v>
      </c>
      <c r="G1" s="958" t="s">
        <v>604</v>
      </c>
      <c r="H1" s="958" t="s">
        <v>605</v>
      </c>
      <c r="I1" s="958" t="s">
        <v>606</v>
      </c>
      <c r="J1" s="958" t="s">
        <v>607</v>
      </c>
      <c r="K1" s="958" t="s">
        <v>608</v>
      </c>
      <c r="L1" s="959" t="s">
        <v>609</v>
      </c>
      <c r="M1" s="959" t="s">
        <v>610</v>
      </c>
      <c r="N1" s="960" t="s">
        <v>656</v>
      </c>
    </row>
    <row r="2" spans="1:14">
      <c r="A2" t="s">
        <v>164</v>
      </c>
      <c r="B2" s="962">
        <v>21627</v>
      </c>
      <c r="C2" s="946">
        <v>20730</v>
      </c>
      <c r="D2" s="946">
        <v>22087</v>
      </c>
      <c r="E2" s="946">
        <v>20510</v>
      </c>
      <c r="F2" s="946">
        <v>17424</v>
      </c>
      <c r="G2" s="946">
        <v>25372</v>
      </c>
      <c r="H2" s="946">
        <v>20813</v>
      </c>
      <c r="I2" s="946">
        <v>22511</v>
      </c>
      <c r="J2" s="946">
        <v>21332</v>
      </c>
      <c r="K2" s="946">
        <v>19277</v>
      </c>
      <c r="L2" s="951">
        <f>21040+580</f>
        <v>21620</v>
      </c>
      <c r="M2" s="951">
        <f>21040+580</f>
        <v>21620</v>
      </c>
      <c r="N2" s="946">
        <f t="shared" ref="N2:N8" si="0">SUM(B2:M2)</f>
        <v>254923</v>
      </c>
    </row>
    <row r="3" spans="1:14">
      <c r="B3" s="962"/>
      <c r="L3" s="951"/>
      <c r="M3" s="951"/>
    </row>
    <row r="4" spans="1:14">
      <c r="A4" t="s">
        <v>165</v>
      </c>
      <c r="B4" s="962">
        <f>SUM(B5:B7)</f>
        <v>18533</v>
      </c>
      <c r="C4" s="946">
        <f t="shared" ref="C4:K4" si="1">SUM(C5:C7)</f>
        <v>19471</v>
      </c>
      <c r="D4" s="946">
        <f t="shared" si="1"/>
        <v>18371</v>
      </c>
      <c r="E4" s="946">
        <f t="shared" si="1"/>
        <v>19327</v>
      </c>
      <c r="F4" s="946">
        <f t="shared" si="1"/>
        <v>21388</v>
      </c>
      <c r="G4" s="946">
        <f t="shared" si="1"/>
        <v>19600</v>
      </c>
      <c r="H4" s="946">
        <f t="shared" si="1"/>
        <v>19778</v>
      </c>
      <c r="I4" s="946">
        <f t="shared" si="1"/>
        <v>19386</v>
      </c>
      <c r="J4" s="946">
        <f t="shared" si="1"/>
        <v>22749</v>
      </c>
      <c r="K4" s="946">
        <f t="shared" si="1"/>
        <v>20088</v>
      </c>
      <c r="L4" s="951">
        <v>20088</v>
      </c>
      <c r="M4" s="951">
        <v>20088</v>
      </c>
      <c r="N4" s="946">
        <f t="shared" si="0"/>
        <v>238867</v>
      </c>
    </row>
    <row r="5" spans="1:14">
      <c r="A5" s="947" t="s">
        <v>326</v>
      </c>
      <c r="B5" s="962">
        <v>12994</v>
      </c>
      <c r="C5" s="946">
        <v>13335</v>
      </c>
      <c r="D5" s="946">
        <v>13777</v>
      </c>
      <c r="E5" s="946">
        <v>14276</v>
      </c>
      <c r="F5" s="946">
        <v>16652</v>
      </c>
      <c r="G5" s="946">
        <v>13939</v>
      </c>
      <c r="H5" s="946">
        <v>14339</v>
      </c>
      <c r="I5" s="946">
        <v>14170</v>
      </c>
      <c r="J5" s="946">
        <v>16535</v>
      </c>
      <c r="K5" s="946">
        <v>14080</v>
      </c>
      <c r="L5" s="951">
        <v>14080</v>
      </c>
      <c r="M5" s="951">
        <v>14080</v>
      </c>
      <c r="N5" s="946">
        <f t="shared" si="0"/>
        <v>172257</v>
      </c>
    </row>
    <row r="6" spans="1:14">
      <c r="A6" s="947" t="s">
        <v>640</v>
      </c>
      <c r="B6" s="962">
        <v>1537</v>
      </c>
      <c r="C6" s="946">
        <v>749</v>
      </c>
      <c r="D6" s="946">
        <v>828</v>
      </c>
      <c r="E6" s="946">
        <v>783</v>
      </c>
      <c r="F6" s="946">
        <v>811</v>
      </c>
      <c r="G6" s="946">
        <v>814</v>
      </c>
      <c r="H6" s="946">
        <v>753</v>
      </c>
      <c r="I6" s="946">
        <v>900</v>
      </c>
      <c r="J6" s="946">
        <v>854</v>
      </c>
      <c r="K6" s="946">
        <v>790</v>
      </c>
      <c r="L6" s="951">
        <v>790</v>
      </c>
      <c r="M6" s="951">
        <v>790</v>
      </c>
      <c r="N6" s="946">
        <f t="shared" si="0"/>
        <v>10399</v>
      </c>
    </row>
    <row r="7" spans="1:14">
      <c r="A7" s="954" t="s">
        <v>327</v>
      </c>
      <c r="B7" s="963">
        <v>4002</v>
      </c>
      <c r="C7" s="953">
        <v>5387</v>
      </c>
      <c r="D7" s="953">
        <v>3766</v>
      </c>
      <c r="E7" s="953">
        <v>4268</v>
      </c>
      <c r="F7" s="953">
        <v>3925</v>
      </c>
      <c r="G7" s="953">
        <v>4847</v>
      </c>
      <c r="H7" s="953">
        <v>4686</v>
      </c>
      <c r="I7" s="953">
        <v>4316</v>
      </c>
      <c r="J7" s="953">
        <v>5360</v>
      </c>
      <c r="K7" s="953">
        <v>5218</v>
      </c>
      <c r="L7" s="952">
        <v>5218</v>
      </c>
      <c r="M7" s="952">
        <v>5218</v>
      </c>
      <c r="N7" s="953">
        <f t="shared" si="0"/>
        <v>56211</v>
      </c>
    </row>
    <row r="8" spans="1:14" ht="14.25" thickBot="1">
      <c r="A8" s="948" t="s">
        <v>641</v>
      </c>
      <c r="B8" s="964">
        <f>B2-B4</f>
        <v>3094</v>
      </c>
      <c r="C8" s="950">
        <f t="shared" ref="C8:K8" si="2">C2-C4</f>
        <v>1259</v>
      </c>
      <c r="D8" s="950">
        <f t="shared" si="2"/>
        <v>3716</v>
      </c>
      <c r="E8" s="950">
        <f t="shared" si="2"/>
        <v>1183</v>
      </c>
      <c r="F8" s="950">
        <f t="shared" si="2"/>
        <v>-3964</v>
      </c>
      <c r="G8" s="950">
        <f t="shared" si="2"/>
        <v>5772</v>
      </c>
      <c r="H8" s="950">
        <f t="shared" si="2"/>
        <v>1035</v>
      </c>
      <c r="I8" s="950">
        <f t="shared" si="2"/>
        <v>3125</v>
      </c>
      <c r="J8" s="950">
        <f t="shared" si="2"/>
        <v>-1417</v>
      </c>
      <c r="K8" s="950">
        <f t="shared" si="2"/>
        <v>-811</v>
      </c>
      <c r="L8" s="950">
        <f>L2-L4</f>
        <v>1532</v>
      </c>
      <c r="M8" s="950">
        <f>M2-M4</f>
        <v>1532</v>
      </c>
      <c r="N8" s="950">
        <f t="shared" si="0"/>
        <v>16056</v>
      </c>
    </row>
    <row r="9" spans="1:14" ht="14.25" thickBot="1">
      <c r="A9" s="947" t="s">
        <v>657</v>
      </c>
      <c r="B9" s="962">
        <f>B8</f>
        <v>3094</v>
      </c>
      <c r="C9" s="946">
        <f>B9+C8</f>
        <v>4353</v>
      </c>
      <c r="D9" s="946">
        <f t="shared" ref="D9:K9" si="3">C9+D8</f>
        <v>8069</v>
      </c>
      <c r="E9" s="946">
        <f t="shared" si="3"/>
        <v>9252</v>
      </c>
      <c r="F9" s="946">
        <f t="shared" si="3"/>
        <v>5288</v>
      </c>
      <c r="G9" s="946">
        <f t="shared" si="3"/>
        <v>11060</v>
      </c>
      <c r="H9" s="946">
        <f t="shared" si="3"/>
        <v>12095</v>
      </c>
      <c r="I9" s="946">
        <f t="shared" si="3"/>
        <v>15220</v>
      </c>
      <c r="J9" s="946">
        <f t="shared" si="3"/>
        <v>13803</v>
      </c>
      <c r="K9" s="946">
        <f t="shared" si="3"/>
        <v>12992</v>
      </c>
      <c r="L9" s="951">
        <f>K9+L8</f>
        <v>14524</v>
      </c>
      <c r="M9" s="979">
        <f>L9+M8</f>
        <v>16056</v>
      </c>
      <c r="N9" s="978"/>
    </row>
    <row r="10" spans="1:14">
      <c r="A10" s="947"/>
      <c r="B10" s="962"/>
      <c r="L10" s="951"/>
      <c r="M10" s="951"/>
    </row>
    <row r="11" spans="1:14">
      <c r="A11" s="955" t="s">
        <v>639</v>
      </c>
      <c r="B11" s="965">
        <f t="shared" ref="B11:K11" si="4">SUM(B12:B16)</f>
        <v>1100</v>
      </c>
      <c r="C11" s="956">
        <f t="shared" si="4"/>
        <v>1100</v>
      </c>
      <c r="D11" s="956">
        <f t="shared" si="4"/>
        <v>1100</v>
      </c>
      <c r="E11" s="956">
        <f t="shared" si="4"/>
        <v>1100</v>
      </c>
      <c r="F11" s="956">
        <f t="shared" si="4"/>
        <v>1100</v>
      </c>
      <c r="G11" s="956">
        <f t="shared" si="4"/>
        <v>1100</v>
      </c>
      <c r="H11" s="956">
        <f t="shared" si="4"/>
        <v>1100</v>
      </c>
      <c r="I11" s="956">
        <f t="shared" si="4"/>
        <v>1100</v>
      </c>
      <c r="J11" s="956">
        <f t="shared" si="4"/>
        <v>1100</v>
      </c>
      <c r="K11" s="956">
        <f t="shared" si="4"/>
        <v>1100</v>
      </c>
      <c r="L11" s="956">
        <f>SUM(L12:L16)</f>
        <v>1100</v>
      </c>
      <c r="M11" s="956">
        <f>SUM(M12:M16)</f>
        <v>1100</v>
      </c>
      <c r="N11" s="956">
        <f>SUM(B11:M11)</f>
        <v>13200</v>
      </c>
    </row>
    <row r="12" spans="1:14">
      <c r="A12" s="972" t="s">
        <v>651</v>
      </c>
      <c r="B12" s="967">
        <v>250</v>
      </c>
      <c r="C12" s="968">
        <v>250</v>
      </c>
      <c r="D12" s="968">
        <v>250</v>
      </c>
      <c r="E12" s="968">
        <v>250</v>
      </c>
      <c r="F12" s="968">
        <v>250</v>
      </c>
      <c r="G12" s="968">
        <v>250</v>
      </c>
      <c r="H12" s="968">
        <v>250</v>
      </c>
      <c r="I12" s="968">
        <v>250</v>
      </c>
      <c r="J12" s="968">
        <v>250</v>
      </c>
      <c r="K12" s="968">
        <v>250</v>
      </c>
      <c r="L12" s="969">
        <v>250</v>
      </c>
      <c r="M12" s="969">
        <v>250</v>
      </c>
      <c r="N12" s="970">
        <f>SUM(B12:M12)</f>
        <v>3000</v>
      </c>
    </row>
    <row r="13" spans="1:14">
      <c r="A13" s="972" t="s">
        <v>653</v>
      </c>
      <c r="B13" s="967">
        <v>850</v>
      </c>
      <c r="C13" s="968">
        <v>850</v>
      </c>
      <c r="D13" s="968">
        <v>850</v>
      </c>
      <c r="E13" s="968">
        <v>850</v>
      </c>
      <c r="F13" s="968">
        <v>850</v>
      </c>
      <c r="G13" s="968">
        <v>850</v>
      </c>
      <c r="H13" s="968">
        <v>850</v>
      </c>
      <c r="I13" s="968">
        <v>850</v>
      </c>
      <c r="J13" s="968">
        <v>850</v>
      </c>
      <c r="K13" s="968">
        <v>850</v>
      </c>
      <c r="L13" s="969">
        <v>850</v>
      </c>
      <c r="M13" s="969">
        <v>850</v>
      </c>
      <c r="N13" s="970">
        <f>SUM(B13:M13)</f>
        <v>10200</v>
      </c>
    </row>
    <row r="14" spans="1:14">
      <c r="A14" s="972" t="s">
        <v>652</v>
      </c>
      <c r="B14" s="967"/>
      <c r="C14" s="968"/>
      <c r="D14" s="968"/>
      <c r="E14" s="968"/>
      <c r="F14" s="968"/>
      <c r="G14" s="968"/>
      <c r="H14" s="968"/>
      <c r="I14" s="968"/>
      <c r="J14" s="968"/>
      <c r="K14" s="968"/>
      <c r="L14" s="971"/>
      <c r="M14" s="971"/>
      <c r="N14" s="970"/>
    </row>
    <row r="15" spans="1:14">
      <c r="A15" s="972" t="s">
        <v>654</v>
      </c>
      <c r="B15" s="967"/>
      <c r="C15" s="968"/>
      <c r="D15" s="968"/>
      <c r="E15" s="968"/>
      <c r="F15" s="968"/>
      <c r="G15" s="968"/>
      <c r="H15" s="968"/>
      <c r="I15" s="968"/>
      <c r="J15" s="968"/>
      <c r="K15" s="968"/>
      <c r="L15" s="971"/>
      <c r="M15" s="971"/>
      <c r="N15" s="970"/>
    </row>
    <row r="16" spans="1:14">
      <c r="A16" s="973" t="s">
        <v>655</v>
      </c>
      <c r="B16" s="974"/>
      <c r="C16" s="975"/>
      <c r="D16" s="975"/>
      <c r="E16" s="975"/>
      <c r="F16" s="975"/>
      <c r="G16" s="975"/>
      <c r="H16" s="975"/>
      <c r="I16" s="975"/>
      <c r="J16" s="975"/>
      <c r="K16" s="975"/>
      <c r="L16" s="976"/>
      <c r="M16" s="976"/>
      <c r="N16" s="977"/>
    </row>
    <row r="17" spans="1:14" ht="14.25" thickBot="1">
      <c r="A17" s="949" t="s">
        <v>659</v>
      </c>
      <c r="B17" s="964">
        <f t="shared" ref="B17:M17" si="5">B8-B11</f>
        <v>1994</v>
      </c>
      <c r="C17" s="950">
        <f t="shared" si="5"/>
        <v>159</v>
      </c>
      <c r="D17" s="950">
        <f t="shared" si="5"/>
        <v>2616</v>
      </c>
      <c r="E17" s="950">
        <f t="shared" si="5"/>
        <v>83</v>
      </c>
      <c r="F17" s="950">
        <f t="shared" si="5"/>
        <v>-5064</v>
      </c>
      <c r="G17" s="950">
        <f t="shared" si="5"/>
        <v>4672</v>
      </c>
      <c r="H17" s="950">
        <f t="shared" si="5"/>
        <v>-65</v>
      </c>
      <c r="I17" s="950">
        <f t="shared" si="5"/>
        <v>2025</v>
      </c>
      <c r="J17" s="950">
        <f t="shared" si="5"/>
        <v>-2517</v>
      </c>
      <c r="K17" s="950">
        <f t="shared" si="5"/>
        <v>-1911</v>
      </c>
      <c r="L17" s="950">
        <f t="shared" si="5"/>
        <v>432</v>
      </c>
      <c r="M17" s="950">
        <f t="shared" si="5"/>
        <v>432</v>
      </c>
      <c r="N17" s="950">
        <f>SUM(B17:M17)</f>
        <v>2856</v>
      </c>
    </row>
    <row r="18" spans="1:14" ht="14.25" thickBot="1">
      <c r="A18" s="949" t="s">
        <v>658</v>
      </c>
      <c r="B18" s="964">
        <f>B17</f>
        <v>1994</v>
      </c>
      <c r="C18" s="950">
        <f>B18+C17</f>
        <v>2153</v>
      </c>
      <c r="D18" s="950">
        <f t="shared" ref="D18:K18" si="6">C18+D17</f>
        <v>4769</v>
      </c>
      <c r="E18" s="950">
        <f t="shared" si="6"/>
        <v>4852</v>
      </c>
      <c r="F18" s="950">
        <f t="shared" si="6"/>
        <v>-212</v>
      </c>
      <c r="G18" s="950">
        <f t="shared" si="6"/>
        <v>4460</v>
      </c>
      <c r="H18" s="950">
        <f t="shared" si="6"/>
        <v>4395</v>
      </c>
      <c r="I18" s="950">
        <f t="shared" si="6"/>
        <v>6420</v>
      </c>
      <c r="J18" s="950">
        <f t="shared" si="6"/>
        <v>3903</v>
      </c>
      <c r="K18" s="950">
        <f t="shared" si="6"/>
        <v>1992</v>
      </c>
      <c r="L18" s="950">
        <f>K18+L17</f>
        <v>2424</v>
      </c>
      <c r="M18" s="966">
        <f>L18+M17</f>
        <v>2856</v>
      </c>
      <c r="N18" s="950"/>
    </row>
    <row r="20" spans="1:14">
      <c r="K20" s="187"/>
    </row>
    <row r="27" spans="1:14">
      <c r="B27" s="1414" t="s">
        <v>642</v>
      </c>
      <c r="C27" s="1413"/>
      <c r="D27" s="1413"/>
      <c r="E27" s="1414" t="s">
        <v>643</v>
      </c>
      <c r="F27" s="1413"/>
      <c r="G27" s="1413"/>
      <c r="H27" s="1414" t="s">
        <v>644</v>
      </c>
      <c r="I27" s="1413"/>
      <c r="J27" s="1413"/>
      <c r="K27" s="1414" t="s">
        <v>645</v>
      </c>
      <c r="L27" s="1413"/>
      <c r="M27" s="1413"/>
    </row>
    <row r="28" spans="1:14">
      <c r="A28" t="s">
        <v>646</v>
      </c>
      <c r="B28" s="1413">
        <f>AVERAGE(B2:D2)</f>
        <v>21481.333333333332</v>
      </c>
      <c r="C28" s="1413"/>
      <c r="D28" s="1413"/>
      <c r="E28" s="1413">
        <f>AVERAGE(E2:G2)</f>
        <v>21102</v>
      </c>
      <c r="F28" s="1413"/>
      <c r="G28" s="1413"/>
      <c r="H28" s="1413">
        <f>AVERAGE(H2:J2)</f>
        <v>21552</v>
      </c>
      <c r="I28" s="1413"/>
      <c r="J28" s="1413"/>
      <c r="K28" s="1413">
        <f>AVERAGE(K2:M2)</f>
        <v>20839</v>
      </c>
      <c r="L28" s="1413"/>
      <c r="M28" s="1413"/>
    </row>
    <row r="29" spans="1:14">
      <c r="A29" t="s">
        <v>647</v>
      </c>
      <c r="B29" s="1413">
        <f>AVERAGE(B4:D4)</f>
        <v>18791.666666666668</v>
      </c>
      <c r="C29" s="1413"/>
      <c r="D29" s="1413"/>
      <c r="E29" s="1413">
        <f>AVERAGE(E4:G4)</f>
        <v>20105</v>
      </c>
      <c r="F29" s="1413"/>
      <c r="G29" s="1413"/>
      <c r="H29" s="1413">
        <f>AVERAGE(H4:J4)</f>
        <v>20637.666666666668</v>
      </c>
      <c r="I29" s="1413"/>
      <c r="J29" s="1413"/>
      <c r="K29" s="1413">
        <f>AVERAGE(K4:M4)</f>
        <v>20088</v>
      </c>
      <c r="L29" s="1413"/>
      <c r="M29" s="1413"/>
    </row>
    <row r="30" spans="1:14">
      <c r="A30" s="947" t="s">
        <v>326</v>
      </c>
      <c r="B30" s="1413">
        <f>AVERAGE(B5:D5)</f>
        <v>13368.666666666666</v>
      </c>
      <c r="C30" s="1413"/>
      <c r="D30" s="1413"/>
      <c r="E30" s="1413">
        <f>AVERAGE(E5:G5)</f>
        <v>14955.666666666666</v>
      </c>
      <c r="F30" s="1413"/>
      <c r="G30" s="1413"/>
      <c r="H30" s="1413">
        <f>AVERAGE(H5:J5)</f>
        <v>15014.666666666666</v>
      </c>
      <c r="I30" s="1413"/>
      <c r="J30" s="1413"/>
      <c r="K30" s="1413">
        <f>AVERAGE(K5:M5)</f>
        <v>14080</v>
      </c>
      <c r="L30" s="1413"/>
      <c r="M30" s="1413"/>
    </row>
    <row r="31" spans="1:14">
      <c r="A31" s="947" t="s">
        <v>640</v>
      </c>
      <c r="B31" s="1413">
        <f>AVERAGE(B6:D6)</f>
        <v>1038</v>
      </c>
      <c r="C31" s="1413"/>
      <c r="D31" s="1413"/>
      <c r="E31" s="1413">
        <f>AVERAGE(E6:G6)</f>
        <v>802.66666666666663</v>
      </c>
      <c r="F31" s="1413"/>
      <c r="G31" s="1413"/>
      <c r="H31" s="1413">
        <f>AVERAGE(H6:J6)</f>
        <v>835.66666666666663</v>
      </c>
      <c r="I31" s="1413"/>
      <c r="J31" s="1413"/>
      <c r="K31" s="1413">
        <f>AVERAGE(K6:M6)</f>
        <v>790</v>
      </c>
      <c r="L31" s="1413"/>
      <c r="M31" s="1413"/>
    </row>
    <row r="32" spans="1:14">
      <c r="A32" s="947" t="s">
        <v>327</v>
      </c>
      <c r="B32" s="1413">
        <f>AVERAGE(B7:D7)</f>
        <v>4385</v>
      </c>
      <c r="C32" s="1413"/>
      <c r="D32" s="1413"/>
      <c r="E32" s="1413">
        <f>AVERAGE(E7:G7)</f>
        <v>4346.666666666667</v>
      </c>
      <c r="F32" s="1413"/>
      <c r="G32" s="1413"/>
      <c r="H32" s="1413">
        <f>AVERAGE(H7:J7)</f>
        <v>4787.333333333333</v>
      </c>
      <c r="I32" s="1413"/>
      <c r="J32" s="1413"/>
      <c r="K32" s="1413">
        <f>AVERAGE(K7:M7)</f>
        <v>5218</v>
      </c>
      <c r="L32" s="1413"/>
      <c r="M32" s="1413"/>
    </row>
    <row r="33" spans="1:13">
      <c r="A33" t="s">
        <v>641</v>
      </c>
      <c r="B33" s="1413">
        <f>AVERAGE(B8:D8)</f>
        <v>2689.6666666666665</v>
      </c>
      <c r="C33" s="1413"/>
      <c r="D33" s="1413"/>
      <c r="E33" s="1413">
        <f>AVERAGE(E8:G8)</f>
        <v>997</v>
      </c>
      <c r="F33" s="1413"/>
      <c r="G33" s="1413"/>
      <c r="H33" s="1413">
        <f>AVERAGE(H8:J8)</f>
        <v>914.33333333333337</v>
      </c>
      <c r="I33" s="1413"/>
      <c r="J33" s="1413"/>
      <c r="K33" s="1413">
        <f>AVERAGE(K8:M8)</f>
        <v>751</v>
      </c>
      <c r="L33" s="1413"/>
      <c r="M33" s="1413"/>
    </row>
  </sheetData>
  <mergeCells count="28">
    <mergeCell ref="B28:D28"/>
    <mergeCell ref="E28:G28"/>
    <mergeCell ref="H28:J28"/>
    <mergeCell ref="K28:M28"/>
    <mergeCell ref="B29:D29"/>
    <mergeCell ref="K29:M29"/>
    <mergeCell ref="H32:J32"/>
    <mergeCell ref="B33:D33"/>
    <mergeCell ref="E29:G29"/>
    <mergeCell ref="E33:G33"/>
    <mergeCell ref="H29:J29"/>
    <mergeCell ref="H33:J33"/>
    <mergeCell ref="K32:M32"/>
    <mergeCell ref="K33:M33"/>
    <mergeCell ref="B27:D27"/>
    <mergeCell ref="E27:G27"/>
    <mergeCell ref="H27:J27"/>
    <mergeCell ref="K27:M27"/>
    <mergeCell ref="B30:D30"/>
    <mergeCell ref="E30:G30"/>
    <mergeCell ref="H30:J30"/>
    <mergeCell ref="K30:M30"/>
    <mergeCell ref="B31:D31"/>
    <mergeCell ref="E31:G31"/>
    <mergeCell ref="H31:J31"/>
    <mergeCell ref="K31:M31"/>
    <mergeCell ref="B32:D32"/>
    <mergeCell ref="E32:G32"/>
  </mergeCells>
  <phoneticPr fontId="1"/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"/>
  <sheetViews>
    <sheetView topLeftCell="A7" workbookViewId="0">
      <selection activeCell="L9" sqref="L9"/>
    </sheetView>
  </sheetViews>
  <sheetFormatPr defaultRowHeight="13.5"/>
  <cols>
    <col min="1" max="1" width="7.25" customWidth="1"/>
    <col min="2" max="2" width="26.875" customWidth="1"/>
    <col min="3" max="3" width="11.625" customWidth="1"/>
    <col min="4" max="4" width="11.25" bestFit="1" customWidth="1"/>
  </cols>
  <sheetData>
    <row r="2" spans="1:10">
      <c r="A2" t="s">
        <v>411</v>
      </c>
      <c r="D2" t="s">
        <v>377</v>
      </c>
      <c r="F2" t="s">
        <v>378</v>
      </c>
    </row>
    <row r="3" spans="1:10">
      <c r="F3" t="s">
        <v>177</v>
      </c>
      <c r="J3" t="s">
        <v>160</v>
      </c>
    </row>
    <row r="4" spans="1:10">
      <c r="G4" t="s">
        <v>326</v>
      </c>
      <c r="I4" t="s">
        <v>327</v>
      </c>
    </row>
    <row r="5" spans="1:10">
      <c r="C5" t="s">
        <v>649</v>
      </c>
      <c r="D5" t="s">
        <v>650</v>
      </c>
    </row>
    <row r="6" spans="1:10">
      <c r="A6" t="s">
        <v>474</v>
      </c>
      <c r="D6">
        <v>42948000</v>
      </c>
      <c r="F6">
        <v>31279000</v>
      </c>
      <c r="G6">
        <v>29653000</v>
      </c>
      <c r="I6">
        <v>1626000</v>
      </c>
      <c r="J6">
        <v>11669000</v>
      </c>
    </row>
    <row r="7" spans="1:10">
      <c r="A7" t="s">
        <v>595</v>
      </c>
      <c r="D7">
        <v>42321000</v>
      </c>
      <c r="F7">
        <v>35913000</v>
      </c>
      <c r="G7">
        <v>25776000</v>
      </c>
      <c r="I7">
        <v>10137000</v>
      </c>
      <c r="J7">
        <v>6408000</v>
      </c>
    </row>
    <row r="8" spans="1:10">
      <c r="A8" t="s">
        <v>648</v>
      </c>
      <c r="D8">
        <v>4673000</v>
      </c>
      <c r="F8">
        <v>3066000</v>
      </c>
      <c r="G8">
        <v>754000</v>
      </c>
      <c r="I8">
        <v>2312000</v>
      </c>
      <c r="J8">
        <v>1607000</v>
      </c>
    </row>
    <row r="9" spans="1:10">
      <c r="A9" t="s">
        <v>478</v>
      </c>
      <c r="D9">
        <v>47981000</v>
      </c>
      <c r="F9">
        <v>47045000</v>
      </c>
      <c r="G9">
        <v>38533000</v>
      </c>
      <c r="I9">
        <v>8512000</v>
      </c>
      <c r="J9">
        <v>936000</v>
      </c>
    </row>
    <row r="10" spans="1:10">
      <c r="B10" t="s">
        <v>507</v>
      </c>
      <c r="D10">
        <v>31620000</v>
      </c>
      <c r="F10">
        <v>29887000</v>
      </c>
      <c r="G10">
        <v>25544000</v>
      </c>
      <c r="I10">
        <v>4343000</v>
      </c>
      <c r="J10">
        <v>1733000</v>
      </c>
    </row>
    <row r="11" spans="1:10">
      <c r="B11" t="s">
        <v>508</v>
      </c>
      <c r="D11">
        <v>7166000</v>
      </c>
      <c r="F11">
        <v>12498000</v>
      </c>
      <c r="G11">
        <v>12498000</v>
      </c>
      <c r="I11">
        <v>0</v>
      </c>
      <c r="J11">
        <v>-5332000</v>
      </c>
    </row>
    <row r="12" spans="1:10">
      <c r="B12" t="s">
        <v>616</v>
      </c>
      <c r="D12">
        <v>9195000</v>
      </c>
      <c r="F12">
        <v>4660000</v>
      </c>
      <c r="G12">
        <v>491000</v>
      </c>
      <c r="I12">
        <v>4169000</v>
      </c>
      <c r="J12">
        <v>4535000</v>
      </c>
    </row>
    <row r="13" spans="1:10">
      <c r="A13" t="s">
        <v>633</v>
      </c>
      <c r="D13">
        <v>19930000</v>
      </c>
      <c r="F13">
        <v>19518000</v>
      </c>
      <c r="G13">
        <v>6147000</v>
      </c>
      <c r="I13">
        <v>13371000</v>
      </c>
      <c r="J13">
        <v>412000</v>
      </c>
    </row>
    <row r="14" spans="1:10">
      <c r="A14" t="s">
        <v>476</v>
      </c>
      <c r="D14">
        <v>16094000</v>
      </c>
      <c r="F14">
        <v>13812000</v>
      </c>
      <c r="G14">
        <v>12877000</v>
      </c>
      <c r="I14">
        <v>935000</v>
      </c>
      <c r="J14">
        <v>2282000</v>
      </c>
    </row>
    <row r="15" spans="1:10">
      <c r="A15" t="s">
        <v>569</v>
      </c>
      <c r="D15">
        <v>20073000</v>
      </c>
      <c r="F15">
        <v>14551000</v>
      </c>
      <c r="G15">
        <v>11054000</v>
      </c>
      <c r="I15">
        <v>3497000</v>
      </c>
      <c r="J15">
        <v>5522000</v>
      </c>
    </row>
    <row r="16" spans="1:10">
      <c r="A16" t="s">
        <v>634</v>
      </c>
      <c r="D16">
        <v>19734000</v>
      </c>
      <c r="F16">
        <v>15942000</v>
      </c>
      <c r="G16">
        <v>12564000</v>
      </c>
      <c r="I16">
        <v>3378000</v>
      </c>
      <c r="J16">
        <v>3792000</v>
      </c>
    </row>
    <row r="17" spans="1:10">
      <c r="B17" t="s">
        <v>470</v>
      </c>
      <c r="D17">
        <v>9664000</v>
      </c>
      <c r="F17">
        <v>5066000</v>
      </c>
      <c r="G17">
        <v>3039000</v>
      </c>
      <c r="I17">
        <v>2027000</v>
      </c>
      <c r="J17">
        <v>4598000</v>
      </c>
    </row>
    <row r="18" spans="1:10">
      <c r="B18" t="s">
        <v>471</v>
      </c>
      <c r="D18">
        <v>10070000</v>
      </c>
      <c r="F18">
        <v>10876000</v>
      </c>
      <c r="G18">
        <v>9525000</v>
      </c>
      <c r="I18">
        <v>1351000</v>
      </c>
      <c r="J18">
        <v>-806000</v>
      </c>
    </row>
    <row r="19" spans="1:10">
      <c r="A19" t="s">
        <v>477</v>
      </c>
      <c r="D19">
        <v>30749000</v>
      </c>
      <c r="F19">
        <v>22971000</v>
      </c>
      <c r="G19">
        <v>20744000</v>
      </c>
      <c r="I19">
        <v>2227000</v>
      </c>
      <c r="J19">
        <v>7778000</v>
      </c>
    </row>
    <row r="20" spans="1:10">
      <c r="A20" t="s">
        <v>479</v>
      </c>
      <c r="D20">
        <v>9943000</v>
      </c>
      <c r="F20">
        <v>10301000</v>
      </c>
      <c r="G20">
        <v>5920000</v>
      </c>
      <c r="I20">
        <v>4381000</v>
      </c>
      <c r="J20">
        <v>-358000</v>
      </c>
    </row>
    <row r="21" spans="1:10">
      <c r="A21" t="s">
        <v>594</v>
      </c>
      <c r="D21">
        <v>1674000</v>
      </c>
      <c r="F21">
        <v>2039000</v>
      </c>
      <c r="G21">
        <v>0</v>
      </c>
      <c r="I21">
        <v>2039000</v>
      </c>
      <c r="J21">
        <v>-365000</v>
      </c>
    </row>
    <row r="22" spans="1:10">
      <c r="B22" t="s">
        <v>376</v>
      </c>
      <c r="D22">
        <v>571000</v>
      </c>
      <c r="F22">
        <v>61000</v>
      </c>
      <c r="I22">
        <v>61000</v>
      </c>
      <c r="J22">
        <v>510000</v>
      </c>
    </row>
    <row r="23" spans="1:10">
      <c r="B23" t="s">
        <v>167</v>
      </c>
      <c r="D23">
        <v>756000</v>
      </c>
      <c r="F23">
        <v>1975000</v>
      </c>
      <c r="I23">
        <v>1975000</v>
      </c>
      <c r="J23">
        <v>-1219000</v>
      </c>
    </row>
    <row r="24" spans="1:10">
      <c r="B24" t="s">
        <v>472</v>
      </c>
      <c r="D24">
        <v>0</v>
      </c>
      <c r="F24">
        <v>0</v>
      </c>
      <c r="I24">
        <v>0</v>
      </c>
      <c r="J24">
        <v>0</v>
      </c>
    </row>
    <row r="25" spans="1:10">
      <c r="B25" t="s">
        <v>158</v>
      </c>
      <c r="D25">
        <v>347000</v>
      </c>
      <c r="F25">
        <v>3000</v>
      </c>
      <c r="G25">
        <v>0</v>
      </c>
      <c r="I25">
        <v>3000</v>
      </c>
      <c r="J25">
        <v>344000</v>
      </c>
    </row>
    <row r="27" spans="1:10">
      <c r="B27" t="s">
        <v>326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16"/>
  <sheetViews>
    <sheetView zoomScale="40" zoomScaleNormal="40" workbookViewId="0">
      <selection activeCell="M11" sqref="M11:T13"/>
    </sheetView>
  </sheetViews>
  <sheetFormatPr defaultRowHeight="13.5"/>
  <cols>
    <col min="1" max="1" width="8.875" customWidth="1"/>
    <col min="3" max="3" width="11.125" bestFit="1" customWidth="1"/>
    <col min="5" max="5" width="13.875" bestFit="1" customWidth="1"/>
    <col min="6" max="6" width="13.875" hidden="1" customWidth="1"/>
    <col min="7" max="8" width="10" style="584" bestFit="1" customWidth="1"/>
    <col min="9" max="12" width="10.25" style="584" bestFit="1" customWidth="1"/>
    <col min="13" max="13" width="10.625" style="584" bestFit="1" customWidth="1"/>
    <col min="14" max="18" width="10.25" style="584" bestFit="1" customWidth="1"/>
    <col min="19" max="20" width="10.25" style="591" customWidth="1"/>
    <col min="21" max="21" width="10.25" bestFit="1" customWidth="1"/>
  </cols>
  <sheetData>
    <row r="1" spans="2:21">
      <c r="G1" s="1184" t="s">
        <v>458</v>
      </c>
      <c r="H1" s="1184"/>
      <c r="I1" s="1184"/>
      <c r="J1" s="1184"/>
      <c r="K1" s="1184"/>
      <c r="L1" s="1184"/>
      <c r="M1" s="1184"/>
      <c r="N1" s="1184"/>
      <c r="O1" s="1184"/>
      <c r="P1" s="1184"/>
      <c r="Q1" s="1184"/>
      <c r="R1" s="1184"/>
    </row>
    <row r="2" spans="2:21">
      <c r="C2" t="s">
        <v>460</v>
      </c>
      <c r="G2" s="583" t="s">
        <v>451</v>
      </c>
      <c r="H2" s="583" t="s">
        <v>452</v>
      </c>
      <c r="I2" s="583" t="s">
        <v>453</v>
      </c>
      <c r="J2" s="583" t="s">
        <v>454</v>
      </c>
      <c r="K2" s="583" t="s">
        <v>455</v>
      </c>
      <c r="L2" s="583" t="s">
        <v>456</v>
      </c>
      <c r="M2" s="583" t="s">
        <v>445</v>
      </c>
      <c r="N2" s="583" t="s">
        <v>446</v>
      </c>
      <c r="O2" s="583" t="s">
        <v>447</v>
      </c>
      <c r="P2" s="583" t="s">
        <v>448</v>
      </c>
      <c r="Q2" s="583" t="s">
        <v>449</v>
      </c>
      <c r="R2" s="583" t="s">
        <v>450</v>
      </c>
      <c r="S2" s="592" t="s">
        <v>451</v>
      </c>
      <c r="T2" s="592" t="s">
        <v>452</v>
      </c>
    </row>
    <row r="3" spans="2:21">
      <c r="B3" t="s">
        <v>233</v>
      </c>
      <c r="C3" s="579">
        <f>'事業別損益表（決算）'!D10</f>
        <v>45119000</v>
      </c>
      <c r="E3" t="s">
        <v>233</v>
      </c>
      <c r="G3" s="580">
        <f>77000+1466000</f>
        <v>1543000</v>
      </c>
      <c r="H3" s="580">
        <f>63000+1608000</f>
        <v>1671000</v>
      </c>
      <c r="I3" s="580">
        <f>139000+1286000</f>
        <v>1425000</v>
      </c>
      <c r="J3" s="580">
        <v>1131000</v>
      </c>
      <c r="K3" s="580">
        <v>1175000</v>
      </c>
      <c r="L3" s="580">
        <v>1317000</v>
      </c>
      <c r="M3" s="580">
        <f>14000+1610000</f>
        <v>1624000</v>
      </c>
      <c r="N3" s="580">
        <f>1000+1263000</f>
        <v>1264000</v>
      </c>
      <c r="O3" s="580">
        <v>1309000</v>
      </c>
      <c r="P3" s="580">
        <v>1419000</v>
      </c>
      <c r="Q3" s="580">
        <v>1279000</v>
      </c>
      <c r="R3" s="580">
        <v>1250000</v>
      </c>
      <c r="S3" s="580">
        <f>1503000+21000</f>
        <v>1524000</v>
      </c>
      <c r="T3" s="580">
        <f>66000+1476000</f>
        <v>1542000</v>
      </c>
      <c r="U3" s="188">
        <f>SUM(M3:T3)</f>
        <v>11211000</v>
      </c>
    </row>
    <row r="4" spans="2:21">
      <c r="B4" t="s">
        <v>420</v>
      </c>
      <c r="C4" s="579" t="e">
        <f>'事業別損益表（決算）'!K10</f>
        <v>#REF!</v>
      </c>
      <c r="E4" t="s">
        <v>420</v>
      </c>
      <c r="G4" s="580">
        <f>2049000+206000+10000</f>
        <v>2265000</v>
      </c>
      <c r="H4" s="580">
        <f>44000+1521000</f>
        <v>1565000</v>
      </c>
      <c r="I4" s="580">
        <f>473000+1671000</f>
        <v>2144000</v>
      </c>
      <c r="J4" s="580">
        <f>64000+1371000</f>
        <v>1435000</v>
      </c>
      <c r="K4" s="580">
        <f>157000+1614000</f>
        <v>1771000</v>
      </c>
      <c r="L4" s="580">
        <f>188000+2197000</f>
        <v>2385000</v>
      </c>
      <c r="M4" s="580">
        <f>77000+1697000</f>
        <v>1774000</v>
      </c>
      <c r="N4" s="587">
        <f>75000+1831000</f>
        <v>1906000</v>
      </c>
      <c r="O4" s="580">
        <f>160000+1892000</f>
        <v>2052000</v>
      </c>
      <c r="P4" s="580">
        <f>273000+2105000</f>
        <v>2378000</v>
      </c>
      <c r="Q4" s="580">
        <f>2420000-16000</f>
        <v>2404000</v>
      </c>
      <c r="R4" s="580">
        <f>264000+2091000</f>
        <v>2355000</v>
      </c>
      <c r="S4" s="580">
        <v>1949000</v>
      </c>
      <c r="T4" s="580">
        <v>1935000</v>
      </c>
      <c r="U4" s="188">
        <f>SUM(M4:T4)</f>
        <v>16753000</v>
      </c>
    </row>
    <row r="5" spans="2:21">
      <c r="B5" t="s">
        <v>457</v>
      </c>
      <c r="C5" s="188" t="e">
        <f>C3-C4</f>
        <v>#REF!</v>
      </c>
      <c r="E5" t="s">
        <v>457</v>
      </c>
      <c r="G5" s="584">
        <f t="shared" ref="G5:T5" si="0">G3-G4</f>
        <v>-722000</v>
      </c>
      <c r="H5" s="584">
        <f t="shared" si="0"/>
        <v>106000</v>
      </c>
      <c r="I5" s="584">
        <f t="shared" si="0"/>
        <v>-719000</v>
      </c>
      <c r="J5" s="584">
        <f t="shared" si="0"/>
        <v>-304000</v>
      </c>
      <c r="K5" s="584">
        <f t="shared" si="0"/>
        <v>-596000</v>
      </c>
      <c r="L5" s="584">
        <f t="shared" si="0"/>
        <v>-1068000</v>
      </c>
      <c r="M5" s="584">
        <f t="shared" si="0"/>
        <v>-150000</v>
      </c>
      <c r="N5" s="584">
        <f t="shared" si="0"/>
        <v>-642000</v>
      </c>
      <c r="O5" s="584">
        <f t="shared" si="0"/>
        <v>-743000</v>
      </c>
      <c r="P5" s="584">
        <f t="shared" si="0"/>
        <v>-959000</v>
      </c>
      <c r="Q5" s="589">
        <f t="shared" si="0"/>
        <v>-1125000</v>
      </c>
      <c r="R5" s="590">
        <f t="shared" si="0"/>
        <v>-1105000</v>
      </c>
      <c r="S5" s="591">
        <f t="shared" si="0"/>
        <v>-425000</v>
      </c>
      <c r="T5" s="591">
        <f t="shared" si="0"/>
        <v>-393000</v>
      </c>
    </row>
    <row r="6" spans="2:21">
      <c r="C6" s="188"/>
      <c r="E6" t="s">
        <v>461</v>
      </c>
      <c r="M6" s="580" t="e">
        <f>#REF!</f>
        <v>#REF!</v>
      </c>
      <c r="N6" s="584" t="e">
        <f t="shared" ref="N6:T6" si="1">$M$6</f>
        <v>#REF!</v>
      </c>
      <c r="O6" s="584" t="e">
        <f t="shared" si="1"/>
        <v>#REF!</v>
      </c>
      <c r="P6" s="584" t="e">
        <f t="shared" si="1"/>
        <v>#REF!</v>
      </c>
      <c r="Q6" s="584" t="e">
        <f t="shared" si="1"/>
        <v>#REF!</v>
      </c>
      <c r="R6" s="584" t="e">
        <f t="shared" si="1"/>
        <v>#REF!</v>
      </c>
      <c r="S6" s="591" t="e">
        <f t="shared" si="1"/>
        <v>#REF!</v>
      </c>
      <c r="T6" s="591" t="e">
        <f t="shared" si="1"/>
        <v>#REF!</v>
      </c>
    </row>
    <row r="7" spans="2:21">
      <c r="C7" s="188"/>
      <c r="E7" t="s">
        <v>462</v>
      </c>
      <c r="M7" s="580" t="e">
        <f>#REF!</f>
        <v>#REF!</v>
      </c>
      <c r="N7" s="584" t="e">
        <f t="shared" ref="N7:T7" si="2">$M$7</f>
        <v>#REF!</v>
      </c>
      <c r="O7" s="584" t="e">
        <f t="shared" si="2"/>
        <v>#REF!</v>
      </c>
      <c r="P7" s="584" t="e">
        <f t="shared" si="2"/>
        <v>#REF!</v>
      </c>
      <c r="Q7" s="584" t="e">
        <f t="shared" si="2"/>
        <v>#REF!</v>
      </c>
      <c r="R7" s="584" t="e">
        <f t="shared" si="2"/>
        <v>#REF!</v>
      </c>
      <c r="S7" s="591" t="e">
        <f t="shared" si="2"/>
        <v>#REF!</v>
      </c>
      <c r="T7" s="591" t="e">
        <f t="shared" si="2"/>
        <v>#REF!</v>
      </c>
    </row>
    <row r="8" spans="2:21">
      <c r="C8" s="188"/>
      <c r="E8" t="s">
        <v>463</v>
      </c>
      <c r="M8" s="581" t="e">
        <f>M6-M7</f>
        <v>#REF!</v>
      </c>
      <c r="N8" s="584" t="e">
        <f t="shared" ref="N8:T8" si="3">$M$8</f>
        <v>#REF!</v>
      </c>
      <c r="O8" s="584" t="e">
        <f t="shared" si="3"/>
        <v>#REF!</v>
      </c>
      <c r="P8" s="584" t="e">
        <f t="shared" si="3"/>
        <v>#REF!</v>
      </c>
      <c r="Q8" s="584" t="e">
        <f t="shared" si="3"/>
        <v>#REF!</v>
      </c>
      <c r="R8" s="584" t="e">
        <f t="shared" si="3"/>
        <v>#REF!</v>
      </c>
      <c r="S8" s="591" t="e">
        <f t="shared" si="3"/>
        <v>#REF!</v>
      </c>
      <c r="T8" s="591" t="e">
        <f t="shared" si="3"/>
        <v>#REF!</v>
      </c>
    </row>
    <row r="9" spans="2:21">
      <c r="C9" s="188"/>
      <c r="G9" s="1184" t="s">
        <v>459</v>
      </c>
      <c r="H9" s="1184"/>
      <c r="I9" s="1184"/>
      <c r="J9" s="1184"/>
      <c r="K9" s="1184"/>
      <c r="L9" s="1184"/>
      <c r="M9" s="1184"/>
      <c r="N9" s="1184"/>
      <c r="O9" s="1184"/>
      <c r="P9" s="1184"/>
      <c r="Q9" s="1184"/>
      <c r="R9" s="1184"/>
    </row>
    <row r="10" spans="2:21">
      <c r="C10" t="s">
        <v>333</v>
      </c>
      <c r="G10" s="584" t="s">
        <v>451</v>
      </c>
      <c r="H10" s="584" t="s">
        <v>452</v>
      </c>
      <c r="I10" s="584" t="s">
        <v>453</v>
      </c>
      <c r="J10" s="584" t="s">
        <v>454</v>
      </c>
      <c r="K10" s="584" t="s">
        <v>455</v>
      </c>
      <c r="L10" s="584" t="s">
        <v>456</v>
      </c>
      <c r="M10" s="584" t="s">
        <v>445</v>
      </c>
      <c r="N10" s="584" t="s">
        <v>446</v>
      </c>
      <c r="O10" s="584" t="s">
        <v>447</v>
      </c>
      <c r="P10" s="584" t="s">
        <v>448</v>
      </c>
      <c r="Q10" s="584" t="s">
        <v>449</v>
      </c>
      <c r="R10" s="584" t="s">
        <v>450</v>
      </c>
      <c r="S10" s="591" t="s">
        <v>451</v>
      </c>
      <c r="T10" s="591" t="s">
        <v>452</v>
      </c>
    </row>
    <row r="11" spans="2:21">
      <c r="B11" t="s">
        <v>233</v>
      </c>
      <c r="C11" s="579" t="e">
        <f>#REF!</f>
        <v>#REF!</v>
      </c>
      <c r="E11" t="s">
        <v>233</v>
      </c>
      <c r="F11">
        <f>1590000+1640000+1183000+2012000+1776000+1852000</f>
        <v>10053000</v>
      </c>
      <c r="G11" s="578">
        <f t="shared" ref="G11:H13" si="4">G3+F11</f>
        <v>11596000</v>
      </c>
      <c r="H11" s="578">
        <f t="shared" si="4"/>
        <v>13267000</v>
      </c>
      <c r="I11" s="578">
        <f t="shared" ref="I11:L13" si="5">I3+H11</f>
        <v>14692000</v>
      </c>
      <c r="J11" s="578">
        <f t="shared" si="5"/>
        <v>15823000</v>
      </c>
      <c r="K11" s="578">
        <f t="shared" si="5"/>
        <v>16998000</v>
      </c>
      <c r="L11" s="578">
        <f t="shared" si="5"/>
        <v>18315000</v>
      </c>
      <c r="M11" s="578">
        <f>M3</f>
        <v>1624000</v>
      </c>
      <c r="N11" s="578">
        <f t="shared" ref="N11:O16" si="6">M11+N3</f>
        <v>2888000</v>
      </c>
      <c r="O11" s="578">
        <f t="shared" si="6"/>
        <v>4197000</v>
      </c>
      <c r="P11" s="578">
        <f t="shared" ref="P11:R13" si="7">O11+P3</f>
        <v>5616000</v>
      </c>
      <c r="Q11" s="578">
        <f t="shared" si="7"/>
        <v>6895000</v>
      </c>
      <c r="R11" s="578">
        <f t="shared" si="7"/>
        <v>8145000</v>
      </c>
      <c r="S11" s="578">
        <f t="shared" ref="S11:S16" si="8">R11+S3</f>
        <v>9669000</v>
      </c>
      <c r="T11" s="578">
        <f t="shared" ref="T11:T16" si="9">S11+T3</f>
        <v>11211000</v>
      </c>
    </row>
    <row r="12" spans="2:21">
      <c r="B12" t="s">
        <v>420</v>
      </c>
      <c r="C12" s="579" t="e">
        <f>#REF!</f>
        <v>#REF!</v>
      </c>
      <c r="E12" t="s">
        <v>420</v>
      </c>
      <c r="F12">
        <f>224000+56000+129000+229000+233000+147000+1693000+1586000+1510000+1635000+1870000+1491000</f>
        <v>10803000</v>
      </c>
      <c r="G12" s="578">
        <f t="shared" si="4"/>
        <v>13068000</v>
      </c>
      <c r="H12" s="578">
        <f t="shared" si="4"/>
        <v>14633000</v>
      </c>
      <c r="I12" s="578">
        <f t="shared" si="5"/>
        <v>16777000</v>
      </c>
      <c r="J12" s="578">
        <f t="shared" si="5"/>
        <v>18212000</v>
      </c>
      <c r="K12" s="578">
        <f t="shared" si="5"/>
        <v>19983000</v>
      </c>
      <c r="L12" s="578">
        <f t="shared" si="5"/>
        <v>22368000</v>
      </c>
      <c r="M12" s="578">
        <f>M4</f>
        <v>1774000</v>
      </c>
      <c r="N12" s="578">
        <f t="shared" si="6"/>
        <v>3680000</v>
      </c>
      <c r="O12" s="578">
        <f t="shared" si="6"/>
        <v>5732000</v>
      </c>
      <c r="P12" s="578">
        <f t="shared" si="7"/>
        <v>8110000</v>
      </c>
      <c r="Q12" s="578">
        <f t="shared" si="7"/>
        <v>10514000</v>
      </c>
      <c r="R12" s="578">
        <f t="shared" si="7"/>
        <v>12869000</v>
      </c>
      <c r="S12" s="578">
        <f t="shared" si="8"/>
        <v>14818000</v>
      </c>
      <c r="T12" s="578">
        <f t="shared" si="9"/>
        <v>16753000</v>
      </c>
    </row>
    <row r="13" spans="2:21">
      <c r="B13" t="s">
        <v>457</v>
      </c>
      <c r="C13" s="188" t="e">
        <f>C11-C12</f>
        <v>#REF!</v>
      </c>
      <c r="E13" t="s">
        <v>457</v>
      </c>
      <c r="F13">
        <f>F11-F12</f>
        <v>-750000</v>
      </c>
      <c r="G13" s="578">
        <f t="shared" si="4"/>
        <v>-1472000</v>
      </c>
      <c r="H13" s="578">
        <f t="shared" si="4"/>
        <v>-1366000</v>
      </c>
      <c r="I13" s="578">
        <f t="shared" si="5"/>
        <v>-2085000</v>
      </c>
      <c r="J13" s="578">
        <f t="shared" si="5"/>
        <v>-2389000</v>
      </c>
      <c r="K13" s="578">
        <f t="shared" si="5"/>
        <v>-2985000</v>
      </c>
      <c r="L13" s="578">
        <f t="shared" si="5"/>
        <v>-4053000</v>
      </c>
      <c r="M13" s="578">
        <f>M5</f>
        <v>-150000</v>
      </c>
      <c r="N13" s="578">
        <f t="shared" si="6"/>
        <v>-792000</v>
      </c>
      <c r="O13" s="578">
        <f t="shared" si="6"/>
        <v>-1535000</v>
      </c>
      <c r="P13" s="578">
        <f t="shared" si="7"/>
        <v>-2494000</v>
      </c>
      <c r="Q13" s="578">
        <f t="shared" si="7"/>
        <v>-3619000</v>
      </c>
      <c r="R13" s="578">
        <f t="shared" si="7"/>
        <v>-4724000</v>
      </c>
      <c r="S13" s="578">
        <f t="shared" si="8"/>
        <v>-5149000</v>
      </c>
      <c r="T13" s="578">
        <f t="shared" si="9"/>
        <v>-5542000</v>
      </c>
    </row>
    <row r="14" spans="2:21">
      <c r="E14" t="s">
        <v>461</v>
      </c>
      <c r="M14" s="582" t="e">
        <f>M6</f>
        <v>#REF!</v>
      </c>
      <c r="N14" s="578" t="e">
        <f t="shared" si="6"/>
        <v>#REF!</v>
      </c>
      <c r="O14" s="578" t="e">
        <f t="shared" si="6"/>
        <v>#REF!</v>
      </c>
      <c r="P14" s="578" t="e">
        <f t="shared" ref="P14:R16" si="10">O14+P6</f>
        <v>#REF!</v>
      </c>
      <c r="Q14" s="578" t="e">
        <f t="shared" si="10"/>
        <v>#REF!</v>
      </c>
      <c r="R14" s="578" t="e">
        <f t="shared" si="10"/>
        <v>#REF!</v>
      </c>
      <c r="S14" s="578" t="e">
        <f t="shared" si="8"/>
        <v>#REF!</v>
      </c>
      <c r="T14" s="578" t="e">
        <f t="shared" si="9"/>
        <v>#REF!</v>
      </c>
    </row>
    <row r="15" spans="2:21">
      <c r="E15" t="s">
        <v>462</v>
      </c>
      <c r="M15" s="582" t="e">
        <f>M7</f>
        <v>#REF!</v>
      </c>
      <c r="N15" s="578" t="e">
        <f t="shared" si="6"/>
        <v>#REF!</v>
      </c>
      <c r="O15" s="578" t="e">
        <f t="shared" si="6"/>
        <v>#REF!</v>
      </c>
      <c r="P15" s="578" t="e">
        <f t="shared" si="10"/>
        <v>#REF!</v>
      </c>
      <c r="Q15" s="578" t="e">
        <f t="shared" si="10"/>
        <v>#REF!</v>
      </c>
      <c r="R15" s="578" t="e">
        <f t="shared" si="10"/>
        <v>#REF!</v>
      </c>
      <c r="S15" s="578" t="e">
        <f t="shared" si="8"/>
        <v>#REF!</v>
      </c>
      <c r="T15" s="578" t="e">
        <f t="shared" si="9"/>
        <v>#REF!</v>
      </c>
    </row>
    <row r="16" spans="2:21">
      <c r="E16" t="s">
        <v>463</v>
      </c>
      <c r="M16" s="582" t="e">
        <f>M14-M15</f>
        <v>#REF!</v>
      </c>
      <c r="N16" s="578" t="e">
        <f t="shared" si="6"/>
        <v>#REF!</v>
      </c>
      <c r="O16" s="578" t="e">
        <f t="shared" si="6"/>
        <v>#REF!</v>
      </c>
      <c r="P16" s="578" t="e">
        <f t="shared" si="10"/>
        <v>#REF!</v>
      </c>
      <c r="Q16" s="578" t="e">
        <f t="shared" si="10"/>
        <v>#REF!</v>
      </c>
      <c r="R16" s="578" t="e">
        <f t="shared" si="10"/>
        <v>#REF!</v>
      </c>
      <c r="S16" s="578" t="e">
        <f t="shared" si="8"/>
        <v>#REF!</v>
      </c>
      <c r="T16" s="578" t="e">
        <f t="shared" si="9"/>
        <v>#REF!</v>
      </c>
    </row>
  </sheetData>
  <mergeCells count="2">
    <mergeCell ref="G1:R1"/>
    <mergeCell ref="G9:R9"/>
  </mergeCells>
  <phoneticPr fontId="1"/>
  <printOptions horizontalCentered="1"/>
  <pageMargins left="0.23622047244094491" right="0.23622047244094491" top="0.74803149606299213" bottom="0.35433070866141736" header="0.31496062992125984" footer="0.31496062992125984"/>
  <pageSetup paperSize="9" scale="69" orientation="landscape" r:id="rId1"/>
  <headerFooter>
    <oddHeader>&amp;C&amp;"メイリオ,ボールド"&amp;20&amp;A　経営状況報告書&amp;R出力：&amp;D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16"/>
  <sheetViews>
    <sheetView zoomScale="85" zoomScaleNormal="85" workbookViewId="0">
      <selection activeCell="P24" sqref="P24"/>
    </sheetView>
  </sheetViews>
  <sheetFormatPr defaultRowHeight="13.5"/>
  <cols>
    <col min="1" max="1" width="8.875" customWidth="1"/>
    <col min="3" max="3" width="11.125" bestFit="1" customWidth="1"/>
    <col min="5" max="5" width="13.875" bestFit="1" customWidth="1"/>
    <col min="6" max="7" width="10" style="186" bestFit="1" customWidth="1"/>
    <col min="8" max="17" width="10.25" style="186" bestFit="1" customWidth="1"/>
    <col min="18" max="18" width="9.25" bestFit="1" customWidth="1"/>
  </cols>
  <sheetData>
    <row r="1" spans="2:21">
      <c r="F1" s="1184" t="s">
        <v>458</v>
      </c>
      <c r="G1" s="1184"/>
      <c r="H1" s="1184"/>
      <c r="I1" s="1184"/>
      <c r="J1" s="1184"/>
      <c r="K1" s="1184"/>
      <c r="L1" s="1184"/>
      <c r="M1" s="1184"/>
      <c r="N1" s="1184"/>
      <c r="O1" s="1184"/>
      <c r="P1" s="1184"/>
      <c r="Q1" s="1184"/>
    </row>
    <row r="2" spans="2:21">
      <c r="C2" t="s">
        <v>460</v>
      </c>
      <c r="F2" s="186" t="s">
        <v>445</v>
      </c>
      <c r="G2" s="186" t="s">
        <v>446</v>
      </c>
      <c r="H2" s="186" t="s">
        <v>447</v>
      </c>
      <c r="I2" s="186" t="s">
        <v>448</v>
      </c>
      <c r="J2" s="186" t="s">
        <v>449</v>
      </c>
      <c r="K2" s="186" t="s">
        <v>450</v>
      </c>
      <c r="L2" s="186" t="s">
        <v>451</v>
      </c>
      <c r="M2" s="186" t="s">
        <v>452</v>
      </c>
      <c r="N2" s="186" t="s">
        <v>453</v>
      </c>
      <c r="O2" s="186" t="s">
        <v>454</v>
      </c>
      <c r="P2" s="186" t="s">
        <v>455</v>
      </c>
      <c r="Q2" s="186" t="s">
        <v>456</v>
      </c>
    </row>
    <row r="3" spans="2:21">
      <c r="B3" t="s">
        <v>233</v>
      </c>
      <c r="C3" s="579"/>
      <c r="E3" t="s">
        <v>233</v>
      </c>
      <c r="F3" s="580"/>
      <c r="G3" s="580"/>
      <c r="H3" s="580"/>
      <c r="I3" s="580"/>
      <c r="J3" s="580">
        <f>3000+296000</f>
        <v>299000</v>
      </c>
      <c r="K3" s="580">
        <f>834000+488000</f>
        <v>1322000</v>
      </c>
      <c r="L3" s="580">
        <f>1057000+2613000</f>
        <v>3670000</v>
      </c>
      <c r="M3" s="580">
        <f>488000+1902000</f>
        <v>2390000</v>
      </c>
      <c r="N3" s="580"/>
      <c r="O3" s="580"/>
      <c r="P3" s="580"/>
      <c r="Q3" s="580"/>
      <c r="R3" s="188">
        <f>SUM(F3:Q3)</f>
        <v>7681000</v>
      </c>
      <c r="U3" s="188">
        <f>SUM(M3:T3)</f>
        <v>10071000</v>
      </c>
    </row>
    <row r="4" spans="2:21">
      <c r="B4" t="s">
        <v>420</v>
      </c>
      <c r="C4" s="579"/>
      <c r="E4" t="s">
        <v>420</v>
      </c>
      <c r="F4" s="580"/>
      <c r="G4" s="580"/>
      <c r="H4" s="580"/>
      <c r="I4" s="580">
        <v>279000</v>
      </c>
      <c r="J4" s="580">
        <f>581000</f>
        <v>581000</v>
      </c>
      <c r="K4" s="580">
        <f>575000+1971000</f>
        <v>2546000</v>
      </c>
      <c r="L4" s="580">
        <f>696000+1263000</f>
        <v>1959000</v>
      </c>
      <c r="M4" s="580">
        <f>1772000+544000</f>
        <v>2316000</v>
      </c>
      <c r="N4" s="580"/>
      <c r="O4" s="580"/>
      <c r="P4" s="580"/>
      <c r="Q4" s="580"/>
      <c r="R4">
        <f>SUM(F4:Q4)</f>
        <v>7681000</v>
      </c>
      <c r="U4" s="188">
        <f>SUM(M4:T4)</f>
        <v>9997000</v>
      </c>
    </row>
    <row r="5" spans="2:21">
      <c r="B5" t="s">
        <v>457</v>
      </c>
      <c r="C5" s="188">
        <f>C3-C4</f>
        <v>0</v>
      </c>
      <c r="E5" t="s">
        <v>457</v>
      </c>
      <c r="F5" s="186">
        <f t="shared" ref="F5:Q5" si="0">F3-F4</f>
        <v>0</v>
      </c>
      <c r="G5" s="186">
        <f t="shared" si="0"/>
        <v>0</v>
      </c>
      <c r="H5" s="186">
        <f t="shared" si="0"/>
        <v>0</v>
      </c>
      <c r="I5" s="186">
        <f t="shared" si="0"/>
        <v>-279000</v>
      </c>
      <c r="J5" s="186">
        <f t="shared" si="0"/>
        <v>-282000</v>
      </c>
      <c r="K5" s="186">
        <f t="shared" si="0"/>
        <v>-1224000</v>
      </c>
      <c r="L5" s="186">
        <f t="shared" si="0"/>
        <v>1711000</v>
      </c>
      <c r="M5" s="186">
        <f t="shared" si="0"/>
        <v>74000</v>
      </c>
      <c r="N5" s="186">
        <f t="shared" si="0"/>
        <v>0</v>
      </c>
      <c r="O5" s="186">
        <f t="shared" si="0"/>
        <v>0</v>
      </c>
      <c r="P5" s="186">
        <f t="shared" si="0"/>
        <v>0</v>
      </c>
      <c r="Q5" s="186">
        <f t="shared" si="0"/>
        <v>0</v>
      </c>
    </row>
    <row r="6" spans="2:21">
      <c r="C6" s="188"/>
      <c r="E6" t="s">
        <v>461</v>
      </c>
      <c r="K6" s="580" t="e">
        <f>#REF!</f>
        <v>#REF!</v>
      </c>
      <c r="L6" s="186" t="e">
        <f t="shared" ref="L6:Q6" si="1">$K$6</f>
        <v>#REF!</v>
      </c>
      <c r="M6" s="186" t="e">
        <f t="shared" si="1"/>
        <v>#REF!</v>
      </c>
      <c r="N6" s="186" t="e">
        <f t="shared" si="1"/>
        <v>#REF!</v>
      </c>
      <c r="O6" s="186" t="e">
        <f t="shared" si="1"/>
        <v>#REF!</v>
      </c>
      <c r="P6" s="186" t="e">
        <f t="shared" si="1"/>
        <v>#REF!</v>
      </c>
      <c r="Q6" s="186" t="e">
        <f t="shared" si="1"/>
        <v>#REF!</v>
      </c>
    </row>
    <row r="7" spans="2:21">
      <c r="C7" s="188"/>
      <c r="E7" t="s">
        <v>462</v>
      </c>
      <c r="K7" s="580" t="e">
        <f>#REF!</f>
        <v>#REF!</v>
      </c>
      <c r="L7" s="186" t="e">
        <f t="shared" ref="L7:Q7" si="2">$K$7</f>
        <v>#REF!</v>
      </c>
      <c r="M7" s="186" t="e">
        <f t="shared" si="2"/>
        <v>#REF!</v>
      </c>
      <c r="N7" s="186" t="e">
        <f t="shared" si="2"/>
        <v>#REF!</v>
      </c>
      <c r="O7" s="186" t="e">
        <f t="shared" si="2"/>
        <v>#REF!</v>
      </c>
      <c r="P7" s="186" t="e">
        <f t="shared" si="2"/>
        <v>#REF!</v>
      </c>
      <c r="Q7" s="186" t="e">
        <f t="shared" si="2"/>
        <v>#REF!</v>
      </c>
    </row>
    <row r="8" spans="2:21">
      <c r="C8" s="188"/>
      <c r="E8" t="s">
        <v>463</v>
      </c>
      <c r="F8" s="581" t="e">
        <f>K6-K7</f>
        <v>#REF!</v>
      </c>
      <c r="G8" s="186" t="e">
        <f>$F$8</f>
        <v>#REF!</v>
      </c>
      <c r="H8" s="186" t="e">
        <f t="shared" ref="H8:Q8" si="3">$F$8</f>
        <v>#REF!</v>
      </c>
      <c r="I8" s="186" t="e">
        <f t="shared" si="3"/>
        <v>#REF!</v>
      </c>
      <c r="J8" s="186" t="e">
        <f t="shared" si="3"/>
        <v>#REF!</v>
      </c>
      <c r="K8" s="186" t="e">
        <f t="shared" si="3"/>
        <v>#REF!</v>
      </c>
      <c r="L8" s="186" t="e">
        <f t="shared" si="3"/>
        <v>#REF!</v>
      </c>
      <c r="M8" s="186" t="e">
        <f t="shared" si="3"/>
        <v>#REF!</v>
      </c>
      <c r="N8" s="186" t="e">
        <f t="shared" si="3"/>
        <v>#REF!</v>
      </c>
      <c r="O8" s="186" t="e">
        <f t="shared" si="3"/>
        <v>#REF!</v>
      </c>
      <c r="P8" s="186" t="e">
        <f t="shared" si="3"/>
        <v>#REF!</v>
      </c>
      <c r="Q8" s="186" t="e">
        <f t="shared" si="3"/>
        <v>#REF!</v>
      </c>
    </row>
    <row r="9" spans="2:21">
      <c r="C9" s="188"/>
      <c r="F9" s="1184" t="s">
        <v>459</v>
      </c>
      <c r="G9" s="1184"/>
      <c r="H9" s="1184"/>
      <c r="I9" s="1184"/>
      <c r="J9" s="1184"/>
      <c r="K9" s="1184"/>
      <c r="L9" s="1184"/>
      <c r="M9" s="1184"/>
      <c r="N9" s="1184"/>
      <c r="O9" s="1184"/>
      <c r="P9" s="1184"/>
      <c r="Q9" s="1184"/>
    </row>
    <row r="10" spans="2:21">
      <c r="C10" t="s">
        <v>333</v>
      </c>
      <c r="F10" s="186" t="s">
        <v>445</v>
      </c>
      <c r="G10" s="186" t="s">
        <v>446</v>
      </c>
      <c r="H10" s="186" t="s">
        <v>447</v>
      </c>
      <c r="I10" s="186" t="s">
        <v>448</v>
      </c>
      <c r="J10" s="186" t="s">
        <v>449</v>
      </c>
      <c r="K10" s="186" t="s">
        <v>450</v>
      </c>
      <c r="L10" s="186" t="s">
        <v>451</v>
      </c>
      <c r="M10" s="186" t="s">
        <v>452</v>
      </c>
      <c r="N10" s="186" t="s">
        <v>453</v>
      </c>
      <c r="O10" s="186" t="s">
        <v>454</v>
      </c>
      <c r="P10" s="186" t="s">
        <v>455</v>
      </c>
      <c r="Q10" s="186" t="s">
        <v>456</v>
      </c>
    </row>
    <row r="11" spans="2:21">
      <c r="B11" t="s">
        <v>233</v>
      </c>
      <c r="C11" s="579" t="e">
        <f>#REF!</f>
        <v>#REF!</v>
      </c>
      <c r="E11" t="s">
        <v>233</v>
      </c>
      <c r="F11" s="578">
        <f>F3</f>
        <v>0</v>
      </c>
      <c r="G11" s="578">
        <f t="shared" ref="G11:M13" si="4">F11+G3</f>
        <v>0</v>
      </c>
      <c r="H11" s="578">
        <f t="shared" si="4"/>
        <v>0</v>
      </c>
      <c r="I11" s="578">
        <f t="shared" si="4"/>
        <v>0</v>
      </c>
      <c r="J11" s="578">
        <f t="shared" si="4"/>
        <v>299000</v>
      </c>
      <c r="K11" s="578">
        <f t="shared" si="4"/>
        <v>1621000</v>
      </c>
      <c r="L11" s="578">
        <f t="shared" si="4"/>
        <v>5291000</v>
      </c>
      <c r="M11" s="578">
        <f>L11+M3</f>
        <v>7681000</v>
      </c>
      <c r="N11" s="578"/>
      <c r="O11" s="578"/>
      <c r="P11" s="578"/>
      <c r="Q11" s="578"/>
    </row>
    <row r="12" spans="2:21">
      <c r="B12" t="s">
        <v>420</v>
      </c>
      <c r="C12" s="579" t="e">
        <f>#REF!</f>
        <v>#REF!</v>
      </c>
      <c r="E12" t="s">
        <v>420</v>
      </c>
      <c r="F12" s="578">
        <f>F4</f>
        <v>0</v>
      </c>
      <c r="G12" s="578">
        <f t="shared" si="4"/>
        <v>0</v>
      </c>
      <c r="H12" s="578">
        <f t="shared" si="4"/>
        <v>0</v>
      </c>
      <c r="I12" s="578">
        <f t="shared" si="4"/>
        <v>279000</v>
      </c>
      <c r="J12" s="578">
        <f t="shared" si="4"/>
        <v>860000</v>
      </c>
      <c r="K12" s="578">
        <f t="shared" si="4"/>
        <v>3406000</v>
      </c>
      <c r="L12" s="578">
        <f t="shared" si="4"/>
        <v>5365000</v>
      </c>
      <c r="M12" s="578">
        <f t="shared" si="4"/>
        <v>7681000</v>
      </c>
      <c r="N12" s="578"/>
      <c r="O12" s="578"/>
      <c r="P12" s="578"/>
      <c r="Q12" s="578"/>
    </row>
    <row r="13" spans="2:21">
      <c r="B13" t="s">
        <v>457</v>
      </c>
      <c r="C13" s="188" t="e">
        <f>C11-C12</f>
        <v>#REF!</v>
      </c>
      <c r="E13" t="s">
        <v>457</v>
      </c>
      <c r="F13" s="578">
        <f>F5</f>
        <v>0</v>
      </c>
      <c r="G13" s="578">
        <f t="shared" si="4"/>
        <v>0</v>
      </c>
      <c r="H13" s="578">
        <f t="shared" si="4"/>
        <v>0</v>
      </c>
      <c r="I13" s="578">
        <f t="shared" si="4"/>
        <v>-279000</v>
      </c>
      <c r="J13" s="578">
        <f t="shared" si="4"/>
        <v>-561000</v>
      </c>
      <c r="K13" s="578">
        <f t="shared" si="4"/>
        <v>-1785000</v>
      </c>
      <c r="L13" s="578">
        <f t="shared" si="4"/>
        <v>-74000</v>
      </c>
      <c r="M13" s="578">
        <f>L13+M5</f>
        <v>0</v>
      </c>
      <c r="N13" s="578"/>
      <c r="O13" s="578"/>
      <c r="P13" s="578"/>
      <c r="Q13" s="578"/>
    </row>
    <row r="14" spans="2:21">
      <c r="E14" t="s">
        <v>461</v>
      </c>
      <c r="F14" s="582"/>
      <c r="G14" s="578"/>
      <c r="H14" s="578"/>
      <c r="I14" s="578"/>
      <c r="J14" s="578"/>
      <c r="K14" s="578" t="e">
        <f>K6</f>
        <v>#REF!</v>
      </c>
      <c r="L14" s="578" t="e">
        <f t="shared" ref="K14:Q16" si="5">K14+L6</f>
        <v>#REF!</v>
      </c>
      <c r="M14" s="578" t="e">
        <f t="shared" si="5"/>
        <v>#REF!</v>
      </c>
      <c r="N14" s="578" t="e">
        <f t="shared" si="5"/>
        <v>#REF!</v>
      </c>
      <c r="O14" s="578" t="e">
        <f t="shared" si="5"/>
        <v>#REF!</v>
      </c>
      <c r="P14" s="578" t="e">
        <f t="shared" si="5"/>
        <v>#REF!</v>
      </c>
      <c r="Q14" s="578" t="e">
        <f t="shared" si="5"/>
        <v>#REF!</v>
      </c>
    </row>
    <row r="15" spans="2:21">
      <c r="E15" t="s">
        <v>462</v>
      </c>
      <c r="F15" s="582"/>
      <c r="G15" s="578"/>
      <c r="H15" s="578"/>
      <c r="I15" s="578"/>
      <c r="J15" s="578"/>
      <c r="K15" s="578" t="e">
        <f>K7</f>
        <v>#REF!</v>
      </c>
      <c r="L15" s="578" t="e">
        <f t="shared" si="5"/>
        <v>#REF!</v>
      </c>
      <c r="M15" s="578" t="e">
        <f t="shared" si="5"/>
        <v>#REF!</v>
      </c>
      <c r="N15" s="578" t="e">
        <f t="shared" si="5"/>
        <v>#REF!</v>
      </c>
      <c r="O15" s="578" t="e">
        <f t="shared" si="5"/>
        <v>#REF!</v>
      </c>
      <c r="P15" s="578" t="e">
        <f t="shared" si="5"/>
        <v>#REF!</v>
      </c>
      <c r="Q15" s="578" t="e">
        <f t="shared" si="5"/>
        <v>#REF!</v>
      </c>
    </row>
    <row r="16" spans="2:21">
      <c r="E16" t="s">
        <v>463</v>
      </c>
      <c r="F16" s="582"/>
      <c r="G16" s="578"/>
      <c r="H16" s="578"/>
      <c r="I16" s="578"/>
      <c r="J16" s="578"/>
      <c r="K16" s="578" t="e">
        <f t="shared" si="5"/>
        <v>#REF!</v>
      </c>
      <c r="L16" s="578" t="e">
        <f t="shared" si="5"/>
        <v>#REF!</v>
      </c>
      <c r="M16" s="578" t="e">
        <f t="shared" si="5"/>
        <v>#REF!</v>
      </c>
      <c r="N16" s="578" t="e">
        <f t="shared" si="5"/>
        <v>#REF!</v>
      </c>
      <c r="O16" s="578" t="e">
        <f t="shared" si="5"/>
        <v>#REF!</v>
      </c>
      <c r="P16" s="578" t="e">
        <f t="shared" si="5"/>
        <v>#REF!</v>
      </c>
      <c r="Q16" s="578" t="e">
        <f t="shared" si="5"/>
        <v>#REF!</v>
      </c>
    </row>
  </sheetData>
  <mergeCells count="2">
    <mergeCell ref="F1:Q1"/>
    <mergeCell ref="F9:Q9"/>
  </mergeCells>
  <phoneticPr fontId="1"/>
  <printOptions horizontalCentered="1"/>
  <pageMargins left="0.23622047244094491" right="0.23622047244094491" top="0.74803149606299213" bottom="0.35433070866141736" header="0.31496062992125984" footer="0.31496062992125984"/>
  <pageSetup paperSize="9" scale="69" orientation="landscape" r:id="rId1"/>
  <headerFooter>
    <oddHeader>&amp;C&amp;"メイリオ,ボールド"&amp;20&amp;A　経営状況報告書&amp;R出力：&amp;D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16"/>
  <sheetViews>
    <sheetView topLeftCell="B16" zoomScale="85" zoomScaleNormal="85" workbookViewId="0">
      <selection activeCell="T14" sqref="T14"/>
    </sheetView>
  </sheetViews>
  <sheetFormatPr defaultRowHeight="13.5"/>
  <cols>
    <col min="1" max="1" width="8.875" customWidth="1"/>
    <col min="3" max="3" width="11.375" bestFit="1" customWidth="1"/>
    <col min="5" max="5" width="13.875" bestFit="1" customWidth="1"/>
    <col min="6" max="6" width="13.875" hidden="1" customWidth="1"/>
    <col min="7" max="12" width="10.25" style="586" bestFit="1" customWidth="1"/>
    <col min="13" max="13" width="10.625" style="586" bestFit="1" customWidth="1"/>
    <col min="14" max="18" width="10.25" style="586" bestFit="1" customWidth="1"/>
    <col min="19" max="20" width="10.25" style="591" customWidth="1"/>
    <col min="21" max="21" width="11.375" bestFit="1" customWidth="1"/>
  </cols>
  <sheetData>
    <row r="1" spans="2:21">
      <c r="G1" s="1184" t="s">
        <v>458</v>
      </c>
      <c r="H1" s="1184"/>
      <c r="I1" s="1184"/>
      <c r="J1" s="1184"/>
      <c r="K1" s="1184"/>
      <c r="L1" s="1184"/>
      <c r="M1" s="1184"/>
      <c r="N1" s="1184"/>
      <c r="O1" s="1184"/>
      <c r="P1" s="1184"/>
      <c r="Q1" s="1184"/>
      <c r="R1" s="1184"/>
    </row>
    <row r="2" spans="2:21">
      <c r="C2" t="s">
        <v>460</v>
      </c>
      <c r="G2" s="585" t="s">
        <v>451</v>
      </c>
      <c r="H2" s="585" t="s">
        <v>452</v>
      </c>
      <c r="I2" s="585" t="s">
        <v>453</v>
      </c>
      <c r="J2" s="585" t="s">
        <v>454</v>
      </c>
      <c r="K2" s="585" t="s">
        <v>455</v>
      </c>
      <c r="L2" s="585" t="s">
        <v>456</v>
      </c>
      <c r="M2" s="585" t="s">
        <v>445</v>
      </c>
      <c r="N2" s="585" t="s">
        <v>446</v>
      </c>
      <c r="O2" s="585" t="s">
        <v>447</v>
      </c>
      <c r="P2" s="585" t="s">
        <v>448</v>
      </c>
      <c r="Q2" s="585" t="s">
        <v>449</v>
      </c>
      <c r="R2" s="585" t="s">
        <v>450</v>
      </c>
      <c r="S2" s="592" t="s">
        <v>451</v>
      </c>
      <c r="T2" s="592" t="s">
        <v>452</v>
      </c>
    </row>
    <row r="3" spans="2:21">
      <c r="B3" t="s">
        <v>233</v>
      </c>
      <c r="C3" s="579" t="e">
        <f>'事業別損益表（決算）'!D22</f>
        <v>#REF!</v>
      </c>
      <c r="E3" t="s">
        <v>233</v>
      </c>
      <c r="G3" s="580">
        <f>16468000+1332000</f>
        <v>17800000</v>
      </c>
      <c r="H3" s="580">
        <f>49000+14449000</f>
        <v>14498000</v>
      </c>
      <c r="I3" s="580">
        <f>14289000+43000</f>
        <v>14332000</v>
      </c>
      <c r="J3" s="580">
        <f>108000+12673000</f>
        <v>12781000</v>
      </c>
      <c r="K3" s="580">
        <f>13393000+38000</f>
        <v>13431000</v>
      </c>
      <c r="L3" s="580">
        <f>1050000+16162000</f>
        <v>17212000</v>
      </c>
      <c r="M3" s="580">
        <f>14132000+414000</f>
        <v>14546000</v>
      </c>
      <c r="N3" s="580">
        <f>46000+15105000</f>
        <v>15151000</v>
      </c>
      <c r="O3" s="580">
        <f>13155000+185000</f>
        <v>13340000</v>
      </c>
      <c r="P3" s="580">
        <f>2718000+15000000</f>
        <v>17718000</v>
      </c>
      <c r="Q3" s="580">
        <f>13933000+396000</f>
        <v>14329000</v>
      </c>
      <c r="R3" s="580">
        <f>15931000+894000</f>
        <v>16825000</v>
      </c>
      <c r="S3" s="580">
        <f>21490000+93000</f>
        <v>21583000</v>
      </c>
      <c r="T3" s="580">
        <f>835000+15521000</f>
        <v>16356000</v>
      </c>
      <c r="U3" s="188">
        <f>SUM(M3:T3)</f>
        <v>129848000</v>
      </c>
    </row>
    <row r="4" spans="2:21">
      <c r="B4" t="s">
        <v>420</v>
      </c>
      <c r="C4" s="579" t="e">
        <f>'事業別損益表（決算）'!E22</f>
        <v>#REF!</v>
      </c>
      <c r="E4" t="s">
        <v>420</v>
      </c>
      <c r="G4" s="580">
        <f>530000+13438000+1000</f>
        <v>13969000</v>
      </c>
      <c r="H4" s="580">
        <f>11679000+312000</f>
        <v>11991000</v>
      </c>
      <c r="I4" s="580">
        <f>772000+14758000+1000</f>
        <v>15531000</v>
      </c>
      <c r="J4" s="580">
        <f>1000+11367000+344000</f>
        <v>11712000</v>
      </c>
      <c r="K4" s="580">
        <f>475000+12607000+1000</f>
        <v>13083000</v>
      </c>
      <c r="L4" s="580">
        <f>2000+15325000+550000</f>
        <v>15877000</v>
      </c>
      <c r="M4" s="580">
        <f>477000+12350000+1000</f>
        <v>12828000</v>
      </c>
      <c r="N4" s="587">
        <f>12771000+461000</f>
        <v>13232000</v>
      </c>
      <c r="O4" s="580">
        <f>524000+13956000+1000</f>
        <v>14481000</v>
      </c>
      <c r="P4" s="580">
        <f>1000+13537000+649000</f>
        <v>14187000</v>
      </c>
      <c r="Q4" s="580">
        <f>341000+15225000+31000</f>
        <v>15597000</v>
      </c>
      <c r="R4" s="580">
        <f>604000+15148000-1000</f>
        <v>15751000</v>
      </c>
      <c r="S4" s="580">
        <f>16356000</f>
        <v>16356000</v>
      </c>
      <c r="T4" s="580">
        <f>14805000+56000</f>
        <v>14861000</v>
      </c>
      <c r="U4" s="188">
        <f>SUM(M4:T4)</f>
        <v>117293000</v>
      </c>
    </row>
    <row r="5" spans="2:21">
      <c r="B5" t="s">
        <v>457</v>
      </c>
      <c r="C5" s="188" t="e">
        <f>C3-C4</f>
        <v>#REF!</v>
      </c>
      <c r="E5" t="s">
        <v>457</v>
      </c>
      <c r="G5" s="586">
        <f t="shared" ref="G5:T5" si="0">G3-G4</f>
        <v>3831000</v>
      </c>
      <c r="H5" s="586">
        <f t="shared" si="0"/>
        <v>2507000</v>
      </c>
      <c r="I5" s="586">
        <f t="shared" si="0"/>
        <v>-1199000</v>
      </c>
      <c r="J5" s="586">
        <f t="shared" si="0"/>
        <v>1069000</v>
      </c>
      <c r="K5" s="586">
        <f t="shared" si="0"/>
        <v>348000</v>
      </c>
      <c r="L5" s="586">
        <f t="shared" si="0"/>
        <v>1335000</v>
      </c>
      <c r="M5" s="586">
        <f t="shared" si="0"/>
        <v>1718000</v>
      </c>
      <c r="N5" s="586">
        <f t="shared" si="0"/>
        <v>1919000</v>
      </c>
      <c r="O5" s="586">
        <f t="shared" si="0"/>
        <v>-1141000</v>
      </c>
      <c r="P5" s="586">
        <f t="shared" si="0"/>
        <v>3531000</v>
      </c>
      <c r="Q5" s="589">
        <f t="shared" si="0"/>
        <v>-1268000</v>
      </c>
      <c r="R5" s="590">
        <f t="shared" si="0"/>
        <v>1074000</v>
      </c>
      <c r="S5" s="591">
        <f t="shared" si="0"/>
        <v>5227000</v>
      </c>
      <c r="T5" s="591">
        <f t="shared" si="0"/>
        <v>1495000</v>
      </c>
    </row>
    <row r="6" spans="2:21">
      <c r="C6" s="188"/>
      <c r="E6" t="s">
        <v>461</v>
      </c>
      <c r="M6" s="580" t="e">
        <f>#REF!</f>
        <v>#REF!</v>
      </c>
      <c r="N6" s="586" t="e">
        <f t="shared" ref="N6:T6" si="1">$M$6</f>
        <v>#REF!</v>
      </c>
      <c r="O6" s="586" t="e">
        <f t="shared" si="1"/>
        <v>#REF!</v>
      </c>
      <c r="P6" s="586" t="e">
        <f t="shared" si="1"/>
        <v>#REF!</v>
      </c>
      <c r="Q6" s="586" t="e">
        <f t="shared" si="1"/>
        <v>#REF!</v>
      </c>
      <c r="R6" s="586" t="e">
        <f t="shared" si="1"/>
        <v>#REF!</v>
      </c>
      <c r="S6" s="591" t="e">
        <f t="shared" si="1"/>
        <v>#REF!</v>
      </c>
      <c r="T6" s="591" t="e">
        <f t="shared" si="1"/>
        <v>#REF!</v>
      </c>
    </row>
    <row r="7" spans="2:21">
      <c r="C7" s="188"/>
      <c r="E7" t="s">
        <v>462</v>
      </c>
      <c r="M7" s="580" t="e">
        <f>#REF!</f>
        <v>#REF!</v>
      </c>
      <c r="N7" s="586" t="e">
        <f t="shared" ref="N7:T7" si="2">$M$7</f>
        <v>#REF!</v>
      </c>
      <c r="O7" s="586" t="e">
        <f t="shared" si="2"/>
        <v>#REF!</v>
      </c>
      <c r="P7" s="586" t="e">
        <f t="shared" si="2"/>
        <v>#REF!</v>
      </c>
      <c r="Q7" s="586" t="e">
        <f t="shared" si="2"/>
        <v>#REF!</v>
      </c>
      <c r="R7" s="586" t="e">
        <f t="shared" si="2"/>
        <v>#REF!</v>
      </c>
      <c r="S7" s="591" t="e">
        <f t="shared" si="2"/>
        <v>#REF!</v>
      </c>
      <c r="T7" s="591" t="e">
        <f t="shared" si="2"/>
        <v>#REF!</v>
      </c>
    </row>
    <row r="8" spans="2:21">
      <c r="C8" s="188"/>
      <c r="E8" t="s">
        <v>463</v>
      </c>
      <c r="M8" s="581" t="e">
        <f>M6-M7</f>
        <v>#REF!</v>
      </c>
      <c r="N8" s="586" t="e">
        <f t="shared" ref="N8:T8" si="3">$M$8</f>
        <v>#REF!</v>
      </c>
      <c r="O8" s="586" t="e">
        <f t="shared" si="3"/>
        <v>#REF!</v>
      </c>
      <c r="P8" s="586" t="e">
        <f t="shared" si="3"/>
        <v>#REF!</v>
      </c>
      <c r="Q8" s="586" t="e">
        <f t="shared" si="3"/>
        <v>#REF!</v>
      </c>
      <c r="R8" s="586" t="e">
        <f t="shared" si="3"/>
        <v>#REF!</v>
      </c>
      <c r="S8" s="591" t="e">
        <f t="shared" si="3"/>
        <v>#REF!</v>
      </c>
      <c r="T8" s="591" t="e">
        <f t="shared" si="3"/>
        <v>#REF!</v>
      </c>
    </row>
    <row r="9" spans="2:21">
      <c r="C9" s="188"/>
      <c r="G9" s="1184" t="s">
        <v>459</v>
      </c>
      <c r="H9" s="1184"/>
      <c r="I9" s="1184"/>
      <c r="J9" s="1184"/>
      <c r="K9" s="1184"/>
      <c r="L9" s="1184"/>
      <c r="M9" s="1184"/>
      <c r="N9" s="1184"/>
      <c r="O9" s="1184"/>
      <c r="P9" s="1184"/>
      <c r="Q9" s="1184"/>
      <c r="R9" s="1184"/>
    </row>
    <row r="10" spans="2:21">
      <c r="C10" t="s">
        <v>333</v>
      </c>
      <c r="G10" s="586" t="s">
        <v>451</v>
      </c>
      <c r="H10" s="586" t="s">
        <v>452</v>
      </c>
      <c r="I10" s="586" t="s">
        <v>453</v>
      </c>
      <c r="J10" s="586" t="s">
        <v>454</v>
      </c>
      <c r="K10" s="586" t="s">
        <v>455</v>
      </c>
      <c r="L10" s="586" t="s">
        <v>456</v>
      </c>
      <c r="M10" s="586" t="s">
        <v>445</v>
      </c>
      <c r="N10" s="586" t="s">
        <v>446</v>
      </c>
      <c r="O10" s="586" t="s">
        <v>447</v>
      </c>
      <c r="P10" s="586" t="s">
        <v>448</v>
      </c>
      <c r="Q10" s="586" t="s">
        <v>449</v>
      </c>
      <c r="R10" s="586" t="s">
        <v>450</v>
      </c>
      <c r="S10" s="591" t="s">
        <v>451</v>
      </c>
      <c r="T10" s="591" t="s">
        <v>452</v>
      </c>
    </row>
    <row r="11" spans="2:21">
      <c r="B11" t="s">
        <v>233</v>
      </c>
      <c r="C11" s="579" t="e">
        <f>#REF!</f>
        <v>#REF!</v>
      </c>
      <c r="E11" t="s">
        <v>233</v>
      </c>
      <c r="F11" s="588">
        <f>13181000+16122000+14348000+15532000+15226000+15251000+169000+49000+267000+352000+152000+37000</f>
        <v>90686000</v>
      </c>
      <c r="G11" s="578">
        <f t="shared" ref="G11:L13" si="4">G3+F11</f>
        <v>108486000</v>
      </c>
      <c r="H11" s="578">
        <f t="shared" si="4"/>
        <v>122984000</v>
      </c>
      <c r="I11" s="578">
        <f t="shared" si="4"/>
        <v>137316000</v>
      </c>
      <c r="J11" s="578">
        <f t="shared" si="4"/>
        <v>150097000</v>
      </c>
      <c r="K11" s="578">
        <f t="shared" si="4"/>
        <v>163528000</v>
      </c>
      <c r="L11" s="578">
        <f t="shared" si="4"/>
        <v>180740000</v>
      </c>
      <c r="M11" s="578">
        <f>M3</f>
        <v>14546000</v>
      </c>
      <c r="N11" s="578">
        <f t="shared" ref="N11:Q16" si="5">M11+N3</f>
        <v>29697000</v>
      </c>
      <c r="O11" s="578">
        <f t="shared" si="5"/>
        <v>43037000</v>
      </c>
      <c r="P11" s="578">
        <f t="shared" si="5"/>
        <v>60755000</v>
      </c>
      <c r="Q11" s="578">
        <f t="shared" si="5"/>
        <v>75084000</v>
      </c>
      <c r="R11" s="578">
        <f t="shared" ref="R11:T16" si="6">Q11+R3</f>
        <v>91909000</v>
      </c>
      <c r="S11" s="578">
        <f t="shared" si="6"/>
        <v>113492000</v>
      </c>
      <c r="T11" s="578">
        <f t="shared" si="6"/>
        <v>129848000</v>
      </c>
    </row>
    <row r="12" spans="2:21">
      <c r="B12" t="s">
        <v>420</v>
      </c>
      <c r="C12" s="579" t="e">
        <f>#REF!</f>
        <v>#REF!</v>
      </c>
      <c r="E12" t="s">
        <v>420</v>
      </c>
      <c r="F12" s="588">
        <f>493000+323000+422000+505000+544000+431000+12257000+11468000+12364000+12573000+12891000+13191000</f>
        <v>77462000</v>
      </c>
      <c r="G12" s="578">
        <f t="shared" si="4"/>
        <v>91431000</v>
      </c>
      <c r="H12" s="578">
        <f t="shared" si="4"/>
        <v>103422000</v>
      </c>
      <c r="I12" s="578">
        <f t="shared" si="4"/>
        <v>118953000</v>
      </c>
      <c r="J12" s="578">
        <f t="shared" si="4"/>
        <v>130665000</v>
      </c>
      <c r="K12" s="578">
        <f t="shared" si="4"/>
        <v>143748000</v>
      </c>
      <c r="L12" s="578">
        <f t="shared" si="4"/>
        <v>159625000</v>
      </c>
      <c r="M12" s="578">
        <f>M4</f>
        <v>12828000</v>
      </c>
      <c r="N12" s="578">
        <f t="shared" si="5"/>
        <v>26060000</v>
      </c>
      <c r="O12" s="578">
        <f t="shared" si="5"/>
        <v>40541000</v>
      </c>
      <c r="P12" s="578">
        <f t="shared" si="5"/>
        <v>54728000</v>
      </c>
      <c r="Q12" s="578">
        <f t="shared" si="5"/>
        <v>70325000</v>
      </c>
      <c r="R12" s="578">
        <f t="shared" si="6"/>
        <v>86076000</v>
      </c>
      <c r="S12" s="578">
        <f t="shared" si="6"/>
        <v>102432000</v>
      </c>
      <c r="T12" s="578">
        <f t="shared" si="6"/>
        <v>117293000</v>
      </c>
    </row>
    <row r="13" spans="2:21">
      <c r="B13" t="s">
        <v>457</v>
      </c>
      <c r="C13" s="188" t="e">
        <f>C11-C12</f>
        <v>#REF!</v>
      </c>
      <c r="E13" t="s">
        <v>457</v>
      </c>
      <c r="F13">
        <f>F11-F12</f>
        <v>13224000</v>
      </c>
      <c r="G13" s="578">
        <f t="shared" si="4"/>
        <v>17055000</v>
      </c>
      <c r="H13" s="578">
        <f t="shared" si="4"/>
        <v>19562000</v>
      </c>
      <c r="I13" s="578">
        <f t="shared" si="4"/>
        <v>18363000</v>
      </c>
      <c r="J13" s="578">
        <f t="shared" si="4"/>
        <v>19432000</v>
      </c>
      <c r="K13" s="578">
        <f t="shared" si="4"/>
        <v>19780000</v>
      </c>
      <c r="L13" s="578">
        <f t="shared" si="4"/>
        <v>21115000</v>
      </c>
      <c r="M13" s="578">
        <f>M5</f>
        <v>1718000</v>
      </c>
      <c r="N13" s="578">
        <f t="shared" si="5"/>
        <v>3637000</v>
      </c>
      <c r="O13" s="578">
        <f t="shared" si="5"/>
        <v>2496000</v>
      </c>
      <c r="P13" s="578">
        <f t="shared" si="5"/>
        <v>6027000</v>
      </c>
      <c r="Q13" s="578">
        <f t="shared" si="5"/>
        <v>4759000</v>
      </c>
      <c r="R13" s="578">
        <f t="shared" si="6"/>
        <v>5833000</v>
      </c>
      <c r="S13" s="578">
        <f t="shared" si="6"/>
        <v>11060000</v>
      </c>
      <c r="T13" s="578">
        <f t="shared" si="6"/>
        <v>12555000</v>
      </c>
    </row>
    <row r="14" spans="2:21">
      <c r="E14" t="s">
        <v>461</v>
      </c>
      <c r="M14" s="582" t="e">
        <f>M6</f>
        <v>#REF!</v>
      </c>
      <c r="N14" s="578" t="e">
        <f t="shared" si="5"/>
        <v>#REF!</v>
      </c>
      <c r="O14" s="578" t="e">
        <f t="shared" si="5"/>
        <v>#REF!</v>
      </c>
      <c r="P14" s="578" t="e">
        <f t="shared" si="5"/>
        <v>#REF!</v>
      </c>
      <c r="Q14" s="578" t="e">
        <f t="shared" si="5"/>
        <v>#REF!</v>
      </c>
      <c r="R14" s="578" t="e">
        <f t="shared" si="6"/>
        <v>#REF!</v>
      </c>
      <c r="S14" s="578" t="e">
        <f t="shared" si="6"/>
        <v>#REF!</v>
      </c>
      <c r="T14" s="578" t="e">
        <f t="shared" si="6"/>
        <v>#REF!</v>
      </c>
    </row>
    <row r="15" spans="2:21">
      <c r="E15" t="s">
        <v>462</v>
      </c>
      <c r="M15" s="582" t="e">
        <f>M7</f>
        <v>#REF!</v>
      </c>
      <c r="N15" s="578" t="e">
        <f t="shared" si="5"/>
        <v>#REF!</v>
      </c>
      <c r="O15" s="578" t="e">
        <f t="shared" si="5"/>
        <v>#REF!</v>
      </c>
      <c r="P15" s="578" t="e">
        <f t="shared" si="5"/>
        <v>#REF!</v>
      </c>
      <c r="Q15" s="578" t="e">
        <f t="shared" si="5"/>
        <v>#REF!</v>
      </c>
      <c r="R15" s="578" t="e">
        <f t="shared" si="6"/>
        <v>#REF!</v>
      </c>
      <c r="S15" s="578" t="e">
        <f t="shared" si="6"/>
        <v>#REF!</v>
      </c>
      <c r="T15" s="578" t="e">
        <f t="shared" si="6"/>
        <v>#REF!</v>
      </c>
    </row>
    <row r="16" spans="2:21">
      <c r="E16" t="s">
        <v>463</v>
      </c>
      <c r="M16" s="582" t="e">
        <f>M14-M15</f>
        <v>#REF!</v>
      </c>
      <c r="N16" s="578" t="e">
        <f t="shared" si="5"/>
        <v>#REF!</v>
      </c>
      <c r="O16" s="578" t="e">
        <f t="shared" si="5"/>
        <v>#REF!</v>
      </c>
      <c r="P16" s="578" t="e">
        <f t="shared" si="5"/>
        <v>#REF!</v>
      </c>
      <c r="Q16" s="578" t="e">
        <f t="shared" si="5"/>
        <v>#REF!</v>
      </c>
      <c r="R16" s="578" t="e">
        <f t="shared" si="6"/>
        <v>#REF!</v>
      </c>
      <c r="S16" s="578" t="e">
        <f t="shared" si="6"/>
        <v>#REF!</v>
      </c>
      <c r="T16" s="578" t="e">
        <f t="shared" si="6"/>
        <v>#REF!</v>
      </c>
    </row>
  </sheetData>
  <mergeCells count="2">
    <mergeCell ref="G1:R1"/>
    <mergeCell ref="G9:R9"/>
  </mergeCells>
  <phoneticPr fontId="1"/>
  <printOptions horizontalCentered="1"/>
  <pageMargins left="0.23622047244094491" right="0.23622047244094491" top="0.74803149606299213" bottom="0.35433070866141736" header="0.31496062992125984" footer="0.31496062992125984"/>
  <pageSetup paperSize="9" scale="69" orientation="landscape" r:id="rId1"/>
  <headerFooter>
    <oddHeader>&amp;C&amp;"メイリオ,ボールド"&amp;20&amp;A　経営状況報告書&amp;R出力：&amp;D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5"/>
  </sheetPr>
  <dimension ref="A1:O496"/>
  <sheetViews>
    <sheetView tabSelected="1" view="pageBreakPreview" zoomScaleNormal="115" zoomScaleSheetLayoutView="100" workbookViewId="0">
      <pane xSplit="2" ySplit="3" topLeftCell="C345" activePane="bottomRight" state="frozen"/>
      <selection pane="topRight" activeCell="C1" sqref="C1"/>
      <selection pane="bottomLeft" activeCell="A4" sqref="A4"/>
      <selection pane="bottomRight" activeCell="C469" sqref="C469"/>
    </sheetView>
  </sheetViews>
  <sheetFormatPr defaultColWidth="9" defaultRowHeight="13.5"/>
  <cols>
    <col min="1" max="1" width="15.375" style="179" bestFit="1" customWidth="1"/>
    <col min="2" max="2" width="31.75" style="175" bestFit="1" customWidth="1"/>
    <col min="3" max="3" width="15.75" style="469" customWidth="1"/>
    <col min="4" max="4" width="15.75" style="581" customWidth="1"/>
    <col min="5" max="5" width="7.875" style="262" customWidth="1"/>
    <col min="6" max="6" width="13.625" style="886" customWidth="1"/>
    <col min="7" max="7" width="10.5" style="179" customWidth="1"/>
    <col min="8" max="8" width="15.75" style="469" customWidth="1"/>
    <col min="9" max="9" width="15.75" style="581" customWidth="1"/>
    <col min="10" max="10" width="7.875" style="262" customWidth="1"/>
    <col min="11" max="11" width="13.625" style="886" customWidth="1"/>
    <col min="12" max="12" width="10.5" style="179" customWidth="1"/>
    <col min="13" max="13" width="3.875" style="469" customWidth="1"/>
    <col min="14" max="15" width="11.625" style="928" bestFit="1" customWidth="1"/>
    <col min="16" max="16384" width="9" style="13"/>
  </cols>
  <sheetData>
    <row r="1" spans="1:15" ht="13.5" customHeight="1">
      <c r="A1" s="1185" t="s">
        <v>72</v>
      </c>
      <c r="B1" s="1185" t="s">
        <v>73</v>
      </c>
      <c r="C1" s="1186" t="s">
        <v>798</v>
      </c>
      <c r="D1" s="1186"/>
      <c r="E1" s="1186"/>
      <c r="F1" s="1186"/>
      <c r="G1" s="1186"/>
      <c r="H1" s="1186" t="s">
        <v>811</v>
      </c>
      <c r="I1" s="1186"/>
      <c r="J1" s="1186"/>
      <c r="K1" s="1186"/>
      <c r="L1" s="1186"/>
      <c r="M1" s="13"/>
    </row>
    <row r="2" spans="1:15" ht="13.5" customHeight="1">
      <c r="A2" s="1185"/>
      <c r="B2" s="1185"/>
      <c r="C2" s="1187" t="s">
        <v>74</v>
      </c>
      <c r="D2" s="1188" t="s">
        <v>75</v>
      </c>
      <c r="E2" s="880"/>
      <c r="F2" s="1189" t="s">
        <v>76</v>
      </c>
      <c r="G2" s="881"/>
      <c r="H2" s="1187" t="s">
        <v>74</v>
      </c>
      <c r="I2" s="1188" t="s">
        <v>75</v>
      </c>
      <c r="J2" s="880"/>
      <c r="K2" s="1189" t="s">
        <v>76</v>
      </c>
      <c r="L2" s="881"/>
      <c r="M2" s="13"/>
    </row>
    <row r="3" spans="1:15">
      <c r="A3" s="1185"/>
      <c r="B3" s="1185"/>
      <c r="C3" s="1187"/>
      <c r="D3" s="1188"/>
      <c r="E3" s="882" t="s">
        <v>77</v>
      </c>
      <c r="F3" s="1189"/>
      <c r="G3" s="882" t="s">
        <v>77</v>
      </c>
      <c r="H3" s="1187"/>
      <c r="I3" s="1188"/>
      <c r="J3" s="882" t="s">
        <v>77</v>
      </c>
      <c r="K3" s="1189"/>
      <c r="L3" s="882" t="s">
        <v>77</v>
      </c>
      <c r="M3" s="13"/>
    </row>
    <row r="4" spans="1:15" ht="18" customHeight="1">
      <c r="A4" s="174" t="s">
        <v>78</v>
      </c>
      <c r="B4" s="8" t="s">
        <v>79</v>
      </c>
      <c r="C4" s="467">
        <f>ROUND(H4,-3)</f>
        <v>27513000</v>
      </c>
      <c r="D4" s="467">
        <f t="shared" ref="D4:D32" si="0">ROUND(I4,-3)</f>
        <v>0</v>
      </c>
      <c r="E4" s="883"/>
      <c r="F4" s="262"/>
      <c r="G4" s="884"/>
      <c r="H4" s="649">
        <v>27512548.499125767</v>
      </c>
      <c r="I4" s="863"/>
      <c r="J4" s="883"/>
      <c r="K4" s="262"/>
      <c r="L4" s="884"/>
      <c r="M4" s="13"/>
    </row>
    <row r="5" spans="1:15" ht="18" customHeight="1">
      <c r="A5" s="593"/>
      <c r="B5" s="1108" t="s">
        <v>669</v>
      </c>
      <c r="C5" s="467">
        <f t="shared" ref="C5:C32" si="1">ROUND(H5,-3)</f>
        <v>87000</v>
      </c>
      <c r="D5" s="467">
        <f t="shared" si="0"/>
        <v>0</v>
      </c>
      <c r="E5" s="887"/>
      <c r="F5" s="262"/>
      <c r="G5" s="884"/>
      <c r="H5" s="649">
        <v>87132.935966683042</v>
      </c>
      <c r="I5" s="864"/>
      <c r="J5" s="887"/>
      <c r="K5" s="262"/>
      <c r="L5" s="884"/>
      <c r="M5" s="13"/>
      <c r="N5" s="981"/>
      <c r="O5" s="981"/>
    </row>
    <row r="6" spans="1:15" ht="18" customHeight="1">
      <c r="A6" s="593"/>
      <c r="B6" s="6" t="s">
        <v>668</v>
      </c>
      <c r="C6" s="467">
        <f t="shared" si="1"/>
        <v>4044000</v>
      </c>
      <c r="D6" s="467">
        <f t="shared" si="0"/>
        <v>0</v>
      </c>
      <c r="E6" s="984"/>
      <c r="F6" s="262"/>
      <c r="G6" s="884"/>
      <c r="H6" s="649">
        <v>4044441.2958647367</v>
      </c>
      <c r="I6" s="983"/>
      <c r="J6" s="984"/>
      <c r="K6" s="262"/>
      <c r="L6" s="884"/>
      <c r="M6" s="13"/>
      <c r="N6" s="981"/>
      <c r="O6" s="981"/>
    </row>
    <row r="7" spans="1:15" ht="18" customHeight="1">
      <c r="A7" s="176"/>
      <c r="B7" s="177" t="s">
        <v>597</v>
      </c>
      <c r="C7" s="467">
        <f t="shared" si="1"/>
        <v>4449000</v>
      </c>
      <c r="D7" s="467">
        <f t="shared" si="0"/>
        <v>0</v>
      </c>
      <c r="E7" s="893"/>
      <c r="F7" s="262"/>
      <c r="G7" s="884"/>
      <c r="H7" s="649">
        <v>4449309</v>
      </c>
      <c r="I7" s="865"/>
      <c r="J7" s="893"/>
      <c r="K7" s="262"/>
      <c r="L7" s="884"/>
      <c r="M7" s="13"/>
    </row>
    <row r="8" spans="1:15" ht="18" customHeight="1">
      <c r="A8" s="174" t="s">
        <v>78</v>
      </c>
      <c r="B8" s="7" t="s">
        <v>394</v>
      </c>
      <c r="C8" s="467">
        <f t="shared" si="1"/>
        <v>0</v>
      </c>
      <c r="D8" s="467">
        <f t="shared" si="0"/>
        <v>24011000</v>
      </c>
      <c r="E8" s="180">
        <f>D8/$C$33</f>
        <v>0.66525365029230044</v>
      </c>
      <c r="F8" s="262"/>
      <c r="G8" s="884"/>
      <c r="H8" s="468"/>
      <c r="I8" s="862">
        <v>24011000</v>
      </c>
      <c r="J8" s="180">
        <f>I8/$C$33</f>
        <v>0.66525365029230044</v>
      </c>
      <c r="K8" s="262"/>
      <c r="L8" s="884"/>
      <c r="M8" s="13"/>
    </row>
    <row r="9" spans="1:15" ht="18" customHeight="1">
      <c r="A9" s="174" t="s">
        <v>106</v>
      </c>
      <c r="B9" s="7" t="s">
        <v>552</v>
      </c>
      <c r="C9" s="467">
        <f t="shared" si="1"/>
        <v>0</v>
      </c>
      <c r="D9" s="467">
        <f t="shared" si="0"/>
        <v>0</v>
      </c>
      <c r="E9" s="180">
        <f>D9/$C$358</f>
        <v>0</v>
      </c>
      <c r="F9" s="262"/>
      <c r="G9" s="884"/>
      <c r="H9" s="468"/>
      <c r="I9" s="862"/>
      <c r="J9" s="180">
        <f>I9/$C$358</f>
        <v>0</v>
      </c>
      <c r="K9" s="262"/>
      <c r="L9" s="884"/>
      <c r="M9" s="13"/>
    </row>
    <row r="10" spans="1:15" ht="18" customHeight="1">
      <c r="A10" s="174" t="s">
        <v>78</v>
      </c>
      <c r="B10" s="7" t="s">
        <v>392</v>
      </c>
      <c r="C10" s="467">
        <f t="shared" si="1"/>
        <v>0</v>
      </c>
      <c r="D10" s="467">
        <f t="shared" si="0"/>
        <v>2373000</v>
      </c>
      <c r="E10" s="180">
        <f>D10/$C$33</f>
        <v>6.5746820713157669E-2</v>
      </c>
      <c r="F10" s="262"/>
      <c r="G10" s="884"/>
      <c r="H10" s="468"/>
      <c r="I10" s="862">
        <v>2373212</v>
      </c>
      <c r="J10" s="180">
        <f>I10/$C$33</f>
        <v>6.5752694428282493E-2</v>
      </c>
      <c r="K10" s="262"/>
      <c r="L10" s="884"/>
      <c r="M10" s="13"/>
    </row>
    <row r="11" spans="1:15" ht="18" customHeight="1">
      <c r="A11" s="174" t="s">
        <v>78</v>
      </c>
      <c r="B11" s="7" t="s">
        <v>393</v>
      </c>
      <c r="C11" s="467">
        <f t="shared" si="1"/>
        <v>0</v>
      </c>
      <c r="D11" s="467">
        <f t="shared" si="0"/>
        <v>370000</v>
      </c>
      <c r="E11" s="180">
        <f>D11/$C$33</f>
        <v>1.0251295265009836E-2</v>
      </c>
      <c r="F11" s="262"/>
      <c r="G11" s="884"/>
      <c r="H11" s="468"/>
      <c r="I11" s="862">
        <v>370090</v>
      </c>
      <c r="J11" s="180">
        <f>I11/$C$33</f>
        <v>1.0253788823317541E-2</v>
      </c>
      <c r="K11" s="262"/>
      <c r="L11" s="884"/>
      <c r="M11" s="13"/>
    </row>
    <row r="12" spans="1:15" ht="18" customHeight="1">
      <c r="A12" s="174" t="s">
        <v>78</v>
      </c>
      <c r="B12" s="7" t="s">
        <v>344</v>
      </c>
      <c r="C12" s="467">
        <f t="shared" si="1"/>
        <v>0</v>
      </c>
      <c r="D12" s="467">
        <f t="shared" si="0"/>
        <v>0</v>
      </c>
      <c r="E12" s="180"/>
      <c r="F12" s="262"/>
      <c r="G12" s="884"/>
      <c r="H12" s="468"/>
      <c r="I12" s="862">
        <v>0</v>
      </c>
      <c r="J12" s="180"/>
      <c r="K12" s="262"/>
      <c r="L12" s="884"/>
      <c r="M12" s="13"/>
    </row>
    <row r="13" spans="1:15" ht="18" customHeight="1">
      <c r="A13" s="174" t="s">
        <v>78</v>
      </c>
      <c r="B13" s="593" t="s">
        <v>81</v>
      </c>
      <c r="C13" s="467">
        <f t="shared" si="1"/>
        <v>0</v>
      </c>
      <c r="D13" s="467">
        <f t="shared" si="0"/>
        <v>399000</v>
      </c>
      <c r="E13" s="180">
        <f>D13/$C$33</f>
        <v>1.1054775164159255E-2</v>
      </c>
      <c r="F13" s="262"/>
      <c r="G13" s="884"/>
      <c r="H13" s="468"/>
      <c r="I13" s="862">
        <v>398759</v>
      </c>
      <c r="J13" s="180">
        <f>I13/$C$33</f>
        <v>1.1048097969135289E-2</v>
      </c>
      <c r="K13" s="262"/>
      <c r="L13" s="884"/>
      <c r="M13" s="13"/>
    </row>
    <row r="14" spans="1:15" ht="18" customHeight="1">
      <c r="A14" s="174" t="s">
        <v>78</v>
      </c>
      <c r="B14" s="593" t="s">
        <v>121</v>
      </c>
      <c r="C14" s="467">
        <f t="shared" si="1"/>
        <v>0</v>
      </c>
      <c r="D14" s="467">
        <f t="shared" si="0"/>
        <v>64000</v>
      </c>
      <c r="E14" s="180">
        <f>D14/$C$33</f>
        <v>1.7731970188125121E-3</v>
      </c>
      <c r="F14" s="262"/>
      <c r="G14" s="884"/>
      <c r="H14" s="468"/>
      <c r="I14" s="862">
        <v>63500</v>
      </c>
      <c r="J14" s="180">
        <f>I14/$C$33</f>
        <v>1.7593439171030394E-3</v>
      </c>
      <c r="K14" s="262"/>
      <c r="L14" s="884"/>
      <c r="M14" s="13"/>
    </row>
    <row r="15" spans="1:15" ht="18" customHeight="1">
      <c r="A15" s="174" t="s">
        <v>78</v>
      </c>
      <c r="B15" s="593" t="s">
        <v>82</v>
      </c>
      <c r="C15" s="467">
        <f t="shared" si="1"/>
        <v>0</v>
      </c>
      <c r="D15" s="467">
        <f t="shared" si="0"/>
        <v>194000</v>
      </c>
      <c r="E15" s="180">
        <f>D15/$C$33</f>
        <v>5.3750034632754273E-3</v>
      </c>
      <c r="F15" s="262"/>
      <c r="G15" s="884"/>
      <c r="H15" s="468"/>
      <c r="I15" s="862">
        <v>194320</v>
      </c>
      <c r="J15" s="180">
        <f>I15/$C$33</f>
        <v>5.3838694483694903E-3</v>
      </c>
      <c r="K15" s="262"/>
      <c r="L15" s="884"/>
      <c r="M15" s="13"/>
    </row>
    <row r="16" spans="1:15" ht="18" customHeight="1">
      <c r="A16" s="174" t="s">
        <v>78</v>
      </c>
      <c r="B16" s="593" t="s">
        <v>122</v>
      </c>
      <c r="C16" s="467">
        <f t="shared" si="1"/>
        <v>0</v>
      </c>
      <c r="D16" s="467">
        <f t="shared" si="0"/>
        <v>0</v>
      </c>
      <c r="E16" s="180">
        <f>D16/$C$33</f>
        <v>0</v>
      </c>
      <c r="F16" s="262"/>
      <c r="G16" s="884"/>
      <c r="H16" s="468"/>
      <c r="I16" s="862">
        <v>0</v>
      </c>
      <c r="J16" s="180">
        <f>I16/$C$33</f>
        <v>0</v>
      </c>
      <c r="K16" s="262"/>
      <c r="L16" s="884"/>
      <c r="M16" s="13"/>
    </row>
    <row r="17" spans="1:13" ht="18" customHeight="1">
      <c r="A17" s="174" t="s">
        <v>78</v>
      </c>
      <c r="B17" s="593" t="s">
        <v>83</v>
      </c>
      <c r="C17" s="467">
        <f t="shared" si="1"/>
        <v>0</v>
      </c>
      <c r="D17" s="467">
        <f t="shared" si="0"/>
        <v>0</v>
      </c>
      <c r="E17" s="180">
        <f t="shared" ref="E17:E25" si="2">D17/$C$33</f>
        <v>0</v>
      </c>
      <c r="F17" s="262"/>
      <c r="G17" s="884"/>
      <c r="H17" s="468"/>
      <c r="I17" s="862">
        <v>0</v>
      </c>
      <c r="J17" s="180">
        <f t="shared" ref="J17:J25" si="3">I17/$C$33</f>
        <v>0</v>
      </c>
      <c r="K17" s="262"/>
      <c r="L17" s="884"/>
      <c r="M17" s="13"/>
    </row>
    <row r="18" spans="1:13" ht="18" customHeight="1">
      <c r="A18" s="174" t="s">
        <v>78</v>
      </c>
      <c r="B18" s="593" t="s">
        <v>94</v>
      </c>
      <c r="C18" s="467">
        <f t="shared" si="1"/>
        <v>0</v>
      </c>
      <c r="D18" s="467">
        <f t="shared" si="0"/>
        <v>0</v>
      </c>
      <c r="E18" s="180">
        <f t="shared" si="2"/>
        <v>0</v>
      </c>
      <c r="F18" s="262"/>
      <c r="G18" s="884"/>
      <c r="H18" s="468"/>
      <c r="I18" s="862">
        <v>0</v>
      </c>
      <c r="J18" s="180">
        <f t="shared" si="3"/>
        <v>0</v>
      </c>
      <c r="K18" s="262"/>
      <c r="L18" s="884"/>
      <c r="M18" s="13"/>
    </row>
    <row r="19" spans="1:13" ht="18" customHeight="1">
      <c r="A19" s="174" t="s">
        <v>78</v>
      </c>
      <c r="B19" s="593" t="s">
        <v>84</v>
      </c>
      <c r="C19" s="467">
        <f t="shared" si="1"/>
        <v>0</v>
      </c>
      <c r="D19" s="467">
        <f t="shared" si="0"/>
        <v>11000</v>
      </c>
      <c r="E19" s="180">
        <f t="shared" si="2"/>
        <v>3.0476823760840053E-4</v>
      </c>
      <c r="F19" s="262"/>
      <c r="G19" s="884"/>
      <c r="H19" s="468"/>
      <c r="I19" s="862">
        <v>11200</v>
      </c>
      <c r="J19" s="180">
        <f t="shared" si="3"/>
        <v>3.1030947829218964E-4</v>
      </c>
      <c r="K19" s="262"/>
      <c r="L19" s="884"/>
      <c r="M19" s="13"/>
    </row>
    <row r="20" spans="1:13" ht="18" customHeight="1">
      <c r="A20" s="174" t="s">
        <v>78</v>
      </c>
      <c r="B20" s="593" t="s">
        <v>123</v>
      </c>
      <c r="C20" s="467">
        <f t="shared" si="1"/>
        <v>0</v>
      </c>
      <c r="D20" s="467">
        <f t="shared" si="0"/>
        <v>0</v>
      </c>
      <c r="E20" s="180">
        <f t="shared" si="2"/>
        <v>0</v>
      </c>
      <c r="F20" s="262"/>
      <c r="G20" s="884"/>
      <c r="H20" s="468"/>
      <c r="I20" s="862">
        <v>0</v>
      </c>
      <c r="J20" s="180">
        <f t="shared" si="3"/>
        <v>0</v>
      </c>
      <c r="K20" s="262"/>
      <c r="L20" s="884"/>
      <c r="M20" s="13"/>
    </row>
    <row r="21" spans="1:13" ht="18" customHeight="1">
      <c r="A21" s="174" t="s">
        <v>78</v>
      </c>
      <c r="B21" s="593" t="s">
        <v>115</v>
      </c>
      <c r="C21" s="467">
        <f t="shared" si="1"/>
        <v>0</v>
      </c>
      <c r="D21" s="467">
        <f t="shared" si="0"/>
        <v>409000</v>
      </c>
      <c r="E21" s="180">
        <f t="shared" si="2"/>
        <v>1.133183719834871E-2</v>
      </c>
      <c r="F21" s="262"/>
      <c r="G21" s="884"/>
      <c r="H21" s="468"/>
      <c r="I21" s="862">
        <v>408972</v>
      </c>
      <c r="J21" s="180">
        <f t="shared" si="3"/>
        <v>1.1331061424652979E-2</v>
      </c>
      <c r="K21" s="262"/>
      <c r="L21" s="884"/>
      <c r="M21" s="13"/>
    </row>
    <row r="22" spans="1:13" ht="18" customHeight="1">
      <c r="A22" s="174" t="s">
        <v>78</v>
      </c>
      <c r="B22" s="593" t="s">
        <v>85</v>
      </c>
      <c r="C22" s="467">
        <f t="shared" si="1"/>
        <v>0</v>
      </c>
      <c r="D22" s="467">
        <f t="shared" si="0"/>
        <v>102000</v>
      </c>
      <c r="E22" s="180">
        <f t="shared" si="2"/>
        <v>2.8260327487324411E-3</v>
      </c>
      <c r="F22" s="262"/>
      <c r="G22" s="884"/>
      <c r="H22" s="468"/>
      <c r="I22" s="862">
        <v>101978</v>
      </c>
      <c r="J22" s="180">
        <f t="shared" si="3"/>
        <v>2.8254232122572245E-3</v>
      </c>
      <c r="K22" s="262"/>
      <c r="L22" s="884"/>
      <c r="M22" s="13"/>
    </row>
    <row r="23" spans="1:13" ht="18" customHeight="1">
      <c r="A23" s="174" t="s">
        <v>78</v>
      </c>
      <c r="B23" s="593" t="s">
        <v>86</v>
      </c>
      <c r="C23" s="467">
        <f t="shared" si="1"/>
        <v>0</v>
      </c>
      <c r="D23" s="467">
        <f t="shared" si="0"/>
        <v>1026000</v>
      </c>
      <c r="E23" s="180">
        <f t="shared" si="2"/>
        <v>2.8426564707838085E-2</v>
      </c>
      <c r="F23" s="262"/>
      <c r="G23" s="884"/>
      <c r="H23" s="468"/>
      <c r="I23" s="862">
        <v>1026324</v>
      </c>
      <c r="J23" s="180">
        <f t="shared" si="3"/>
        <v>2.8435541517745824E-2</v>
      </c>
      <c r="K23" s="262"/>
      <c r="L23" s="884"/>
      <c r="M23" s="13"/>
    </row>
    <row r="24" spans="1:13" ht="18" customHeight="1">
      <c r="A24" s="174" t="s">
        <v>78</v>
      </c>
      <c r="B24" s="593" t="s">
        <v>97</v>
      </c>
      <c r="C24" s="467">
        <f t="shared" si="1"/>
        <v>0</v>
      </c>
      <c r="D24" s="467">
        <f t="shared" si="0"/>
        <v>8000</v>
      </c>
      <c r="E24" s="180">
        <f t="shared" si="2"/>
        <v>2.2164962735156401E-4</v>
      </c>
      <c r="F24" s="262"/>
      <c r="G24" s="884"/>
      <c r="H24" s="468"/>
      <c r="I24" s="862">
        <v>8000</v>
      </c>
      <c r="J24" s="180">
        <f t="shared" si="3"/>
        <v>2.2164962735156401E-4</v>
      </c>
      <c r="K24" s="262"/>
      <c r="L24" s="884"/>
      <c r="M24" s="13"/>
    </row>
    <row r="25" spans="1:13" ht="18" customHeight="1">
      <c r="A25" s="174" t="s">
        <v>78</v>
      </c>
      <c r="B25" s="593" t="s">
        <v>87</v>
      </c>
      <c r="C25" s="467">
        <f t="shared" si="1"/>
        <v>0</v>
      </c>
      <c r="D25" s="467">
        <f t="shared" si="0"/>
        <v>7000</v>
      </c>
      <c r="E25" s="180">
        <f t="shared" si="2"/>
        <v>1.9394342393261853E-4</v>
      </c>
      <c r="F25" s="262"/>
      <c r="G25" s="884"/>
      <c r="H25" s="468"/>
      <c r="I25" s="862">
        <v>6540</v>
      </c>
      <c r="J25" s="180">
        <f t="shared" si="3"/>
        <v>1.8119857035990358E-4</v>
      </c>
      <c r="K25" s="262"/>
      <c r="L25" s="884"/>
      <c r="M25" s="13"/>
    </row>
    <row r="26" spans="1:13" ht="18" customHeight="1">
      <c r="A26" s="174" t="s">
        <v>78</v>
      </c>
      <c r="B26" s="593" t="s">
        <v>161</v>
      </c>
      <c r="C26" s="467">
        <f t="shared" si="1"/>
        <v>0</v>
      </c>
      <c r="D26" s="467">
        <f t="shared" si="0"/>
        <v>0</v>
      </c>
      <c r="E26" s="180"/>
      <c r="F26" s="262"/>
      <c r="G26" s="884"/>
      <c r="H26" s="468"/>
      <c r="I26" s="862">
        <v>0</v>
      </c>
      <c r="J26" s="180"/>
      <c r="K26" s="262"/>
      <c r="L26" s="884"/>
      <c r="M26" s="13"/>
    </row>
    <row r="27" spans="1:13" ht="18" customHeight="1">
      <c r="A27" s="174" t="s">
        <v>78</v>
      </c>
      <c r="B27" s="593" t="s">
        <v>88</v>
      </c>
      <c r="C27" s="467">
        <f t="shared" si="1"/>
        <v>0</v>
      </c>
      <c r="D27" s="467">
        <f t="shared" si="0"/>
        <v>216000</v>
      </c>
      <c r="E27" s="180">
        <f>D27/$C$33</f>
        <v>5.984539938492228E-3</v>
      </c>
      <c r="F27" s="262"/>
      <c r="G27" s="884"/>
      <c r="H27" s="468"/>
      <c r="I27" s="862">
        <v>216354</v>
      </c>
      <c r="J27" s="180">
        <f>I27/$C$33</f>
        <v>5.9943479345025349E-3</v>
      </c>
      <c r="K27" s="262"/>
      <c r="L27" s="884"/>
      <c r="M27" s="13"/>
    </row>
    <row r="28" spans="1:13" ht="18" customHeight="1">
      <c r="A28" s="174" t="s">
        <v>78</v>
      </c>
      <c r="B28" s="593" t="s">
        <v>125</v>
      </c>
      <c r="C28" s="467">
        <f t="shared" si="1"/>
        <v>0</v>
      </c>
      <c r="D28" s="467">
        <f t="shared" si="0"/>
        <v>0</v>
      </c>
      <c r="E28" s="180">
        <f>D28/$C$33</f>
        <v>0</v>
      </c>
      <c r="F28" s="262"/>
      <c r="G28" s="884"/>
      <c r="H28" s="468"/>
      <c r="I28" s="862">
        <v>0</v>
      </c>
      <c r="J28" s="180">
        <f>I28/$C$33</f>
        <v>0</v>
      </c>
      <c r="K28" s="262"/>
      <c r="L28" s="884"/>
      <c r="M28" s="13"/>
    </row>
    <row r="29" spans="1:13" ht="18" customHeight="1">
      <c r="A29" s="174" t="s">
        <v>78</v>
      </c>
      <c r="B29" s="593" t="s">
        <v>105</v>
      </c>
      <c r="C29" s="467">
        <f t="shared" si="1"/>
        <v>0</v>
      </c>
      <c r="D29" s="467">
        <f t="shared" si="0"/>
        <v>0</v>
      </c>
      <c r="E29" s="180"/>
      <c r="F29" s="262"/>
      <c r="G29" s="884"/>
      <c r="H29" s="468"/>
      <c r="I29" s="862">
        <v>0</v>
      </c>
      <c r="J29" s="180"/>
      <c r="K29" s="262"/>
      <c r="L29" s="884"/>
      <c r="M29" s="13"/>
    </row>
    <row r="30" spans="1:13" ht="18" customHeight="1">
      <c r="A30" s="174" t="s">
        <v>78</v>
      </c>
      <c r="B30" s="593" t="s">
        <v>89</v>
      </c>
      <c r="C30" s="467">
        <f t="shared" si="1"/>
        <v>0</v>
      </c>
      <c r="D30" s="467">
        <f t="shared" si="0"/>
        <v>0</v>
      </c>
      <c r="E30" s="180">
        <f>D30/$C$33</f>
        <v>0</v>
      </c>
      <c r="F30" s="262"/>
      <c r="G30" s="884"/>
      <c r="H30" s="468"/>
      <c r="I30" s="862">
        <v>0</v>
      </c>
      <c r="J30" s="180">
        <f>I30/$C$33</f>
        <v>0</v>
      </c>
      <c r="K30" s="262"/>
      <c r="L30" s="884"/>
      <c r="M30" s="13"/>
    </row>
    <row r="31" spans="1:13" ht="18" customHeight="1">
      <c r="A31" s="174" t="s">
        <v>78</v>
      </c>
      <c r="B31" s="7" t="s">
        <v>511</v>
      </c>
      <c r="C31" s="467">
        <f t="shared" si="1"/>
        <v>0</v>
      </c>
      <c r="D31" s="467">
        <f t="shared" si="0"/>
        <v>0</v>
      </c>
      <c r="E31" s="180"/>
      <c r="F31" s="262"/>
      <c r="G31" s="884"/>
      <c r="H31" s="468"/>
      <c r="I31" s="862">
        <v>0</v>
      </c>
      <c r="J31" s="180"/>
      <c r="K31" s="262"/>
      <c r="L31" s="884"/>
      <c r="M31" s="13"/>
    </row>
    <row r="32" spans="1:13" ht="18" customHeight="1">
      <c r="A32" s="174" t="s">
        <v>78</v>
      </c>
      <c r="B32" s="7" t="s">
        <v>90</v>
      </c>
      <c r="C32" s="467">
        <f t="shared" si="1"/>
        <v>0</v>
      </c>
      <c r="D32" s="467">
        <f t="shared" si="0"/>
        <v>2000</v>
      </c>
      <c r="E32" s="180">
        <f>D32/$C$33</f>
        <v>5.5412406837891003E-5</v>
      </c>
      <c r="F32" s="994"/>
      <c r="G32" s="884"/>
      <c r="H32" s="468"/>
      <c r="I32" s="862">
        <v>2282</v>
      </c>
      <c r="J32" s="180">
        <f>I32/$C$33</f>
        <v>6.3225556202033641E-5</v>
      </c>
      <c r="K32" s="994"/>
      <c r="L32" s="884"/>
      <c r="M32" s="13"/>
    </row>
    <row r="33" spans="1:15" ht="18" customHeight="1">
      <c r="A33" s="908" t="s">
        <v>91</v>
      </c>
      <c r="B33" s="909"/>
      <c r="C33" s="910">
        <f>SUM(C4:C32)</f>
        <v>36093000</v>
      </c>
      <c r="D33" s="911">
        <f>SUM(D4:D32)</f>
        <v>29192000</v>
      </c>
      <c r="E33" s="912">
        <f>D33/$C$33</f>
        <v>0.80879949020585706</v>
      </c>
      <c r="F33" s="913">
        <f>C33-D33</f>
        <v>6901000</v>
      </c>
      <c r="G33" s="914">
        <f>F33/C33</f>
        <v>0.19120050979414291</v>
      </c>
      <c r="H33" s="910">
        <f>SUM(H4:H32)</f>
        <v>36093431.730957188</v>
      </c>
      <c r="I33" s="911">
        <f>SUM(I4:I32)</f>
        <v>29192531</v>
      </c>
      <c r="J33" s="912">
        <f>I33/$C$33</f>
        <v>0.80881420219987255</v>
      </c>
      <c r="K33" s="913">
        <f>H33-I33</f>
        <v>6900900.7309571877</v>
      </c>
      <c r="L33" s="914">
        <f>K33/H33</f>
        <v>0.19119547241716872</v>
      </c>
      <c r="M33" s="13"/>
    </row>
    <row r="34" spans="1:15" ht="18" customHeight="1">
      <c r="A34" s="176" t="s">
        <v>617</v>
      </c>
      <c r="B34" s="7" t="s">
        <v>92</v>
      </c>
      <c r="C34" s="467">
        <f t="shared" ref="C34:C61" si="4">ROUND(H34,-3)</f>
        <v>40252000</v>
      </c>
      <c r="D34" s="467">
        <f t="shared" ref="D34:D61" si="5">ROUND(I34,-3)</f>
        <v>0</v>
      </c>
      <c r="E34" s="180"/>
      <c r="F34" s="262"/>
      <c r="G34" s="884"/>
      <c r="H34" s="468">
        <v>40252496.28304822</v>
      </c>
      <c r="I34" s="862"/>
      <c r="J34" s="180"/>
      <c r="K34" s="262"/>
      <c r="L34" s="884"/>
      <c r="M34" s="13"/>
    </row>
    <row r="35" spans="1:15" ht="18" customHeight="1">
      <c r="A35" s="176"/>
      <c r="B35" s="177" t="s">
        <v>669</v>
      </c>
      <c r="C35" s="467">
        <f t="shared" si="4"/>
        <v>2401000</v>
      </c>
      <c r="D35" s="467">
        <f t="shared" si="5"/>
        <v>0</v>
      </c>
      <c r="E35" s="893"/>
      <c r="F35" s="262"/>
      <c r="G35" s="884"/>
      <c r="H35" s="468">
        <v>2401231.339940235</v>
      </c>
      <c r="I35" s="865"/>
      <c r="J35" s="893"/>
      <c r="K35" s="262"/>
      <c r="L35" s="884"/>
      <c r="M35" s="13"/>
      <c r="N35" s="981"/>
      <c r="O35" s="981"/>
    </row>
    <row r="36" spans="1:15" ht="18" customHeight="1">
      <c r="A36" s="176" t="s">
        <v>617</v>
      </c>
      <c r="B36" s="7" t="s">
        <v>668</v>
      </c>
      <c r="C36" s="467">
        <f t="shared" si="4"/>
        <v>10361000</v>
      </c>
      <c r="D36" s="467">
        <f t="shared" si="5"/>
        <v>0</v>
      </c>
      <c r="E36" s="180"/>
      <c r="F36" s="262"/>
      <c r="G36" s="884"/>
      <c r="H36" s="468">
        <v>10361470.105684442</v>
      </c>
      <c r="I36" s="862"/>
      <c r="J36" s="180"/>
      <c r="K36" s="262"/>
      <c r="L36" s="884"/>
      <c r="M36" s="13"/>
    </row>
    <row r="37" spans="1:15" ht="18" customHeight="1">
      <c r="A37" s="176" t="s">
        <v>617</v>
      </c>
      <c r="B37" s="177" t="s">
        <v>597</v>
      </c>
      <c r="C37" s="467">
        <f t="shared" si="4"/>
        <v>2463000</v>
      </c>
      <c r="D37" s="467">
        <f t="shared" si="5"/>
        <v>0</v>
      </c>
      <c r="E37" s="893"/>
      <c r="F37" s="262"/>
      <c r="G37" s="884"/>
      <c r="H37" s="468">
        <v>2462735</v>
      </c>
      <c r="I37" s="865"/>
      <c r="J37" s="893"/>
      <c r="K37" s="262"/>
      <c r="L37" s="884"/>
      <c r="M37" s="13"/>
    </row>
    <row r="38" spans="1:15" ht="18" customHeight="1">
      <c r="A38" s="176" t="s">
        <v>617</v>
      </c>
      <c r="B38" s="7" t="s">
        <v>394</v>
      </c>
      <c r="C38" s="467">
        <f t="shared" si="4"/>
        <v>0</v>
      </c>
      <c r="D38" s="467">
        <f t="shared" si="5"/>
        <v>23343000</v>
      </c>
      <c r="E38" s="180">
        <f t="shared" ref="E38:E52" si="6">D38/$C$62</f>
        <v>0.42076896731979019</v>
      </c>
      <c r="F38" s="262"/>
      <c r="G38" s="884"/>
      <c r="H38" s="468"/>
      <c r="I38" s="862">
        <v>23343000</v>
      </c>
      <c r="J38" s="180">
        <f t="shared" ref="J38:J52" si="7">I38/$C$62</f>
        <v>0.42076896731979019</v>
      </c>
      <c r="K38" s="262"/>
      <c r="L38" s="884"/>
      <c r="M38" s="13"/>
    </row>
    <row r="39" spans="1:15" ht="18" customHeight="1">
      <c r="A39" s="176" t="s">
        <v>617</v>
      </c>
      <c r="B39" s="7" t="s">
        <v>392</v>
      </c>
      <c r="C39" s="467">
        <f t="shared" si="4"/>
        <v>0</v>
      </c>
      <c r="D39" s="467">
        <f t="shared" si="5"/>
        <v>2214000</v>
      </c>
      <c r="E39" s="180">
        <f t="shared" si="6"/>
        <v>3.9908430520756349E-2</v>
      </c>
      <c r="F39" s="262"/>
      <c r="G39" s="884"/>
      <c r="H39" s="468"/>
      <c r="I39" s="862">
        <v>2214252</v>
      </c>
      <c r="J39" s="180">
        <f t="shared" si="7"/>
        <v>3.991297294374245E-2</v>
      </c>
      <c r="K39" s="262"/>
      <c r="L39" s="884"/>
      <c r="M39" s="13"/>
    </row>
    <row r="40" spans="1:15" ht="18" customHeight="1">
      <c r="A40" s="176" t="s">
        <v>617</v>
      </c>
      <c r="B40" s="7" t="s">
        <v>393</v>
      </c>
      <c r="C40" s="467">
        <f t="shared" si="4"/>
        <v>0</v>
      </c>
      <c r="D40" s="467">
        <f t="shared" si="5"/>
        <v>329000</v>
      </c>
      <c r="E40" s="180">
        <f t="shared" si="6"/>
        <v>5.9303855651891774E-3</v>
      </c>
      <c r="F40" s="262"/>
      <c r="G40" s="884"/>
      <c r="H40" s="468"/>
      <c r="I40" s="862">
        <v>328863</v>
      </c>
      <c r="J40" s="180">
        <f t="shared" si="7"/>
        <v>5.9279160733276852E-3</v>
      </c>
      <c r="K40" s="262"/>
      <c r="L40" s="884"/>
      <c r="M40" s="13"/>
    </row>
    <row r="41" spans="1:15" ht="18" customHeight="1">
      <c r="A41" s="176" t="s">
        <v>617</v>
      </c>
      <c r="B41" s="7" t="s">
        <v>344</v>
      </c>
      <c r="C41" s="467">
        <f t="shared" si="4"/>
        <v>0</v>
      </c>
      <c r="D41" s="467">
        <f t="shared" si="5"/>
        <v>3009000</v>
      </c>
      <c r="E41" s="180">
        <f t="shared" si="6"/>
        <v>5.4238693512626855E-2</v>
      </c>
      <c r="F41" s="262"/>
      <c r="G41" s="884"/>
      <c r="H41" s="468"/>
      <c r="I41" s="862">
        <v>3008810</v>
      </c>
      <c r="J41" s="180">
        <f t="shared" si="7"/>
        <v>5.4235268669899236E-2</v>
      </c>
      <c r="K41" s="262"/>
      <c r="L41" s="884"/>
      <c r="M41" s="13"/>
    </row>
    <row r="42" spans="1:15" ht="18" customHeight="1">
      <c r="A42" s="176" t="s">
        <v>617</v>
      </c>
      <c r="B42" s="176" t="s">
        <v>81</v>
      </c>
      <c r="C42" s="467">
        <f t="shared" si="4"/>
        <v>0</v>
      </c>
      <c r="D42" s="467">
        <f t="shared" si="5"/>
        <v>1827000</v>
      </c>
      <c r="E42" s="180">
        <f t="shared" si="6"/>
        <v>3.2932566649242032E-2</v>
      </c>
      <c r="F42" s="262"/>
      <c r="G42" s="884"/>
      <c r="H42" s="468"/>
      <c r="I42" s="862">
        <v>1826702</v>
      </c>
      <c r="J42" s="180">
        <f t="shared" si="7"/>
        <v>3.2927195053806084E-2</v>
      </c>
      <c r="K42" s="262"/>
      <c r="L42" s="884"/>
      <c r="M42" s="13"/>
    </row>
    <row r="43" spans="1:15" ht="18" customHeight="1">
      <c r="A43" s="176" t="s">
        <v>617</v>
      </c>
      <c r="B43" s="176" t="s">
        <v>121</v>
      </c>
      <c r="C43" s="467">
        <f t="shared" si="4"/>
        <v>0</v>
      </c>
      <c r="D43" s="467">
        <f t="shared" si="5"/>
        <v>329000</v>
      </c>
      <c r="E43" s="180">
        <f t="shared" si="6"/>
        <v>5.9303855651891774E-3</v>
      </c>
      <c r="F43" s="262"/>
      <c r="G43" s="884"/>
      <c r="H43" s="468"/>
      <c r="I43" s="862">
        <v>328560</v>
      </c>
      <c r="J43" s="180">
        <f t="shared" si="7"/>
        <v>5.9224543504515382E-3</v>
      </c>
      <c r="K43" s="262"/>
      <c r="L43" s="884"/>
      <c r="M43" s="13"/>
    </row>
    <row r="44" spans="1:15" ht="18" customHeight="1">
      <c r="A44" s="176" t="s">
        <v>617</v>
      </c>
      <c r="B44" s="176" t="s">
        <v>82</v>
      </c>
      <c r="C44" s="467">
        <f t="shared" si="4"/>
        <v>0</v>
      </c>
      <c r="D44" s="467">
        <f t="shared" si="5"/>
        <v>1084000</v>
      </c>
      <c r="E44" s="180">
        <f t="shared" si="6"/>
        <v>1.9539629035456134E-2</v>
      </c>
      <c r="F44" s="262"/>
      <c r="G44" s="884"/>
      <c r="H44" s="468"/>
      <c r="I44" s="862">
        <v>1083745</v>
      </c>
      <c r="J44" s="180">
        <f t="shared" si="7"/>
        <v>1.9535032536005914E-2</v>
      </c>
      <c r="K44" s="262"/>
      <c r="L44" s="884"/>
      <c r="M44" s="13"/>
    </row>
    <row r="45" spans="1:15" ht="18" customHeight="1">
      <c r="A45" s="176" t="s">
        <v>617</v>
      </c>
      <c r="B45" s="176" t="s">
        <v>122</v>
      </c>
      <c r="C45" s="467">
        <f t="shared" si="4"/>
        <v>0</v>
      </c>
      <c r="D45" s="467">
        <f t="shared" si="5"/>
        <v>787000</v>
      </c>
      <c r="E45" s="180">
        <f t="shared" si="6"/>
        <v>1.4186059087549795E-2</v>
      </c>
      <c r="F45" s="262"/>
      <c r="G45" s="884"/>
      <c r="H45" s="468"/>
      <c r="I45" s="862">
        <v>786996</v>
      </c>
      <c r="J45" s="180">
        <f t="shared" si="7"/>
        <v>1.4185986985597636E-2</v>
      </c>
      <c r="K45" s="262"/>
      <c r="L45" s="884"/>
      <c r="M45" s="13"/>
    </row>
    <row r="46" spans="1:15" ht="18" customHeight="1">
      <c r="A46" s="176" t="s">
        <v>617</v>
      </c>
      <c r="B46" s="176" t="s">
        <v>83</v>
      </c>
      <c r="C46" s="467">
        <f t="shared" si="4"/>
        <v>0</v>
      </c>
      <c r="D46" s="467">
        <f t="shared" si="5"/>
        <v>302000</v>
      </c>
      <c r="E46" s="180">
        <f t="shared" si="6"/>
        <v>5.4436973881067828E-3</v>
      </c>
      <c r="F46" s="262"/>
      <c r="G46" s="884"/>
      <c r="H46" s="468"/>
      <c r="I46" s="862">
        <v>302163</v>
      </c>
      <c r="J46" s="180">
        <f t="shared" si="7"/>
        <v>5.4466355426573175E-3</v>
      </c>
      <c r="K46" s="262"/>
      <c r="L46" s="884"/>
      <c r="M46" s="13"/>
    </row>
    <row r="47" spans="1:15" ht="18" customHeight="1">
      <c r="A47" s="176" t="s">
        <v>617</v>
      </c>
      <c r="B47" s="176" t="s">
        <v>94</v>
      </c>
      <c r="C47" s="467">
        <f t="shared" si="4"/>
        <v>0</v>
      </c>
      <c r="D47" s="467">
        <f t="shared" si="5"/>
        <v>99000</v>
      </c>
      <c r="E47" s="180">
        <f t="shared" si="6"/>
        <v>1.7845233159687799E-3</v>
      </c>
      <c r="F47" s="262"/>
      <c r="G47" s="884"/>
      <c r="H47" s="468"/>
      <c r="I47" s="862">
        <v>99140</v>
      </c>
      <c r="J47" s="180">
        <f t="shared" si="7"/>
        <v>1.7870468842943923E-3</v>
      </c>
      <c r="K47" s="262"/>
      <c r="L47" s="884"/>
      <c r="M47" s="13"/>
    </row>
    <row r="48" spans="1:15" ht="18" customHeight="1">
      <c r="A48" s="176" t="s">
        <v>617</v>
      </c>
      <c r="B48" s="176" t="s">
        <v>84</v>
      </c>
      <c r="C48" s="467">
        <f t="shared" si="4"/>
        <v>0</v>
      </c>
      <c r="D48" s="467">
        <f t="shared" si="5"/>
        <v>71000</v>
      </c>
      <c r="E48" s="180">
        <f t="shared" si="6"/>
        <v>1.2798096508462966E-3</v>
      </c>
      <c r="F48" s="262"/>
      <c r="G48" s="884"/>
      <c r="H48" s="468"/>
      <c r="I48" s="862">
        <v>70600</v>
      </c>
      <c r="J48" s="180">
        <f t="shared" si="7"/>
        <v>1.2725994556302613E-3</v>
      </c>
      <c r="K48" s="262"/>
      <c r="L48" s="884"/>
      <c r="M48" s="13"/>
    </row>
    <row r="49" spans="1:15" ht="18" customHeight="1">
      <c r="A49" s="176" t="s">
        <v>617</v>
      </c>
      <c r="B49" s="176" t="s">
        <v>268</v>
      </c>
      <c r="C49" s="467">
        <f t="shared" si="4"/>
        <v>0</v>
      </c>
      <c r="D49" s="467">
        <f t="shared" si="5"/>
        <v>0</v>
      </c>
      <c r="E49" s="180">
        <f t="shared" si="6"/>
        <v>0</v>
      </c>
      <c r="F49" s="262"/>
      <c r="G49" s="884"/>
      <c r="H49" s="468"/>
      <c r="I49" s="862">
        <v>0</v>
      </c>
      <c r="J49" s="180">
        <f t="shared" si="7"/>
        <v>0</v>
      </c>
      <c r="K49" s="262"/>
      <c r="L49" s="884"/>
      <c r="M49" s="13"/>
    </row>
    <row r="50" spans="1:15" ht="18" customHeight="1">
      <c r="A50" s="176" t="s">
        <v>617</v>
      </c>
      <c r="B50" s="176" t="s">
        <v>115</v>
      </c>
      <c r="C50" s="467">
        <f t="shared" si="4"/>
        <v>0</v>
      </c>
      <c r="D50" s="467">
        <f t="shared" si="5"/>
        <v>365000</v>
      </c>
      <c r="E50" s="180">
        <f t="shared" si="6"/>
        <v>6.5793031346323702E-3</v>
      </c>
      <c r="F50" s="262"/>
      <c r="G50" s="884"/>
      <c r="H50" s="468"/>
      <c r="I50" s="862">
        <v>364508</v>
      </c>
      <c r="J50" s="180">
        <f t="shared" si="7"/>
        <v>6.5704345945166468E-3</v>
      </c>
      <c r="K50" s="262"/>
      <c r="L50" s="884"/>
      <c r="M50" s="13"/>
    </row>
    <row r="51" spans="1:15" ht="18" customHeight="1">
      <c r="A51" s="176" t="s">
        <v>617</v>
      </c>
      <c r="B51" s="176" t="s">
        <v>85</v>
      </c>
      <c r="C51" s="467">
        <f t="shared" si="4"/>
        <v>0</v>
      </c>
      <c r="D51" s="467">
        <f t="shared" si="5"/>
        <v>269000</v>
      </c>
      <c r="E51" s="180">
        <f t="shared" si="6"/>
        <v>4.8488562827838566E-3</v>
      </c>
      <c r="F51" s="262"/>
      <c r="G51" s="884"/>
      <c r="H51" s="468"/>
      <c r="I51" s="862">
        <v>268657</v>
      </c>
      <c r="J51" s="180">
        <f t="shared" si="7"/>
        <v>4.8426735403861061E-3</v>
      </c>
      <c r="K51" s="262"/>
      <c r="L51" s="884"/>
      <c r="M51" s="13"/>
    </row>
    <row r="52" spans="1:15" ht="18" customHeight="1">
      <c r="A52" s="176" t="s">
        <v>617</v>
      </c>
      <c r="B52" s="176" t="s">
        <v>86</v>
      </c>
      <c r="C52" s="467">
        <f t="shared" si="4"/>
        <v>0</v>
      </c>
      <c r="D52" s="467">
        <f t="shared" si="5"/>
        <v>1558000</v>
      </c>
      <c r="E52" s="180">
        <f t="shared" si="6"/>
        <v>2.8083710366458171E-2</v>
      </c>
      <c r="F52" s="262"/>
      <c r="G52" s="884"/>
      <c r="H52" s="468"/>
      <c r="I52" s="862">
        <v>1558028</v>
      </c>
      <c r="J52" s="180">
        <f t="shared" si="7"/>
        <v>2.8084215080123296E-2</v>
      </c>
      <c r="K52" s="262"/>
      <c r="L52" s="884"/>
      <c r="M52" s="13"/>
    </row>
    <row r="53" spans="1:15" ht="18" customHeight="1">
      <c r="A53" s="176" t="s">
        <v>617</v>
      </c>
      <c r="B53" s="176" t="s">
        <v>97</v>
      </c>
      <c r="C53" s="467">
        <f t="shared" si="4"/>
        <v>0</v>
      </c>
      <c r="D53" s="467">
        <f t="shared" si="5"/>
        <v>0</v>
      </c>
      <c r="E53" s="180"/>
      <c r="F53" s="262"/>
      <c r="G53" s="884"/>
      <c r="H53" s="468"/>
      <c r="I53" s="862">
        <v>0</v>
      </c>
      <c r="J53" s="180"/>
      <c r="K53" s="262"/>
      <c r="L53" s="884"/>
      <c r="M53" s="13"/>
    </row>
    <row r="54" spans="1:15" ht="18" customHeight="1">
      <c r="A54" s="176" t="s">
        <v>617</v>
      </c>
      <c r="B54" s="176" t="s">
        <v>87</v>
      </c>
      <c r="C54" s="467">
        <f t="shared" si="4"/>
        <v>0</v>
      </c>
      <c r="D54" s="467">
        <f t="shared" si="5"/>
        <v>7000</v>
      </c>
      <c r="E54" s="180">
        <f>D54/$C$62</f>
        <v>1.261784162806208E-4</v>
      </c>
      <c r="F54" s="262"/>
      <c r="G54" s="884"/>
      <c r="H54" s="468"/>
      <c r="I54" s="862">
        <v>6540</v>
      </c>
      <c r="J54" s="180">
        <f>I54/$C$62</f>
        <v>1.1788669178218E-4</v>
      </c>
      <c r="K54" s="262"/>
      <c r="L54" s="884"/>
      <c r="M54" s="13"/>
    </row>
    <row r="55" spans="1:15" ht="18" customHeight="1">
      <c r="A55" s="176" t="s">
        <v>617</v>
      </c>
      <c r="B55" s="176" t="s">
        <v>161</v>
      </c>
      <c r="C55" s="467">
        <f t="shared" si="4"/>
        <v>0</v>
      </c>
      <c r="D55" s="467">
        <f t="shared" si="5"/>
        <v>0</v>
      </c>
      <c r="E55" s="180"/>
      <c r="F55" s="262"/>
      <c r="G55" s="884"/>
      <c r="H55" s="468"/>
      <c r="I55" s="862">
        <v>0</v>
      </c>
      <c r="J55" s="180"/>
      <c r="K55" s="262"/>
      <c r="L55" s="884"/>
      <c r="M55" s="13"/>
    </row>
    <row r="56" spans="1:15" ht="18" customHeight="1">
      <c r="A56" s="176" t="s">
        <v>617</v>
      </c>
      <c r="B56" s="176" t="s">
        <v>88</v>
      </c>
      <c r="C56" s="467">
        <f t="shared" si="4"/>
        <v>0</v>
      </c>
      <c r="D56" s="467">
        <f t="shared" si="5"/>
        <v>927000</v>
      </c>
      <c r="E56" s="180">
        <f>D56/$C$62</f>
        <v>1.6709627413162211E-2</v>
      </c>
      <c r="F56" s="262"/>
      <c r="G56" s="884"/>
      <c r="H56" s="468"/>
      <c r="I56" s="862">
        <v>926951</v>
      </c>
      <c r="J56" s="180">
        <f>I56/$C$62</f>
        <v>1.6708744164248248E-2</v>
      </c>
      <c r="K56" s="262"/>
      <c r="L56" s="884"/>
      <c r="M56" s="13"/>
    </row>
    <row r="57" spans="1:15" ht="18" customHeight="1">
      <c r="A57" s="176" t="s">
        <v>617</v>
      </c>
      <c r="B57" s="176" t="s">
        <v>125</v>
      </c>
      <c r="C57" s="467">
        <f t="shared" si="4"/>
        <v>0</v>
      </c>
      <c r="D57" s="467">
        <f t="shared" si="5"/>
        <v>5000</v>
      </c>
      <c r="E57" s="180"/>
      <c r="F57" s="262"/>
      <c r="G57" s="884"/>
      <c r="H57" s="468"/>
      <c r="I57" s="862">
        <v>5000</v>
      </c>
      <c r="J57" s="180"/>
      <c r="K57" s="262"/>
      <c r="L57" s="884"/>
      <c r="M57" s="13"/>
    </row>
    <row r="58" spans="1:15" ht="18" customHeight="1">
      <c r="A58" s="176" t="s">
        <v>617</v>
      </c>
      <c r="B58" s="176" t="s">
        <v>105</v>
      </c>
      <c r="C58" s="467">
        <f t="shared" si="4"/>
        <v>0</v>
      </c>
      <c r="D58" s="467">
        <f t="shared" si="5"/>
        <v>659000</v>
      </c>
      <c r="E58" s="180">
        <f>D58/$C$62</f>
        <v>1.1878796618418444E-2</v>
      </c>
      <c r="F58" s="262"/>
      <c r="G58" s="884"/>
      <c r="H58" s="468"/>
      <c r="I58" s="862">
        <v>659057</v>
      </c>
      <c r="J58" s="180">
        <f>I58/$C$62</f>
        <v>1.1879824071236729E-2</v>
      </c>
      <c r="K58" s="262"/>
      <c r="L58" s="884"/>
      <c r="M58" s="13"/>
    </row>
    <row r="59" spans="1:15" ht="18" customHeight="1">
      <c r="A59" s="176" t="s">
        <v>617</v>
      </c>
      <c r="B59" s="176" t="s">
        <v>89</v>
      </c>
      <c r="C59" s="467">
        <f t="shared" si="4"/>
        <v>0</v>
      </c>
      <c r="D59" s="467">
        <f t="shared" si="5"/>
        <v>0</v>
      </c>
      <c r="E59" s="180">
        <f>D59/$C$62</f>
        <v>0</v>
      </c>
      <c r="F59" s="262"/>
      <c r="G59" s="884"/>
      <c r="H59" s="468"/>
      <c r="I59" s="862"/>
      <c r="J59" s="180">
        <f>I59/$C$62</f>
        <v>0</v>
      </c>
      <c r="K59" s="262"/>
      <c r="L59" s="884"/>
      <c r="M59" s="13"/>
    </row>
    <row r="60" spans="1:15" ht="18" customHeight="1">
      <c r="A60" s="176" t="s">
        <v>617</v>
      </c>
      <c r="B60" s="176" t="s">
        <v>511</v>
      </c>
      <c r="C60" s="467">
        <f t="shared" si="4"/>
        <v>0</v>
      </c>
      <c r="D60" s="467">
        <f t="shared" si="5"/>
        <v>0</v>
      </c>
      <c r="E60" s="180"/>
      <c r="F60" s="262"/>
      <c r="G60" s="884"/>
      <c r="H60" s="468"/>
      <c r="I60" s="862">
        <v>0</v>
      </c>
      <c r="J60" s="180"/>
      <c r="K60" s="262"/>
      <c r="L60" s="884"/>
      <c r="M60" s="13"/>
    </row>
    <row r="61" spans="1:15" ht="18" customHeight="1">
      <c r="A61" s="176" t="s">
        <v>617</v>
      </c>
      <c r="B61" s="176" t="s">
        <v>90</v>
      </c>
      <c r="C61" s="467">
        <f t="shared" si="4"/>
        <v>0</v>
      </c>
      <c r="D61" s="467">
        <f t="shared" si="5"/>
        <v>41000</v>
      </c>
      <c r="E61" s="180">
        <f>D61/$C$62</f>
        <v>7.3904500964363606E-4</v>
      </c>
      <c r="F61" s="994"/>
      <c r="G61" s="884"/>
      <c r="H61" s="468"/>
      <c r="I61" s="862">
        <v>41316</v>
      </c>
      <c r="J61" s="180">
        <f>I61/$C$62</f>
        <v>7.4474106386430408E-4</v>
      </c>
      <c r="K61" s="994"/>
      <c r="L61" s="884"/>
      <c r="M61" s="13"/>
    </row>
    <row r="62" spans="1:15" ht="18" customHeight="1">
      <c r="A62" s="908" t="s">
        <v>91</v>
      </c>
      <c r="B62" s="909"/>
      <c r="C62" s="910">
        <f>SUM(C34:C61)</f>
        <v>55477000</v>
      </c>
      <c r="D62" s="911">
        <f>SUM(D34:D61)</f>
        <v>37225000</v>
      </c>
      <c r="E62" s="912">
        <f>D62/$C$62</f>
        <v>0.6709987922923013</v>
      </c>
      <c r="F62" s="913">
        <f>C62-D62</f>
        <v>18252000</v>
      </c>
      <c r="G62" s="914">
        <f>F62/C62</f>
        <v>0.3290012077076987</v>
      </c>
      <c r="H62" s="910">
        <f>SUM(H34:H61)</f>
        <v>55477932.728672899</v>
      </c>
      <c r="I62" s="911">
        <f>SUM(I34:I61)</f>
        <v>37222888</v>
      </c>
      <c r="J62" s="912">
        <f>I62/$C$62</f>
        <v>0.67096072246156069</v>
      </c>
      <c r="K62" s="913">
        <f>H62-I62</f>
        <v>18255044.728672899</v>
      </c>
      <c r="L62" s="914">
        <f>K62/H62</f>
        <v>0.32905055813729095</v>
      </c>
      <c r="M62" s="13"/>
    </row>
    <row r="63" spans="1:15" ht="18" customHeight="1">
      <c r="A63" s="176" t="s">
        <v>559</v>
      </c>
      <c r="B63" s="7" t="s">
        <v>92</v>
      </c>
      <c r="C63" s="467">
        <f t="shared" ref="C63:C89" si="8">ROUND(H63,-3)</f>
        <v>15697000</v>
      </c>
      <c r="D63" s="467">
        <f t="shared" ref="D63:D89" si="9">ROUND(I63,-3)</f>
        <v>0</v>
      </c>
      <c r="E63" s="180"/>
      <c r="F63" s="262"/>
      <c r="G63" s="884"/>
      <c r="H63" s="468">
        <v>15697054.63654284</v>
      </c>
      <c r="I63" s="862"/>
      <c r="J63" s="180"/>
      <c r="K63" s="262"/>
      <c r="L63" s="884"/>
      <c r="M63" s="13"/>
    </row>
    <row r="64" spans="1:15" ht="18" customHeight="1">
      <c r="A64" s="176"/>
      <c r="B64" s="177" t="s">
        <v>668</v>
      </c>
      <c r="C64" s="467">
        <f t="shared" si="8"/>
        <v>3814000</v>
      </c>
      <c r="D64" s="467">
        <f t="shared" si="9"/>
        <v>0</v>
      </c>
      <c r="E64" s="893"/>
      <c r="F64" s="262"/>
      <c r="G64" s="884"/>
      <c r="H64" s="468">
        <v>3813698.32163462</v>
      </c>
      <c r="I64" s="865"/>
      <c r="J64" s="893"/>
      <c r="K64" s="262"/>
      <c r="L64" s="884"/>
      <c r="M64" s="13"/>
      <c r="N64" s="981"/>
      <c r="O64" s="981"/>
    </row>
    <row r="65" spans="1:13" ht="18" customHeight="1">
      <c r="A65" s="176"/>
      <c r="B65" s="177" t="s">
        <v>597</v>
      </c>
      <c r="C65" s="467">
        <f t="shared" si="8"/>
        <v>748000</v>
      </c>
      <c r="D65" s="467">
        <f t="shared" si="9"/>
        <v>0</v>
      </c>
      <c r="E65" s="893"/>
      <c r="F65" s="262"/>
      <c r="G65" s="884"/>
      <c r="H65" s="468">
        <v>747758</v>
      </c>
      <c r="I65" s="865"/>
      <c r="J65" s="893"/>
      <c r="K65" s="262"/>
      <c r="L65" s="884"/>
      <c r="M65" s="13"/>
    </row>
    <row r="66" spans="1:13" ht="18" customHeight="1">
      <c r="A66" s="176" t="s">
        <v>559</v>
      </c>
      <c r="B66" s="7" t="s">
        <v>394</v>
      </c>
      <c r="C66" s="467">
        <f t="shared" si="8"/>
        <v>0</v>
      </c>
      <c r="D66" s="467">
        <f t="shared" si="9"/>
        <v>11583000</v>
      </c>
      <c r="E66" s="180">
        <f t="shared" ref="E66:E74" si="10">D66/$C$90</f>
        <v>0.57174589071523763</v>
      </c>
      <c r="F66" s="262"/>
      <c r="G66" s="884"/>
      <c r="H66" s="468"/>
      <c r="I66" s="862">
        <v>11583000</v>
      </c>
      <c r="J66" s="180">
        <f t="shared" ref="J66:J74" si="11">I66/$C$90</f>
        <v>0.57174589071523763</v>
      </c>
      <c r="K66" s="262"/>
      <c r="L66" s="884"/>
      <c r="M66" s="13"/>
    </row>
    <row r="67" spans="1:13" ht="18" customHeight="1">
      <c r="A67" s="176" t="s">
        <v>559</v>
      </c>
      <c r="B67" s="7" t="s">
        <v>392</v>
      </c>
      <c r="C67" s="467">
        <f t="shared" si="8"/>
        <v>0</v>
      </c>
      <c r="D67" s="467">
        <f t="shared" si="9"/>
        <v>1069000</v>
      </c>
      <c r="E67" s="180">
        <f t="shared" si="10"/>
        <v>5.276667160274446E-2</v>
      </c>
      <c r="F67" s="262"/>
      <c r="G67" s="884"/>
      <c r="H67" s="468"/>
      <c r="I67" s="862">
        <v>1069281</v>
      </c>
      <c r="J67" s="180">
        <f t="shared" si="11"/>
        <v>5.2780541981341626E-2</v>
      </c>
      <c r="K67" s="262"/>
      <c r="L67" s="884"/>
      <c r="M67" s="13"/>
    </row>
    <row r="68" spans="1:13" ht="18" customHeight="1">
      <c r="A68" s="176" t="s">
        <v>559</v>
      </c>
      <c r="B68" s="7" t="s">
        <v>119</v>
      </c>
      <c r="C68" s="467">
        <f t="shared" si="8"/>
        <v>0</v>
      </c>
      <c r="D68" s="467">
        <f t="shared" si="9"/>
        <v>154000</v>
      </c>
      <c r="E68" s="180">
        <f t="shared" si="10"/>
        <v>7.601559800582457E-3</v>
      </c>
      <c r="F68" s="262"/>
      <c r="G68" s="884"/>
      <c r="H68" s="468"/>
      <c r="I68" s="862">
        <v>153697</v>
      </c>
      <c r="J68" s="180">
        <f t="shared" si="11"/>
        <v>7.586603484870922E-3</v>
      </c>
      <c r="K68" s="262"/>
      <c r="L68" s="884"/>
      <c r="M68" s="13"/>
    </row>
    <row r="69" spans="1:13" ht="18" customHeight="1">
      <c r="A69" s="176" t="s">
        <v>559</v>
      </c>
      <c r="B69" s="7" t="s">
        <v>344</v>
      </c>
      <c r="C69" s="467">
        <f t="shared" si="8"/>
        <v>0</v>
      </c>
      <c r="D69" s="467">
        <f t="shared" si="9"/>
        <v>13000</v>
      </c>
      <c r="E69" s="180">
        <f t="shared" si="10"/>
        <v>6.4169011303618143E-4</v>
      </c>
      <c r="F69" s="262"/>
      <c r="G69" s="884"/>
      <c r="H69" s="468"/>
      <c r="I69" s="862">
        <v>13158</v>
      </c>
      <c r="J69" s="180">
        <f t="shared" si="11"/>
        <v>6.4948911594846735E-4</v>
      </c>
      <c r="K69" s="262"/>
      <c r="L69" s="884"/>
      <c r="M69" s="13"/>
    </row>
    <row r="70" spans="1:13" ht="18" customHeight="1">
      <c r="A70" s="176" t="s">
        <v>559</v>
      </c>
      <c r="B70" s="176" t="s">
        <v>81</v>
      </c>
      <c r="C70" s="467">
        <f t="shared" si="8"/>
        <v>0</v>
      </c>
      <c r="D70" s="467">
        <f t="shared" si="9"/>
        <v>837000</v>
      </c>
      <c r="E70" s="180">
        <f t="shared" si="10"/>
        <v>4.1314971123944916E-2</v>
      </c>
      <c r="F70" s="262"/>
      <c r="G70" s="884"/>
      <c r="H70" s="468"/>
      <c r="I70" s="862">
        <v>836785</v>
      </c>
      <c r="J70" s="180">
        <f t="shared" si="11"/>
        <v>4.1304358556690852E-2</v>
      </c>
      <c r="K70" s="262"/>
      <c r="L70" s="884"/>
      <c r="M70" s="13"/>
    </row>
    <row r="71" spans="1:13" ht="18" customHeight="1">
      <c r="A71" s="176" t="s">
        <v>559</v>
      </c>
      <c r="B71" s="176" t="s">
        <v>121</v>
      </c>
      <c r="C71" s="467">
        <f t="shared" si="8"/>
        <v>0</v>
      </c>
      <c r="D71" s="467">
        <f t="shared" si="9"/>
        <v>118000</v>
      </c>
      <c r="E71" s="180">
        <f t="shared" si="10"/>
        <v>5.8245717952514929E-3</v>
      </c>
      <c r="F71" s="262"/>
      <c r="G71" s="884"/>
      <c r="H71" s="468"/>
      <c r="I71" s="862">
        <v>118142</v>
      </c>
      <c r="J71" s="180">
        <f t="shared" si="11"/>
        <v>5.8315810257169656E-3</v>
      </c>
      <c r="K71" s="262"/>
      <c r="L71" s="884"/>
      <c r="M71" s="13"/>
    </row>
    <row r="72" spans="1:13" ht="18" customHeight="1">
      <c r="A72" s="176" t="s">
        <v>559</v>
      </c>
      <c r="B72" s="176" t="s">
        <v>82</v>
      </c>
      <c r="C72" s="467">
        <f t="shared" si="8"/>
        <v>0</v>
      </c>
      <c r="D72" s="467">
        <f t="shared" si="9"/>
        <v>123000</v>
      </c>
      <c r="E72" s="180">
        <f t="shared" si="10"/>
        <v>6.071375684880794E-3</v>
      </c>
      <c r="F72" s="262"/>
      <c r="G72" s="884"/>
      <c r="H72" s="468"/>
      <c r="I72" s="862">
        <v>122609</v>
      </c>
      <c r="J72" s="180">
        <f t="shared" si="11"/>
        <v>6.0520756207117828E-3</v>
      </c>
      <c r="K72" s="262"/>
      <c r="L72" s="884"/>
      <c r="M72" s="13"/>
    </row>
    <row r="73" spans="1:13" ht="18" customHeight="1">
      <c r="A73" s="176" t="s">
        <v>559</v>
      </c>
      <c r="B73" s="176" t="s">
        <v>122</v>
      </c>
      <c r="C73" s="467">
        <f t="shared" si="8"/>
        <v>0</v>
      </c>
      <c r="D73" s="467">
        <f t="shared" si="9"/>
        <v>0</v>
      </c>
      <c r="E73" s="180">
        <f t="shared" si="10"/>
        <v>0</v>
      </c>
      <c r="F73" s="262"/>
      <c r="G73" s="884"/>
      <c r="H73" s="468"/>
      <c r="I73" s="862"/>
      <c r="J73" s="180">
        <f t="shared" si="11"/>
        <v>0</v>
      </c>
      <c r="K73" s="262"/>
      <c r="L73" s="884"/>
      <c r="M73" s="13"/>
    </row>
    <row r="74" spans="1:13" ht="18" customHeight="1">
      <c r="A74" s="176" t="s">
        <v>559</v>
      </c>
      <c r="B74" s="176" t="s">
        <v>83</v>
      </c>
      <c r="C74" s="467">
        <f t="shared" si="8"/>
        <v>0</v>
      </c>
      <c r="D74" s="467">
        <f t="shared" si="9"/>
        <v>0</v>
      </c>
      <c r="E74" s="180">
        <f t="shared" si="10"/>
        <v>0</v>
      </c>
      <c r="F74" s="262"/>
      <c r="G74" s="884"/>
      <c r="H74" s="468"/>
      <c r="I74" s="862">
        <v>0</v>
      </c>
      <c r="J74" s="180">
        <f t="shared" si="11"/>
        <v>0</v>
      </c>
      <c r="K74" s="262"/>
      <c r="L74" s="884"/>
      <c r="M74" s="13"/>
    </row>
    <row r="75" spans="1:13" ht="18" customHeight="1">
      <c r="A75" s="176" t="s">
        <v>559</v>
      </c>
      <c r="B75" s="176" t="s">
        <v>94</v>
      </c>
      <c r="C75" s="467">
        <f t="shared" si="8"/>
        <v>0</v>
      </c>
      <c r="D75" s="467">
        <f t="shared" si="9"/>
        <v>16000</v>
      </c>
      <c r="E75" s="180">
        <f>D74/$C$90</f>
        <v>0</v>
      </c>
      <c r="F75" s="262"/>
      <c r="G75" s="884"/>
      <c r="H75" s="468"/>
      <c r="I75" s="862">
        <v>16000</v>
      </c>
      <c r="J75" s="180">
        <f>I74/$C$90</f>
        <v>0</v>
      </c>
      <c r="K75" s="262"/>
      <c r="L75" s="884"/>
      <c r="M75" s="13"/>
    </row>
    <row r="76" spans="1:13" ht="18" customHeight="1">
      <c r="A76" s="176" t="s">
        <v>559</v>
      </c>
      <c r="B76" s="176" t="s">
        <v>84</v>
      </c>
      <c r="C76" s="467">
        <f t="shared" si="8"/>
        <v>0</v>
      </c>
      <c r="D76" s="467">
        <f t="shared" si="9"/>
        <v>7000</v>
      </c>
      <c r="E76" s="180">
        <f>D76/$C$90</f>
        <v>3.4552544548102079E-4</v>
      </c>
      <c r="F76" s="262"/>
      <c r="G76" s="884"/>
      <c r="H76" s="468"/>
      <c r="I76" s="862">
        <v>7200</v>
      </c>
      <c r="J76" s="180">
        <f>I76/$C$90</f>
        <v>3.5539760106619283E-4</v>
      </c>
      <c r="K76" s="262"/>
      <c r="L76" s="884"/>
      <c r="M76" s="13"/>
    </row>
    <row r="77" spans="1:13" ht="18" customHeight="1">
      <c r="A77" s="176" t="s">
        <v>559</v>
      </c>
      <c r="B77" s="176" t="s">
        <v>268</v>
      </c>
      <c r="C77" s="467">
        <f t="shared" si="8"/>
        <v>0</v>
      </c>
      <c r="D77" s="467">
        <f t="shared" si="9"/>
        <v>0</v>
      </c>
      <c r="E77" s="180">
        <f>D77/$C$90</f>
        <v>0</v>
      </c>
      <c r="F77" s="262"/>
      <c r="G77" s="884"/>
      <c r="H77" s="468"/>
      <c r="I77" s="862">
        <v>0</v>
      </c>
      <c r="J77" s="180">
        <f>I77/$C$90</f>
        <v>0</v>
      </c>
      <c r="K77" s="262"/>
      <c r="L77" s="884"/>
      <c r="M77" s="13"/>
    </row>
    <row r="78" spans="1:13" ht="18" customHeight="1">
      <c r="A78" s="176" t="s">
        <v>559</v>
      </c>
      <c r="B78" s="176" t="s">
        <v>115</v>
      </c>
      <c r="C78" s="467">
        <f t="shared" si="8"/>
        <v>0</v>
      </c>
      <c r="D78" s="467">
        <f t="shared" si="9"/>
        <v>216000</v>
      </c>
      <c r="E78" s="180">
        <f>D78/$C$90</f>
        <v>1.0661928031985785E-2</v>
      </c>
      <c r="F78" s="262"/>
      <c r="G78" s="884"/>
      <c r="H78" s="468"/>
      <c r="I78" s="862">
        <v>215837</v>
      </c>
      <c r="J78" s="180">
        <f>I78/$C$90</f>
        <v>1.065388222518387E-2</v>
      </c>
      <c r="K78" s="262"/>
      <c r="L78" s="884"/>
      <c r="M78" s="13"/>
    </row>
    <row r="79" spans="1:13" ht="18" customHeight="1">
      <c r="A79" s="176" t="s">
        <v>559</v>
      </c>
      <c r="B79" s="176" t="s">
        <v>85</v>
      </c>
      <c r="C79" s="467">
        <f t="shared" si="8"/>
        <v>0</v>
      </c>
      <c r="D79" s="467">
        <f t="shared" si="9"/>
        <v>0</v>
      </c>
      <c r="E79" s="180">
        <f>D79/$C$90</f>
        <v>0</v>
      </c>
      <c r="F79" s="262"/>
      <c r="G79" s="884"/>
      <c r="H79" s="468"/>
      <c r="I79" s="862">
        <v>360</v>
      </c>
      <c r="J79" s="180">
        <f>I79/$C$90</f>
        <v>1.7769880053309641E-5</v>
      </c>
      <c r="K79" s="262"/>
      <c r="L79" s="884"/>
      <c r="M79" s="13"/>
    </row>
    <row r="80" spans="1:13" ht="18" customHeight="1">
      <c r="A80" s="176" t="s">
        <v>559</v>
      </c>
      <c r="B80" s="176" t="s">
        <v>86</v>
      </c>
      <c r="C80" s="467">
        <f t="shared" si="8"/>
        <v>0</v>
      </c>
      <c r="D80" s="467">
        <f t="shared" si="9"/>
        <v>806000</v>
      </c>
      <c r="E80" s="180">
        <f>D80/$C$90</f>
        <v>3.9784787008243248E-2</v>
      </c>
      <c r="F80" s="262"/>
      <c r="G80" s="884"/>
      <c r="H80" s="468"/>
      <c r="I80" s="862">
        <v>805705</v>
      </c>
      <c r="J80" s="180">
        <f>I80/$C$90</f>
        <v>3.977022557875512E-2</v>
      </c>
      <c r="K80" s="262"/>
      <c r="L80" s="884"/>
      <c r="M80" s="13"/>
    </row>
    <row r="81" spans="1:13" ht="18" customHeight="1">
      <c r="A81" s="176" t="s">
        <v>559</v>
      </c>
      <c r="B81" s="176" t="s">
        <v>97</v>
      </c>
      <c r="C81" s="467">
        <f t="shared" si="8"/>
        <v>0</v>
      </c>
      <c r="D81" s="467">
        <f t="shared" si="9"/>
        <v>0</v>
      </c>
      <c r="E81" s="180"/>
      <c r="F81" s="262"/>
      <c r="G81" s="884"/>
      <c r="H81" s="468"/>
      <c r="I81" s="862">
        <v>0</v>
      </c>
      <c r="J81" s="180"/>
      <c r="K81" s="262"/>
      <c r="L81" s="884"/>
      <c r="M81" s="13"/>
    </row>
    <row r="82" spans="1:13" ht="18" customHeight="1">
      <c r="A82" s="176" t="s">
        <v>559</v>
      </c>
      <c r="B82" s="176" t="s">
        <v>87</v>
      </c>
      <c r="C82" s="467">
        <f t="shared" si="8"/>
        <v>0</v>
      </c>
      <c r="D82" s="467">
        <f t="shared" si="9"/>
        <v>6000</v>
      </c>
      <c r="E82" s="180">
        <f>D82/$C$90</f>
        <v>2.9616466755516069E-4</v>
      </c>
      <c r="F82" s="262"/>
      <c r="G82" s="884"/>
      <c r="H82" s="468"/>
      <c r="I82" s="862">
        <v>6000</v>
      </c>
      <c r="J82" s="180">
        <f>I82/$C$90</f>
        <v>2.9616466755516069E-4</v>
      </c>
      <c r="K82" s="262"/>
      <c r="L82" s="884"/>
      <c r="M82" s="13"/>
    </row>
    <row r="83" spans="1:13" ht="18" customHeight="1">
      <c r="A83" s="176" t="s">
        <v>559</v>
      </c>
      <c r="B83" s="176" t="s">
        <v>161</v>
      </c>
      <c r="C83" s="467">
        <f t="shared" si="8"/>
        <v>0</v>
      </c>
      <c r="D83" s="467">
        <f t="shared" si="9"/>
        <v>0</v>
      </c>
      <c r="E83" s="180"/>
      <c r="F83" s="262"/>
      <c r="G83" s="884"/>
      <c r="H83" s="468"/>
      <c r="I83" s="862">
        <v>0</v>
      </c>
      <c r="J83" s="180"/>
      <c r="K83" s="262"/>
      <c r="L83" s="884"/>
      <c r="M83" s="13"/>
    </row>
    <row r="84" spans="1:13" ht="18" customHeight="1">
      <c r="A84" s="176" t="s">
        <v>559</v>
      </c>
      <c r="B84" s="176" t="s">
        <v>88</v>
      </c>
      <c r="C84" s="467">
        <f t="shared" si="8"/>
        <v>0</v>
      </c>
      <c r="D84" s="467">
        <f t="shared" si="9"/>
        <v>134000</v>
      </c>
      <c r="E84" s="180">
        <f>D84/$C$90</f>
        <v>6.6143442420652553E-3</v>
      </c>
      <c r="F84" s="262"/>
      <c r="G84" s="884"/>
      <c r="H84" s="468"/>
      <c r="I84" s="862">
        <v>134158</v>
      </c>
      <c r="J84" s="180">
        <f>I84/$C$90</f>
        <v>6.6221432449775405E-3</v>
      </c>
      <c r="K84" s="262"/>
      <c r="L84" s="884"/>
      <c r="M84" s="13"/>
    </row>
    <row r="85" spans="1:13" ht="18" customHeight="1">
      <c r="A85" s="176" t="s">
        <v>559</v>
      </c>
      <c r="B85" s="176" t="s">
        <v>125</v>
      </c>
      <c r="C85" s="467">
        <f t="shared" si="8"/>
        <v>0</v>
      </c>
      <c r="D85" s="467">
        <f t="shared" si="9"/>
        <v>0</v>
      </c>
      <c r="E85" s="180"/>
      <c r="F85" s="262"/>
      <c r="G85" s="884"/>
      <c r="H85" s="468"/>
      <c r="I85" s="862">
        <v>0</v>
      </c>
      <c r="J85" s="180"/>
      <c r="K85" s="262"/>
      <c r="L85" s="884"/>
      <c r="M85" s="13"/>
    </row>
    <row r="86" spans="1:13" ht="18" customHeight="1">
      <c r="A86" s="176" t="s">
        <v>559</v>
      </c>
      <c r="B86" s="176" t="s">
        <v>105</v>
      </c>
      <c r="C86" s="467">
        <f t="shared" si="8"/>
        <v>0</v>
      </c>
      <c r="D86" s="467">
        <f t="shared" si="9"/>
        <v>0</v>
      </c>
      <c r="E86" s="180"/>
      <c r="F86" s="262"/>
      <c r="G86" s="884"/>
      <c r="H86" s="468"/>
      <c r="I86" s="862">
        <v>0</v>
      </c>
      <c r="J86" s="180"/>
      <c r="K86" s="262"/>
      <c r="L86" s="884"/>
      <c r="M86" s="13"/>
    </row>
    <row r="87" spans="1:13" ht="18" customHeight="1">
      <c r="A87" s="176" t="s">
        <v>559</v>
      </c>
      <c r="B87" s="176" t="s">
        <v>89</v>
      </c>
      <c r="C87" s="467">
        <f t="shared" si="8"/>
        <v>0</v>
      </c>
      <c r="D87" s="467">
        <f t="shared" si="9"/>
        <v>1814000</v>
      </c>
      <c r="E87" s="180">
        <f>D87/$C$90</f>
        <v>8.9540451157510248E-2</v>
      </c>
      <c r="F87" s="262"/>
      <c r="G87" s="884"/>
      <c r="H87" s="468"/>
      <c r="I87" s="862">
        <v>1814400</v>
      </c>
      <c r="J87" s="180">
        <f>I87/$C$90</f>
        <v>8.956019546868059E-2</v>
      </c>
      <c r="K87" s="262"/>
      <c r="L87" s="884"/>
      <c r="M87" s="13"/>
    </row>
    <row r="88" spans="1:13" ht="18" customHeight="1">
      <c r="A88" s="176" t="s">
        <v>559</v>
      </c>
      <c r="B88" s="176" t="s">
        <v>362</v>
      </c>
      <c r="C88" s="467">
        <f t="shared" si="8"/>
        <v>0</v>
      </c>
      <c r="D88" s="467">
        <f t="shared" si="9"/>
        <v>0</v>
      </c>
      <c r="E88" s="180"/>
      <c r="F88" s="262"/>
      <c r="G88" s="884"/>
      <c r="H88" s="468"/>
      <c r="I88" s="862">
        <v>0</v>
      </c>
      <c r="J88" s="180"/>
      <c r="K88" s="262"/>
      <c r="L88" s="884"/>
      <c r="M88" s="13"/>
    </row>
    <row r="89" spans="1:13" ht="18" customHeight="1">
      <c r="A89" s="176" t="s">
        <v>559</v>
      </c>
      <c r="B89" s="176" t="s">
        <v>90</v>
      </c>
      <c r="C89" s="467">
        <f t="shared" si="8"/>
        <v>0</v>
      </c>
      <c r="D89" s="467">
        <f t="shared" si="9"/>
        <v>39000</v>
      </c>
      <c r="E89" s="180">
        <f>D89/$C$90</f>
        <v>1.9250703391085443E-3</v>
      </c>
      <c r="F89" s="994"/>
      <c r="G89" s="884"/>
      <c r="H89" s="468"/>
      <c r="I89" s="862">
        <v>38563</v>
      </c>
      <c r="J89" s="180">
        <f>I89/$C$90</f>
        <v>1.9034996791549436E-3</v>
      </c>
      <c r="K89" s="994"/>
      <c r="L89" s="884"/>
      <c r="M89" s="13"/>
    </row>
    <row r="90" spans="1:13" ht="18" customHeight="1">
      <c r="A90" s="908" t="s">
        <v>91</v>
      </c>
      <c r="B90" s="909"/>
      <c r="C90" s="915">
        <f>SUM(C63:C89)</f>
        <v>20259000</v>
      </c>
      <c r="D90" s="916">
        <f>SUM(D63:D89)</f>
        <v>16935000</v>
      </c>
      <c r="E90" s="912">
        <f>D90/$C$90</f>
        <v>0.835924774174441</v>
      </c>
      <c r="F90" s="913">
        <f>C90-D90</f>
        <v>3324000</v>
      </c>
      <c r="G90" s="914">
        <f>F90/C90</f>
        <v>0.164075225825559</v>
      </c>
      <c r="H90" s="915">
        <f>SUM(H63:H89)</f>
        <v>20258510.958177458</v>
      </c>
      <c r="I90" s="916">
        <f>SUM(I63:I89)</f>
        <v>16934895</v>
      </c>
      <c r="J90" s="912">
        <f>I90/$C$90</f>
        <v>0.83591959129275872</v>
      </c>
      <c r="K90" s="913">
        <f>H90-I90</f>
        <v>3323615.9581774585</v>
      </c>
      <c r="L90" s="914">
        <f>K90/H90</f>
        <v>0.16406022955185967</v>
      </c>
      <c r="M90" s="13"/>
    </row>
    <row r="91" spans="1:13" ht="18" customHeight="1">
      <c r="A91" s="174" t="s">
        <v>95</v>
      </c>
      <c r="B91" s="6" t="s">
        <v>96</v>
      </c>
      <c r="C91" s="467">
        <f t="shared" ref="C91:C115" si="12">ROUND(H91,-3)</f>
        <v>17400000</v>
      </c>
      <c r="D91" s="467">
        <f t="shared" ref="D91:D115" si="13">ROUND(I91,-3)</f>
        <v>0</v>
      </c>
      <c r="E91" s="883"/>
      <c r="F91" s="262"/>
      <c r="G91" s="884"/>
      <c r="H91" s="649">
        <v>17400000</v>
      </c>
      <c r="I91" s="863"/>
      <c r="J91" s="883"/>
      <c r="K91" s="262"/>
      <c r="L91" s="884"/>
      <c r="M91" s="13"/>
    </row>
    <row r="92" spans="1:13" ht="18" customHeight="1">
      <c r="A92" s="174" t="s">
        <v>95</v>
      </c>
      <c r="B92" s="7" t="s">
        <v>394</v>
      </c>
      <c r="C92" s="467">
        <f t="shared" si="12"/>
        <v>0</v>
      </c>
      <c r="D92" s="467">
        <f t="shared" si="13"/>
        <v>11135000</v>
      </c>
      <c r="E92" s="180">
        <f>D92/$C$116</f>
        <v>0.63994252873563218</v>
      </c>
      <c r="F92" s="262"/>
      <c r="G92" s="884"/>
      <c r="H92" s="468"/>
      <c r="I92" s="862">
        <v>11134500</v>
      </c>
      <c r="J92" s="180">
        <f>I92/$C$116</f>
        <v>0.63991379310344831</v>
      </c>
      <c r="K92" s="262"/>
      <c r="L92" s="884"/>
      <c r="M92" s="13"/>
    </row>
    <row r="93" spans="1:13" ht="18" customHeight="1">
      <c r="A93" s="174" t="s">
        <v>95</v>
      </c>
      <c r="B93" s="7" t="s">
        <v>392</v>
      </c>
      <c r="C93" s="467">
        <f t="shared" si="12"/>
        <v>0</v>
      </c>
      <c r="D93" s="467">
        <f t="shared" si="13"/>
        <v>1023000</v>
      </c>
      <c r="E93" s="180">
        <f>D93/$C$116</f>
        <v>5.879310344827586E-2</v>
      </c>
      <c r="F93" s="262"/>
      <c r="G93" s="884"/>
      <c r="H93" s="468"/>
      <c r="I93" s="862">
        <v>1022675</v>
      </c>
      <c r="J93" s="180">
        <f>I93/$C$116</f>
        <v>5.8774425287356324E-2</v>
      </c>
      <c r="K93" s="262"/>
      <c r="L93" s="884"/>
      <c r="M93" s="13"/>
    </row>
    <row r="94" spans="1:13" ht="18" customHeight="1">
      <c r="A94" s="174" t="s">
        <v>95</v>
      </c>
      <c r="B94" s="7" t="s">
        <v>119</v>
      </c>
      <c r="C94" s="467">
        <f t="shared" si="12"/>
        <v>0</v>
      </c>
      <c r="D94" s="467">
        <f t="shared" si="13"/>
        <v>143000</v>
      </c>
      <c r="E94" s="180">
        <f>D94/$C$116</f>
        <v>8.2183908045977017E-3</v>
      </c>
      <c r="F94" s="262"/>
      <c r="G94" s="884"/>
      <c r="H94" s="468"/>
      <c r="I94" s="862">
        <v>142793</v>
      </c>
      <c r="J94" s="180">
        <f>I94/$C$116</f>
        <v>8.206494252873564E-3</v>
      </c>
      <c r="K94" s="262"/>
      <c r="L94" s="884"/>
      <c r="M94" s="13"/>
    </row>
    <row r="95" spans="1:13" ht="18" customHeight="1">
      <c r="A95" s="174" t="s">
        <v>95</v>
      </c>
      <c r="B95" s="7" t="s">
        <v>344</v>
      </c>
      <c r="C95" s="467">
        <f t="shared" si="12"/>
        <v>0</v>
      </c>
      <c r="D95" s="467">
        <f t="shared" si="13"/>
        <v>0</v>
      </c>
      <c r="E95" s="180"/>
      <c r="F95" s="262"/>
      <c r="G95" s="884"/>
      <c r="H95" s="468"/>
      <c r="I95" s="862">
        <v>0</v>
      </c>
      <c r="J95" s="180"/>
      <c r="K95" s="262"/>
      <c r="L95" s="884"/>
      <c r="M95" s="13"/>
    </row>
    <row r="96" spans="1:13" ht="18" customHeight="1">
      <c r="A96" s="174" t="s">
        <v>95</v>
      </c>
      <c r="B96" s="593" t="s">
        <v>81</v>
      </c>
      <c r="C96" s="467">
        <f t="shared" si="12"/>
        <v>0</v>
      </c>
      <c r="D96" s="467">
        <f t="shared" si="13"/>
        <v>0</v>
      </c>
      <c r="E96" s="180"/>
      <c r="F96" s="262"/>
      <c r="G96" s="884"/>
      <c r="H96" s="468"/>
      <c r="I96" s="862">
        <v>0</v>
      </c>
      <c r="J96" s="180"/>
      <c r="K96" s="262"/>
      <c r="L96" s="884"/>
      <c r="M96" s="13"/>
    </row>
    <row r="97" spans="1:13" ht="18" customHeight="1">
      <c r="A97" s="174" t="s">
        <v>95</v>
      </c>
      <c r="B97" s="593" t="s">
        <v>121</v>
      </c>
      <c r="C97" s="467">
        <f t="shared" si="12"/>
        <v>0</v>
      </c>
      <c r="D97" s="467">
        <f t="shared" si="13"/>
        <v>145000</v>
      </c>
      <c r="E97" s="180">
        <f>D97/$C$116</f>
        <v>8.3333333333333332E-3</v>
      </c>
      <c r="F97" s="262"/>
      <c r="G97" s="884"/>
      <c r="H97" s="468"/>
      <c r="I97" s="862">
        <v>144700</v>
      </c>
      <c r="J97" s="180">
        <f>I97/$C$116</f>
        <v>8.3160919540229885E-3</v>
      </c>
      <c r="K97" s="262"/>
      <c r="L97" s="884"/>
      <c r="M97" s="13"/>
    </row>
    <row r="98" spans="1:13" ht="18" customHeight="1">
      <c r="A98" s="174" t="s">
        <v>95</v>
      </c>
      <c r="B98" s="593" t="s">
        <v>82</v>
      </c>
      <c r="C98" s="467">
        <f t="shared" si="12"/>
        <v>0</v>
      </c>
      <c r="D98" s="467">
        <f t="shared" si="13"/>
        <v>200000</v>
      </c>
      <c r="E98" s="180">
        <f>D98/$C$116</f>
        <v>1.1494252873563218E-2</v>
      </c>
      <c r="F98" s="262"/>
      <c r="G98" s="884"/>
      <c r="H98" s="468"/>
      <c r="I98" s="862">
        <v>200370</v>
      </c>
      <c r="J98" s="180">
        <f>I98/$C$116</f>
        <v>1.151551724137931E-2</v>
      </c>
      <c r="K98" s="262"/>
      <c r="L98" s="884"/>
      <c r="M98" s="13"/>
    </row>
    <row r="99" spans="1:13" ht="18" customHeight="1">
      <c r="A99" s="174" t="s">
        <v>95</v>
      </c>
      <c r="B99" s="593" t="s">
        <v>122</v>
      </c>
      <c r="C99" s="467">
        <f t="shared" si="12"/>
        <v>0</v>
      </c>
      <c r="D99" s="467">
        <f t="shared" si="13"/>
        <v>0</v>
      </c>
      <c r="E99" s="180"/>
      <c r="F99" s="262"/>
      <c r="G99" s="884"/>
      <c r="H99" s="468"/>
      <c r="I99" s="862">
        <v>0</v>
      </c>
      <c r="J99" s="180"/>
      <c r="K99" s="262"/>
      <c r="L99" s="884"/>
      <c r="M99" s="13"/>
    </row>
    <row r="100" spans="1:13" ht="18" customHeight="1">
      <c r="A100" s="174" t="s">
        <v>95</v>
      </c>
      <c r="B100" s="593" t="s">
        <v>83</v>
      </c>
      <c r="C100" s="467">
        <f t="shared" si="12"/>
        <v>0</v>
      </c>
      <c r="D100" s="467">
        <f t="shared" si="13"/>
        <v>0</v>
      </c>
      <c r="E100" s="180"/>
      <c r="F100" s="262"/>
      <c r="G100" s="884"/>
      <c r="H100" s="468"/>
      <c r="I100" s="862">
        <v>0</v>
      </c>
      <c r="J100" s="180"/>
      <c r="K100" s="262"/>
      <c r="L100" s="884"/>
      <c r="M100" s="13"/>
    </row>
    <row r="101" spans="1:13" ht="18" customHeight="1">
      <c r="A101" s="174" t="s">
        <v>95</v>
      </c>
      <c r="B101" s="593" t="s">
        <v>94</v>
      </c>
      <c r="C101" s="467">
        <f t="shared" si="12"/>
        <v>0</v>
      </c>
      <c r="D101" s="467">
        <f t="shared" si="13"/>
        <v>0</v>
      </c>
      <c r="E101" s="180"/>
      <c r="F101" s="262"/>
      <c r="G101" s="884"/>
      <c r="H101" s="468"/>
      <c r="I101" s="862">
        <v>0</v>
      </c>
      <c r="J101" s="180"/>
      <c r="K101" s="262"/>
      <c r="L101" s="884"/>
      <c r="M101" s="13"/>
    </row>
    <row r="102" spans="1:13" ht="18" customHeight="1">
      <c r="A102" s="174" t="s">
        <v>95</v>
      </c>
      <c r="B102" s="593" t="s">
        <v>84</v>
      </c>
      <c r="C102" s="467">
        <f t="shared" si="12"/>
        <v>0</v>
      </c>
      <c r="D102" s="467">
        <f t="shared" si="13"/>
        <v>14000</v>
      </c>
      <c r="E102" s="180">
        <f t="shared" ref="E102:E108" si="14">D102/$C$116</f>
        <v>8.045977011494253E-4</v>
      </c>
      <c r="F102" s="262"/>
      <c r="G102" s="884"/>
      <c r="H102" s="468"/>
      <c r="I102" s="862">
        <v>14400</v>
      </c>
      <c r="J102" s="180">
        <f>I102/$C$116</f>
        <v>8.275862068965517E-4</v>
      </c>
      <c r="K102" s="262"/>
      <c r="L102" s="884"/>
      <c r="M102" s="13"/>
    </row>
    <row r="103" spans="1:13" ht="18" customHeight="1">
      <c r="A103" s="174" t="s">
        <v>95</v>
      </c>
      <c r="B103" s="593" t="s">
        <v>123</v>
      </c>
      <c r="C103" s="467">
        <f t="shared" si="12"/>
        <v>0</v>
      </c>
      <c r="D103" s="467">
        <f t="shared" si="13"/>
        <v>0</v>
      </c>
      <c r="E103" s="180"/>
      <c r="F103" s="262"/>
      <c r="G103" s="884"/>
      <c r="H103" s="468"/>
      <c r="I103" s="862">
        <v>0</v>
      </c>
      <c r="J103" s="180"/>
      <c r="K103" s="262"/>
      <c r="L103" s="884"/>
      <c r="M103" s="13"/>
    </row>
    <row r="104" spans="1:13" ht="18" customHeight="1">
      <c r="A104" s="174" t="s">
        <v>95</v>
      </c>
      <c r="B104" s="593" t="s">
        <v>115</v>
      </c>
      <c r="C104" s="467">
        <f t="shared" si="12"/>
        <v>0</v>
      </c>
      <c r="D104" s="467">
        <f t="shared" si="13"/>
        <v>125000</v>
      </c>
      <c r="E104" s="180">
        <f t="shared" si="14"/>
        <v>7.1839080459770114E-3</v>
      </c>
      <c r="F104" s="262"/>
      <c r="G104" s="884"/>
      <c r="H104" s="468"/>
      <c r="I104" s="862">
        <v>124719</v>
      </c>
      <c r="J104" s="180">
        <f>I104/$C$116</f>
        <v>7.1677586206896548E-3</v>
      </c>
      <c r="K104" s="262"/>
      <c r="L104" s="884"/>
      <c r="M104" s="13"/>
    </row>
    <row r="105" spans="1:13" ht="18" customHeight="1">
      <c r="A105" s="174" t="s">
        <v>95</v>
      </c>
      <c r="B105" s="593" t="s">
        <v>85</v>
      </c>
      <c r="C105" s="467">
        <f t="shared" si="12"/>
        <v>0</v>
      </c>
      <c r="D105" s="467">
        <f t="shared" si="13"/>
        <v>214000</v>
      </c>
      <c r="E105" s="180">
        <f t="shared" si="14"/>
        <v>1.2298850574712644E-2</v>
      </c>
      <c r="F105" s="262"/>
      <c r="G105" s="884"/>
      <c r="H105" s="468"/>
      <c r="I105" s="862">
        <v>213906</v>
      </c>
      <c r="J105" s="180">
        <f>I105/$C$116</f>
        <v>1.229344827586207E-2</v>
      </c>
      <c r="K105" s="262"/>
      <c r="L105" s="884"/>
      <c r="M105" s="13"/>
    </row>
    <row r="106" spans="1:13" ht="18" customHeight="1">
      <c r="A106" s="174" t="s">
        <v>95</v>
      </c>
      <c r="B106" s="593" t="s">
        <v>86</v>
      </c>
      <c r="C106" s="467">
        <f t="shared" si="12"/>
        <v>0</v>
      </c>
      <c r="D106" s="467">
        <f t="shared" si="13"/>
        <v>0</v>
      </c>
      <c r="E106" s="180">
        <f t="shared" si="14"/>
        <v>0</v>
      </c>
      <c r="F106" s="262"/>
      <c r="G106" s="884"/>
      <c r="H106" s="468"/>
      <c r="I106" s="862">
        <v>0</v>
      </c>
      <c r="J106" s="180">
        <f>I106/$C$116</f>
        <v>0</v>
      </c>
      <c r="K106" s="262"/>
      <c r="L106" s="884"/>
      <c r="M106" s="13"/>
    </row>
    <row r="107" spans="1:13" ht="18" customHeight="1">
      <c r="A107" s="174" t="s">
        <v>95</v>
      </c>
      <c r="B107" s="593" t="s">
        <v>97</v>
      </c>
      <c r="C107" s="467">
        <f t="shared" si="12"/>
        <v>0</v>
      </c>
      <c r="D107" s="467">
        <f t="shared" si="13"/>
        <v>0</v>
      </c>
      <c r="E107" s="180">
        <f t="shared" si="14"/>
        <v>0</v>
      </c>
      <c r="F107" s="262"/>
      <c r="G107" s="884"/>
      <c r="H107" s="468"/>
      <c r="I107" s="862">
        <v>0</v>
      </c>
      <c r="J107" s="180">
        <f>I107/$C$116</f>
        <v>0</v>
      </c>
      <c r="K107" s="262"/>
      <c r="L107" s="884"/>
      <c r="M107" s="13"/>
    </row>
    <row r="108" spans="1:13" ht="18" customHeight="1">
      <c r="A108" s="174" t="s">
        <v>95</v>
      </c>
      <c r="B108" s="593" t="s">
        <v>87</v>
      </c>
      <c r="C108" s="467">
        <f t="shared" si="12"/>
        <v>0</v>
      </c>
      <c r="D108" s="467">
        <f t="shared" si="13"/>
        <v>6000</v>
      </c>
      <c r="E108" s="180">
        <f t="shared" si="14"/>
        <v>3.4482758620689653E-4</v>
      </c>
      <c r="F108" s="262"/>
      <c r="G108" s="884"/>
      <c r="H108" s="468"/>
      <c r="I108" s="1109">
        <v>5832</v>
      </c>
      <c r="J108" s="180">
        <f>I108/$C$116</f>
        <v>3.3517241379310347E-4</v>
      </c>
      <c r="K108" s="262"/>
      <c r="L108" s="884"/>
      <c r="M108" s="13"/>
    </row>
    <row r="109" spans="1:13" ht="18" customHeight="1">
      <c r="A109" s="174" t="s">
        <v>95</v>
      </c>
      <c r="B109" s="593" t="s">
        <v>161</v>
      </c>
      <c r="C109" s="467">
        <f t="shared" si="12"/>
        <v>0</v>
      </c>
      <c r="D109" s="467">
        <f t="shared" si="13"/>
        <v>0</v>
      </c>
      <c r="E109" s="180"/>
      <c r="F109" s="262"/>
      <c r="G109" s="884"/>
      <c r="H109" s="468"/>
      <c r="I109" s="862">
        <v>0</v>
      </c>
      <c r="J109" s="180"/>
      <c r="K109" s="262"/>
      <c r="L109" s="884"/>
      <c r="M109" s="13"/>
    </row>
    <row r="110" spans="1:13" ht="18" customHeight="1">
      <c r="A110" s="174" t="s">
        <v>95</v>
      </c>
      <c r="B110" s="593" t="s">
        <v>88</v>
      </c>
      <c r="C110" s="467">
        <f t="shared" si="12"/>
        <v>0</v>
      </c>
      <c r="D110" s="467">
        <f t="shared" si="13"/>
        <v>280000</v>
      </c>
      <c r="E110" s="180">
        <f>D110/$C$116</f>
        <v>1.6091954022988506E-2</v>
      </c>
      <c r="F110" s="262"/>
      <c r="G110" s="884"/>
      <c r="H110" s="468"/>
      <c r="I110" s="862">
        <v>280067</v>
      </c>
      <c r="J110" s="180">
        <f>I110/$C$116</f>
        <v>1.6095804597701151E-2</v>
      </c>
      <c r="K110" s="262"/>
      <c r="L110" s="884"/>
      <c r="M110" s="13"/>
    </row>
    <row r="111" spans="1:13" ht="18" customHeight="1">
      <c r="A111" s="174" t="s">
        <v>95</v>
      </c>
      <c r="B111" s="593" t="s">
        <v>125</v>
      </c>
      <c r="C111" s="467">
        <f t="shared" si="12"/>
        <v>0</v>
      </c>
      <c r="D111" s="467">
        <f t="shared" si="13"/>
        <v>0</v>
      </c>
      <c r="E111" s="180">
        <f>D111/$C$116</f>
        <v>0</v>
      </c>
      <c r="F111" s="262"/>
      <c r="G111" s="884"/>
      <c r="H111" s="468"/>
      <c r="I111" s="862">
        <v>0</v>
      </c>
      <c r="J111" s="180">
        <f>I111/$C$116</f>
        <v>0</v>
      </c>
      <c r="K111" s="262"/>
      <c r="L111" s="884"/>
      <c r="M111" s="13"/>
    </row>
    <row r="112" spans="1:13" ht="18" customHeight="1">
      <c r="A112" s="174" t="s">
        <v>95</v>
      </c>
      <c r="B112" s="593" t="s">
        <v>105</v>
      </c>
      <c r="C112" s="467">
        <f t="shared" si="12"/>
        <v>0</v>
      </c>
      <c r="D112" s="467">
        <f t="shared" si="13"/>
        <v>0</v>
      </c>
      <c r="E112" s="180"/>
      <c r="F112" s="262"/>
      <c r="G112" s="884"/>
      <c r="H112" s="468"/>
      <c r="I112" s="862">
        <v>0</v>
      </c>
      <c r="J112" s="180"/>
      <c r="K112" s="262"/>
      <c r="L112" s="884"/>
      <c r="M112" s="13"/>
    </row>
    <row r="113" spans="1:15" ht="18" customHeight="1">
      <c r="A113" s="174" t="s">
        <v>95</v>
      </c>
      <c r="B113" s="593" t="s">
        <v>89</v>
      </c>
      <c r="C113" s="467">
        <f t="shared" si="12"/>
        <v>0</v>
      </c>
      <c r="D113" s="467">
        <f t="shared" si="13"/>
        <v>72000</v>
      </c>
      <c r="E113" s="180"/>
      <c r="F113" s="262"/>
      <c r="G113" s="884"/>
      <c r="H113" s="468"/>
      <c r="I113" s="862">
        <v>72000</v>
      </c>
      <c r="J113" s="180"/>
      <c r="K113" s="262"/>
      <c r="L113" s="884"/>
      <c r="M113" s="13"/>
    </row>
    <row r="114" spans="1:15" ht="18" customHeight="1">
      <c r="A114" s="174" t="s">
        <v>95</v>
      </c>
      <c r="B114" s="593" t="s">
        <v>362</v>
      </c>
      <c r="C114" s="467">
        <f t="shared" si="12"/>
        <v>0</v>
      </c>
      <c r="D114" s="467">
        <f t="shared" si="13"/>
        <v>0</v>
      </c>
      <c r="E114" s="180"/>
      <c r="F114" s="262"/>
      <c r="G114" s="884"/>
      <c r="H114" s="468"/>
      <c r="I114" s="862">
        <v>0</v>
      </c>
      <c r="J114" s="180"/>
      <c r="K114" s="262"/>
      <c r="L114" s="884"/>
      <c r="M114" s="13"/>
    </row>
    <row r="115" spans="1:15" ht="18" customHeight="1">
      <c r="A115" s="174" t="s">
        <v>95</v>
      </c>
      <c r="B115" s="593" t="s">
        <v>90</v>
      </c>
      <c r="C115" s="467">
        <f t="shared" si="12"/>
        <v>0</v>
      </c>
      <c r="D115" s="467">
        <f t="shared" si="13"/>
        <v>0</v>
      </c>
      <c r="E115" s="180">
        <f>D115/$C$116</f>
        <v>0</v>
      </c>
      <c r="F115" s="994"/>
      <c r="G115" s="884"/>
      <c r="H115" s="468"/>
      <c r="I115" s="862">
        <v>0</v>
      </c>
      <c r="J115" s="180">
        <f>I115/$C$116</f>
        <v>0</v>
      </c>
      <c r="K115" s="994"/>
      <c r="L115" s="884"/>
      <c r="M115" s="13"/>
    </row>
    <row r="116" spans="1:15" ht="18" customHeight="1">
      <c r="A116" s="908" t="s">
        <v>91</v>
      </c>
      <c r="B116" s="909"/>
      <c r="C116" s="910">
        <f>SUM(C91:C115)</f>
        <v>17400000</v>
      </c>
      <c r="D116" s="911">
        <f>SUM(D91:D115)</f>
        <v>13357000</v>
      </c>
      <c r="E116" s="912">
        <f>D116/$C$116</f>
        <v>0.7676436781609195</v>
      </c>
      <c r="F116" s="913">
        <f>C116-D116</f>
        <v>4043000</v>
      </c>
      <c r="G116" s="914">
        <f>F116/C116</f>
        <v>0.23235632183908045</v>
      </c>
      <c r="H116" s="910">
        <f>SUM(H91:H115)</f>
        <v>17400000</v>
      </c>
      <c r="I116" s="911">
        <f>SUM(I91:I115)</f>
        <v>13355962</v>
      </c>
      <c r="J116" s="912">
        <f>I116/$C$116</f>
        <v>0.7675840229885057</v>
      </c>
      <c r="K116" s="913">
        <f>H116-I116</f>
        <v>4044038</v>
      </c>
      <c r="L116" s="914">
        <f>K116/H116</f>
        <v>0.23241597701149425</v>
      </c>
      <c r="M116" s="13"/>
    </row>
    <row r="117" spans="1:15" ht="18" customHeight="1">
      <c r="A117" s="176" t="s">
        <v>98</v>
      </c>
      <c r="B117" s="7" t="s">
        <v>99</v>
      </c>
      <c r="C117" s="467">
        <f t="shared" ref="C117:C146" si="15">ROUND(H117,-3)</f>
        <v>21370000</v>
      </c>
      <c r="D117" s="467">
        <f t="shared" ref="D117:D146" si="16">ROUND(I117,-3)</f>
        <v>0</v>
      </c>
      <c r="E117" s="180"/>
      <c r="F117" s="262"/>
      <c r="G117" s="884"/>
      <c r="H117" s="468">
        <v>21370221.660324901</v>
      </c>
      <c r="I117" s="862"/>
      <c r="J117" s="180"/>
      <c r="K117" s="262"/>
      <c r="L117" s="884"/>
      <c r="M117" s="13"/>
    </row>
    <row r="118" spans="1:15" ht="18" customHeight="1">
      <c r="A118" s="176" t="s">
        <v>98</v>
      </c>
      <c r="B118" s="7" t="s">
        <v>629</v>
      </c>
      <c r="C118" s="467">
        <f t="shared" si="15"/>
        <v>3131000</v>
      </c>
      <c r="D118" s="467">
        <f t="shared" si="16"/>
        <v>0</v>
      </c>
      <c r="E118" s="893"/>
      <c r="F118" s="262"/>
      <c r="G118" s="884"/>
      <c r="H118" s="468">
        <v>3131080.2523231003</v>
      </c>
      <c r="I118" s="865"/>
      <c r="J118" s="893"/>
      <c r="K118" s="262"/>
      <c r="L118" s="884"/>
      <c r="M118" s="13"/>
      <c r="N118" s="938"/>
      <c r="O118" s="938"/>
    </row>
    <row r="119" spans="1:15" ht="18" customHeight="1">
      <c r="A119" s="176" t="s">
        <v>98</v>
      </c>
      <c r="B119" s="177" t="s">
        <v>597</v>
      </c>
      <c r="C119" s="467">
        <f t="shared" si="15"/>
        <v>5677000</v>
      </c>
      <c r="D119" s="467">
        <f t="shared" si="16"/>
        <v>0</v>
      </c>
      <c r="E119" s="893"/>
      <c r="F119" s="262"/>
      <c r="G119" s="884"/>
      <c r="H119" s="856">
        <v>5676578</v>
      </c>
      <c r="I119" s="865"/>
      <c r="J119" s="893"/>
      <c r="K119" s="262"/>
      <c r="L119" s="884"/>
      <c r="M119" s="13"/>
    </row>
    <row r="120" spans="1:15" ht="18" customHeight="1">
      <c r="A120" s="176" t="s">
        <v>98</v>
      </c>
      <c r="B120" s="651" t="s">
        <v>101</v>
      </c>
      <c r="C120" s="467">
        <f t="shared" si="15"/>
        <v>1072000</v>
      </c>
      <c r="D120" s="467">
        <f t="shared" si="16"/>
        <v>0</v>
      </c>
      <c r="E120" s="887"/>
      <c r="F120" s="653"/>
      <c r="G120" s="888"/>
      <c r="H120" s="856">
        <v>1071680.5401290182</v>
      </c>
      <c r="I120" s="864"/>
      <c r="J120" s="887"/>
      <c r="K120" s="653"/>
      <c r="L120" s="888"/>
      <c r="M120" s="654"/>
      <c r="N120" s="13"/>
    </row>
    <row r="121" spans="1:15" ht="18" customHeight="1">
      <c r="A121" s="176" t="s">
        <v>98</v>
      </c>
      <c r="B121" s="993" t="s">
        <v>673</v>
      </c>
      <c r="C121" s="467">
        <f t="shared" si="15"/>
        <v>40000</v>
      </c>
      <c r="D121" s="467">
        <f t="shared" si="16"/>
        <v>0</v>
      </c>
      <c r="E121" s="893"/>
      <c r="F121" s="262"/>
      <c r="G121" s="884"/>
      <c r="H121" s="856">
        <v>39979.681300874116</v>
      </c>
      <c r="I121" s="865"/>
      <c r="J121" s="893"/>
      <c r="K121" s="262"/>
      <c r="L121" s="884"/>
      <c r="M121" s="650"/>
      <c r="N121" s="982"/>
      <c r="O121" s="982"/>
    </row>
    <row r="122" spans="1:15" ht="18" customHeight="1">
      <c r="A122" s="176" t="s">
        <v>98</v>
      </c>
      <c r="B122" s="993" t="s">
        <v>667</v>
      </c>
      <c r="C122" s="467">
        <f t="shared" si="15"/>
        <v>457000</v>
      </c>
      <c r="D122" s="467">
        <f t="shared" si="16"/>
        <v>0</v>
      </c>
      <c r="E122" s="893"/>
      <c r="F122" s="262"/>
      <c r="G122" s="884"/>
      <c r="H122" s="856">
        <v>457480.19564809877</v>
      </c>
      <c r="I122" s="865"/>
      <c r="J122" s="893"/>
      <c r="K122" s="262"/>
      <c r="L122" s="884"/>
      <c r="M122" s="650"/>
      <c r="N122" s="982"/>
      <c r="O122" s="982"/>
    </row>
    <row r="123" spans="1:15" ht="18" customHeight="1">
      <c r="A123" s="176" t="s">
        <v>98</v>
      </c>
      <c r="B123" s="7" t="s">
        <v>394</v>
      </c>
      <c r="C123" s="467">
        <f t="shared" si="15"/>
        <v>0</v>
      </c>
      <c r="D123" s="467">
        <f t="shared" si="16"/>
        <v>22104000</v>
      </c>
      <c r="E123" s="180">
        <f>D123/$C$147</f>
        <v>0.69625476422969101</v>
      </c>
      <c r="F123" s="262"/>
      <c r="G123" s="884"/>
      <c r="H123" s="468"/>
      <c r="I123" s="862">
        <v>22104000</v>
      </c>
      <c r="J123" s="180">
        <f>I123/$C$147</f>
        <v>0.69625476422969101</v>
      </c>
      <c r="K123" s="262"/>
      <c r="L123" s="884"/>
      <c r="M123" s="13"/>
    </row>
    <row r="124" spans="1:15" ht="18" customHeight="1">
      <c r="A124" s="176" t="s">
        <v>98</v>
      </c>
      <c r="B124" s="7" t="s">
        <v>392</v>
      </c>
      <c r="C124" s="467">
        <f t="shared" si="15"/>
        <v>0</v>
      </c>
      <c r="D124" s="467">
        <f t="shared" si="16"/>
        <v>1966000</v>
      </c>
      <c r="E124" s="180">
        <f>D124/$C$147</f>
        <v>6.1927111223107692E-2</v>
      </c>
      <c r="F124" s="262"/>
      <c r="G124" s="884"/>
      <c r="H124" s="468"/>
      <c r="I124" s="862">
        <v>1966290</v>
      </c>
      <c r="J124" s="180">
        <f>I124/$C$147</f>
        <v>6.1936245944498695E-2</v>
      </c>
      <c r="K124" s="262"/>
      <c r="L124" s="884"/>
      <c r="M124" s="13"/>
    </row>
    <row r="125" spans="1:15" ht="18" customHeight="1">
      <c r="A125" s="176" t="s">
        <v>98</v>
      </c>
      <c r="B125" s="7" t="s">
        <v>119</v>
      </c>
      <c r="C125" s="467">
        <f t="shared" si="15"/>
        <v>0</v>
      </c>
      <c r="D125" s="467">
        <f t="shared" si="16"/>
        <v>288000</v>
      </c>
      <c r="E125" s="180">
        <f>D125/$C$147</f>
        <v>9.0717233124389708E-3</v>
      </c>
      <c r="F125" s="262"/>
      <c r="G125" s="884"/>
      <c r="H125" s="468"/>
      <c r="I125" s="862">
        <v>287675</v>
      </c>
      <c r="J125" s="180">
        <f>I125/$C$147</f>
        <v>9.0614861246731977E-3</v>
      </c>
      <c r="K125" s="262"/>
      <c r="L125" s="884"/>
      <c r="M125" s="13"/>
    </row>
    <row r="126" spans="1:15" ht="18" customHeight="1">
      <c r="A126" s="176" t="s">
        <v>98</v>
      </c>
      <c r="B126" s="7" t="s">
        <v>344</v>
      </c>
      <c r="C126" s="467">
        <f t="shared" si="15"/>
        <v>0</v>
      </c>
      <c r="D126" s="467">
        <f t="shared" si="16"/>
        <v>0</v>
      </c>
      <c r="E126" s="180"/>
      <c r="F126" s="262"/>
      <c r="G126" s="884"/>
      <c r="H126" s="468"/>
      <c r="I126" s="862">
        <v>0</v>
      </c>
      <c r="J126" s="180"/>
      <c r="K126" s="262"/>
      <c r="L126" s="884"/>
      <c r="M126" s="13"/>
    </row>
    <row r="127" spans="1:15" ht="18" customHeight="1">
      <c r="A127" s="176" t="s">
        <v>98</v>
      </c>
      <c r="B127" s="176" t="s">
        <v>81</v>
      </c>
      <c r="C127" s="467">
        <f t="shared" si="15"/>
        <v>0</v>
      </c>
      <c r="D127" s="467">
        <f t="shared" si="16"/>
        <v>119000</v>
      </c>
      <c r="E127" s="180">
        <f t="shared" ref="E127:E132" si="17">D127/$C$147</f>
        <v>3.7483856742369357E-3</v>
      </c>
      <c r="F127" s="262"/>
      <c r="G127" s="884"/>
      <c r="H127" s="468"/>
      <c r="I127" s="862">
        <v>119093</v>
      </c>
      <c r="J127" s="180">
        <f t="shared" ref="J127:J132" si="18">I127/$C$147</f>
        <v>3.7513150848899109E-3</v>
      </c>
      <c r="K127" s="262"/>
      <c r="L127" s="884"/>
      <c r="M127" s="13"/>
    </row>
    <row r="128" spans="1:15" ht="18" customHeight="1">
      <c r="A128" s="176" t="s">
        <v>98</v>
      </c>
      <c r="B128" s="176" t="s">
        <v>121</v>
      </c>
      <c r="C128" s="467">
        <f t="shared" si="15"/>
        <v>0</v>
      </c>
      <c r="D128" s="467">
        <f t="shared" si="16"/>
        <v>213000</v>
      </c>
      <c r="E128" s="180">
        <f t="shared" si="17"/>
        <v>6.7092953664913222E-3</v>
      </c>
      <c r="F128" s="262"/>
      <c r="G128" s="884"/>
      <c r="H128" s="468"/>
      <c r="I128" s="862">
        <v>212604</v>
      </c>
      <c r="J128" s="180">
        <f t="shared" si="18"/>
        <v>6.6968217469367186E-3</v>
      </c>
      <c r="K128" s="262"/>
      <c r="L128" s="884"/>
      <c r="M128" s="13"/>
    </row>
    <row r="129" spans="1:13" ht="18" customHeight="1">
      <c r="A129" s="176" t="s">
        <v>98</v>
      </c>
      <c r="B129" s="176" t="s">
        <v>82</v>
      </c>
      <c r="C129" s="467">
        <f t="shared" si="15"/>
        <v>0</v>
      </c>
      <c r="D129" s="467">
        <f t="shared" si="16"/>
        <v>121000</v>
      </c>
      <c r="E129" s="180">
        <f t="shared" si="17"/>
        <v>3.8113837527955397E-3</v>
      </c>
      <c r="F129" s="262"/>
      <c r="G129" s="884"/>
      <c r="H129" s="468"/>
      <c r="I129" s="862">
        <v>120540</v>
      </c>
      <c r="J129" s="180">
        <f t="shared" si="18"/>
        <v>3.7968941947270607E-3</v>
      </c>
      <c r="K129" s="262"/>
      <c r="L129" s="884"/>
      <c r="M129" s="13"/>
    </row>
    <row r="130" spans="1:13" ht="18" customHeight="1">
      <c r="A130" s="176" t="s">
        <v>98</v>
      </c>
      <c r="B130" s="176" t="s">
        <v>122</v>
      </c>
      <c r="C130" s="467">
        <f t="shared" si="15"/>
        <v>0</v>
      </c>
      <c r="D130" s="467">
        <f t="shared" si="16"/>
        <v>482000</v>
      </c>
      <c r="E130" s="180">
        <f t="shared" si="17"/>
        <v>1.5182536932623555E-2</v>
      </c>
      <c r="F130" s="262"/>
      <c r="G130" s="884"/>
      <c r="H130" s="468"/>
      <c r="I130" s="862">
        <v>482112</v>
      </c>
      <c r="J130" s="180">
        <f t="shared" si="18"/>
        <v>1.5186064825022837E-2</v>
      </c>
      <c r="K130" s="262"/>
      <c r="L130" s="884"/>
      <c r="M130" s="13"/>
    </row>
    <row r="131" spans="1:13" ht="18" customHeight="1">
      <c r="A131" s="176" t="s">
        <v>98</v>
      </c>
      <c r="B131" s="176" t="s">
        <v>83</v>
      </c>
      <c r="C131" s="467">
        <f t="shared" si="15"/>
        <v>0</v>
      </c>
      <c r="D131" s="467">
        <f t="shared" si="16"/>
        <v>44000</v>
      </c>
      <c r="E131" s="180">
        <f t="shared" si="17"/>
        <v>1.3859577282892871E-3</v>
      </c>
      <c r="F131" s="262"/>
      <c r="G131" s="884"/>
      <c r="H131" s="468"/>
      <c r="I131" s="862">
        <v>43720</v>
      </c>
      <c r="J131" s="180">
        <f t="shared" si="18"/>
        <v>1.3771379972910827E-3</v>
      </c>
      <c r="K131" s="262"/>
      <c r="L131" s="884"/>
      <c r="M131" s="13"/>
    </row>
    <row r="132" spans="1:13" ht="18" customHeight="1">
      <c r="A132" s="176" t="s">
        <v>98</v>
      </c>
      <c r="B132" s="176" t="s">
        <v>94</v>
      </c>
      <c r="C132" s="467">
        <f t="shared" si="15"/>
        <v>0</v>
      </c>
      <c r="D132" s="467">
        <f t="shared" si="16"/>
        <v>0</v>
      </c>
      <c r="E132" s="180">
        <f t="shared" si="17"/>
        <v>0</v>
      </c>
      <c r="F132" s="262"/>
      <c r="G132" s="884"/>
      <c r="H132" s="468"/>
      <c r="I132" s="862">
        <v>0</v>
      </c>
      <c r="J132" s="180">
        <f t="shared" si="18"/>
        <v>0</v>
      </c>
      <c r="K132" s="262"/>
      <c r="L132" s="884"/>
      <c r="M132" s="13"/>
    </row>
    <row r="133" spans="1:13" ht="18" customHeight="1">
      <c r="A133" s="176" t="s">
        <v>98</v>
      </c>
      <c r="B133" s="176" t="s">
        <v>84</v>
      </c>
      <c r="C133" s="467">
        <f t="shared" si="15"/>
        <v>0</v>
      </c>
      <c r="D133" s="467">
        <f t="shared" si="16"/>
        <v>34000</v>
      </c>
      <c r="E133" s="180"/>
      <c r="F133" s="262"/>
      <c r="G133" s="884"/>
      <c r="H133" s="468"/>
      <c r="I133" s="862">
        <v>34200</v>
      </c>
      <c r="J133" s="180"/>
      <c r="K133" s="262"/>
      <c r="L133" s="884"/>
      <c r="M133" s="13"/>
    </row>
    <row r="134" spans="1:13" ht="18" customHeight="1">
      <c r="A134" s="176" t="s">
        <v>98</v>
      </c>
      <c r="B134" s="176" t="s">
        <v>123</v>
      </c>
      <c r="C134" s="467">
        <f t="shared" si="15"/>
        <v>0</v>
      </c>
      <c r="D134" s="467">
        <f t="shared" si="16"/>
        <v>0</v>
      </c>
      <c r="E134" s="180"/>
      <c r="F134" s="262"/>
      <c r="G134" s="884"/>
      <c r="H134" s="468"/>
      <c r="I134" s="862">
        <v>0</v>
      </c>
      <c r="J134" s="180"/>
      <c r="K134" s="262"/>
      <c r="L134" s="884"/>
      <c r="M134" s="13"/>
    </row>
    <row r="135" spans="1:13" ht="18" customHeight="1">
      <c r="A135" s="176" t="s">
        <v>98</v>
      </c>
      <c r="B135" s="176" t="s">
        <v>115</v>
      </c>
      <c r="C135" s="467">
        <f t="shared" si="15"/>
        <v>0</v>
      </c>
      <c r="D135" s="467">
        <f t="shared" si="16"/>
        <v>419000</v>
      </c>
      <c r="E135" s="180">
        <f>D135/$C$147</f>
        <v>1.319809745802753E-2</v>
      </c>
      <c r="F135" s="262"/>
      <c r="G135" s="884"/>
      <c r="H135" s="468"/>
      <c r="I135" s="862">
        <v>419272</v>
      </c>
      <c r="J135" s="180">
        <f>I135/$C$147</f>
        <v>1.3206665196711501E-2</v>
      </c>
      <c r="K135" s="262"/>
      <c r="L135" s="884"/>
      <c r="M135" s="13"/>
    </row>
    <row r="136" spans="1:13" ht="18" customHeight="1">
      <c r="A136" s="176" t="s">
        <v>98</v>
      </c>
      <c r="B136" s="176" t="s">
        <v>85</v>
      </c>
      <c r="C136" s="467">
        <f t="shared" si="15"/>
        <v>0</v>
      </c>
      <c r="D136" s="467">
        <f t="shared" si="16"/>
        <v>57000</v>
      </c>
      <c r="E136" s="180">
        <f>D136/$C$147</f>
        <v>1.7954452389202129E-3</v>
      </c>
      <c r="F136" s="262"/>
      <c r="G136" s="884"/>
      <c r="H136" s="468"/>
      <c r="I136" s="862">
        <v>57296</v>
      </c>
      <c r="J136" s="180">
        <f>I136/$C$147</f>
        <v>1.8047689545468864E-3</v>
      </c>
      <c r="K136" s="262"/>
      <c r="L136" s="884"/>
      <c r="M136" s="13"/>
    </row>
    <row r="137" spans="1:13" ht="18" customHeight="1">
      <c r="A137" s="176" t="s">
        <v>98</v>
      </c>
      <c r="B137" s="176" t="s">
        <v>86</v>
      </c>
      <c r="C137" s="467">
        <f t="shared" si="15"/>
        <v>0</v>
      </c>
      <c r="D137" s="467">
        <f t="shared" si="16"/>
        <v>159000</v>
      </c>
      <c r="E137" s="180">
        <f>D137/$C$147</f>
        <v>5.008347245409015E-3</v>
      </c>
      <c r="F137" s="262"/>
      <c r="G137" s="884"/>
      <c r="H137" s="468"/>
      <c r="I137" s="862">
        <v>159224</v>
      </c>
      <c r="J137" s="180">
        <f>I137/$C$147</f>
        <v>5.0154030302075785E-3</v>
      </c>
      <c r="K137" s="262"/>
      <c r="L137" s="884"/>
      <c r="M137" s="13"/>
    </row>
    <row r="138" spans="1:13" ht="18" customHeight="1">
      <c r="A138" s="176" t="s">
        <v>98</v>
      </c>
      <c r="B138" s="176" t="s">
        <v>97</v>
      </c>
      <c r="C138" s="467">
        <f t="shared" si="15"/>
        <v>0</v>
      </c>
      <c r="D138" s="467">
        <f t="shared" si="16"/>
        <v>5000</v>
      </c>
      <c r="E138" s="180">
        <f>D138/$C$147</f>
        <v>1.574951963965099E-4</v>
      </c>
      <c r="F138" s="262"/>
      <c r="G138" s="884"/>
      <c r="H138" s="468"/>
      <c r="I138" s="862">
        <v>5000</v>
      </c>
      <c r="J138" s="180">
        <f>I138/$C$147</f>
        <v>1.574951963965099E-4</v>
      </c>
      <c r="K138" s="262"/>
      <c r="L138" s="884"/>
      <c r="M138" s="13"/>
    </row>
    <row r="139" spans="1:13" ht="18" customHeight="1">
      <c r="A139" s="176" t="s">
        <v>98</v>
      </c>
      <c r="B139" s="176" t="s">
        <v>87</v>
      </c>
      <c r="C139" s="467">
        <f t="shared" si="15"/>
        <v>0</v>
      </c>
      <c r="D139" s="467">
        <f t="shared" si="16"/>
        <v>9000</v>
      </c>
      <c r="E139" s="180">
        <f>D139/$C$147</f>
        <v>2.8349135351371784E-4</v>
      </c>
      <c r="F139" s="262"/>
      <c r="G139" s="884"/>
      <c r="H139" s="468"/>
      <c r="I139" s="862">
        <v>8530</v>
      </c>
      <c r="J139" s="180">
        <f>I139/$C$147</f>
        <v>2.686868050524459E-4</v>
      </c>
      <c r="K139" s="262"/>
      <c r="L139" s="884"/>
      <c r="M139" s="13"/>
    </row>
    <row r="140" spans="1:13" ht="18" customHeight="1">
      <c r="A140" s="176" t="s">
        <v>98</v>
      </c>
      <c r="B140" s="176" t="s">
        <v>161</v>
      </c>
      <c r="C140" s="467">
        <f t="shared" si="15"/>
        <v>0</v>
      </c>
      <c r="D140" s="467">
        <f t="shared" si="16"/>
        <v>0</v>
      </c>
      <c r="E140" s="180"/>
      <c r="F140" s="262"/>
      <c r="G140" s="884"/>
      <c r="H140" s="468"/>
      <c r="I140" s="862">
        <v>0</v>
      </c>
      <c r="J140" s="180"/>
      <c r="K140" s="262"/>
      <c r="L140" s="884"/>
      <c r="M140" s="13"/>
    </row>
    <row r="141" spans="1:13" ht="18" customHeight="1">
      <c r="A141" s="176" t="s">
        <v>98</v>
      </c>
      <c r="B141" s="176" t="s">
        <v>88</v>
      </c>
      <c r="C141" s="467">
        <f t="shared" si="15"/>
        <v>0</v>
      </c>
      <c r="D141" s="467">
        <f t="shared" si="16"/>
        <v>290000</v>
      </c>
      <c r="E141" s="180">
        <f>D141/$C$147</f>
        <v>9.1347213909975748E-3</v>
      </c>
      <c r="F141" s="262"/>
      <c r="G141" s="884"/>
      <c r="H141" s="468"/>
      <c r="I141" s="862">
        <v>290070</v>
      </c>
      <c r="J141" s="180">
        <f>I141/$C$147</f>
        <v>9.1369263237471264E-3</v>
      </c>
      <c r="K141" s="262"/>
      <c r="L141" s="884"/>
      <c r="M141" s="13"/>
    </row>
    <row r="142" spans="1:13" ht="18" customHeight="1">
      <c r="A142" s="176" t="s">
        <v>98</v>
      </c>
      <c r="B142" s="176" t="s">
        <v>125</v>
      </c>
      <c r="C142" s="467">
        <f t="shared" si="15"/>
        <v>0</v>
      </c>
      <c r="D142" s="467">
        <f t="shared" si="16"/>
        <v>0</v>
      </c>
      <c r="E142" s="180"/>
      <c r="F142" s="262"/>
      <c r="G142" s="884"/>
      <c r="H142" s="468"/>
      <c r="I142" s="862">
        <v>0</v>
      </c>
      <c r="J142" s="180"/>
      <c r="K142" s="262"/>
      <c r="L142" s="884"/>
      <c r="M142" s="13"/>
    </row>
    <row r="143" spans="1:13" ht="18" customHeight="1">
      <c r="A143" s="176" t="s">
        <v>98</v>
      </c>
      <c r="B143" s="176" t="s">
        <v>105</v>
      </c>
      <c r="C143" s="467">
        <f t="shared" si="15"/>
        <v>0</v>
      </c>
      <c r="D143" s="467">
        <f t="shared" si="16"/>
        <v>0</v>
      </c>
      <c r="E143" s="180">
        <f>D143/$C$147</f>
        <v>0</v>
      </c>
      <c r="F143" s="262"/>
      <c r="G143" s="884"/>
      <c r="H143" s="468"/>
      <c r="I143" s="862">
        <v>0</v>
      </c>
      <c r="J143" s="180">
        <f>I143/$C$147</f>
        <v>0</v>
      </c>
      <c r="K143" s="262"/>
      <c r="L143" s="884"/>
      <c r="M143" s="13"/>
    </row>
    <row r="144" spans="1:13" ht="18" customHeight="1">
      <c r="A144" s="176" t="s">
        <v>98</v>
      </c>
      <c r="B144" s="176" t="s">
        <v>89</v>
      </c>
      <c r="C144" s="467">
        <f t="shared" si="15"/>
        <v>0</v>
      </c>
      <c r="D144" s="467">
        <f t="shared" si="16"/>
        <v>0</v>
      </c>
      <c r="E144" s="180">
        <f>D144/$C$147</f>
        <v>0</v>
      </c>
      <c r="F144" s="262"/>
      <c r="G144" s="884"/>
      <c r="H144" s="468"/>
      <c r="I144" s="862">
        <v>0</v>
      </c>
      <c r="J144" s="180">
        <f>I144/$C$147</f>
        <v>0</v>
      </c>
      <c r="K144" s="262"/>
      <c r="L144" s="884"/>
      <c r="M144" s="13"/>
    </row>
    <row r="145" spans="1:15" ht="18" customHeight="1">
      <c r="A145" s="176" t="s">
        <v>98</v>
      </c>
      <c r="B145" s="176" t="s">
        <v>362</v>
      </c>
      <c r="C145" s="467">
        <f t="shared" si="15"/>
        <v>0</v>
      </c>
      <c r="D145" s="467">
        <f t="shared" si="16"/>
        <v>0</v>
      </c>
      <c r="E145" s="180"/>
      <c r="F145" s="262"/>
      <c r="G145" s="884"/>
      <c r="H145" s="468"/>
      <c r="I145" s="862">
        <v>0</v>
      </c>
      <c r="J145" s="180"/>
      <c r="K145" s="262"/>
      <c r="L145" s="884"/>
      <c r="M145" s="13"/>
    </row>
    <row r="146" spans="1:15" ht="18" customHeight="1">
      <c r="A146" s="176" t="s">
        <v>98</v>
      </c>
      <c r="B146" s="176" t="s">
        <v>90</v>
      </c>
      <c r="C146" s="467">
        <f t="shared" si="15"/>
        <v>0</v>
      </c>
      <c r="D146" s="467">
        <f t="shared" si="16"/>
        <v>0</v>
      </c>
      <c r="E146" s="180">
        <f>D146/$C$147</f>
        <v>0</v>
      </c>
      <c r="F146" s="262"/>
      <c r="G146" s="884"/>
      <c r="H146" s="468"/>
      <c r="I146" s="862">
        <v>0</v>
      </c>
      <c r="J146" s="180">
        <f>I146/$C$147</f>
        <v>0</v>
      </c>
      <c r="K146" s="262"/>
      <c r="L146" s="884"/>
      <c r="M146" s="13"/>
    </row>
    <row r="147" spans="1:15" ht="18" customHeight="1">
      <c r="A147" s="909"/>
      <c r="B147" s="909"/>
      <c r="C147" s="910">
        <f>SUM(C117:C146)</f>
        <v>31747000</v>
      </c>
      <c r="D147" s="911">
        <f>SUM(D117:D146)</f>
        <v>26310000</v>
      </c>
      <c r="E147" s="912">
        <f>D147/$C$147</f>
        <v>0.82873972343843516</v>
      </c>
      <c r="F147" s="913">
        <f>C147-D147</f>
        <v>5437000</v>
      </c>
      <c r="G147" s="914">
        <f>F147/C147</f>
        <v>0.17126027656156487</v>
      </c>
      <c r="H147" s="910">
        <f>SUM(H117:H146)</f>
        <v>31747020.329725992</v>
      </c>
      <c r="I147" s="911">
        <f>SUM(I117:I146)</f>
        <v>26309626</v>
      </c>
      <c r="J147" s="912">
        <f>I147/$C$147</f>
        <v>0.82872794279774464</v>
      </c>
      <c r="K147" s="913">
        <f>H147-I147</f>
        <v>5437394.3297259919</v>
      </c>
      <c r="L147" s="914">
        <f>K147/H147</f>
        <v>0.17127258789180741</v>
      </c>
      <c r="M147" s="13"/>
    </row>
    <row r="148" spans="1:15" ht="18" customHeight="1">
      <c r="A148" s="178" t="s">
        <v>414</v>
      </c>
      <c r="B148" s="648" t="s">
        <v>324</v>
      </c>
      <c r="C148" s="467">
        <f t="shared" ref="C148:C177" si="19">ROUND(H148,-3)</f>
        <v>30000000</v>
      </c>
      <c r="D148" s="467">
        <f t="shared" ref="D148:D177" si="20">ROUND(I148,-3)</f>
        <v>0</v>
      </c>
      <c r="E148" s="885"/>
      <c r="F148" s="262"/>
      <c r="G148" s="884"/>
      <c r="H148" s="468">
        <v>30000000</v>
      </c>
      <c r="I148" s="863"/>
      <c r="J148" s="885"/>
      <c r="K148" s="262"/>
      <c r="L148" s="884"/>
      <c r="M148" s="650"/>
    </row>
    <row r="149" spans="1:15" ht="18" customHeight="1">
      <c r="A149" s="176"/>
      <c r="B149" s="1108" t="s">
        <v>597</v>
      </c>
      <c r="C149" s="467">
        <f t="shared" si="19"/>
        <v>1569000</v>
      </c>
      <c r="D149" s="467">
        <f t="shared" si="20"/>
        <v>0</v>
      </c>
      <c r="E149" s="887"/>
      <c r="F149" s="262"/>
      <c r="G149" s="884"/>
      <c r="H149" s="652">
        <v>1569360</v>
      </c>
      <c r="I149" s="864"/>
      <c r="J149" s="887"/>
      <c r="K149" s="262"/>
      <c r="L149" s="884"/>
      <c r="M149" s="13"/>
    </row>
    <row r="150" spans="1:15" ht="18" customHeight="1">
      <c r="A150" s="178" t="s">
        <v>414</v>
      </c>
      <c r="B150" s="648" t="s">
        <v>325</v>
      </c>
      <c r="C150" s="467">
        <f t="shared" si="19"/>
        <v>13500000</v>
      </c>
      <c r="D150" s="467">
        <f t="shared" si="20"/>
        <v>0</v>
      </c>
      <c r="E150" s="885"/>
      <c r="H150" s="649">
        <v>13500000</v>
      </c>
      <c r="I150" s="863"/>
      <c r="J150" s="885"/>
      <c r="M150" s="650"/>
    </row>
    <row r="151" spans="1:15" ht="18" customHeight="1">
      <c r="A151" s="178" t="s">
        <v>414</v>
      </c>
      <c r="B151" s="651" t="s">
        <v>101</v>
      </c>
      <c r="C151" s="467">
        <f t="shared" si="19"/>
        <v>0</v>
      </c>
      <c r="D151" s="467">
        <f t="shared" si="20"/>
        <v>0</v>
      </c>
      <c r="E151" s="887"/>
      <c r="F151" s="653"/>
      <c r="G151" s="888"/>
      <c r="H151" s="652">
        <v>0</v>
      </c>
      <c r="I151" s="864"/>
      <c r="J151" s="887"/>
      <c r="K151" s="653"/>
      <c r="L151" s="888"/>
      <c r="M151" s="654"/>
    </row>
    <row r="152" spans="1:15" ht="18" customHeight="1">
      <c r="A152" s="178"/>
      <c r="B152" s="1110" t="s">
        <v>667</v>
      </c>
      <c r="C152" s="467">
        <f t="shared" si="19"/>
        <v>50000</v>
      </c>
      <c r="D152" s="467">
        <f t="shared" si="20"/>
        <v>0</v>
      </c>
      <c r="E152" s="984"/>
      <c r="F152" s="262"/>
      <c r="G152" s="884"/>
      <c r="H152" s="1111">
        <v>49889.30724916725</v>
      </c>
      <c r="I152" s="1128"/>
      <c r="J152" s="984"/>
      <c r="K152" s="262"/>
      <c r="L152" s="884"/>
      <c r="M152" s="650"/>
      <c r="N152" s="982"/>
      <c r="O152" s="982"/>
    </row>
    <row r="153" spans="1:15" ht="18" customHeight="1">
      <c r="A153" s="178" t="s">
        <v>414</v>
      </c>
      <c r="B153" s="648" t="s">
        <v>465</v>
      </c>
      <c r="C153" s="467">
        <f t="shared" si="19"/>
        <v>0</v>
      </c>
      <c r="D153" s="467">
        <f t="shared" si="20"/>
        <v>22412000</v>
      </c>
      <c r="E153" s="885">
        <f t="shared" ref="E153:E178" si="21">D153/$C$178</f>
        <v>0.49673086726212906</v>
      </c>
      <c r="F153" s="879"/>
      <c r="G153" s="884"/>
      <c r="H153" s="649"/>
      <c r="I153" s="1129">
        <v>22412000</v>
      </c>
      <c r="J153" s="885">
        <f t="shared" ref="J153:J163" si="22">I153/$C$178</f>
        <v>0.49673086726212906</v>
      </c>
      <c r="K153" s="879"/>
      <c r="L153" s="884"/>
      <c r="M153" s="13"/>
    </row>
    <row r="154" spans="1:15" ht="18" customHeight="1">
      <c r="A154" s="178" t="s">
        <v>414</v>
      </c>
      <c r="B154" s="7" t="s">
        <v>466</v>
      </c>
      <c r="C154" s="467">
        <f t="shared" si="19"/>
        <v>0</v>
      </c>
      <c r="D154" s="467">
        <f t="shared" si="20"/>
        <v>13180000</v>
      </c>
      <c r="E154" s="180">
        <f t="shared" si="21"/>
        <v>0.29211640328908001</v>
      </c>
      <c r="F154" s="879"/>
      <c r="G154" s="884"/>
      <c r="H154" s="468"/>
      <c r="I154" s="862">
        <v>13179533</v>
      </c>
      <c r="J154" s="180">
        <f t="shared" si="22"/>
        <v>0.29210605288237773</v>
      </c>
      <c r="K154" s="879"/>
      <c r="L154" s="884"/>
      <c r="M154" s="13"/>
    </row>
    <row r="155" spans="1:15" ht="18" customHeight="1">
      <c r="A155" s="178" t="s">
        <v>414</v>
      </c>
      <c r="B155" s="7" t="s">
        <v>392</v>
      </c>
      <c r="C155" s="467">
        <f t="shared" si="19"/>
        <v>0</v>
      </c>
      <c r="D155" s="467">
        <f t="shared" si="20"/>
        <v>3667000</v>
      </c>
      <c r="E155" s="180">
        <f t="shared" si="21"/>
        <v>8.1273964405239471E-2</v>
      </c>
      <c r="F155" s="262"/>
      <c r="G155" s="884"/>
      <c r="H155" s="468"/>
      <c r="I155" s="862">
        <v>3666686</v>
      </c>
      <c r="J155" s="180">
        <f t="shared" si="22"/>
        <v>8.1267005031139872E-2</v>
      </c>
      <c r="K155" s="262"/>
      <c r="L155" s="884"/>
      <c r="M155" s="13"/>
    </row>
    <row r="156" spans="1:15" ht="18" customHeight="1">
      <c r="A156" s="178" t="s">
        <v>414</v>
      </c>
      <c r="B156" s="7" t="s">
        <v>119</v>
      </c>
      <c r="C156" s="467">
        <f t="shared" si="19"/>
        <v>0</v>
      </c>
      <c r="D156" s="467">
        <f t="shared" si="20"/>
        <v>409000</v>
      </c>
      <c r="E156" s="180">
        <f t="shared" si="21"/>
        <v>9.064917218909993E-3</v>
      </c>
      <c r="F156" s="262"/>
      <c r="G156" s="884"/>
      <c r="H156" s="468"/>
      <c r="I156" s="862">
        <v>409493</v>
      </c>
      <c r="J156" s="180">
        <f t="shared" si="22"/>
        <v>9.0758438795186056E-3</v>
      </c>
      <c r="K156" s="262"/>
      <c r="L156" s="884"/>
      <c r="M156" s="13"/>
    </row>
    <row r="157" spans="1:15" ht="18" customHeight="1">
      <c r="A157" s="178" t="s">
        <v>414</v>
      </c>
      <c r="B157" s="7" t="s">
        <v>344</v>
      </c>
      <c r="C157" s="467">
        <f t="shared" si="19"/>
        <v>0</v>
      </c>
      <c r="D157" s="467">
        <f t="shared" si="20"/>
        <v>14000</v>
      </c>
      <c r="E157" s="180">
        <f t="shared" si="21"/>
        <v>3.1029056495046435E-4</v>
      </c>
      <c r="F157" s="262"/>
      <c r="G157" s="889"/>
      <c r="H157" s="468"/>
      <c r="I157" s="862">
        <v>13742</v>
      </c>
      <c r="J157" s="180">
        <f t="shared" si="22"/>
        <v>3.0457235311066291E-4</v>
      </c>
      <c r="K157" s="262"/>
      <c r="L157" s="889"/>
      <c r="M157" s="13"/>
    </row>
    <row r="158" spans="1:15" ht="18" customHeight="1">
      <c r="A158" s="178" t="s">
        <v>414</v>
      </c>
      <c r="B158" s="176" t="s">
        <v>81</v>
      </c>
      <c r="C158" s="467">
        <f t="shared" si="19"/>
        <v>0</v>
      </c>
      <c r="D158" s="467">
        <f t="shared" si="20"/>
        <v>241000</v>
      </c>
      <c r="E158" s="180">
        <f t="shared" si="21"/>
        <v>5.3414304395044219E-3</v>
      </c>
      <c r="F158" s="262"/>
      <c r="G158" s="884"/>
      <c r="H158" s="468"/>
      <c r="I158" s="862">
        <v>241034</v>
      </c>
      <c r="J158" s="180">
        <f t="shared" si="22"/>
        <v>5.3421840023050154E-3</v>
      </c>
      <c r="K158" s="262"/>
      <c r="L158" s="884"/>
      <c r="M158" s="13"/>
    </row>
    <row r="159" spans="1:15" ht="18" customHeight="1">
      <c r="A159" s="178" t="s">
        <v>414</v>
      </c>
      <c r="B159" s="176" t="s">
        <v>121</v>
      </c>
      <c r="C159" s="467">
        <f t="shared" si="19"/>
        <v>0</v>
      </c>
      <c r="D159" s="467">
        <f t="shared" si="20"/>
        <v>508000</v>
      </c>
      <c r="E159" s="180">
        <f t="shared" si="21"/>
        <v>1.125911478534542E-2</v>
      </c>
      <c r="F159" s="262"/>
      <c r="G159" s="884"/>
      <c r="H159" s="468"/>
      <c r="I159" s="862">
        <v>508148</v>
      </c>
      <c r="J159" s="180">
        <f t="shared" si="22"/>
        <v>1.1262394999889182E-2</v>
      </c>
      <c r="K159" s="262"/>
      <c r="L159" s="884"/>
      <c r="M159" s="13"/>
    </row>
    <row r="160" spans="1:15" ht="18" customHeight="1">
      <c r="A160" s="178" t="s">
        <v>414</v>
      </c>
      <c r="B160" s="176" t="s">
        <v>82</v>
      </c>
      <c r="C160" s="467">
        <f t="shared" si="19"/>
        <v>0</v>
      </c>
      <c r="D160" s="467">
        <f t="shared" si="20"/>
        <v>799000</v>
      </c>
      <c r="E160" s="180">
        <f t="shared" si="21"/>
        <v>1.7708725813958642E-2</v>
      </c>
      <c r="F160" s="262"/>
      <c r="G160" s="884"/>
      <c r="H160" s="468"/>
      <c r="I160" s="862">
        <v>799333</v>
      </c>
      <c r="J160" s="180">
        <f t="shared" si="22"/>
        <v>1.7716106296682108E-2</v>
      </c>
      <c r="K160" s="262"/>
      <c r="L160" s="884"/>
      <c r="M160" s="13"/>
    </row>
    <row r="161" spans="1:13" ht="18" customHeight="1">
      <c r="A161" s="178" t="s">
        <v>414</v>
      </c>
      <c r="B161" s="176" t="s">
        <v>122</v>
      </c>
      <c r="C161" s="467">
        <f t="shared" si="19"/>
        <v>0</v>
      </c>
      <c r="D161" s="467">
        <f t="shared" si="20"/>
        <v>0</v>
      </c>
      <c r="E161" s="180">
        <f t="shared" si="21"/>
        <v>0</v>
      </c>
      <c r="F161" s="262"/>
      <c r="G161" s="884"/>
      <c r="H161" s="468"/>
      <c r="I161" s="862">
        <v>0</v>
      </c>
      <c r="J161" s="180">
        <f t="shared" si="22"/>
        <v>0</v>
      </c>
      <c r="K161" s="262"/>
      <c r="L161" s="884"/>
      <c r="M161" s="13"/>
    </row>
    <row r="162" spans="1:13" ht="18" customHeight="1">
      <c r="A162" s="178" t="s">
        <v>414</v>
      </c>
      <c r="B162" s="176" t="s">
        <v>83</v>
      </c>
      <c r="C162" s="467">
        <f t="shared" si="19"/>
        <v>0</v>
      </c>
      <c r="D162" s="467">
        <f t="shared" si="20"/>
        <v>0</v>
      </c>
      <c r="E162" s="180">
        <f t="shared" si="21"/>
        <v>0</v>
      </c>
      <c r="F162" s="262"/>
      <c r="G162" s="884"/>
      <c r="H162" s="468"/>
      <c r="I162" s="862">
        <v>0</v>
      </c>
      <c r="J162" s="180">
        <f t="shared" si="22"/>
        <v>0</v>
      </c>
      <c r="K162" s="262"/>
      <c r="L162" s="884"/>
      <c r="M162" s="13"/>
    </row>
    <row r="163" spans="1:13" ht="18" customHeight="1">
      <c r="A163" s="178" t="s">
        <v>414</v>
      </c>
      <c r="B163" s="176" t="s">
        <v>94</v>
      </c>
      <c r="C163" s="467">
        <f t="shared" si="19"/>
        <v>0</v>
      </c>
      <c r="D163" s="467">
        <f t="shared" si="20"/>
        <v>147000</v>
      </c>
      <c r="E163" s="180">
        <f t="shared" si="21"/>
        <v>3.2580509319798754E-3</v>
      </c>
      <c r="F163" s="262"/>
      <c r="G163" s="889"/>
      <c r="H163" s="468"/>
      <c r="I163" s="862">
        <v>146708</v>
      </c>
      <c r="J163" s="180">
        <f t="shared" si="22"/>
        <v>3.2515791573394801E-3</v>
      </c>
      <c r="K163" s="262"/>
      <c r="L163" s="889"/>
      <c r="M163" s="13"/>
    </row>
    <row r="164" spans="1:13" ht="18" customHeight="1">
      <c r="A164" s="178" t="s">
        <v>414</v>
      </c>
      <c r="B164" s="176" t="s">
        <v>84</v>
      </c>
      <c r="C164" s="467">
        <f t="shared" si="19"/>
        <v>0</v>
      </c>
      <c r="D164" s="467">
        <f t="shared" si="20"/>
        <v>102000</v>
      </c>
      <c r="E164" s="180"/>
      <c r="F164" s="262"/>
      <c r="G164" s="884"/>
      <c r="H164" s="468"/>
      <c r="I164" s="862">
        <v>101600</v>
      </c>
      <c r="J164" s="180"/>
      <c r="K164" s="262"/>
      <c r="L164" s="884"/>
      <c r="M164" s="13"/>
    </row>
    <row r="165" spans="1:13" ht="18" customHeight="1">
      <c r="A165" s="178" t="s">
        <v>414</v>
      </c>
      <c r="B165" s="176" t="s">
        <v>268</v>
      </c>
      <c r="C165" s="467">
        <f t="shared" si="19"/>
        <v>0</v>
      </c>
      <c r="D165" s="467">
        <f t="shared" si="20"/>
        <v>0</v>
      </c>
      <c r="E165" s="180"/>
      <c r="F165" s="262"/>
      <c r="G165" s="884"/>
      <c r="H165" s="468"/>
      <c r="I165" s="862">
        <v>0</v>
      </c>
      <c r="J165" s="180"/>
      <c r="K165" s="262"/>
      <c r="L165" s="884"/>
      <c r="M165" s="13"/>
    </row>
    <row r="166" spans="1:13" ht="18" customHeight="1">
      <c r="A166" s="178" t="s">
        <v>414</v>
      </c>
      <c r="B166" s="176" t="s">
        <v>115</v>
      </c>
      <c r="C166" s="467">
        <f t="shared" si="19"/>
        <v>0</v>
      </c>
      <c r="D166" s="467">
        <f t="shared" si="20"/>
        <v>407000</v>
      </c>
      <c r="E166" s="180">
        <f t="shared" si="21"/>
        <v>9.0205899953456417E-3</v>
      </c>
      <c r="F166" s="262"/>
      <c r="G166" s="884"/>
      <c r="H166" s="468"/>
      <c r="I166" s="862">
        <v>406815</v>
      </c>
      <c r="J166" s="180">
        <f>I166/$C$178</f>
        <v>9.0164897271659394E-3</v>
      </c>
      <c r="K166" s="262"/>
      <c r="L166" s="884"/>
      <c r="M166" s="13"/>
    </row>
    <row r="167" spans="1:13" ht="18" customHeight="1">
      <c r="A167" s="178" t="s">
        <v>414</v>
      </c>
      <c r="B167" s="176" t="s">
        <v>85</v>
      </c>
      <c r="C167" s="467">
        <f t="shared" si="19"/>
        <v>0</v>
      </c>
      <c r="D167" s="467">
        <f t="shared" si="20"/>
        <v>233000</v>
      </c>
      <c r="E167" s="180">
        <f t="shared" si="21"/>
        <v>5.1641215452470132E-3</v>
      </c>
      <c r="F167" s="262"/>
      <c r="G167" s="884"/>
      <c r="H167" s="468"/>
      <c r="I167" s="862">
        <v>233035</v>
      </c>
      <c r="J167" s="180">
        <f>I167/$C$178</f>
        <v>5.1648972716593893E-3</v>
      </c>
      <c r="K167" s="262"/>
      <c r="L167" s="884"/>
      <c r="M167" s="13"/>
    </row>
    <row r="168" spans="1:13" ht="18" customHeight="1">
      <c r="A168" s="178" t="s">
        <v>414</v>
      </c>
      <c r="B168" s="176" t="s">
        <v>86</v>
      </c>
      <c r="C168" s="467">
        <f t="shared" si="19"/>
        <v>0</v>
      </c>
      <c r="D168" s="467">
        <f t="shared" si="20"/>
        <v>190000</v>
      </c>
      <c r="E168" s="180">
        <f t="shared" si="21"/>
        <v>4.2110862386134443E-3</v>
      </c>
      <c r="F168" s="262"/>
      <c r="G168" s="884"/>
      <c r="H168" s="468"/>
      <c r="I168" s="862">
        <v>189714</v>
      </c>
      <c r="J168" s="180">
        <f>I168/$C$178</f>
        <v>4.2047474456437424E-3</v>
      </c>
      <c r="K168" s="262"/>
      <c r="L168" s="884"/>
      <c r="M168" s="13"/>
    </row>
    <row r="169" spans="1:13" ht="18" customHeight="1">
      <c r="A169" s="178" t="s">
        <v>414</v>
      </c>
      <c r="B169" s="176" t="s">
        <v>97</v>
      </c>
      <c r="C169" s="467">
        <f t="shared" si="19"/>
        <v>0</v>
      </c>
      <c r="D169" s="467">
        <f t="shared" si="20"/>
        <v>13000</v>
      </c>
      <c r="E169" s="180">
        <f t="shared" si="21"/>
        <v>2.8812695316828832E-4</v>
      </c>
      <c r="F169" s="262"/>
      <c r="G169" s="884"/>
      <c r="H169" s="468"/>
      <c r="I169" s="862">
        <v>13000</v>
      </c>
      <c r="J169" s="180">
        <f>I169/$C$178</f>
        <v>2.8812695316828832E-4</v>
      </c>
      <c r="K169" s="262"/>
      <c r="L169" s="884"/>
      <c r="M169" s="13"/>
    </row>
    <row r="170" spans="1:13" ht="18" customHeight="1">
      <c r="A170" s="178" t="s">
        <v>414</v>
      </c>
      <c r="B170" s="176" t="s">
        <v>87</v>
      </c>
      <c r="C170" s="467">
        <f t="shared" si="19"/>
        <v>0</v>
      </c>
      <c r="D170" s="467">
        <f t="shared" si="20"/>
        <v>28000</v>
      </c>
      <c r="E170" s="180">
        <f t="shared" si="21"/>
        <v>6.205811299009287E-4</v>
      </c>
      <c r="F170" s="262"/>
      <c r="G170" s="884"/>
      <c r="H170" s="468"/>
      <c r="I170" s="862">
        <v>27624</v>
      </c>
      <c r="J170" s="180">
        <f>I170/$C$178</f>
        <v>6.1224761187083049E-4</v>
      </c>
      <c r="K170" s="262"/>
      <c r="L170" s="884"/>
      <c r="M170" s="13"/>
    </row>
    <row r="171" spans="1:13" ht="18" customHeight="1">
      <c r="A171" s="178" t="s">
        <v>414</v>
      </c>
      <c r="B171" s="176" t="s">
        <v>161</v>
      </c>
      <c r="C171" s="467">
        <f t="shared" si="19"/>
        <v>0</v>
      </c>
      <c r="D171" s="467">
        <f t="shared" si="20"/>
        <v>0</v>
      </c>
      <c r="E171" s="180"/>
      <c r="F171" s="262"/>
      <c r="G171" s="884"/>
      <c r="H171" s="468"/>
      <c r="I171" s="862">
        <v>0</v>
      </c>
      <c r="J171" s="180"/>
      <c r="K171" s="262"/>
      <c r="L171" s="884"/>
      <c r="M171" s="13"/>
    </row>
    <row r="172" spans="1:13" ht="18" customHeight="1">
      <c r="A172" s="178" t="s">
        <v>414</v>
      </c>
      <c r="B172" s="176" t="s">
        <v>88</v>
      </c>
      <c r="C172" s="467">
        <f t="shared" si="19"/>
        <v>0</v>
      </c>
      <c r="D172" s="467">
        <f t="shared" si="20"/>
        <v>741000</v>
      </c>
      <c r="E172" s="180">
        <f t="shared" si="21"/>
        <v>1.6423236330592433E-2</v>
      </c>
      <c r="F172" s="262"/>
      <c r="G172" s="884"/>
      <c r="H172" s="468"/>
      <c r="I172" s="862">
        <v>740741</v>
      </c>
      <c r="J172" s="180">
        <f>I172/$C$178</f>
        <v>1.6417495955140849E-2</v>
      </c>
      <c r="K172" s="262"/>
      <c r="L172" s="884"/>
      <c r="M172" s="13"/>
    </row>
    <row r="173" spans="1:13" ht="18" customHeight="1">
      <c r="A173" s="178" t="s">
        <v>414</v>
      </c>
      <c r="B173" s="176" t="s">
        <v>125</v>
      </c>
      <c r="C173" s="467">
        <f t="shared" si="19"/>
        <v>0</v>
      </c>
      <c r="D173" s="467">
        <f t="shared" si="20"/>
        <v>3000</v>
      </c>
      <c r="E173" s="180"/>
      <c r="F173" s="262"/>
      <c r="G173" s="884"/>
      <c r="H173" s="468"/>
      <c r="I173" s="862">
        <v>3000</v>
      </c>
      <c r="J173" s="180"/>
      <c r="K173" s="262"/>
      <c r="L173" s="884"/>
      <c r="M173" s="13"/>
    </row>
    <row r="174" spans="1:13" ht="18" customHeight="1">
      <c r="A174" s="178" t="s">
        <v>414</v>
      </c>
      <c r="B174" s="176" t="s">
        <v>105</v>
      </c>
      <c r="C174" s="467">
        <f t="shared" si="19"/>
        <v>0</v>
      </c>
      <c r="D174" s="467">
        <f t="shared" si="20"/>
        <v>0</v>
      </c>
      <c r="E174" s="180">
        <f t="shared" si="21"/>
        <v>0</v>
      </c>
      <c r="F174" s="262"/>
      <c r="G174" s="884"/>
      <c r="H174" s="468"/>
      <c r="I174" s="862">
        <v>0</v>
      </c>
      <c r="J174" s="180">
        <f>I174/$C$178</f>
        <v>0</v>
      </c>
      <c r="K174" s="262"/>
      <c r="L174" s="884"/>
      <c r="M174" s="13"/>
    </row>
    <row r="175" spans="1:13" ht="18" customHeight="1">
      <c r="A175" s="178" t="s">
        <v>414</v>
      </c>
      <c r="B175" s="176" t="s">
        <v>89</v>
      </c>
      <c r="C175" s="467">
        <f t="shared" si="19"/>
        <v>0</v>
      </c>
      <c r="D175" s="467">
        <f t="shared" si="20"/>
        <v>600000</v>
      </c>
      <c r="E175" s="180">
        <f t="shared" si="21"/>
        <v>1.3298167069305615E-2</v>
      </c>
      <c r="F175" s="262"/>
      <c r="G175" s="884"/>
      <c r="H175" s="468"/>
      <c r="I175" s="862">
        <v>600000</v>
      </c>
      <c r="J175" s="180">
        <f>I175/$C$178</f>
        <v>1.3298167069305615E-2</v>
      </c>
      <c r="K175" s="262"/>
      <c r="L175" s="884"/>
      <c r="M175" s="13"/>
    </row>
    <row r="176" spans="1:13" ht="18" customHeight="1">
      <c r="A176" s="178" t="s">
        <v>414</v>
      </c>
      <c r="B176" s="176" t="s">
        <v>362</v>
      </c>
      <c r="C176" s="467">
        <f t="shared" si="19"/>
        <v>0</v>
      </c>
      <c r="D176" s="467">
        <f t="shared" si="20"/>
        <v>0</v>
      </c>
      <c r="E176" s="180"/>
      <c r="F176" s="262"/>
      <c r="G176" s="884"/>
      <c r="H176" s="468"/>
      <c r="I176" s="862">
        <v>0</v>
      </c>
      <c r="J176" s="180"/>
      <c r="K176" s="262"/>
      <c r="L176" s="884"/>
      <c r="M176" s="13"/>
    </row>
    <row r="177" spans="1:13" ht="18" customHeight="1">
      <c r="A177" s="178" t="s">
        <v>414</v>
      </c>
      <c r="B177" s="176" t="s">
        <v>90</v>
      </c>
      <c r="C177" s="467">
        <f t="shared" si="19"/>
        <v>0</v>
      </c>
      <c r="D177" s="467">
        <f t="shared" si="20"/>
        <v>0</v>
      </c>
      <c r="E177" s="180">
        <f t="shared" si="21"/>
        <v>0</v>
      </c>
      <c r="F177" s="994"/>
      <c r="G177" s="884"/>
      <c r="H177" s="468"/>
      <c r="I177" s="862">
        <v>0</v>
      </c>
      <c r="J177" s="180">
        <f>I177/$C$178</f>
        <v>0</v>
      </c>
      <c r="K177" s="994"/>
      <c r="L177" s="884"/>
      <c r="M177" s="13"/>
    </row>
    <row r="178" spans="1:13" ht="18" customHeight="1">
      <c r="A178" s="908" t="s">
        <v>91</v>
      </c>
      <c r="B178" s="909"/>
      <c r="C178" s="910">
        <f>SUM(C148:C177)</f>
        <v>45119000</v>
      </c>
      <c r="D178" s="911">
        <f>SUM(D148:D177)</f>
        <v>43694000</v>
      </c>
      <c r="E178" s="912">
        <f t="shared" si="21"/>
        <v>0.96841685321039916</v>
      </c>
      <c r="F178" s="913">
        <f>C178-D178</f>
        <v>1425000</v>
      </c>
      <c r="G178" s="914">
        <f>F178/C178</f>
        <v>3.1583146789600836E-2</v>
      </c>
      <c r="H178" s="910">
        <f>SUM(H148:H177)</f>
        <v>45119249.307249166</v>
      </c>
      <c r="I178" s="911">
        <f>SUM(I148:I177)</f>
        <v>43692206</v>
      </c>
      <c r="J178" s="912">
        <f>I178/$C$178</f>
        <v>0.96837709169086195</v>
      </c>
      <c r="K178" s="913">
        <f>H178-I178</f>
        <v>1427043.3072491661</v>
      </c>
      <c r="L178" s="914">
        <f>K178/H178</f>
        <v>3.1628259094724956E-2</v>
      </c>
      <c r="M178" s="13"/>
    </row>
    <row r="179" spans="1:13" ht="18" customHeight="1">
      <c r="A179" s="174" t="s">
        <v>418</v>
      </c>
      <c r="B179" s="174" t="s">
        <v>419</v>
      </c>
      <c r="C179" s="467">
        <f t="shared" ref="C179:C204" si="23">ROUND(H179,-3)</f>
        <v>12864000</v>
      </c>
      <c r="D179" s="467">
        <f t="shared" ref="D179:D204" si="24">ROUND(I179,-3)</f>
        <v>0</v>
      </c>
      <c r="E179" s="883"/>
      <c r="F179" s="262"/>
      <c r="G179" s="884"/>
      <c r="H179" s="649">
        <v>12864000</v>
      </c>
      <c r="I179" s="863"/>
      <c r="J179" s="883"/>
      <c r="K179" s="262"/>
      <c r="L179" s="884"/>
      <c r="M179" s="13"/>
    </row>
    <row r="180" spans="1:13" ht="18" customHeight="1">
      <c r="A180" s="174" t="s">
        <v>418</v>
      </c>
      <c r="B180" s="174" t="s">
        <v>667</v>
      </c>
      <c r="C180" s="467">
        <f t="shared" si="23"/>
        <v>12383000</v>
      </c>
      <c r="D180" s="467">
        <f t="shared" si="24"/>
        <v>0</v>
      </c>
      <c r="E180" s="883"/>
      <c r="F180" s="262"/>
      <c r="G180" s="884"/>
      <c r="H180" s="649">
        <v>12383298</v>
      </c>
      <c r="I180" s="863"/>
      <c r="J180" s="883"/>
      <c r="K180" s="262"/>
      <c r="L180" s="884"/>
      <c r="M180" s="13"/>
    </row>
    <row r="181" spans="1:13" ht="18" customHeight="1">
      <c r="A181" s="174" t="s">
        <v>418</v>
      </c>
      <c r="B181" s="7" t="s">
        <v>331</v>
      </c>
      <c r="C181" s="467">
        <f t="shared" si="23"/>
        <v>0</v>
      </c>
      <c r="D181" s="467">
        <f t="shared" si="24"/>
        <v>3795000</v>
      </c>
      <c r="E181" s="180">
        <f t="shared" ref="E181:E187" si="25">D181/$C$205</f>
        <v>0.15031488889769082</v>
      </c>
      <c r="F181" s="262"/>
      <c r="G181" s="884"/>
      <c r="H181" s="468"/>
      <c r="I181" s="862">
        <v>3795202</v>
      </c>
      <c r="J181" s="180">
        <f t="shared" ref="J181:J187" si="26">I181/$C$205</f>
        <v>0.15032288984829881</v>
      </c>
      <c r="K181" s="262"/>
      <c r="L181" s="884"/>
      <c r="M181" s="13"/>
    </row>
    <row r="182" spans="1:13" ht="18" customHeight="1">
      <c r="A182" s="174" t="s">
        <v>418</v>
      </c>
      <c r="B182" s="7" t="s">
        <v>392</v>
      </c>
      <c r="C182" s="467">
        <f t="shared" si="23"/>
        <v>0</v>
      </c>
      <c r="D182" s="467">
        <f t="shared" si="24"/>
        <v>357000</v>
      </c>
      <c r="E182" s="180">
        <f t="shared" si="25"/>
        <v>1.4140293896304511E-2</v>
      </c>
      <c r="F182" s="262"/>
      <c r="G182" s="884"/>
      <c r="H182" s="468"/>
      <c r="I182" s="862">
        <v>357017</v>
      </c>
      <c r="J182" s="180">
        <f t="shared" si="26"/>
        <v>1.4140967243632906E-2</v>
      </c>
      <c r="K182" s="262"/>
      <c r="L182" s="884"/>
      <c r="M182" s="13"/>
    </row>
    <row r="183" spans="1:13" ht="18" customHeight="1">
      <c r="A183" s="174" t="s">
        <v>418</v>
      </c>
      <c r="B183" s="7" t="s">
        <v>119</v>
      </c>
      <c r="C183" s="467">
        <f t="shared" si="23"/>
        <v>0</v>
      </c>
      <c r="D183" s="467">
        <f t="shared" si="24"/>
        <v>62000</v>
      </c>
      <c r="E183" s="180">
        <f t="shared" si="25"/>
        <v>2.4557373153245932E-3</v>
      </c>
      <c r="F183" s="262"/>
      <c r="G183" s="884"/>
      <c r="H183" s="468"/>
      <c r="I183" s="862">
        <v>62185</v>
      </c>
      <c r="J183" s="180">
        <f t="shared" si="26"/>
        <v>2.4630649186041906E-3</v>
      </c>
      <c r="K183" s="262"/>
      <c r="L183" s="884"/>
      <c r="M183" s="13"/>
    </row>
    <row r="184" spans="1:13" ht="18" customHeight="1">
      <c r="A184" s="174" t="s">
        <v>418</v>
      </c>
      <c r="B184" s="7" t="s">
        <v>344</v>
      </c>
      <c r="C184" s="467">
        <f t="shared" si="23"/>
        <v>0</v>
      </c>
      <c r="D184" s="467">
        <f t="shared" si="24"/>
        <v>1000</v>
      </c>
      <c r="E184" s="180">
        <f t="shared" si="25"/>
        <v>3.960866637620311E-5</v>
      </c>
      <c r="F184" s="262"/>
      <c r="G184" s="884"/>
      <c r="H184" s="468"/>
      <c r="I184" s="862">
        <v>972</v>
      </c>
      <c r="J184" s="180">
        <f t="shared" si="26"/>
        <v>3.8499623717669423E-5</v>
      </c>
      <c r="K184" s="262"/>
      <c r="L184" s="884"/>
      <c r="M184" s="13"/>
    </row>
    <row r="185" spans="1:13" ht="18" customHeight="1">
      <c r="A185" s="174" t="s">
        <v>418</v>
      </c>
      <c r="B185" s="593" t="s">
        <v>81</v>
      </c>
      <c r="C185" s="467">
        <f t="shared" si="23"/>
        <v>0</v>
      </c>
      <c r="D185" s="467">
        <f t="shared" si="24"/>
        <v>2179000</v>
      </c>
      <c r="E185" s="180">
        <f t="shared" si="25"/>
        <v>8.6307284033746587E-2</v>
      </c>
      <c r="F185" s="262"/>
      <c r="G185" s="884"/>
      <c r="H185" s="468"/>
      <c r="I185" s="862">
        <v>2178980</v>
      </c>
      <c r="J185" s="180">
        <f t="shared" si="26"/>
        <v>8.6306491860419055E-2</v>
      </c>
      <c r="K185" s="262"/>
      <c r="L185" s="884"/>
      <c r="M185" s="13"/>
    </row>
    <row r="186" spans="1:13" ht="18" customHeight="1">
      <c r="A186" s="174" t="s">
        <v>418</v>
      </c>
      <c r="B186" s="593" t="s">
        <v>121</v>
      </c>
      <c r="C186" s="467">
        <f t="shared" si="23"/>
        <v>0</v>
      </c>
      <c r="D186" s="467">
        <f t="shared" si="24"/>
        <v>2000</v>
      </c>
      <c r="E186" s="180">
        <f t="shared" si="25"/>
        <v>7.921733275240622E-5</v>
      </c>
      <c r="F186" s="262"/>
      <c r="G186" s="884"/>
      <c r="H186" s="468"/>
      <c r="I186" s="862">
        <v>1630</v>
      </c>
      <c r="J186" s="180">
        <f t="shared" si="26"/>
        <v>6.4562126193211069E-5</v>
      </c>
      <c r="K186" s="262"/>
      <c r="L186" s="884"/>
      <c r="M186" s="13"/>
    </row>
    <row r="187" spans="1:13" ht="18" customHeight="1">
      <c r="A187" s="174" t="s">
        <v>418</v>
      </c>
      <c r="B187" s="593" t="s">
        <v>82</v>
      </c>
      <c r="C187" s="467">
        <f t="shared" si="23"/>
        <v>0</v>
      </c>
      <c r="D187" s="467">
        <f t="shared" si="24"/>
        <v>325000</v>
      </c>
      <c r="E187" s="180">
        <f t="shared" si="25"/>
        <v>1.2872816572266011E-2</v>
      </c>
      <c r="F187" s="262"/>
      <c r="G187" s="884"/>
      <c r="H187" s="468"/>
      <c r="I187" s="862">
        <v>324935</v>
      </c>
      <c r="J187" s="180">
        <f t="shared" si="26"/>
        <v>1.2870242008951559E-2</v>
      </c>
      <c r="K187" s="262"/>
      <c r="L187" s="884"/>
      <c r="M187" s="13"/>
    </row>
    <row r="188" spans="1:13" ht="18" customHeight="1">
      <c r="A188" s="174" t="s">
        <v>418</v>
      </c>
      <c r="B188" s="593" t="s">
        <v>122</v>
      </c>
      <c r="C188" s="467">
        <f t="shared" si="23"/>
        <v>0</v>
      </c>
      <c r="D188" s="467">
        <f t="shared" si="24"/>
        <v>1000</v>
      </c>
      <c r="E188" s="180"/>
      <c r="F188" s="262"/>
      <c r="G188" s="884"/>
      <c r="H188" s="468"/>
      <c r="I188" s="862">
        <v>540</v>
      </c>
      <c r="J188" s="180"/>
      <c r="K188" s="262"/>
      <c r="L188" s="884"/>
      <c r="M188" s="13"/>
    </row>
    <row r="189" spans="1:13" ht="18" customHeight="1">
      <c r="A189" s="174" t="s">
        <v>418</v>
      </c>
      <c r="B189" s="593" t="s">
        <v>83</v>
      </c>
      <c r="C189" s="467">
        <f t="shared" si="23"/>
        <v>0</v>
      </c>
      <c r="D189" s="467">
        <f t="shared" si="24"/>
        <v>18000</v>
      </c>
      <c r="E189" s="180">
        <f>D189/$C$205</f>
        <v>7.1295599477165603E-4</v>
      </c>
      <c r="F189" s="262"/>
      <c r="G189" s="884"/>
      <c r="H189" s="468"/>
      <c r="I189" s="862">
        <v>17780</v>
      </c>
      <c r="J189" s="180">
        <f>I189/$C$205</f>
        <v>7.0424208816889135E-4</v>
      </c>
      <c r="K189" s="262"/>
      <c r="L189" s="884"/>
      <c r="M189" s="13"/>
    </row>
    <row r="190" spans="1:13" ht="18" customHeight="1">
      <c r="A190" s="174" t="s">
        <v>418</v>
      </c>
      <c r="B190" s="593" t="s">
        <v>94</v>
      </c>
      <c r="C190" s="467">
        <f t="shared" si="23"/>
        <v>0</v>
      </c>
      <c r="D190" s="467">
        <f t="shared" si="24"/>
        <v>0</v>
      </c>
      <c r="E190" s="180">
        <f>D190/$C$205</f>
        <v>0</v>
      </c>
      <c r="F190" s="262"/>
      <c r="G190" s="884"/>
      <c r="H190" s="468"/>
      <c r="I190" s="862">
        <v>0</v>
      </c>
      <c r="J190" s="180">
        <f>I190/$C$205</f>
        <v>0</v>
      </c>
      <c r="K190" s="262"/>
      <c r="L190" s="884"/>
      <c r="M190" s="13"/>
    </row>
    <row r="191" spans="1:13" ht="18" customHeight="1">
      <c r="A191" s="174" t="s">
        <v>418</v>
      </c>
      <c r="B191" s="593" t="s">
        <v>84</v>
      </c>
      <c r="C191" s="467">
        <f t="shared" si="23"/>
        <v>0</v>
      </c>
      <c r="D191" s="467">
        <f t="shared" si="24"/>
        <v>0</v>
      </c>
      <c r="E191" s="180"/>
      <c r="F191" s="262"/>
      <c r="G191" s="884"/>
      <c r="H191" s="468"/>
      <c r="I191" s="862">
        <v>0</v>
      </c>
      <c r="J191" s="180"/>
      <c r="K191" s="262"/>
      <c r="L191" s="884"/>
      <c r="M191" s="13"/>
    </row>
    <row r="192" spans="1:13" ht="18" customHeight="1">
      <c r="A192" s="174" t="s">
        <v>418</v>
      </c>
      <c r="B192" s="593" t="s">
        <v>123</v>
      </c>
      <c r="C192" s="467">
        <f t="shared" si="23"/>
        <v>0</v>
      </c>
      <c r="D192" s="467">
        <f t="shared" si="24"/>
        <v>0</v>
      </c>
      <c r="E192" s="180"/>
      <c r="F192" s="262"/>
      <c r="G192" s="884"/>
      <c r="H192" s="468"/>
      <c r="I192" s="862"/>
      <c r="J192" s="180"/>
      <c r="K192" s="262"/>
      <c r="L192" s="884"/>
      <c r="M192" s="13"/>
    </row>
    <row r="193" spans="1:13" ht="18" customHeight="1">
      <c r="A193" s="174" t="s">
        <v>418</v>
      </c>
      <c r="B193" s="593" t="s">
        <v>115</v>
      </c>
      <c r="C193" s="467">
        <f t="shared" si="23"/>
        <v>0</v>
      </c>
      <c r="D193" s="467">
        <f t="shared" si="24"/>
        <v>15000</v>
      </c>
      <c r="E193" s="180">
        <f>D193/$C$205</f>
        <v>5.9412999564304673E-4</v>
      </c>
      <c r="F193" s="262"/>
      <c r="G193" s="884"/>
      <c r="H193" s="468"/>
      <c r="I193" s="862">
        <v>15346</v>
      </c>
      <c r="J193" s="180">
        <f>I193/$C$205</f>
        <v>6.07834594209213E-4</v>
      </c>
      <c r="K193" s="262"/>
      <c r="L193" s="884"/>
      <c r="M193" s="13"/>
    </row>
    <row r="194" spans="1:13" ht="18" customHeight="1">
      <c r="A194" s="174" t="s">
        <v>418</v>
      </c>
      <c r="B194" s="593" t="s">
        <v>85</v>
      </c>
      <c r="C194" s="467">
        <f t="shared" si="23"/>
        <v>0</v>
      </c>
      <c r="D194" s="467">
        <f t="shared" si="24"/>
        <v>272000</v>
      </c>
      <c r="E194" s="180">
        <f>D194/$C$205</f>
        <v>1.0773557254327246E-2</v>
      </c>
      <c r="F194" s="262"/>
      <c r="G194" s="884"/>
      <c r="H194" s="468"/>
      <c r="I194" s="862">
        <v>272347</v>
      </c>
      <c r="J194" s="180">
        <f>I194/$C$205</f>
        <v>1.078730146155979E-2</v>
      </c>
      <c r="K194" s="262"/>
      <c r="L194" s="884"/>
      <c r="M194" s="13"/>
    </row>
    <row r="195" spans="1:13" ht="18" customHeight="1">
      <c r="A195" s="174" t="s">
        <v>418</v>
      </c>
      <c r="B195" s="593" t="s">
        <v>86</v>
      </c>
      <c r="C195" s="467">
        <f t="shared" si="23"/>
        <v>0</v>
      </c>
      <c r="D195" s="467">
        <f t="shared" si="24"/>
        <v>8218000</v>
      </c>
      <c r="E195" s="180">
        <f>D195/$C$205</f>
        <v>0.32550402027963721</v>
      </c>
      <c r="F195" s="262"/>
      <c r="G195" s="884"/>
      <c r="H195" s="468"/>
      <c r="I195" s="862">
        <v>8218410</v>
      </c>
      <c r="J195" s="180">
        <f>I195/$C$205</f>
        <v>0.32552025983285143</v>
      </c>
      <c r="K195" s="262"/>
      <c r="L195" s="884"/>
      <c r="M195" s="13"/>
    </row>
    <row r="196" spans="1:13" ht="18" customHeight="1">
      <c r="A196" s="174" t="s">
        <v>418</v>
      </c>
      <c r="B196" s="593" t="s">
        <v>97</v>
      </c>
      <c r="C196" s="467">
        <f t="shared" si="23"/>
        <v>0</v>
      </c>
      <c r="D196" s="467">
        <f t="shared" si="24"/>
        <v>6000</v>
      </c>
      <c r="E196" s="180">
        <f>D196/$C$205</f>
        <v>2.3765199825721869E-4</v>
      </c>
      <c r="F196" s="262"/>
      <c r="G196" s="884"/>
      <c r="H196" s="468"/>
      <c r="I196" s="862">
        <v>6000</v>
      </c>
      <c r="J196" s="180">
        <f>I196/$C$205</f>
        <v>2.3765199825721869E-4</v>
      </c>
      <c r="K196" s="262"/>
      <c r="L196" s="884"/>
      <c r="M196" s="13"/>
    </row>
    <row r="197" spans="1:13" ht="18" customHeight="1">
      <c r="A197" s="174" t="s">
        <v>418</v>
      </c>
      <c r="B197" s="593" t="s">
        <v>87</v>
      </c>
      <c r="C197" s="467">
        <f t="shared" si="23"/>
        <v>0</v>
      </c>
      <c r="D197" s="467">
        <f t="shared" si="24"/>
        <v>0</v>
      </c>
      <c r="E197" s="180"/>
      <c r="F197" s="262"/>
      <c r="G197" s="884"/>
      <c r="H197" s="468"/>
      <c r="I197" s="862">
        <v>0</v>
      </c>
      <c r="J197" s="180"/>
      <c r="K197" s="262"/>
      <c r="L197" s="884"/>
      <c r="M197" s="13"/>
    </row>
    <row r="198" spans="1:13" ht="18" customHeight="1">
      <c r="A198" s="174" t="s">
        <v>418</v>
      </c>
      <c r="B198" s="593" t="s">
        <v>161</v>
      </c>
      <c r="C198" s="467">
        <f t="shared" si="23"/>
        <v>0</v>
      </c>
      <c r="D198" s="467">
        <f t="shared" si="24"/>
        <v>0</v>
      </c>
      <c r="E198" s="180"/>
      <c r="F198" s="262"/>
      <c r="G198" s="884"/>
      <c r="H198" s="468"/>
      <c r="I198" s="862">
        <v>0</v>
      </c>
      <c r="J198" s="180"/>
      <c r="K198" s="262"/>
      <c r="L198" s="884"/>
      <c r="M198" s="13"/>
    </row>
    <row r="199" spans="1:13" ht="18" customHeight="1">
      <c r="A199" s="174" t="s">
        <v>418</v>
      </c>
      <c r="B199" s="593" t="s">
        <v>88</v>
      </c>
      <c r="C199" s="467">
        <f t="shared" si="23"/>
        <v>0</v>
      </c>
      <c r="D199" s="467">
        <f t="shared" si="24"/>
        <v>24000</v>
      </c>
      <c r="E199" s="180"/>
      <c r="F199" s="262"/>
      <c r="G199" s="884"/>
      <c r="H199" s="468"/>
      <c r="I199" s="862">
        <v>23917</v>
      </c>
      <c r="J199" s="180"/>
      <c r="K199" s="262"/>
      <c r="L199" s="884"/>
      <c r="M199" s="13"/>
    </row>
    <row r="200" spans="1:13" ht="18" customHeight="1">
      <c r="A200" s="174" t="s">
        <v>418</v>
      </c>
      <c r="B200" s="593" t="s">
        <v>125</v>
      </c>
      <c r="C200" s="467">
        <f t="shared" si="23"/>
        <v>0</v>
      </c>
      <c r="D200" s="467">
        <f t="shared" si="24"/>
        <v>0</v>
      </c>
      <c r="E200" s="180">
        <f>D200/$C$205</f>
        <v>0</v>
      </c>
      <c r="F200" s="262"/>
      <c r="G200" s="884"/>
      <c r="H200" s="468"/>
      <c r="I200" s="862">
        <v>0</v>
      </c>
      <c r="J200" s="180">
        <f>I200/$C$205</f>
        <v>0</v>
      </c>
      <c r="K200" s="262"/>
      <c r="L200" s="884"/>
      <c r="M200" s="13"/>
    </row>
    <row r="201" spans="1:13" ht="18" customHeight="1">
      <c r="A201" s="174" t="s">
        <v>418</v>
      </c>
      <c r="B201" s="593" t="s">
        <v>105</v>
      </c>
      <c r="C201" s="467">
        <f t="shared" si="23"/>
        <v>0</v>
      </c>
      <c r="D201" s="467">
        <f t="shared" si="24"/>
        <v>0</v>
      </c>
      <c r="E201" s="180">
        <f>D201/$C$205</f>
        <v>0</v>
      </c>
      <c r="F201" s="262"/>
      <c r="G201" s="884"/>
      <c r="H201" s="468"/>
      <c r="I201" s="862">
        <v>0</v>
      </c>
      <c r="J201" s="180">
        <f>I201/$C$205</f>
        <v>0</v>
      </c>
      <c r="K201" s="262"/>
      <c r="L201" s="884"/>
      <c r="M201" s="13"/>
    </row>
    <row r="202" spans="1:13" ht="18" customHeight="1">
      <c r="A202" s="174" t="s">
        <v>418</v>
      </c>
      <c r="B202" s="593" t="s">
        <v>89</v>
      </c>
      <c r="C202" s="467">
        <f t="shared" si="23"/>
        <v>0</v>
      </c>
      <c r="D202" s="467">
        <f t="shared" si="24"/>
        <v>9120000</v>
      </c>
      <c r="E202" s="180">
        <f>D202/$C$205</f>
        <v>0.36123103735097239</v>
      </c>
      <c r="F202" s="262"/>
      <c r="G202" s="884"/>
      <c r="H202" s="468"/>
      <c r="I202" s="862">
        <v>9120000</v>
      </c>
      <c r="J202" s="180">
        <f>I202/$C$205</f>
        <v>0.36123103735097239</v>
      </c>
      <c r="K202" s="262"/>
      <c r="L202" s="884"/>
      <c r="M202" s="13"/>
    </row>
    <row r="203" spans="1:13" ht="18" customHeight="1">
      <c r="A203" s="174" t="s">
        <v>418</v>
      </c>
      <c r="B203" s="593" t="s">
        <v>362</v>
      </c>
      <c r="C203" s="467">
        <f t="shared" si="23"/>
        <v>0</v>
      </c>
      <c r="D203" s="467">
        <f t="shared" si="24"/>
        <v>0</v>
      </c>
      <c r="E203" s="180"/>
      <c r="F203" s="262"/>
      <c r="G203" s="884"/>
      <c r="H203" s="468"/>
      <c r="I203" s="862">
        <v>0</v>
      </c>
      <c r="J203" s="180"/>
      <c r="K203" s="262"/>
      <c r="L203" s="884"/>
      <c r="M203" s="13"/>
    </row>
    <row r="204" spans="1:13" ht="18" customHeight="1">
      <c r="A204" s="174" t="s">
        <v>418</v>
      </c>
      <c r="B204" s="593" t="s">
        <v>90</v>
      </c>
      <c r="C204" s="467">
        <f t="shared" si="23"/>
        <v>0</v>
      </c>
      <c r="D204" s="467">
        <f t="shared" si="24"/>
        <v>0</v>
      </c>
      <c r="E204" s="180">
        <f>D204/$C$205</f>
        <v>0</v>
      </c>
      <c r="F204" s="994"/>
      <c r="G204" s="884"/>
      <c r="H204" s="468"/>
      <c r="I204" s="862">
        <v>0</v>
      </c>
      <c r="J204" s="180">
        <f>I204/$C$205</f>
        <v>0</v>
      </c>
      <c r="K204" s="994"/>
      <c r="L204" s="884"/>
      <c r="M204" s="13"/>
    </row>
    <row r="205" spans="1:13" ht="18" customHeight="1">
      <c r="A205" s="917" t="s">
        <v>91</v>
      </c>
      <c r="B205" s="918"/>
      <c r="C205" s="920">
        <f>SUM(C179:C204)</f>
        <v>25247000</v>
      </c>
      <c r="D205" s="921">
        <f>SUM(D179:D204)</f>
        <v>24395000</v>
      </c>
      <c r="E205" s="922">
        <f>D205/$C$205</f>
        <v>0.96625341624747496</v>
      </c>
      <c r="F205" s="913">
        <f>C205-D205</f>
        <v>852000</v>
      </c>
      <c r="G205" s="914">
        <f>F205/C205</f>
        <v>3.3746583752525053E-2</v>
      </c>
      <c r="H205" s="920">
        <f>SUM(H179:H204)</f>
        <v>25247298</v>
      </c>
      <c r="I205" s="921">
        <f>SUM(I179:I204)</f>
        <v>24395261</v>
      </c>
      <c r="J205" s="922">
        <f>I205/$C$205</f>
        <v>0.96626375410939913</v>
      </c>
      <c r="K205" s="913">
        <f>H205-I205</f>
        <v>852037</v>
      </c>
      <c r="L205" s="914">
        <f>K205/H205</f>
        <v>3.3747650936745782E-2</v>
      </c>
      <c r="M205" s="13"/>
    </row>
    <row r="206" spans="1:13" ht="18" customHeight="1">
      <c r="A206" s="174" t="s">
        <v>616</v>
      </c>
      <c r="B206" s="174" t="s">
        <v>233</v>
      </c>
      <c r="C206" s="467">
        <f t="shared" ref="C206:C231" si="27">ROUND(H206,-3)</f>
        <v>7543000</v>
      </c>
      <c r="D206" s="467">
        <f t="shared" ref="D206:D231" si="28">ROUND(I206,-3)</f>
        <v>0</v>
      </c>
      <c r="E206" s="883"/>
      <c r="F206" s="262"/>
      <c r="G206" s="884"/>
      <c r="H206" s="649">
        <v>7543343</v>
      </c>
      <c r="I206" s="863"/>
      <c r="J206" s="883"/>
      <c r="K206" s="262"/>
      <c r="L206" s="884"/>
      <c r="M206" s="13"/>
    </row>
    <row r="207" spans="1:13" ht="18" customHeight="1">
      <c r="A207" s="174" t="s">
        <v>616</v>
      </c>
      <c r="B207" s="174" t="s">
        <v>388</v>
      </c>
      <c r="C207" s="467">
        <f t="shared" si="27"/>
        <v>0</v>
      </c>
      <c r="D207" s="467">
        <f t="shared" si="28"/>
        <v>0</v>
      </c>
      <c r="E207" s="883"/>
      <c r="F207" s="262"/>
      <c r="G207" s="884"/>
      <c r="H207" s="649">
        <v>0</v>
      </c>
      <c r="I207" s="863"/>
      <c r="J207" s="883"/>
      <c r="K207" s="262"/>
      <c r="L207" s="884"/>
      <c r="M207" s="13"/>
    </row>
    <row r="208" spans="1:13" ht="18" customHeight="1">
      <c r="A208" s="174" t="s">
        <v>616</v>
      </c>
      <c r="B208" s="7" t="s">
        <v>331</v>
      </c>
      <c r="C208" s="467">
        <f t="shared" si="27"/>
        <v>0</v>
      </c>
      <c r="D208" s="467">
        <f t="shared" si="28"/>
        <v>0</v>
      </c>
      <c r="E208" s="180">
        <f t="shared" ref="E208:E214" si="29">D208/$C$232</f>
        <v>0</v>
      </c>
      <c r="F208" s="262"/>
      <c r="G208" s="884"/>
      <c r="H208" s="468"/>
      <c r="I208" s="862">
        <v>0</v>
      </c>
      <c r="J208" s="180">
        <f t="shared" ref="J208:J214" si="30">I208/$C$232</f>
        <v>0</v>
      </c>
      <c r="K208" s="262"/>
      <c r="L208" s="884"/>
      <c r="M208" s="13"/>
    </row>
    <row r="209" spans="1:13" ht="18" customHeight="1">
      <c r="A209" s="174" t="s">
        <v>616</v>
      </c>
      <c r="B209" s="7" t="s">
        <v>392</v>
      </c>
      <c r="C209" s="467">
        <f t="shared" si="27"/>
        <v>0</v>
      </c>
      <c r="D209" s="467">
        <f t="shared" si="28"/>
        <v>285000</v>
      </c>
      <c r="E209" s="180">
        <f t="shared" si="29"/>
        <v>3.7783375314861464E-2</v>
      </c>
      <c r="F209" s="262"/>
      <c r="G209" s="884"/>
      <c r="H209" s="468"/>
      <c r="I209" s="862">
        <v>285454</v>
      </c>
      <c r="J209" s="180">
        <f t="shared" si="30"/>
        <v>3.7843563568871801E-2</v>
      </c>
      <c r="K209" s="262"/>
      <c r="L209" s="884"/>
      <c r="M209" s="13"/>
    </row>
    <row r="210" spans="1:13" ht="18" customHeight="1">
      <c r="A210" s="174" t="s">
        <v>616</v>
      </c>
      <c r="B210" s="7" t="s">
        <v>119</v>
      </c>
      <c r="C210" s="467">
        <f t="shared" si="27"/>
        <v>0</v>
      </c>
      <c r="D210" s="467">
        <f t="shared" si="28"/>
        <v>39000</v>
      </c>
      <c r="E210" s="180">
        <f t="shared" si="29"/>
        <v>5.1703566220336738E-3</v>
      </c>
      <c r="F210" s="262"/>
      <c r="G210" s="884"/>
      <c r="H210" s="468"/>
      <c r="I210" s="862">
        <v>38916</v>
      </c>
      <c r="J210" s="180">
        <f t="shared" si="30"/>
        <v>5.1592204693092936E-3</v>
      </c>
      <c r="K210" s="262"/>
      <c r="L210" s="884"/>
      <c r="M210" s="13"/>
    </row>
    <row r="211" spans="1:13" ht="18" customHeight="1">
      <c r="A211" s="174" t="s">
        <v>616</v>
      </c>
      <c r="B211" s="7" t="s">
        <v>344</v>
      </c>
      <c r="C211" s="467">
        <f t="shared" si="27"/>
        <v>0</v>
      </c>
      <c r="D211" s="467">
        <f t="shared" si="28"/>
        <v>2840000</v>
      </c>
      <c r="E211" s="180">
        <f t="shared" si="29"/>
        <v>0.37650802068142647</v>
      </c>
      <c r="F211" s="262"/>
      <c r="G211" s="884"/>
      <c r="H211" s="468"/>
      <c r="I211" s="862">
        <v>2839645</v>
      </c>
      <c r="J211" s="180">
        <f t="shared" si="30"/>
        <v>0.37646095717884132</v>
      </c>
      <c r="K211" s="262"/>
      <c r="L211" s="884"/>
      <c r="M211" s="13"/>
    </row>
    <row r="212" spans="1:13" ht="18" customHeight="1">
      <c r="A212" s="174" t="s">
        <v>616</v>
      </c>
      <c r="B212" s="593" t="s">
        <v>81</v>
      </c>
      <c r="C212" s="467">
        <f t="shared" si="27"/>
        <v>0</v>
      </c>
      <c r="D212" s="467">
        <f t="shared" si="28"/>
        <v>370000</v>
      </c>
      <c r="E212" s="180">
        <f t="shared" si="29"/>
        <v>4.9052101285960492E-2</v>
      </c>
      <c r="F212" s="262"/>
      <c r="G212" s="884"/>
      <c r="H212" s="468"/>
      <c r="I212" s="862">
        <v>369925</v>
      </c>
      <c r="J212" s="180">
        <f t="shared" si="30"/>
        <v>4.9042158292456582E-2</v>
      </c>
      <c r="K212" s="262"/>
      <c r="L212" s="884"/>
      <c r="M212" s="13"/>
    </row>
    <row r="213" spans="1:13" ht="18" customHeight="1">
      <c r="A213" s="174" t="s">
        <v>616</v>
      </c>
      <c r="B213" s="593" t="s">
        <v>121</v>
      </c>
      <c r="C213" s="467">
        <f t="shared" si="27"/>
        <v>0</v>
      </c>
      <c r="D213" s="467">
        <f t="shared" si="28"/>
        <v>0</v>
      </c>
      <c r="E213" s="180">
        <f t="shared" si="29"/>
        <v>0</v>
      </c>
      <c r="F213" s="262"/>
      <c r="G213" s="884"/>
      <c r="H213" s="468"/>
      <c r="I213" s="862">
        <v>0</v>
      </c>
      <c r="J213" s="180">
        <f t="shared" si="30"/>
        <v>0</v>
      </c>
      <c r="K213" s="262"/>
      <c r="L213" s="884"/>
      <c r="M213" s="13"/>
    </row>
    <row r="214" spans="1:13" ht="18" customHeight="1">
      <c r="A214" s="174" t="s">
        <v>616</v>
      </c>
      <c r="B214" s="593" t="s">
        <v>82</v>
      </c>
      <c r="C214" s="467">
        <f t="shared" si="27"/>
        <v>0</v>
      </c>
      <c r="D214" s="467">
        <f t="shared" si="28"/>
        <v>133000</v>
      </c>
      <c r="E214" s="180">
        <f t="shared" si="29"/>
        <v>1.7632241813602016E-2</v>
      </c>
      <c r="F214" s="262"/>
      <c r="G214" s="884"/>
      <c r="H214" s="468"/>
      <c r="I214" s="862">
        <v>133439</v>
      </c>
      <c r="J214" s="180">
        <f t="shared" si="30"/>
        <v>1.7690441468911574E-2</v>
      </c>
      <c r="K214" s="262"/>
      <c r="L214" s="884"/>
      <c r="M214" s="13"/>
    </row>
    <row r="215" spans="1:13" ht="18" customHeight="1">
      <c r="A215" s="174" t="s">
        <v>616</v>
      </c>
      <c r="B215" s="593" t="s">
        <v>122</v>
      </c>
      <c r="C215" s="467">
        <f t="shared" si="27"/>
        <v>0</v>
      </c>
      <c r="D215" s="467">
        <f t="shared" si="28"/>
        <v>0</v>
      </c>
      <c r="E215" s="180"/>
      <c r="F215" s="262"/>
      <c r="G215" s="884"/>
      <c r="H215" s="468"/>
      <c r="I215" s="862">
        <v>0</v>
      </c>
      <c r="J215" s="180"/>
      <c r="K215" s="262"/>
      <c r="L215" s="884"/>
      <c r="M215" s="13"/>
    </row>
    <row r="216" spans="1:13" ht="18" customHeight="1">
      <c r="A216" s="174" t="s">
        <v>616</v>
      </c>
      <c r="B216" s="593" t="s">
        <v>83</v>
      </c>
      <c r="C216" s="467">
        <f t="shared" si="27"/>
        <v>0</v>
      </c>
      <c r="D216" s="467">
        <f t="shared" si="28"/>
        <v>0</v>
      </c>
      <c r="E216" s="180">
        <f>D216/$C$232</f>
        <v>0</v>
      </c>
      <c r="F216" s="262"/>
      <c r="G216" s="884"/>
      <c r="H216" s="468"/>
      <c r="I216" s="862">
        <v>0</v>
      </c>
      <c r="J216" s="180">
        <f>I216/$C$232</f>
        <v>0</v>
      </c>
      <c r="K216" s="262"/>
      <c r="L216" s="884"/>
      <c r="M216" s="13"/>
    </row>
    <row r="217" spans="1:13" ht="18" customHeight="1">
      <c r="A217" s="174" t="s">
        <v>616</v>
      </c>
      <c r="B217" s="593" t="s">
        <v>94</v>
      </c>
      <c r="C217" s="467">
        <f t="shared" si="27"/>
        <v>0</v>
      </c>
      <c r="D217" s="467">
        <f t="shared" si="28"/>
        <v>0</v>
      </c>
      <c r="E217" s="180">
        <f>D217/$C$232</f>
        <v>0</v>
      </c>
      <c r="F217" s="262"/>
      <c r="G217" s="884"/>
      <c r="H217" s="468"/>
      <c r="I217" s="862">
        <v>0</v>
      </c>
      <c r="J217" s="180">
        <f>I217/$C$232</f>
        <v>0</v>
      </c>
      <c r="K217" s="262"/>
      <c r="L217" s="884"/>
      <c r="M217" s="13"/>
    </row>
    <row r="218" spans="1:13" ht="18" customHeight="1">
      <c r="A218" s="174" t="s">
        <v>616</v>
      </c>
      <c r="B218" s="593" t="s">
        <v>84</v>
      </c>
      <c r="C218" s="467">
        <f t="shared" si="27"/>
        <v>0</v>
      </c>
      <c r="D218" s="467">
        <f t="shared" si="28"/>
        <v>0</v>
      </c>
      <c r="E218" s="180"/>
      <c r="F218" s="262"/>
      <c r="G218" s="884"/>
      <c r="H218" s="468"/>
      <c r="I218" s="862">
        <v>0</v>
      </c>
      <c r="J218" s="180"/>
      <c r="K218" s="262"/>
      <c r="L218" s="884"/>
      <c r="M218" s="13"/>
    </row>
    <row r="219" spans="1:13" ht="18" customHeight="1">
      <c r="A219" s="174" t="s">
        <v>616</v>
      </c>
      <c r="B219" s="593" t="s">
        <v>123</v>
      </c>
      <c r="C219" s="467">
        <f t="shared" si="27"/>
        <v>0</v>
      </c>
      <c r="D219" s="467">
        <f t="shared" si="28"/>
        <v>0</v>
      </c>
      <c r="E219" s="180"/>
      <c r="F219" s="262"/>
      <c r="G219" s="884"/>
      <c r="H219" s="468"/>
      <c r="I219" s="862">
        <v>0</v>
      </c>
      <c r="J219" s="180"/>
      <c r="K219" s="262"/>
      <c r="L219" s="884"/>
      <c r="M219" s="13"/>
    </row>
    <row r="220" spans="1:13" ht="18" customHeight="1">
      <c r="A220" s="174" t="s">
        <v>616</v>
      </c>
      <c r="B220" s="593" t="s">
        <v>115</v>
      </c>
      <c r="C220" s="467">
        <f t="shared" si="27"/>
        <v>0</v>
      </c>
      <c r="D220" s="467">
        <f t="shared" si="28"/>
        <v>45000</v>
      </c>
      <c r="E220" s="180">
        <f>D220/$C$232</f>
        <v>5.9657961023465468E-3</v>
      </c>
      <c r="F220" s="262"/>
      <c r="G220" s="884"/>
      <c r="H220" s="468"/>
      <c r="I220" s="862">
        <v>44933</v>
      </c>
      <c r="J220" s="180">
        <f>I220/$C$232</f>
        <v>5.9569136948163862E-3</v>
      </c>
      <c r="K220" s="262"/>
      <c r="L220" s="884"/>
      <c r="M220" s="13"/>
    </row>
    <row r="221" spans="1:13" ht="18" customHeight="1">
      <c r="A221" s="174" t="s">
        <v>616</v>
      </c>
      <c r="B221" s="593" t="s">
        <v>85</v>
      </c>
      <c r="C221" s="467">
        <f t="shared" si="27"/>
        <v>0</v>
      </c>
      <c r="D221" s="467">
        <f t="shared" si="28"/>
        <v>35000</v>
      </c>
      <c r="E221" s="180">
        <f>D221/$C$232</f>
        <v>4.6400636351584248E-3</v>
      </c>
      <c r="F221" s="262"/>
      <c r="G221" s="884"/>
      <c r="H221" s="468"/>
      <c r="I221" s="862">
        <v>35307</v>
      </c>
      <c r="J221" s="180">
        <f>I221/$C$232</f>
        <v>4.6807636219011002E-3</v>
      </c>
      <c r="K221" s="262"/>
      <c r="L221" s="884"/>
      <c r="M221" s="13"/>
    </row>
    <row r="222" spans="1:13" ht="18" customHeight="1">
      <c r="A222" s="174" t="s">
        <v>616</v>
      </c>
      <c r="B222" s="593" t="s">
        <v>86</v>
      </c>
      <c r="C222" s="467">
        <f t="shared" si="27"/>
        <v>0</v>
      </c>
      <c r="D222" s="467">
        <f t="shared" si="28"/>
        <v>1289000</v>
      </c>
      <c r="E222" s="180">
        <f>D222/$C$232</f>
        <v>0.17088691502054884</v>
      </c>
      <c r="F222" s="262"/>
      <c r="G222" s="884"/>
      <c r="H222" s="468"/>
      <c r="I222" s="862">
        <v>1289388</v>
      </c>
      <c r="J222" s="180">
        <f>I222/$C$232</f>
        <v>0.17093835344027575</v>
      </c>
      <c r="K222" s="262"/>
      <c r="L222" s="884"/>
      <c r="M222" s="13"/>
    </row>
    <row r="223" spans="1:13" ht="18" customHeight="1">
      <c r="A223" s="174" t="s">
        <v>616</v>
      </c>
      <c r="B223" s="593" t="s">
        <v>97</v>
      </c>
      <c r="C223" s="467">
        <f t="shared" si="27"/>
        <v>0</v>
      </c>
      <c r="D223" s="467">
        <f t="shared" si="28"/>
        <v>0</v>
      </c>
      <c r="E223" s="180">
        <f>D223/$C$232</f>
        <v>0</v>
      </c>
      <c r="F223" s="262"/>
      <c r="G223" s="884"/>
      <c r="H223" s="468"/>
      <c r="I223" s="862">
        <v>0</v>
      </c>
      <c r="J223" s="180">
        <f>I223/$C$232</f>
        <v>0</v>
      </c>
      <c r="K223" s="262"/>
      <c r="L223" s="884"/>
      <c r="M223" s="13"/>
    </row>
    <row r="224" spans="1:13" ht="18" customHeight="1">
      <c r="A224" s="174" t="s">
        <v>616</v>
      </c>
      <c r="B224" s="593" t="s">
        <v>87</v>
      </c>
      <c r="C224" s="467">
        <f t="shared" si="27"/>
        <v>0</v>
      </c>
      <c r="D224" s="467">
        <f t="shared" si="28"/>
        <v>0</v>
      </c>
      <c r="E224" s="180"/>
      <c r="F224" s="262"/>
      <c r="G224" s="884"/>
      <c r="H224" s="468"/>
      <c r="I224" s="862">
        <v>0</v>
      </c>
      <c r="J224" s="180"/>
      <c r="K224" s="262"/>
      <c r="L224" s="884"/>
      <c r="M224" s="13"/>
    </row>
    <row r="225" spans="1:15" ht="18" customHeight="1">
      <c r="A225" s="174" t="s">
        <v>616</v>
      </c>
      <c r="B225" s="593" t="s">
        <v>161</v>
      </c>
      <c r="C225" s="467">
        <f t="shared" si="27"/>
        <v>0</v>
      </c>
      <c r="D225" s="467">
        <f t="shared" si="28"/>
        <v>0</v>
      </c>
      <c r="E225" s="180"/>
      <c r="F225" s="262"/>
      <c r="G225" s="884"/>
      <c r="H225" s="468"/>
      <c r="I225" s="862">
        <v>0</v>
      </c>
      <c r="J225" s="180"/>
      <c r="K225" s="262"/>
      <c r="L225" s="884"/>
      <c r="M225" s="13"/>
    </row>
    <row r="226" spans="1:15" ht="18" customHeight="1">
      <c r="A226" s="174" t="s">
        <v>616</v>
      </c>
      <c r="B226" s="593" t="s">
        <v>88</v>
      </c>
      <c r="C226" s="467">
        <f t="shared" si="27"/>
        <v>0</v>
      </c>
      <c r="D226" s="467">
        <f t="shared" si="28"/>
        <v>0</v>
      </c>
      <c r="E226" s="180"/>
      <c r="F226" s="262"/>
      <c r="G226" s="884"/>
      <c r="H226" s="468"/>
      <c r="I226" s="862">
        <v>0</v>
      </c>
      <c r="J226" s="180"/>
      <c r="K226" s="262"/>
      <c r="L226" s="884"/>
      <c r="M226" s="13"/>
    </row>
    <row r="227" spans="1:15" ht="18" customHeight="1">
      <c r="A227" s="174" t="s">
        <v>616</v>
      </c>
      <c r="B227" s="593" t="s">
        <v>125</v>
      </c>
      <c r="C227" s="467">
        <f t="shared" si="27"/>
        <v>0</v>
      </c>
      <c r="D227" s="467">
        <f t="shared" si="28"/>
        <v>0</v>
      </c>
      <c r="E227" s="180">
        <f>D227/$C$232</f>
        <v>0</v>
      </c>
      <c r="F227" s="262"/>
      <c r="G227" s="884"/>
      <c r="H227" s="468"/>
      <c r="I227" s="862">
        <v>0</v>
      </c>
      <c r="J227" s="180">
        <f>I227/$C$232</f>
        <v>0</v>
      </c>
      <c r="K227" s="262"/>
      <c r="L227" s="884"/>
      <c r="M227" s="13"/>
    </row>
    <row r="228" spans="1:15" ht="18" customHeight="1">
      <c r="A228" s="174" t="s">
        <v>616</v>
      </c>
      <c r="B228" s="593" t="s">
        <v>105</v>
      </c>
      <c r="C228" s="467">
        <f t="shared" si="27"/>
        <v>0</v>
      </c>
      <c r="D228" s="467">
        <f t="shared" si="28"/>
        <v>0</v>
      </c>
      <c r="E228" s="180">
        <f>D228/$C$232</f>
        <v>0</v>
      </c>
      <c r="F228" s="262"/>
      <c r="G228" s="884"/>
      <c r="H228" s="468"/>
      <c r="I228" s="862">
        <v>0</v>
      </c>
      <c r="J228" s="180">
        <f>I228/$C$232</f>
        <v>0</v>
      </c>
      <c r="K228" s="262"/>
      <c r="L228" s="884"/>
      <c r="M228" s="13"/>
    </row>
    <row r="229" spans="1:15" ht="18" customHeight="1">
      <c r="A229" s="174" t="s">
        <v>616</v>
      </c>
      <c r="B229" s="593" t="s">
        <v>89</v>
      </c>
      <c r="C229" s="467">
        <f t="shared" si="27"/>
        <v>0</v>
      </c>
      <c r="D229" s="467">
        <f t="shared" si="28"/>
        <v>0</v>
      </c>
      <c r="E229" s="180">
        <f>D229/$C$232</f>
        <v>0</v>
      </c>
      <c r="F229" s="262"/>
      <c r="G229" s="884"/>
      <c r="H229" s="468"/>
      <c r="I229" s="862">
        <v>0</v>
      </c>
      <c r="J229" s="180">
        <f>I229/$C$232</f>
        <v>0</v>
      </c>
      <c r="K229" s="262"/>
      <c r="L229" s="884"/>
      <c r="M229" s="13"/>
    </row>
    <row r="230" spans="1:15" ht="18" customHeight="1">
      <c r="A230" s="174" t="s">
        <v>616</v>
      </c>
      <c r="B230" s="593" t="s">
        <v>362</v>
      </c>
      <c r="C230" s="467">
        <f t="shared" si="27"/>
        <v>0</v>
      </c>
      <c r="D230" s="467">
        <f t="shared" si="28"/>
        <v>0</v>
      </c>
      <c r="E230" s="180"/>
      <c r="F230" s="262"/>
      <c r="G230" s="884"/>
      <c r="H230" s="468"/>
      <c r="I230" s="862">
        <v>0</v>
      </c>
      <c r="J230" s="180"/>
      <c r="K230" s="262"/>
      <c r="L230" s="884"/>
      <c r="M230" s="13"/>
    </row>
    <row r="231" spans="1:15" ht="18" customHeight="1">
      <c r="A231" s="174"/>
      <c r="B231" s="593" t="s">
        <v>90</v>
      </c>
      <c r="C231" s="467">
        <f t="shared" si="27"/>
        <v>0</v>
      </c>
      <c r="D231" s="467">
        <f t="shared" si="28"/>
        <v>0</v>
      </c>
      <c r="E231" s="180">
        <f>D231/$C$232</f>
        <v>0</v>
      </c>
      <c r="F231" s="994"/>
      <c r="G231" s="884"/>
      <c r="H231" s="468"/>
      <c r="I231" s="862">
        <v>0</v>
      </c>
      <c r="J231" s="180">
        <f>I231/$C$232</f>
        <v>0</v>
      </c>
      <c r="K231" s="994"/>
      <c r="L231" s="884"/>
      <c r="M231" s="13"/>
    </row>
    <row r="232" spans="1:15" ht="18" customHeight="1">
      <c r="A232" s="917" t="s">
        <v>91</v>
      </c>
      <c r="B232" s="918"/>
      <c r="C232" s="920">
        <f>SUM(C206:C231)</f>
        <v>7543000</v>
      </c>
      <c r="D232" s="921">
        <f>SUM(D206:D231)</f>
        <v>5036000</v>
      </c>
      <c r="E232" s="922">
        <f>D232/$C$232</f>
        <v>0.66763887047593795</v>
      </c>
      <c r="F232" s="913">
        <f>C232-D232</f>
        <v>2507000</v>
      </c>
      <c r="G232" s="914">
        <f>F232/C232</f>
        <v>0.33236112952406205</v>
      </c>
      <c r="H232" s="920">
        <f>SUM(H206:H231)</f>
        <v>7543343</v>
      </c>
      <c r="I232" s="921">
        <f>SUM(I206:I231)</f>
        <v>5037007</v>
      </c>
      <c r="J232" s="922">
        <f>I232/$C$232</f>
        <v>0.66777237173538384</v>
      </c>
      <c r="K232" s="913">
        <f>H232-I232</f>
        <v>2506336</v>
      </c>
      <c r="L232" s="914">
        <f>K232/H232</f>
        <v>0.33225799224561314</v>
      </c>
      <c r="M232" s="13"/>
    </row>
    <row r="233" spans="1:15" ht="18" customHeight="1">
      <c r="A233" s="176" t="s">
        <v>107</v>
      </c>
      <c r="B233" s="7" t="s">
        <v>108</v>
      </c>
      <c r="C233" s="467">
        <f t="shared" ref="C233:C259" si="31">ROUND(H233,-3)</f>
        <v>7745000</v>
      </c>
      <c r="D233" s="467">
        <f t="shared" ref="D233:D259" si="32">ROUND(I233,-3)</f>
        <v>0</v>
      </c>
      <c r="E233" s="180"/>
      <c r="F233" s="262"/>
      <c r="G233" s="884"/>
      <c r="H233" s="468">
        <v>7744700</v>
      </c>
      <c r="I233" s="862"/>
      <c r="J233" s="180"/>
      <c r="K233" s="262"/>
      <c r="L233" s="884"/>
      <c r="M233" s="13"/>
    </row>
    <row r="234" spans="1:15" ht="18" customHeight="1">
      <c r="A234" s="176" t="s">
        <v>107</v>
      </c>
      <c r="B234" s="7" t="s">
        <v>109</v>
      </c>
      <c r="C234" s="467">
        <f t="shared" si="31"/>
        <v>1422000</v>
      </c>
      <c r="D234" s="467">
        <f t="shared" si="32"/>
        <v>0</v>
      </c>
      <c r="E234" s="180"/>
      <c r="F234" s="262"/>
      <c r="G234" s="884"/>
      <c r="H234" s="468">
        <v>1422200</v>
      </c>
      <c r="I234" s="862"/>
      <c r="J234" s="180"/>
      <c r="K234" s="262"/>
      <c r="L234" s="884"/>
      <c r="M234" s="13"/>
    </row>
    <row r="235" spans="1:15" ht="18" customHeight="1">
      <c r="A235" s="176"/>
      <c r="B235" s="7" t="s">
        <v>667</v>
      </c>
      <c r="C235" s="467">
        <f t="shared" si="31"/>
        <v>0</v>
      </c>
      <c r="D235" s="467">
        <f t="shared" si="32"/>
        <v>0</v>
      </c>
      <c r="E235" s="180"/>
      <c r="F235" s="262"/>
      <c r="G235" s="884"/>
      <c r="H235" s="468">
        <v>0</v>
      </c>
      <c r="I235" s="862"/>
      <c r="J235" s="180"/>
      <c r="K235" s="262"/>
      <c r="L235" s="884"/>
      <c r="M235" s="13"/>
      <c r="N235" s="982"/>
      <c r="O235" s="982"/>
    </row>
    <row r="236" spans="1:15" ht="18" customHeight="1">
      <c r="A236" s="176" t="s">
        <v>107</v>
      </c>
      <c r="B236" s="7" t="s">
        <v>394</v>
      </c>
      <c r="C236" s="467">
        <f t="shared" si="31"/>
        <v>0</v>
      </c>
      <c r="D236" s="467">
        <f t="shared" si="32"/>
        <v>3837000</v>
      </c>
      <c r="E236" s="180">
        <f t="shared" ref="E236:E242" si="33">D236/$C$260</f>
        <v>0.41856659757826986</v>
      </c>
      <c r="F236" s="262"/>
      <c r="G236" s="884"/>
      <c r="H236" s="468"/>
      <c r="I236" s="862">
        <f>3807370+30000</f>
        <v>3837370</v>
      </c>
      <c r="J236" s="180">
        <f t="shared" ref="J236:J242" si="34">I236/$C$260</f>
        <v>0.41860695974691831</v>
      </c>
      <c r="K236" s="262"/>
      <c r="L236" s="884"/>
      <c r="M236" s="13"/>
    </row>
    <row r="237" spans="1:15" ht="18" customHeight="1">
      <c r="A237" s="176" t="s">
        <v>107</v>
      </c>
      <c r="B237" s="7" t="s">
        <v>392</v>
      </c>
      <c r="C237" s="467">
        <f t="shared" si="31"/>
        <v>0</v>
      </c>
      <c r="D237" s="467">
        <f t="shared" si="32"/>
        <v>366000</v>
      </c>
      <c r="E237" s="180">
        <f t="shared" si="33"/>
        <v>3.9925820879240757E-2</v>
      </c>
      <c r="F237" s="262"/>
      <c r="G237" s="884"/>
      <c r="H237" s="468"/>
      <c r="I237" s="862">
        <v>366123</v>
      </c>
      <c r="J237" s="180">
        <f t="shared" si="34"/>
        <v>3.9939238573142792E-2</v>
      </c>
      <c r="K237" s="262"/>
      <c r="L237" s="884"/>
      <c r="M237" s="13"/>
    </row>
    <row r="238" spans="1:15" ht="18" customHeight="1">
      <c r="A238" s="176" t="s">
        <v>107</v>
      </c>
      <c r="B238" s="7" t="s">
        <v>119</v>
      </c>
      <c r="C238" s="467">
        <f t="shared" si="31"/>
        <v>0</v>
      </c>
      <c r="D238" s="467">
        <f t="shared" si="32"/>
        <v>153000</v>
      </c>
      <c r="E238" s="180">
        <f t="shared" si="33"/>
        <v>1.6690302170830153E-2</v>
      </c>
      <c r="F238" s="262"/>
      <c r="G238" s="884"/>
      <c r="H238" s="468"/>
      <c r="I238" s="862">
        <v>153066</v>
      </c>
      <c r="J238" s="180">
        <f t="shared" si="34"/>
        <v>1.669750190902149E-2</v>
      </c>
      <c r="K238" s="262"/>
      <c r="L238" s="884"/>
      <c r="M238" s="13"/>
    </row>
    <row r="239" spans="1:15" ht="18" customHeight="1">
      <c r="A239" s="176" t="s">
        <v>107</v>
      </c>
      <c r="B239" s="7" t="s">
        <v>344</v>
      </c>
      <c r="C239" s="467">
        <f t="shared" si="31"/>
        <v>0</v>
      </c>
      <c r="D239" s="467">
        <f t="shared" si="32"/>
        <v>2792000</v>
      </c>
      <c r="E239" s="180">
        <f t="shared" si="33"/>
        <v>0.30457074288207703</v>
      </c>
      <c r="F239" s="262"/>
      <c r="G239" s="884"/>
      <c r="H239" s="468"/>
      <c r="I239" s="862">
        <v>2792283</v>
      </c>
      <c r="J239" s="180">
        <f t="shared" si="34"/>
        <v>0.30460161448674594</v>
      </c>
      <c r="K239" s="262"/>
      <c r="L239" s="884"/>
      <c r="M239" s="13"/>
    </row>
    <row r="240" spans="1:15" ht="18" customHeight="1">
      <c r="A240" s="176" t="s">
        <v>107</v>
      </c>
      <c r="B240" s="176" t="s">
        <v>81</v>
      </c>
      <c r="C240" s="467">
        <f t="shared" si="31"/>
        <v>0</v>
      </c>
      <c r="D240" s="467">
        <f t="shared" si="32"/>
        <v>557000</v>
      </c>
      <c r="E240" s="180">
        <f t="shared" si="33"/>
        <v>6.0761426857205189E-2</v>
      </c>
      <c r="F240" s="262"/>
      <c r="G240" s="884"/>
      <c r="H240" s="468"/>
      <c r="I240" s="862">
        <v>557265</v>
      </c>
      <c r="J240" s="180">
        <f t="shared" si="34"/>
        <v>6.0790334896912837E-2</v>
      </c>
      <c r="K240" s="262"/>
      <c r="L240" s="884"/>
      <c r="M240" s="13"/>
    </row>
    <row r="241" spans="1:13" ht="18" customHeight="1">
      <c r="A241" s="176" t="s">
        <v>107</v>
      </c>
      <c r="B241" s="176" t="s">
        <v>121</v>
      </c>
      <c r="C241" s="467">
        <f t="shared" si="31"/>
        <v>0</v>
      </c>
      <c r="D241" s="467">
        <f t="shared" si="32"/>
        <v>141000</v>
      </c>
      <c r="E241" s="180">
        <f t="shared" si="33"/>
        <v>1.5381258863314061E-2</v>
      </c>
      <c r="F241" s="262"/>
      <c r="G241" s="890"/>
      <c r="H241" s="468"/>
      <c r="I241" s="862">
        <v>140500</v>
      </c>
      <c r="J241" s="180">
        <f t="shared" si="34"/>
        <v>1.5326715392167558E-2</v>
      </c>
      <c r="K241" s="262"/>
      <c r="L241" s="890"/>
      <c r="M241" s="13"/>
    </row>
    <row r="242" spans="1:13" ht="18" customHeight="1">
      <c r="A242" s="176" t="s">
        <v>107</v>
      </c>
      <c r="B242" s="176" t="s">
        <v>82</v>
      </c>
      <c r="C242" s="467">
        <f t="shared" si="31"/>
        <v>0</v>
      </c>
      <c r="D242" s="467">
        <f t="shared" si="32"/>
        <v>289000</v>
      </c>
      <c r="E242" s="180">
        <f t="shared" si="33"/>
        <v>3.1526126322679177E-2</v>
      </c>
      <c r="F242" s="262"/>
      <c r="G242" s="890"/>
      <c r="H242" s="468"/>
      <c r="I242" s="862">
        <v>289484</v>
      </c>
      <c r="J242" s="180">
        <f t="shared" si="34"/>
        <v>3.1578924402748988E-2</v>
      </c>
      <c r="K242" s="262"/>
      <c r="L242" s="890"/>
      <c r="M242" s="13"/>
    </row>
    <row r="243" spans="1:13" ht="18" customHeight="1">
      <c r="A243" s="176" t="s">
        <v>107</v>
      </c>
      <c r="B243" s="176" t="s">
        <v>122</v>
      </c>
      <c r="C243" s="467">
        <f t="shared" si="31"/>
        <v>0</v>
      </c>
      <c r="D243" s="467">
        <f t="shared" si="32"/>
        <v>0</v>
      </c>
      <c r="E243" s="180"/>
      <c r="F243" s="262"/>
      <c r="G243" s="890"/>
      <c r="H243" s="468"/>
      <c r="I243" s="862">
        <v>0</v>
      </c>
      <c r="J243" s="180"/>
      <c r="K243" s="262"/>
      <c r="L243" s="890"/>
      <c r="M243" s="13"/>
    </row>
    <row r="244" spans="1:13" ht="18" customHeight="1">
      <c r="A244" s="176" t="s">
        <v>107</v>
      </c>
      <c r="B244" s="176" t="s">
        <v>83</v>
      </c>
      <c r="C244" s="467">
        <f t="shared" si="31"/>
        <v>0</v>
      </c>
      <c r="D244" s="467">
        <f t="shared" si="32"/>
        <v>0</v>
      </c>
      <c r="E244" s="180"/>
      <c r="F244" s="262"/>
      <c r="G244" s="890"/>
      <c r="H244" s="468"/>
      <c r="I244" s="862">
        <v>0</v>
      </c>
      <c r="J244" s="180"/>
      <c r="K244" s="262"/>
      <c r="L244" s="890"/>
      <c r="M244" s="13"/>
    </row>
    <row r="245" spans="1:13" ht="18" customHeight="1">
      <c r="A245" s="176" t="s">
        <v>107</v>
      </c>
      <c r="B245" s="176" t="s">
        <v>94</v>
      </c>
      <c r="C245" s="467">
        <f t="shared" si="31"/>
        <v>0</v>
      </c>
      <c r="D245" s="467">
        <f t="shared" si="32"/>
        <v>0</v>
      </c>
      <c r="E245" s="180"/>
      <c r="F245" s="262"/>
      <c r="G245" s="890"/>
      <c r="H245" s="468"/>
      <c r="I245" s="862">
        <v>0</v>
      </c>
      <c r="J245" s="180"/>
      <c r="K245" s="262"/>
      <c r="L245" s="890"/>
      <c r="M245" s="13"/>
    </row>
    <row r="246" spans="1:13" ht="18" customHeight="1">
      <c r="A246" s="176" t="s">
        <v>107</v>
      </c>
      <c r="B246" s="176" t="s">
        <v>84</v>
      </c>
      <c r="C246" s="467">
        <f t="shared" si="31"/>
        <v>0</v>
      </c>
      <c r="D246" s="467">
        <f t="shared" si="32"/>
        <v>11000</v>
      </c>
      <c r="E246" s="180">
        <f>D246/$C$260</f>
        <v>1.1999563652230827E-3</v>
      </c>
      <c r="F246" s="262"/>
      <c r="G246" s="890"/>
      <c r="H246" s="468"/>
      <c r="I246" s="862">
        <v>11200</v>
      </c>
      <c r="J246" s="180">
        <f>I246/$C$260</f>
        <v>1.2217737536816843E-3</v>
      </c>
      <c r="K246" s="262"/>
      <c r="L246" s="890"/>
      <c r="M246" s="13"/>
    </row>
    <row r="247" spans="1:13" ht="18" customHeight="1">
      <c r="A247" s="176" t="s">
        <v>107</v>
      </c>
      <c r="B247" s="176" t="s">
        <v>123</v>
      </c>
      <c r="C247" s="467">
        <f t="shared" si="31"/>
        <v>0</v>
      </c>
      <c r="D247" s="467">
        <f t="shared" si="32"/>
        <v>0</v>
      </c>
      <c r="E247" s="180"/>
      <c r="F247" s="262"/>
      <c r="G247" s="890"/>
      <c r="H247" s="468"/>
      <c r="I247" s="862">
        <v>0</v>
      </c>
      <c r="J247" s="180"/>
      <c r="K247" s="262"/>
      <c r="L247" s="890"/>
      <c r="M247" s="13"/>
    </row>
    <row r="248" spans="1:13" ht="18.75" customHeight="1">
      <c r="A248" s="176" t="s">
        <v>107</v>
      </c>
      <c r="B248" s="176" t="s">
        <v>115</v>
      </c>
      <c r="C248" s="467">
        <f t="shared" si="31"/>
        <v>0</v>
      </c>
      <c r="D248" s="467">
        <f t="shared" si="32"/>
        <v>69000</v>
      </c>
      <c r="E248" s="180">
        <f>D248/$C$260</f>
        <v>7.526999018217519E-3</v>
      </c>
      <c r="F248" s="262"/>
      <c r="G248" s="890"/>
      <c r="H248" s="468"/>
      <c r="I248" s="862">
        <v>68842</v>
      </c>
      <c r="J248" s="180">
        <f>I248/$C$260</f>
        <v>7.5097632813352242E-3</v>
      </c>
      <c r="K248" s="262"/>
      <c r="L248" s="890"/>
      <c r="M248" s="13"/>
    </row>
    <row r="249" spans="1:13" ht="18.75" customHeight="1">
      <c r="A249" s="176" t="s">
        <v>107</v>
      </c>
      <c r="B249" s="176" t="s">
        <v>85</v>
      </c>
      <c r="C249" s="467">
        <f t="shared" si="31"/>
        <v>0</v>
      </c>
      <c r="D249" s="467">
        <f t="shared" si="32"/>
        <v>44000</v>
      </c>
      <c r="E249" s="180"/>
      <c r="F249" s="262"/>
      <c r="G249" s="890"/>
      <c r="H249" s="468"/>
      <c r="I249" s="862">
        <v>44359</v>
      </c>
      <c r="J249" s="180"/>
      <c r="K249" s="262"/>
      <c r="L249" s="890"/>
      <c r="M249" s="13"/>
    </row>
    <row r="250" spans="1:13" ht="18.75" customHeight="1">
      <c r="A250" s="176" t="s">
        <v>107</v>
      </c>
      <c r="B250" s="176" t="s">
        <v>86</v>
      </c>
      <c r="C250" s="467">
        <f t="shared" si="31"/>
        <v>0</v>
      </c>
      <c r="D250" s="467">
        <f t="shared" si="32"/>
        <v>47000</v>
      </c>
      <c r="E250" s="180">
        <f>D250/$C$260</f>
        <v>5.1270862877713539E-3</v>
      </c>
      <c r="F250" s="262"/>
      <c r="G250" s="890"/>
      <c r="H250" s="468"/>
      <c r="I250" s="862">
        <v>46656</v>
      </c>
      <c r="J250" s="180">
        <f>I250/$C$260</f>
        <v>5.089560379622559E-3</v>
      </c>
      <c r="K250" s="262"/>
      <c r="L250" s="890"/>
      <c r="M250" s="13"/>
    </row>
    <row r="251" spans="1:13" ht="18.75" customHeight="1">
      <c r="A251" s="176" t="s">
        <v>107</v>
      </c>
      <c r="B251" s="176" t="s">
        <v>97</v>
      </c>
      <c r="C251" s="467">
        <f t="shared" si="31"/>
        <v>0</v>
      </c>
      <c r="D251" s="467">
        <f t="shared" si="32"/>
        <v>0</v>
      </c>
      <c r="E251" s="180"/>
      <c r="F251" s="262"/>
      <c r="G251" s="890"/>
      <c r="H251" s="468"/>
      <c r="I251" s="862">
        <v>0</v>
      </c>
      <c r="J251" s="180"/>
      <c r="K251" s="262"/>
      <c r="L251" s="890"/>
      <c r="M251" s="13"/>
    </row>
    <row r="252" spans="1:13" ht="18" customHeight="1">
      <c r="A252" s="176" t="s">
        <v>107</v>
      </c>
      <c r="B252" s="176" t="s">
        <v>87</v>
      </c>
      <c r="C252" s="467">
        <f t="shared" si="31"/>
        <v>0</v>
      </c>
      <c r="D252" s="467">
        <f t="shared" si="32"/>
        <v>0</v>
      </c>
      <c r="E252" s="180">
        <f>D252/$C$260</f>
        <v>0</v>
      </c>
      <c r="F252" s="262"/>
      <c r="G252" s="890"/>
      <c r="H252" s="468"/>
      <c r="I252" s="862">
        <v>0</v>
      </c>
      <c r="J252" s="180">
        <f>I252/$C$260</f>
        <v>0</v>
      </c>
      <c r="K252" s="262"/>
      <c r="L252" s="890"/>
      <c r="M252" s="13"/>
    </row>
    <row r="253" spans="1:13" ht="18" customHeight="1">
      <c r="A253" s="176" t="s">
        <v>107</v>
      </c>
      <c r="B253" s="176" t="s">
        <v>161</v>
      </c>
      <c r="C253" s="467">
        <f t="shared" si="31"/>
        <v>0</v>
      </c>
      <c r="D253" s="467">
        <f t="shared" si="32"/>
        <v>0</v>
      </c>
      <c r="E253" s="180"/>
      <c r="F253" s="262"/>
      <c r="G253" s="890"/>
      <c r="H253" s="468"/>
      <c r="I253" s="862">
        <v>0</v>
      </c>
      <c r="J253" s="180"/>
      <c r="K253" s="262"/>
      <c r="L253" s="890"/>
      <c r="M253" s="13"/>
    </row>
    <row r="254" spans="1:13" ht="18" customHeight="1">
      <c r="A254" s="176" t="s">
        <v>107</v>
      </c>
      <c r="B254" s="176" t="s">
        <v>88</v>
      </c>
      <c r="C254" s="467">
        <f t="shared" si="31"/>
        <v>0</v>
      </c>
      <c r="D254" s="467">
        <f t="shared" si="32"/>
        <v>219000</v>
      </c>
      <c r="E254" s="180">
        <f>D254/$C$260</f>
        <v>2.3890040362168647E-2</v>
      </c>
      <c r="F254" s="262"/>
      <c r="G254" s="890"/>
      <c r="H254" s="468"/>
      <c r="I254" s="862">
        <v>219356</v>
      </c>
      <c r="J254" s="180">
        <f>I254/$C$260</f>
        <v>2.3928875313624958E-2</v>
      </c>
      <c r="K254" s="262"/>
      <c r="L254" s="890"/>
      <c r="M254" s="13"/>
    </row>
    <row r="255" spans="1:13" ht="18" customHeight="1">
      <c r="A255" s="176" t="s">
        <v>107</v>
      </c>
      <c r="B255" s="176" t="s">
        <v>125</v>
      </c>
      <c r="C255" s="467">
        <f t="shared" si="31"/>
        <v>0</v>
      </c>
      <c r="D255" s="467">
        <f t="shared" si="32"/>
        <v>0</v>
      </c>
      <c r="E255" s="180"/>
      <c r="F255" s="262"/>
      <c r="G255" s="890"/>
      <c r="H255" s="468"/>
      <c r="I255" s="862">
        <v>0</v>
      </c>
      <c r="J255" s="180"/>
      <c r="K255" s="262"/>
      <c r="L255" s="890"/>
      <c r="M255" s="13"/>
    </row>
    <row r="256" spans="1:13" ht="18" customHeight="1">
      <c r="A256" s="176" t="s">
        <v>107</v>
      </c>
      <c r="B256" s="176" t="s">
        <v>105</v>
      </c>
      <c r="C256" s="467">
        <f t="shared" si="31"/>
        <v>0</v>
      </c>
      <c r="D256" s="467">
        <f t="shared" si="32"/>
        <v>0</v>
      </c>
      <c r="E256" s="180"/>
      <c r="F256" s="262"/>
      <c r="G256" s="890"/>
      <c r="H256" s="468"/>
      <c r="I256" s="862">
        <v>0</v>
      </c>
      <c r="J256" s="180"/>
      <c r="K256" s="262"/>
      <c r="L256" s="890"/>
      <c r="M256" s="13"/>
    </row>
    <row r="257" spans="1:15" ht="18" customHeight="1">
      <c r="A257" s="176" t="s">
        <v>107</v>
      </c>
      <c r="B257" s="176" t="s">
        <v>89</v>
      </c>
      <c r="C257" s="467">
        <f t="shared" si="31"/>
        <v>0</v>
      </c>
      <c r="D257" s="467">
        <f t="shared" si="32"/>
        <v>0</v>
      </c>
      <c r="E257" s="180"/>
      <c r="F257" s="262"/>
      <c r="G257" s="890"/>
      <c r="H257" s="468"/>
      <c r="I257" s="862">
        <v>0</v>
      </c>
      <c r="J257" s="180"/>
      <c r="K257" s="262"/>
      <c r="L257" s="890"/>
      <c r="M257" s="13"/>
    </row>
    <row r="258" spans="1:15" ht="18" customHeight="1">
      <c r="A258" s="176" t="s">
        <v>107</v>
      </c>
      <c r="B258" s="176" t="s">
        <v>362</v>
      </c>
      <c r="C258" s="467">
        <f t="shared" si="31"/>
        <v>0</v>
      </c>
      <c r="D258" s="467">
        <f t="shared" si="32"/>
        <v>0</v>
      </c>
      <c r="E258" s="180"/>
      <c r="F258" s="262"/>
      <c r="G258" s="890"/>
      <c r="H258" s="468"/>
      <c r="I258" s="862">
        <v>0</v>
      </c>
      <c r="J258" s="180"/>
      <c r="K258" s="262"/>
      <c r="L258" s="890"/>
      <c r="M258" s="13"/>
    </row>
    <row r="259" spans="1:15" ht="18" customHeight="1">
      <c r="A259" s="176" t="s">
        <v>107</v>
      </c>
      <c r="B259" s="176" t="s">
        <v>90</v>
      </c>
      <c r="C259" s="467">
        <f t="shared" si="31"/>
        <v>0</v>
      </c>
      <c r="D259" s="467">
        <f t="shared" si="32"/>
        <v>0</v>
      </c>
      <c r="E259" s="180">
        <f>D259/$C$260</f>
        <v>0</v>
      </c>
      <c r="F259" s="994"/>
      <c r="G259" s="884"/>
      <c r="H259" s="468"/>
      <c r="I259" s="862">
        <v>0</v>
      </c>
      <c r="J259" s="180">
        <f>I259/$C$260</f>
        <v>0</v>
      </c>
      <c r="K259" s="994"/>
      <c r="L259" s="884"/>
      <c r="M259" s="13"/>
    </row>
    <row r="260" spans="1:15" ht="18" customHeight="1">
      <c r="A260" s="908" t="s">
        <v>91</v>
      </c>
      <c r="B260" s="909"/>
      <c r="C260" s="910">
        <f>SUM(C233:C259)</f>
        <v>9167000</v>
      </c>
      <c r="D260" s="911">
        <f>SUM(D233:D259)</f>
        <v>8525000</v>
      </c>
      <c r="E260" s="912">
        <f>D260/$C$260</f>
        <v>0.92996618304788914</v>
      </c>
      <c r="F260" s="913">
        <f>C260-D260</f>
        <v>642000</v>
      </c>
      <c r="G260" s="914">
        <f>F260/C260</f>
        <v>7.0033816952110833E-2</v>
      </c>
      <c r="H260" s="910">
        <f>SUM(H233:H259)</f>
        <v>9166900</v>
      </c>
      <c r="I260" s="911">
        <f>SUM(I233:I259)</f>
        <v>8526504</v>
      </c>
      <c r="J260" s="912">
        <f>I260/$C$260</f>
        <v>0.93013024980909786</v>
      </c>
      <c r="K260" s="913">
        <f>H260-I260</f>
        <v>640396</v>
      </c>
      <c r="L260" s="914">
        <f>K260/H260</f>
        <v>6.9859603573727211E-2</v>
      </c>
      <c r="M260" s="13"/>
    </row>
    <row r="261" spans="1:15" ht="18" customHeight="1">
      <c r="A261" s="176" t="s">
        <v>415</v>
      </c>
      <c r="B261" s="176" t="s">
        <v>111</v>
      </c>
      <c r="C261" s="467">
        <f t="shared" ref="C261:C290" si="35">ROUND(H261,-3)</f>
        <v>4204000</v>
      </c>
      <c r="D261" s="467">
        <f t="shared" ref="D261:D290" si="36">ROUND(I261,-3)</f>
        <v>0</v>
      </c>
      <c r="E261" s="180"/>
      <c r="F261" s="262"/>
      <c r="G261" s="884"/>
      <c r="H261" s="468">
        <v>4203700</v>
      </c>
      <c r="I261" s="862"/>
      <c r="J261" s="180"/>
      <c r="K261" s="262"/>
      <c r="L261" s="884"/>
      <c r="M261" s="13"/>
    </row>
    <row r="262" spans="1:15" ht="18" customHeight="1">
      <c r="A262" s="176"/>
      <c r="B262" s="178" t="s">
        <v>675</v>
      </c>
      <c r="C262" s="467">
        <f t="shared" si="35"/>
        <v>6553000</v>
      </c>
      <c r="D262" s="467">
        <f t="shared" si="36"/>
        <v>0</v>
      </c>
      <c r="E262" s="893"/>
      <c r="F262" s="262"/>
      <c r="G262" s="884"/>
      <c r="H262" s="468">
        <v>6553296</v>
      </c>
      <c r="I262" s="865"/>
      <c r="J262" s="893"/>
      <c r="K262" s="262"/>
      <c r="L262" s="884"/>
      <c r="M262" s="13"/>
      <c r="N262" s="982"/>
      <c r="O262" s="982"/>
    </row>
    <row r="263" spans="1:15" ht="18" customHeight="1">
      <c r="A263" s="176" t="s">
        <v>415</v>
      </c>
      <c r="B263" s="177" t="s">
        <v>667</v>
      </c>
      <c r="C263" s="467">
        <f t="shared" si="35"/>
        <v>0</v>
      </c>
      <c r="D263" s="467">
        <f t="shared" si="36"/>
        <v>0</v>
      </c>
      <c r="E263" s="180"/>
      <c r="F263" s="262"/>
      <c r="G263" s="884"/>
      <c r="H263" s="468">
        <v>0</v>
      </c>
      <c r="I263" s="862"/>
      <c r="J263" s="180"/>
      <c r="K263" s="262"/>
      <c r="L263" s="884"/>
      <c r="M263" s="13"/>
    </row>
    <row r="264" spans="1:15" ht="18" customHeight="1">
      <c r="A264" s="176"/>
      <c r="B264" s="177" t="s">
        <v>597</v>
      </c>
      <c r="C264" s="467">
        <f t="shared" si="35"/>
        <v>824000</v>
      </c>
      <c r="D264" s="467">
        <f t="shared" si="36"/>
        <v>0</v>
      </c>
      <c r="E264" s="893"/>
      <c r="F264" s="262"/>
      <c r="G264" s="884"/>
      <c r="H264" s="468">
        <v>824004</v>
      </c>
      <c r="I264" s="865"/>
      <c r="J264" s="893"/>
      <c r="K264" s="262"/>
      <c r="L264" s="884"/>
      <c r="M264" s="13"/>
    </row>
    <row r="265" spans="1:15" ht="18" customHeight="1">
      <c r="A265" s="176" t="s">
        <v>415</v>
      </c>
      <c r="B265" s="7" t="s">
        <v>394</v>
      </c>
      <c r="C265" s="467">
        <f t="shared" si="35"/>
        <v>0</v>
      </c>
      <c r="D265" s="467">
        <f t="shared" si="36"/>
        <v>5448000</v>
      </c>
      <c r="E265" s="180">
        <f t="shared" ref="E265:E270" si="37">D265/$C$291</f>
        <v>0.47042569726275796</v>
      </c>
      <c r="F265" s="262"/>
      <c r="G265" s="884"/>
      <c r="H265" s="468"/>
      <c r="I265" s="862">
        <v>5448000</v>
      </c>
      <c r="J265" s="180">
        <f t="shared" ref="J265:J270" si="38">I265/$C$291</f>
        <v>0.47042569726275796</v>
      </c>
      <c r="K265" s="262"/>
      <c r="L265" s="884"/>
      <c r="M265" s="13"/>
    </row>
    <row r="266" spans="1:15" ht="18" customHeight="1">
      <c r="A266" s="176" t="s">
        <v>415</v>
      </c>
      <c r="B266" s="7" t="s">
        <v>392</v>
      </c>
      <c r="C266" s="467">
        <f t="shared" si="35"/>
        <v>0</v>
      </c>
      <c r="D266" s="467">
        <f t="shared" si="36"/>
        <v>607000</v>
      </c>
      <c r="E266" s="180">
        <f t="shared" si="37"/>
        <v>5.2413435800017269E-2</v>
      </c>
      <c r="F266" s="262"/>
      <c r="G266" s="884"/>
      <c r="H266" s="468"/>
      <c r="I266" s="862">
        <v>607269</v>
      </c>
      <c r="J266" s="180">
        <f t="shared" si="38"/>
        <v>5.2436663500561267E-2</v>
      </c>
      <c r="K266" s="262"/>
      <c r="L266" s="884"/>
      <c r="M266" s="13"/>
    </row>
    <row r="267" spans="1:15" ht="18" customHeight="1">
      <c r="A267" s="176" t="s">
        <v>415</v>
      </c>
      <c r="B267" s="7" t="s">
        <v>119</v>
      </c>
      <c r="C267" s="467">
        <f t="shared" si="35"/>
        <v>0</v>
      </c>
      <c r="D267" s="467">
        <f t="shared" si="36"/>
        <v>102000</v>
      </c>
      <c r="E267" s="180">
        <f t="shared" si="37"/>
        <v>8.807529574302737E-3</v>
      </c>
      <c r="F267" s="262"/>
      <c r="G267" s="884"/>
      <c r="H267" s="468"/>
      <c r="I267" s="862">
        <v>101936</v>
      </c>
      <c r="J267" s="180">
        <f t="shared" si="38"/>
        <v>8.8020032812365073E-3</v>
      </c>
      <c r="K267" s="262"/>
      <c r="L267" s="884"/>
      <c r="M267" s="13"/>
    </row>
    <row r="268" spans="1:15" ht="18" customHeight="1">
      <c r="A268" s="176" t="s">
        <v>415</v>
      </c>
      <c r="B268" s="7" t="s">
        <v>344</v>
      </c>
      <c r="C268" s="467">
        <f t="shared" si="35"/>
        <v>0</v>
      </c>
      <c r="D268" s="467">
        <f t="shared" si="36"/>
        <v>569000</v>
      </c>
      <c r="E268" s="180">
        <f t="shared" si="37"/>
        <v>4.91321992919437E-2</v>
      </c>
      <c r="F268" s="262"/>
      <c r="G268" s="884"/>
      <c r="H268" s="468"/>
      <c r="I268" s="862">
        <v>569072</v>
      </c>
      <c r="J268" s="180">
        <f t="shared" si="38"/>
        <v>4.9138416371643207E-2</v>
      </c>
      <c r="K268" s="262"/>
      <c r="L268" s="884"/>
      <c r="M268" s="13"/>
    </row>
    <row r="269" spans="1:15" ht="18" customHeight="1">
      <c r="A269" s="176"/>
      <c r="B269" s="7" t="s">
        <v>665</v>
      </c>
      <c r="C269" s="467">
        <f t="shared" si="35"/>
        <v>0</v>
      </c>
      <c r="D269" s="467">
        <f t="shared" si="36"/>
        <v>0</v>
      </c>
      <c r="E269" s="180">
        <f t="shared" si="37"/>
        <v>0</v>
      </c>
      <c r="F269" s="262"/>
      <c r="G269" s="884"/>
      <c r="H269" s="468"/>
      <c r="I269" s="862">
        <v>0</v>
      </c>
      <c r="J269" s="180">
        <f t="shared" si="38"/>
        <v>0</v>
      </c>
      <c r="K269" s="262"/>
      <c r="L269" s="884"/>
      <c r="M269" s="13"/>
      <c r="N269" s="981"/>
      <c r="O269" s="981"/>
    </row>
    <row r="270" spans="1:15" ht="18" customHeight="1">
      <c r="A270" s="176" t="s">
        <v>415</v>
      </c>
      <c r="B270" s="176" t="s">
        <v>81</v>
      </c>
      <c r="C270" s="467">
        <f t="shared" si="35"/>
        <v>0</v>
      </c>
      <c r="D270" s="467">
        <f t="shared" si="36"/>
        <v>247000</v>
      </c>
      <c r="E270" s="180">
        <f t="shared" si="37"/>
        <v>2.1328037302478196E-2</v>
      </c>
      <c r="F270" s="262"/>
      <c r="G270" s="884"/>
      <c r="H270" s="468"/>
      <c r="I270" s="862">
        <v>247237</v>
      </c>
      <c r="J270" s="180">
        <f t="shared" si="38"/>
        <v>2.1348501856489076E-2</v>
      </c>
      <c r="K270" s="262"/>
      <c r="L270" s="884"/>
      <c r="M270" s="13"/>
    </row>
    <row r="271" spans="1:15" ht="18" customHeight="1">
      <c r="A271" s="176" t="s">
        <v>415</v>
      </c>
      <c r="B271" s="176" t="s">
        <v>121</v>
      </c>
      <c r="C271" s="467">
        <f t="shared" si="35"/>
        <v>0</v>
      </c>
      <c r="D271" s="467">
        <f t="shared" si="36"/>
        <v>0</v>
      </c>
      <c r="E271" s="180"/>
      <c r="F271" s="262"/>
      <c r="G271" s="884"/>
      <c r="H271" s="468"/>
      <c r="I271" s="862">
        <v>0</v>
      </c>
      <c r="J271" s="180"/>
      <c r="K271" s="262"/>
      <c r="L271" s="884"/>
      <c r="M271" s="13"/>
    </row>
    <row r="272" spans="1:15" ht="18" customHeight="1">
      <c r="A272" s="176" t="s">
        <v>415</v>
      </c>
      <c r="B272" s="176" t="s">
        <v>82</v>
      </c>
      <c r="C272" s="467">
        <f t="shared" si="35"/>
        <v>0</v>
      </c>
      <c r="D272" s="467">
        <f t="shared" si="36"/>
        <v>107000</v>
      </c>
      <c r="E272" s="180">
        <f>D272/$C$291</f>
        <v>9.2392712201018919E-3</v>
      </c>
      <c r="F272" s="262"/>
      <c r="G272" s="884"/>
      <c r="H272" s="468"/>
      <c r="I272" s="862">
        <v>107065</v>
      </c>
      <c r="J272" s="180">
        <f>I272/$C$291</f>
        <v>9.2448838614972804E-3</v>
      </c>
      <c r="K272" s="262"/>
      <c r="L272" s="884"/>
      <c r="M272" s="13"/>
    </row>
    <row r="273" spans="1:15" ht="18" customHeight="1">
      <c r="A273" s="176" t="s">
        <v>415</v>
      </c>
      <c r="B273" s="176" t="s">
        <v>122</v>
      </c>
      <c r="C273" s="467">
        <f t="shared" si="35"/>
        <v>0</v>
      </c>
      <c r="D273" s="467">
        <f t="shared" si="36"/>
        <v>11000</v>
      </c>
      <c r="E273" s="180">
        <f>D273/$C$291</f>
        <v>9.498316207581383E-4</v>
      </c>
      <c r="F273" s="262"/>
      <c r="G273" s="884"/>
      <c r="H273" s="468"/>
      <c r="I273" s="862">
        <v>10800</v>
      </c>
      <c r="J273" s="180">
        <f>I273/$C$291</f>
        <v>9.3256195492617214E-4</v>
      </c>
      <c r="K273" s="262"/>
      <c r="L273" s="884"/>
      <c r="M273" s="13"/>
    </row>
    <row r="274" spans="1:15" ht="18" customHeight="1">
      <c r="A274" s="176" t="s">
        <v>415</v>
      </c>
      <c r="B274" s="176" t="s">
        <v>83</v>
      </c>
      <c r="C274" s="467">
        <f t="shared" si="35"/>
        <v>0</v>
      </c>
      <c r="D274" s="467">
        <f t="shared" si="36"/>
        <v>36000</v>
      </c>
      <c r="E274" s="180">
        <f>D274/$C$291</f>
        <v>3.1085398497539074E-3</v>
      </c>
      <c r="F274" s="262"/>
      <c r="G274" s="884"/>
      <c r="H274" s="468"/>
      <c r="I274" s="862">
        <v>36166</v>
      </c>
      <c r="J274" s="180">
        <f>I274/$C$291</f>
        <v>3.1228736723944391E-3</v>
      </c>
      <c r="K274" s="262"/>
      <c r="L274" s="884"/>
      <c r="M274" s="13"/>
    </row>
    <row r="275" spans="1:15" ht="18" customHeight="1">
      <c r="A275" s="176" t="s">
        <v>415</v>
      </c>
      <c r="B275" s="176" t="s">
        <v>94</v>
      </c>
      <c r="C275" s="467">
        <f t="shared" si="35"/>
        <v>0</v>
      </c>
      <c r="D275" s="467">
        <f t="shared" si="36"/>
        <v>0</v>
      </c>
      <c r="E275" s="180">
        <f>D275/$C$291</f>
        <v>0</v>
      </c>
      <c r="F275" s="262"/>
      <c r="G275" s="884"/>
      <c r="H275" s="468"/>
      <c r="I275" s="862">
        <v>0</v>
      </c>
      <c r="J275" s="180">
        <f>I275/$C$291</f>
        <v>0</v>
      </c>
      <c r="K275" s="262"/>
      <c r="L275" s="884"/>
      <c r="M275" s="13"/>
    </row>
    <row r="276" spans="1:15" ht="18" customHeight="1">
      <c r="A276" s="176" t="s">
        <v>415</v>
      </c>
      <c r="B276" s="176" t="s">
        <v>84</v>
      </c>
      <c r="C276" s="467">
        <f t="shared" si="35"/>
        <v>0</v>
      </c>
      <c r="D276" s="467">
        <f t="shared" si="36"/>
        <v>0</v>
      </c>
      <c r="E276" s="180"/>
      <c r="F276" s="262"/>
      <c r="G276" s="884"/>
      <c r="H276" s="468"/>
      <c r="I276" s="862">
        <v>0</v>
      </c>
      <c r="J276" s="180"/>
      <c r="K276" s="262"/>
      <c r="L276" s="884"/>
      <c r="M276" s="13"/>
    </row>
    <row r="277" spans="1:15" ht="18" customHeight="1">
      <c r="A277" s="176" t="s">
        <v>415</v>
      </c>
      <c r="B277" s="176" t="s">
        <v>123</v>
      </c>
      <c r="C277" s="467">
        <f t="shared" si="35"/>
        <v>0</v>
      </c>
      <c r="D277" s="467">
        <f t="shared" si="36"/>
        <v>0</v>
      </c>
      <c r="E277" s="180"/>
      <c r="F277" s="262"/>
      <c r="G277" s="884"/>
      <c r="H277" s="468"/>
      <c r="I277" s="862">
        <v>0</v>
      </c>
      <c r="J277" s="180"/>
      <c r="K277" s="262"/>
      <c r="L277" s="884"/>
      <c r="M277" s="13"/>
    </row>
    <row r="278" spans="1:15" ht="18" customHeight="1">
      <c r="A278" s="176" t="s">
        <v>415</v>
      </c>
      <c r="B278" s="176" t="s">
        <v>115</v>
      </c>
      <c r="C278" s="467">
        <f t="shared" si="35"/>
        <v>0</v>
      </c>
      <c r="D278" s="467">
        <f t="shared" si="36"/>
        <v>361000</v>
      </c>
      <c r="E278" s="180">
        <f>D278/$C$291</f>
        <v>3.1171746826698904E-2</v>
      </c>
      <c r="F278" s="262"/>
      <c r="G278" s="884"/>
      <c r="H278" s="468"/>
      <c r="I278" s="862">
        <v>361397</v>
      </c>
      <c r="J278" s="180">
        <f>I278/$C$291</f>
        <v>3.1206027113375355E-2</v>
      </c>
      <c r="K278" s="262"/>
      <c r="L278" s="884"/>
      <c r="M278" s="13"/>
    </row>
    <row r="279" spans="1:15" ht="18" customHeight="1">
      <c r="A279" s="176" t="s">
        <v>415</v>
      </c>
      <c r="B279" s="176" t="s">
        <v>85</v>
      </c>
      <c r="C279" s="467">
        <f t="shared" si="35"/>
        <v>0</v>
      </c>
      <c r="D279" s="467">
        <f t="shared" si="36"/>
        <v>71000</v>
      </c>
      <c r="E279" s="180">
        <f>D279/$C$291</f>
        <v>6.1307313703479836E-3</v>
      </c>
      <c r="F279" s="262"/>
      <c r="G279" s="884"/>
      <c r="H279" s="468"/>
      <c r="I279" s="862">
        <v>70793</v>
      </c>
      <c r="J279" s="180">
        <f>I279/$C$291</f>
        <v>6.1128572662118991E-3</v>
      </c>
      <c r="K279" s="262"/>
      <c r="L279" s="884"/>
      <c r="M279" s="13"/>
    </row>
    <row r="280" spans="1:15" ht="18" customHeight="1">
      <c r="A280" s="176" t="s">
        <v>415</v>
      </c>
      <c r="B280" s="176" t="s">
        <v>86</v>
      </c>
      <c r="C280" s="467">
        <f t="shared" si="35"/>
        <v>0</v>
      </c>
      <c r="D280" s="467">
        <f t="shared" si="36"/>
        <v>125000</v>
      </c>
      <c r="E280" s="180">
        <f>D280/$C$291</f>
        <v>1.0793541144978845E-2</v>
      </c>
      <c r="F280" s="262"/>
      <c r="G280" s="884"/>
      <c r="H280" s="468"/>
      <c r="I280" s="862">
        <v>125214</v>
      </c>
      <c r="J280" s="180">
        <f>I280/$C$291</f>
        <v>1.0812019687419048E-2</v>
      </c>
      <c r="K280" s="262"/>
      <c r="L280" s="884"/>
      <c r="M280" s="13"/>
    </row>
    <row r="281" spans="1:15" ht="18" customHeight="1">
      <c r="A281" s="176" t="s">
        <v>415</v>
      </c>
      <c r="B281" s="176" t="s">
        <v>97</v>
      </c>
      <c r="C281" s="467">
        <f t="shared" si="35"/>
        <v>0</v>
      </c>
      <c r="D281" s="467">
        <f t="shared" si="36"/>
        <v>14000</v>
      </c>
      <c r="E281" s="180">
        <f>D281/$C$291</f>
        <v>1.2088766082376306E-3</v>
      </c>
      <c r="F281" s="262"/>
      <c r="G281" s="884"/>
      <c r="H281" s="468"/>
      <c r="I281" s="862">
        <v>13500</v>
      </c>
      <c r="J281" s="180">
        <f>I281/$C$291</f>
        <v>1.1657024436577152E-3</v>
      </c>
      <c r="K281" s="262"/>
      <c r="L281" s="884"/>
      <c r="M281" s="13"/>
    </row>
    <row r="282" spans="1:15" ht="18" customHeight="1">
      <c r="A282" s="176" t="s">
        <v>415</v>
      </c>
      <c r="B282" s="176" t="s">
        <v>87</v>
      </c>
      <c r="C282" s="467">
        <f t="shared" si="35"/>
        <v>0</v>
      </c>
      <c r="D282" s="467">
        <f t="shared" si="36"/>
        <v>5000</v>
      </c>
      <c r="E282" s="180">
        <f>D282/$C$291</f>
        <v>4.3174164579915376E-4</v>
      </c>
      <c r="F282" s="262"/>
      <c r="G282" s="884"/>
      <c r="H282" s="468"/>
      <c r="I282" s="862">
        <v>5280</v>
      </c>
      <c r="J282" s="180">
        <f>I282/$C$291</f>
        <v>4.5591917796390641E-4</v>
      </c>
      <c r="K282" s="262"/>
      <c r="L282" s="884"/>
      <c r="M282" s="13"/>
    </row>
    <row r="283" spans="1:15" ht="18" customHeight="1">
      <c r="A283" s="176" t="s">
        <v>415</v>
      </c>
      <c r="B283" s="176" t="s">
        <v>161</v>
      </c>
      <c r="C283" s="467">
        <f t="shared" si="35"/>
        <v>0</v>
      </c>
      <c r="D283" s="467">
        <f t="shared" si="36"/>
        <v>0</v>
      </c>
      <c r="E283" s="180"/>
      <c r="F283" s="262"/>
      <c r="G283" s="884"/>
      <c r="H283" s="468"/>
      <c r="I283" s="862">
        <v>0</v>
      </c>
      <c r="J283" s="180"/>
      <c r="K283" s="262"/>
      <c r="L283" s="884"/>
      <c r="M283" s="13"/>
    </row>
    <row r="284" spans="1:15" ht="18" customHeight="1">
      <c r="A284" s="176" t="s">
        <v>415</v>
      </c>
      <c r="B284" s="176" t="s">
        <v>88</v>
      </c>
      <c r="C284" s="467">
        <f t="shared" si="35"/>
        <v>0</v>
      </c>
      <c r="D284" s="467">
        <f t="shared" si="36"/>
        <v>0</v>
      </c>
      <c r="E284" s="180"/>
      <c r="F284" s="262"/>
      <c r="G284" s="884"/>
      <c r="H284" s="468"/>
      <c r="I284" s="862">
        <v>0</v>
      </c>
      <c r="J284" s="180"/>
      <c r="K284" s="262"/>
      <c r="L284" s="884"/>
      <c r="M284" s="13"/>
    </row>
    <row r="285" spans="1:15" ht="18" customHeight="1">
      <c r="A285" s="176" t="s">
        <v>415</v>
      </c>
      <c r="B285" s="176" t="s">
        <v>125</v>
      </c>
      <c r="C285" s="467">
        <f t="shared" si="35"/>
        <v>0</v>
      </c>
      <c r="D285" s="467">
        <f t="shared" si="36"/>
        <v>0</v>
      </c>
      <c r="E285" s="180"/>
      <c r="F285" s="262"/>
      <c r="G285" s="884"/>
      <c r="H285" s="468"/>
      <c r="I285" s="862">
        <v>0</v>
      </c>
      <c r="J285" s="180"/>
      <c r="K285" s="262"/>
      <c r="L285" s="884"/>
      <c r="M285" s="13"/>
    </row>
    <row r="286" spans="1:15" ht="18" customHeight="1">
      <c r="A286" s="176" t="s">
        <v>415</v>
      </c>
      <c r="B286" s="176" t="s">
        <v>105</v>
      </c>
      <c r="C286" s="467">
        <f t="shared" si="35"/>
        <v>0</v>
      </c>
      <c r="D286" s="467">
        <f t="shared" si="36"/>
        <v>0</v>
      </c>
      <c r="E286" s="180">
        <f>D286/$C$291</f>
        <v>0</v>
      </c>
      <c r="F286" s="262"/>
      <c r="G286" s="884"/>
      <c r="H286" s="468"/>
      <c r="I286" s="862">
        <v>0</v>
      </c>
      <c r="J286" s="180">
        <f>I286/$C$291</f>
        <v>0</v>
      </c>
      <c r="K286" s="262"/>
      <c r="L286" s="884"/>
      <c r="M286" s="13"/>
    </row>
    <row r="287" spans="1:15" ht="18" customHeight="1">
      <c r="A287" s="176"/>
      <c r="B287" s="176" t="s">
        <v>777</v>
      </c>
      <c r="C287" s="467">
        <f t="shared" si="35"/>
        <v>0</v>
      </c>
      <c r="D287" s="467">
        <f t="shared" si="36"/>
        <v>600000</v>
      </c>
      <c r="E287" s="180"/>
      <c r="F287" s="262"/>
      <c r="G287" s="884"/>
      <c r="H287" s="468"/>
      <c r="I287" s="862">
        <v>600000</v>
      </c>
      <c r="J287" s="180"/>
      <c r="K287" s="262"/>
      <c r="L287" s="884"/>
      <c r="M287" s="13"/>
      <c r="N287" s="1107"/>
      <c r="O287" s="1107"/>
    </row>
    <row r="288" spans="1:15" ht="18" customHeight="1">
      <c r="A288" s="176" t="s">
        <v>415</v>
      </c>
      <c r="B288" s="176" t="s">
        <v>89</v>
      </c>
      <c r="C288" s="467">
        <f t="shared" si="35"/>
        <v>0</v>
      </c>
      <c r="D288" s="467">
        <f t="shared" si="36"/>
        <v>115000</v>
      </c>
      <c r="E288" s="180">
        <f>D288/$C$291</f>
        <v>9.9300578533805372E-3</v>
      </c>
      <c r="F288" s="262"/>
      <c r="G288" s="884"/>
      <c r="H288" s="468"/>
      <c r="I288" s="862">
        <v>115000</v>
      </c>
      <c r="J288" s="180">
        <f>I288/$C$291</f>
        <v>9.9300578533805372E-3</v>
      </c>
      <c r="K288" s="262"/>
      <c r="L288" s="884"/>
      <c r="M288" s="13"/>
    </row>
    <row r="289" spans="1:13" ht="18" customHeight="1">
      <c r="A289" s="176" t="s">
        <v>415</v>
      </c>
      <c r="B289" s="176" t="s">
        <v>362</v>
      </c>
      <c r="C289" s="467">
        <f t="shared" si="35"/>
        <v>0</v>
      </c>
      <c r="D289" s="467">
        <f t="shared" si="36"/>
        <v>0</v>
      </c>
      <c r="E289" s="180"/>
      <c r="F289" s="262"/>
      <c r="G289" s="884"/>
      <c r="H289" s="468"/>
      <c r="I289" s="862"/>
      <c r="J289" s="180"/>
      <c r="K289" s="262"/>
      <c r="L289" s="884"/>
      <c r="M289" s="13"/>
    </row>
    <row r="290" spans="1:13" ht="18" customHeight="1">
      <c r="A290" s="176" t="s">
        <v>415</v>
      </c>
      <c r="B290" s="176" t="s">
        <v>546</v>
      </c>
      <c r="C290" s="467">
        <f t="shared" si="35"/>
        <v>0</v>
      </c>
      <c r="D290" s="467">
        <f t="shared" si="36"/>
        <v>7000</v>
      </c>
      <c r="E290" s="180">
        <f>D290/$C$291</f>
        <v>6.0443830411881531E-4</v>
      </c>
      <c r="F290" s="994"/>
      <c r="G290" s="884"/>
      <c r="H290" s="468"/>
      <c r="I290" s="862">
        <v>7186</v>
      </c>
      <c r="J290" s="180">
        <f>I290/$C$291</f>
        <v>6.2049909334254381E-4</v>
      </c>
      <c r="K290" s="994"/>
      <c r="L290" s="884"/>
      <c r="M290" s="13"/>
    </row>
    <row r="291" spans="1:13" ht="18" customHeight="1">
      <c r="A291" s="917" t="s">
        <v>91</v>
      </c>
      <c r="B291" s="918"/>
      <c r="C291" s="920">
        <f>SUM(C261:C290)</f>
        <v>11581000</v>
      </c>
      <c r="D291" s="921">
        <f>SUM(D261:D290)</f>
        <v>8425000</v>
      </c>
      <c r="E291" s="922">
        <f>D291/$C$291</f>
        <v>0.72748467317157417</v>
      </c>
      <c r="F291" s="913">
        <f>C291-D291</f>
        <v>3156000</v>
      </c>
      <c r="G291" s="914">
        <f>F291/C291</f>
        <v>0.27251532682842589</v>
      </c>
      <c r="H291" s="920">
        <f>SUM(H261:H290)</f>
        <v>11581000</v>
      </c>
      <c r="I291" s="921">
        <f>SUM(I261:I290)</f>
        <v>8425915</v>
      </c>
      <c r="J291" s="922">
        <f>I291/$C$291</f>
        <v>0.72756368189275533</v>
      </c>
      <c r="K291" s="913">
        <f>H291-I291</f>
        <v>3155085</v>
      </c>
      <c r="L291" s="914">
        <f>K291/H291</f>
        <v>0.27243631810724461</v>
      </c>
      <c r="M291" s="13"/>
    </row>
    <row r="292" spans="1:13" ht="18" customHeight="1">
      <c r="A292" s="176" t="s">
        <v>416</v>
      </c>
      <c r="B292" s="176" t="s">
        <v>111</v>
      </c>
      <c r="C292" s="467">
        <f t="shared" ref="C292:C318" si="39">ROUND(H292,-3)</f>
        <v>5788000</v>
      </c>
      <c r="D292" s="467">
        <f t="shared" ref="D292:D318" si="40">ROUND(I292,-3)</f>
        <v>0</v>
      </c>
      <c r="E292" s="180"/>
      <c r="F292" s="262"/>
      <c r="G292" s="884"/>
      <c r="H292" s="468">
        <v>5787715.7254976444</v>
      </c>
      <c r="I292" s="862"/>
      <c r="J292" s="180"/>
      <c r="K292" s="262"/>
      <c r="L292" s="884"/>
      <c r="M292" s="13"/>
    </row>
    <row r="293" spans="1:13" ht="18" customHeight="1">
      <c r="A293" s="176" t="s">
        <v>417</v>
      </c>
      <c r="B293" s="177" t="s">
        <v>667</v>
      </c>
      <c r="C293" s="467">
        <f t="shared" si="39"/>
        <v>2695000</v>
      </c>
      <c r="D293" s="467">
        <f t="shared" si="40"/>
        <v>0</v>
      </c>
      <c r="E293" s="180"/>
      <c r="F293" s="262"/>
      <c r="G293" s="884"/>
      <c r="H293" s="468">
        <v>2694652.736507392</v>
      </c>
      <c r="I293" s="862"/>
      <c r="J293" s="180"/>
      <c r="K293" s="262"/>
      <c r="L293" s="884"/>
      <c r="M293" s="13"/>
    </row>
    <row r="294" spans="1:13" ht="18" customHeight="1">
      <c r="A294" s="176"/>
      <c r="B294" s="177" t="s">
        <v>597</v>
      </c>
      <c r="C294" s="467">
        <f t="shared" si="39"/>
        <v>941000</v>
      </c>
      <c r="D294" s="467">
        <f t="shared" si="40"/>
        <v>0</v>
      </c>
      <c r="E294" s="893"/>
      <c r="F294" s="262"/>
      <c r="G294" s="884"/>
      <c r="H294" s="468">
        <v>940631.53799496382</v>
      </c>
      <c r="I294" s="865"/>
      <c r="J294" s="893"/>
      <c r="K294" s="262"/>
      <c r="L294" s="884"/>
      <c r="M294" s="13"/>
    </row>
    <row r="295" spans="1:13" ht="18" customHeight="1">
      <c r="A295" s="176" t="s">
        <v>416</v>
      </c>
      <c r="B295" s="7" t="s">
        <v>331</v>
      </c>
      <c r="C295" s="467">
        <f t="shared" si="39"/>
        <v>0</v>
      </c>
      <c r="D295" s="467">
        <f t="shared" si="40"/>
        <v>6054000</v>
      </c>
      <c r="E295" s="180">
        <f>D295/$C$319</f>
        <v>0.642402376910017</v>
      </c>
      <c r="F295" s="262"/>
      <c r="G295" s="884"/>
      <c r="H295" s="468"/>
      <c r="I295" s="862">
        <v>6054000</v>
      </c>
      <c r="J295" s="180">
        <f>I295/$C$319</f>
        <v>0.642402376910017</v>
      </c>
      <c r="K295" s="262"/>
      <c r="L295" s="884"/>
      <c r="M295" s="13"/>
    </row>
    <row r="296" spans="1:13" ht="18" customHeight="1">
      <c r="A296" s="176" t="s">
        <v>416</v>
      </c>
      <c r="B296" s="7" t="s">
        <v>392</v>
      </c>
      <c r="C296" s="467">
        <f t="shared" si="39"/>
        <v>0</v>
      </c>
      <c r="D296" s="467">
        <f t="shared" si="40"/>
        <v>736000</v>
      </c>
      <c r="E296" s="180">
        <f>D296/$C$319</f>
        <v>7.8098471986417659E-2</v>
      </c>
      <c r="F296" s="262"/>
      <c r="G296" s="884"/>
      <c r="H296" s="468"/>
      <c r="I296" s="862">
        <v>735918</v>
      </c>
      <c r="J296" s="180">
        <f>I296/$C$319</f>
        <v>7.8089770797962643E-2</v>
      </c>
      <c r="K296" s="262"/>
      <c r="L296" s="884"/>
      <c r="M296" s="13"/>
    </row>
    <row r="297" spans="1:13" ht="18" customHeight="1">
      <c r="A297" s="176" t="s">
        <v>416</v>
      </c>
      <c r="B297" s="7" t="s">
        <v>119</v>
      </c>
      <c r="C297" s="467">
        <f t="shared" si="39"/>
        <v>0</v>
      </c>
      <c r="D297" s="467">
        <f t="shared" si="40"/>
        <v>132000</v>
      </c>
      <c r="E297" s="180">
        <f>D297/$C$319</f>
        <v>1.400679117147708E-2</v>
      </c>
      <c r="F297" s="262"/>
      <c r="G297" s="884"/>
      <c r="H297" s="468"/>
      <c r="I297" s="862">
        <v>131988</v>
      </c>
      <c r="J297" s="180">
        <f>I297/$C$319</f>
        <v>1.4005517826825128E-2</v>
      </c>
      <c r="K297" s="262"/>
      <c r="L297" s="884"/>
      <c r="M297" s="13"/>
    </row>
    <row r="298" spans="1:13" ht="18" customHeight="1">
      <c r="A298" s="176" t="s">
        <v>416</v>
      </c>
      <c r="B298" s="7" t="s">
        <v>344</v>
      </c>
      <c r="C298" s="467">
        <f t="shared" si="39"/>
        <v>0</v>
      </c>
      <c r="D298" s="467">
        <f t="shared" si="40"/>
        <v>458000</v>
      </c>
      <c r="E298" s="180">
        <f>D298/$C$319</f>
        <v>4.8599320882852293E-2</v>
      </c>
      <c r="F298" s="262"/>
      <c r="G298" s="884"/>
      <c r="H298" s="468"/>
      <c r="I298" s="862">
        <v>458360</v>
      </c>
      <c r="J298" s="180">
        <f>I298/$C$319</f>
        <v>4.8637521222410864E-2</v>
      </c>
      <c r="K298" s="262"/>
      <c r="L298" s="884"/>
      <c r="M298" s="13"/>
    </row>
    <row r="299" spans="1:13" ht="18" customHeight="1">
      <c r="A299" s="176" t="s">
        <v>416</v>
      </c>
      <c r="B299" s="176" t="s">
        <v>81</v>
      </c>
      <c r="C299" s="467">
        <f t="shared" si="39"/>
        <v>0</v>
      </c>
      <c r="D299" s="467">
        <f t="shared" si="40"/>
        <v>62000</v>
      </c>
      <c r="E299" s="180">
        <f>D299/$C$319</f>
        <v>6.5789473684210523E-3</v>
      </c>
      <c r="F299" s="262"/>
      <c r="G299" s="884"/>
      <c r="H299" s="468"/>
      <c r="I299" s="862">
        <v>62441</v>
      </c>
      <c r="J299" s="180">
        <f>I299/$C$319</f>
        <v>6.6257427843803059E-3</v>
      </c>
      <c r="K299" s="262"/>
      <c r="L299" s="884"/>
      <c r="M299" s="13"/>
    </row>
    <row r="300" spans="1:13" ht="18" customHeight="1">
      <c r="A300" s="176" t="s">
        <v>416</v>
      </c>
      <c r="B300" s="176" t="s">
        <v>121</v>
      </c>
      <c r="C300" s="467">
        <f t="shared" si="39"/>
        <v>0</v>
      </c>
      <c r="D300" s="467">
        <f t="shared" si="40"/>
        <v>0</v>
      </c>
      <c r="E300" s="180"/>
      <c r="F300" s="262"/>
      <c r="G300" s="884"/>
      <c r="H300" s="468"/>
      <c r="I300" s="862">
        <v>0</v>
      </c>
      <c r="J300" s="180"/>
      <c r="K300" s="262"/>
      <c r="L300" s="884"/>
      <c r="M300" s="13"/>
    </row>
    <row r="301" spans="1:13" ht="18" customHeight="1">
      <c r="A301" s="176" t="s">
        <v>416</v>
      </c>
      <c r="B301" s="176" t="s">
        <v>82</v>
      </c>
      <c r="C301" s="467">
        <f t="shared" si="39"/>
        <v>0</v>
      </c>
      <c r="D301" s="467">
        <f t="shared" si="40"/>
        <v>78000</v>
      </c>
      <c r="E301" s="180">
        <f>D301/$C$319</f>
        <v>8.2767402376910017E-3</v>
      </c>
      <c r="F301" s="262"/>
      <c r="G301" s="884"/>
      <c r="H301" s="468"/>
      <c r="I301" s="862">
        <v>77972</v>
      </c>
      <c r="J301" s="180">
        <f>I301/$C$319</f>
        <v>8.273769100169779E-3</v>
      </c>
      <c r="K301" s="262"/>
      <c r="L301" s="884"/>
      <c r="M301" s="13"/>
    </row>
    <row r="302" spans="1:13" ht="18" customHeight="1">
      <c r="A302" s="176" t="s">
        <v>416</v>
      </c>
      <c r="B302" s="176" t="s">
        <v>122</v>
      </c>
      <c r="C302" s="467">
        <f t="shared" si="39"/>
        <v>0</v>
      </c>
      <c r="D302" s="467">
        <f t="shared" si="40"/>
        <v>0</v>
      </c>
      <c r="E302" s="180">
        <f>D302/$C$319</f>
        <v>0</v>
      </c>
      <c r="F302" s="262"/>
      <c r="G302" s="884"/>
      <c r="H302" s="468"/>
      <c r="I302" s="862">
        <v>324</v>
      </c>
      <c r="J302" s="180">
        <f>I302/$C$319</f>
        <v>3.4380305602716465E-5</v>
      </c>
      <c r="K302" s="262"/>
      <c r="L302" s="884"/>
      <c r="M302" s="13"/>
    </row>
    <row r="303" spans="1:13" ht="18" customHeight="1">
      <c r="A303" s="176" t="s">
        <v>416</v>
      </c>
      <c r="B303" s="176" t="s">
        <v>83</v>
      </c>
      <c r="C303" s="467">
        <f t="shared" si="39"/>
        <v>0</v>
      </c>
      <c r="D303" s="467">
        <f t="shared" si="40"/>
        <v>33000</v>
      </c>
      <c r="E303" s="180">
        <f>D303/$C$319</f>
        <v>3.50169779286927E-3</v>
      </c>
      <c r="F303" s="262"/>
      <c r="G303" s="884"/>
      <c r="H303" s="468"/>
      <c r="I303" s="862">
        <v>33352</v>
      </c>
      <c r="J303" s="180">
        <f>I303/$C$319</f>
        <v>3.5390492359932088E-3</v>
      </c>
      <c r="K303" s="262"/>
      <c r="L303" s="884"/>
      <c r="M303" s="13"/>
    </row>
    <row r="304" spans="1:13" ht="18" customHeight="1">
      <c r="A304" s="176" t="s">
        <v>416</v>
      </c>
      <c r="B304" s="176" t="s">
        <v>94</v>
      </c>
      <c r="C304" s="467">
        <f t="shared" si="39"/>
        <v>0</v>
      </c>
      <c r="D304" s="467">
        <f t="shared" si="40"/>
        <v>2000</v>
      </c>
      <c r="E304" s="180">
        <f>D304/$C$319</f>
        <v>2.1222410865874363E-4</v>
      </c>
      <c r="F304" s="262"/>
      <c r="G304" s="884"/>
      <c r="H304" s="468"/>
      <c r="I304" s="862">
        <v>1671</v>
      </c>
      <c r="J304" s="180">
        <f>I304/$C$319</f>
        <v>1.7731324278438032E-4</v>
      </c>
      <c r="K304" s="262"/>
      <c r="L304" s="884"/>
      <c r="M304" s="13"/>
    </row>
    <row r="305" spans="1:13" ht="18" customHeight="1">
      <c r="A305" s="176" t="s">
        <v>416</v>
      </c>
      <c r="B305" s="176" t="s">
        <v>123</v>
      </c>
      <c r="C305" s="467">
        <f t="shared" si="39"/>
        <v>0</v>
      </c>
      <c r="D305" s="467">
        <f t="shared" si="40"/>
        <v>0</v>
      </c>
      <c r="E305" s="180"/>
      <c r="F305" s="262"/>
      <c r="G305" s="884"/>
      <c r="H305" s="468"/>
      <c r="I305" s="862">
        <v>0</v>
      </c>
      <c r="J305" s="180"/>
      <c r="K305" s="262"/>
      <c r="L305" s="884"/>
      <c r="M305" s="13"/>
    </row>
    <row r="306" spans="1:13" ht="18" customHeight="1">
      <c r="A306" s="176" t="s">
        <v>416</v>
      </c>
      <c r="B306" s="176" t="s">
        <v>115</v>
      </c>
      <c r="C306" s="467">
        <f t="shared" si="39"/>
        <v>0</v>
      </c>
      <c r="D306" s="467">
        <f t="shared" si="40"/>
        <v>164000</v>
      </c>
      <c r="E306" s="180">
        <f>D306/$C$319</f>
        <v>1.7402376910016979E-2</v>
      </c>
      <c r="F306" s="262"/>
      <c r="G306" s="884"/>
      <c r="H306" s="468"/>
      <c r="I306" s="862">
        <v>164423</v>
      </c>
      <c r="J306" s="180">
        <f>I306/$C$319</f>
        <v>1.7447262308998301E-2</v>
      </c>
      <c r="K306" s="262"/>
      <c r="L306" s="884"/>
      <c r="M306" s="13"/>
    </row>
    <row r="307" spans="1:13" ht="18" customHeight="1">
      <c r="A307" s="176" t="s">
        <v>416</v>
      </c>
      <c r="B307" s="176" t="s">
        <v>84</v>
      </c>
      <c r="C307" s="467">
        <f t="shared" si="39"/>
        <v>0</v>
      </c>
      <c r="D307" s="467">
        <f t="shared" si="40"/>
        <v>0</v>
      </c>
      <c r="E307" s="180"/>
      <c r="F307" s="262"/>
      <c r="G307" s="884"/>
      <c r="H307" s="468"/>
      <c r="I307" s="862">
        <v>0</v>
      </c>
      <c r="J307" s="180"/>
      <c r="K307" s="262"/>
      <c r="L307" s="884"/>
      <c r="M307" s="13"/>
    </row>
    <row r="308" spans="1:13" ht="18" customHeight="1">
      <c r="A308" s="176" t="s">
        <v>416</v>
      </c>
      <c r="B308" s="176" t="s">
        <v>85</v>
      </c>
      <c r="C308" s="467">
        <f t="shared" si="39"/>
        <v>0</v>
      </c>
      <c r="D308" s="467">
        <f t="shared" si="40"/>
        <v>98000</v>
      </c>
      <c r="E308" s="180">
        <f>D308/$C$319</f>
        <v>1.0398981324278437E-2</v>
      </c>
      <c r="F308" s="262"/>
      <c r="G308" s="884"/>
      <c r="H308" s="468"/>
      <c r="I308" s="862">
        <v>98185</v>
      </c>
      <c r="J308" s="180">
        <f>I308/$C$319</f>
        <v>1.0418612054329372E-2</v>
      </c>
      <c r="K308" s="262"/>
      <c r="L308" s="884"/>
      <c r="M308" s="13"/>
    </row>
    <row r="309" spans="1:13" ht="18" customHeight="1">
      <c r="A309" s="176" t="s">
        <v>416</v>
      </c>
      <c r="B309" s="176" t="s">
        <v>86</v>
      </c>
      <c r="C309" s="467">
        <f t="shared" si="39"/>
        <v>0</v>
      </c>
      <c r="D309" s="467">
        <f t="shared" si="40"/>
        <v>12000</v>
      </c>
      <c r="E309" s="180">
        <f>D309/$C$319</f>
        <v>1.2733446519524619E-3</v>
      </c>
      <c r="F309" s="262"/>
      <c r="G309" s="884"/>
      <c r="H309" s="468"/>
      <c r="I309" s="862">
        <v>11827</v>
      </c>
      <c r="J309" s="180">
        <f>I309/$C$319</f>
        <v>1.2549872665534804E-3</v>
      </c>
      <c r="K309" s="262"/>
      <c r="L309" s="884"/>
      <c r="M309" s="13"/>
    </row>
    <row r="310" spans="1:13" ht="18" customHeight="1">
      <c r="A310" s="176" t="s">
        <v>416</v>
      </c>
      <c r="B310" s="176" t="s">
        <v>97</v>
      </c>
      <c r="C310" s="467">
        <f t="shared" si="39"/>
        <v>0</v>
      </c>
      <c r="D310" s="467">
        <f t="shared" si="40"/>
        <v>13000</v>
      </c>
      <c r="E310" s="180">
        <f>D310/$C$319</f>
        <v>1.3794567062818336E-3</v>
      </c>
      <c r="F310" s="262"/>
      <c r="G310" s="884"/>
      <c r="H310" s="468"/>
      <c r="I310" s="862">
        <v>13200</v>
      </c>
      <c r="J310" s="180">
        <f>I310/$C$319</f>
        <v>1.4006791171477079E-3</v>
      </c>
      <c r="K310" s="262"/>
      <c r="L310" s="884"/>
      <c r="M310" s="13"/>
    </row>
    <row r="311" spans="1:13" ht="18" customHeight="1">
      <c r="A311" s="176" t="s">
        <v>416</v>
      </c>
      <c r="B311" s="176" t="s">
        <v>87</v>
      </c>
      <c r="C311" s="467">
        <f t="shared" si="39"/>
        <v>0</v>
      </c>
      <c r="D311" s="467">
        <f t="shared" si="40"/>
        <v>10000</v>
      </c>
      <c r="E311" s="180">
        <f>D311/$C$319</f>
        <v>1.0611205432937182E-3</v>
      </c>
      <c r="F311" s="262"/>
      <c r="G311" s="884"/>
      <c r="H311" s="468"/>
      <c r="I311" s="862">
        <v>9500</v>
      </c>
      <c r="J311" s="180">
        <f>I311/$C$319</f>
        <v>1.0080645161290322E-3</v>
      </c>
      <c r="K311" s="262"/>
      <c r="L311" s="884"/>
      <c r="M311" s="13"/>
    </row>
    <row r="312" spans="1:13" ht="18" customHeight="1">
      <c r="A312" s="176" t="s">
        <v>416</v>
      </c>
      <c r="B312" s="176" t="s">
        <v>161</v>
      </c>
      <c r="C312" s="467">
        <f t="shared" si="39"/>
        <v>0</v>
      </c>
      <c r="D312" s="467">
        <f t="shared" si="40"/>
        <v>0</v>
      </c>
      <c r="E312" s="180"/>
      <c r="F312" s="262"/>
      <c r="G312" s="884"/>
      <c r="H312" s="468"/>
      <c r="I312" s="862">
        <v>0</v>
      </c>
      <c r="J312" s="180"/>
      <c r="K312" s="262"/>
      <c r="L312" s="884"/>
      <c r="M312" s="13"/>
    </row>
    <row r="313" spans="1:13" ht="18" customHeight="1">
      <c r="A313" s="176" t="s">
        <v>416</v>
      </c>
      <c r="B313" s="176" t="s">
        <v>88</v>
      </c>
      <c r="C313" s="467">
        <f t="shared" si="39"/>
        <v>0</v>
      </c>
      <c r="D313" s="467">
        <f t="shared" si="40"/>
        <v>0</v>
      </c>
      <c r="E313" s="180"/>
      <c r="F313" s="262"/>
      <c r="G313" s="884"/>
      <c r="H313" s="468"/>
      <c r="I313" s="862">
        <v>0</v>
      </c>
      <c r="J313" s="180"/>
      <c r="K313" s="262"/>
      <c r="L313" s="884"/>
      <c r="M313" s="13"/>
    </row>
    <row r="314" spans="1:13" ht="18" customHeight="1">
      <c r="A314" s="176" t="s">
        <v>416</v>
      </c>
      <c r="B314" s="176" t="s">
        <v>125</v>
      </c>
      <c r="C314" s="467">
        <f t="shared" si="39"/>
        <v>0</v>
      </c>
      <c r="D314" s="467">
        <f t="shared" si="40"/>
        <v>0</v>
      </c>
      <c r="E314" s="180"/>
      <c r="F314" s="262"/>
      <c r="G314" s="884"/>
      <c r="H314" s="468"/>
      <c r="I314" s="862">
        <v>0</v>
      </c>
      <c r="J314" s="180"/>
      <c r="K314" s="262"/>
      <c r="L314" s="884"/>
      <c r="M314" s="13"/>
    </row>
    <row r="315" spans="1:13" ht="18" customHeight="1">
      <c r="A315" s="176" t="s">
        <v>416</v>
      </c>
      <c r="B315" s="176" t="s">
        <v>105</v>
      </c>
      <c r="C315" s="467">
        <f t="shared" si="39"/>
        <v>0</v>
      </c>
      <c r="D315" s="467">
        <f t="shared" si="40"/>
        <v>0</v>
      </c>
      <c r="E315" s="180">
        <f>D315/$C$319</f>
        <v>0</v>
      </c>
      <c r="F315" s="262"/>
      <c r="G315" s="884"/>
      <c r="H315" s="468"/>
      <c r="I315" s="862">
        <v>0</v>
      </c>
      <c r="J315" s="180">
        <f>I315/$C$319</f>
        <v>0</v>
      </c>
      <c r="K315" s="262"/>
      <c r="L315" s="884"/>
      <c r="M315" s="13"/>
    </row>
    <row r="316" spans="1:13" ht="18" customHeight="1">
      <c r="A316" s="176" t="s">
        <v>416</v>
      </c>
      <c r="B316" s="176" t="s">
        <v>89</v>
      </c>
      <c r="C316" s="467">
        <f t="shared" si="39"/>
        <v>0</v>
      </c>
      <c r="D316" s="467">
        <f t="shared" si="40"/>
        <v>750000</v>
      </c>
      <c r="E316" s="180">
        <f>D316/$C$319</f>
        <v>7.9584040747028864E-2</v>
      </c>
      <c r="F316" s="262"/>
      <c r="G316" s="884"/>
      <c r="H316" s="468"/>
      <c r="I316" s="862">
        <v>750000</v>
      </c>
      <c r="J316" s="180">
        <f>I316/$C$319</f>
        <v>7.9584040747028864E-2</v>
      </c>
      <c r="K316" s="262"/>
      <c r="L316" s="884"/>
      <c r="M316" s="13"/>
    </row>
    <row r="317" spans="1:13" ht="18" customHeight="1">
      <c r="A317" s="176" t="s">
        <v>416</v>
      </c>
      <c r="B317" s="176" t="s">
        <v>362</v>
      </c>
      <c r="C317" s="467">
        <f t="shared" si="39"/>
        <v>0</v>
      </c>
      <c r="D317" s="467">
        <f t="shared" si="40"/>
        <v>0</v>
      </c>
      <c r="E317" s="180"/>
      <c r="F317" s="262"/>
      <c r="G317" s="884"/>
      <c r="H317" s="468"/>
      <c r="I317" s="862">
        <v>0</v>
      </c>
      <c r="J317" s="180"/>
      <c r="K317" s="262"/>
      <c r="L317" s="884"/>
      <c r="M317" s="13"/>
    </row>
    <row r="318" spans="1:13" ht="18" customHeight="1">
      <c r="A318" s="176" t="s">
        <v>416</v>
      </c>
      <c r="B318" s="176" t="s">
        <v>90</v>
      </c>
      <c r="C318" s="467">
        <f t="shared" si="39"/>
        <v>0</v>
      </c>
      <c r="D318" s="467">
        <f t="shared" si="40"/>
        <v>2000</v>
      </c>
      <c r="E318" s="180">
        <f>D318/$C$319</f>
        <v>2.1222410865874363E-4</v>
      </c>
      <c r="F318" s="994"/>
      <c r="G318" s="884"/>
      <c r="H318" s="468"/>
      <c r="I318" s="862">
        <v>1696</v>
      </c>
      <c r="J318" s="180">
        <f>I318/$C$319</f>
        <v>1.799660441426146E-4</v>
      </c>
      <c r="K318" s="994"/>
      <c r="L318" s="884"/>
      <c r="M318" s="13"/>
    </row>
    <row r="319" spans="1:13" ht="18" customHeight="1">
      <c r="A319" s="917" t="s">
        <v>91</v>
      </c>
      <c r="B319" s="918"/>
      <c r="C319" s="920">
        <f>SUM(C292:C318)</f>
        <v>9424000</v>
      </c>
      <c r="D319" s="921">
        <f>SUM(D292:D318)</f>
        <v>8604000</v>
      </c>
      <c r="E319" s="922">
        <f>D319/$C$319</f>
        <v>0.91298811544991509</v>
      </c>
      <c r="F319" s="913">
        <f>C319-D319</f>
        <v>820000</v>
      </c>
      <c r="G319" s="914">
        <f>F319/C319</f>
        <v>8.7011884550084892E-2</v>
      </c>
      <c r="H319" s="920">
        <f>SUM(H292:H318)</f>
        <v>9423000</v>
      </c>
      <c r="I319" s="921">
        <f>SUM(I292:I318)</f>
        <v>8604857</v>
      </c>
      <c r="J319" s="922">
        <f>I319/$C$319</f>
        <v>0.91307905348047536</v>
      </c>
      <c r="K319" s="913">
        <f>H319-I319</f>
        <v>818143</v>
      </c>
      <c r="L319" s="914">
        <f>K319/H319</f>
        <v>8.6824047543245256E-2</v>
      </c>
      <c r="M319" s="13"/>
    </row>
    <row r="320" spans="1:13" ht="18" customHeight="1">
      <c r="A320" s="176" t="s">
        <v>102</v>
      </c>
      <c r="B320" s="176" t="s">
        <v>103</v>
      </c>
      <c r="C320" s="467">
        <f t="shared" ref="C320:C329" si="41">ROUND(H320,-3)</f>
        <v>213000</v>
      </c>
      <c r="D320" s="467">
        <f t="shared" ref="D320:D329" si="42">ROUND(I320,-3)</f>
        <v>0</v>
      </c>
      <c r="E320" s="180"/>
      <c r="F320" s="262"/>
      <c r="G320" s="884"/>
      <c r="H320" s="468">
        <v>213170</v>
      </c>
      <c r="I320" s="862"/>
      <c r="J320" s="180"/>
      <c r="K320" s="262"/>
      <c r="L320" s="884"/>
      <c r="M320" s="13"/>
    </row>
    <row r="321" spans="1:15" ht="18" customHeight="1">
      <c r="A321" s="176" t="s">
        <v>102</v>
      </c>
      <c r="B321" s="176" t="s">
        <v>104</v>
      </c>
      <c r="C321" s="467">
        <f t="shared" si="41"/>
        <v>60000</v>
      </c>
      <c r="D321" s="467">
        <f t="shared" si="42"/>
        <v>0</v>
      </c>
      <c r="E321" s="180"/>
      <c r="F321" s="262"/>
      <c r="G321" s="884"/>
      <c r="H321" s="468">
        <v>60000</v>
      </c>
      <c r="I321" s="862"/>
      <c r="J321" s="180"/>
      <c r="K321" s="262"/>
      <c r="L321" s="884"/>
      <c r="M321" s="13"/>
    </row>
    <row r="322" spans="1:15" ht="18" customHeight="1">
      <c r="A322" s="176"/>
      <c r="B322" s="176" t="s">
        <v>667</v>
      </c>
      <c r="C322" s="467">
        <f t="shared" si="41"/>
        <v>8000</v>
      </c>
      <c r="D322" s="467">
        <f t="shared" si="42"/>
        <v>0</v>
      </c>
      <c r="E322" s="180"/>
      <c r="F322" s="262"/>
      <c r="G322" s="884"/>
      <c r="H322" s="468">
        <v>8150</v>
      </c>
      <c r="I322" s="862"/>
      <c r="J322" s="180"/>
      <c r="K322" s="262"/>
      <c r="L322" s="884"/>
      <c r="M322" s="13"/>
      <c r="N322" s="982"/>
      <c r="O322" s="982"/>
    </row>
    <row r="323" spans="1:15" ht="18" customHeight="1">
      <c r="A323" s="176" t="s">
        <v>102</v>
      </c>
      <c r="B323" s="7" t="s">
        <v>344</v>
      </c>
      <c r="C323" s="467">
        <f t="shared" si="41"/>
        <v>0</v>
      </c>
      <c r="D323" s="467">
        <f t="shared" si="42"/>
        <v>58000</v>
      </c>
      <c r="E323" s="180"/>
      <c r="F323" s="262"/>
      <c r="G323" s="884"/>
      <c r="H323" s="468"/>
      <c r="I323" s="862">
        <v>57500</v>
      </c>
      <c r="J323" s="180"/>
      <c r="K323" s="262"/>
      <c r="L323" s="884"/>
      <c r="M323" s="13"/>
    </row>
    <row r="324" spans="1:15" ht="18" customHeight="1">
      <c r="A324" s="176" t="s">
        <v>102</v>
      </c>
      <c r="B324" s="176" t="s">
        <v>550</v>
      </c>
      <c r="C324" s="467">
        <f t="shared" si="41"/>
        <v>0</v>
      </c>
      <c r="D324" s="467">
        <f t="shared" si="42"/>
        <v>0</v>
      </c>
      <c r="E324" s="180"/>
      <c r="F324" s="262"/>
      <c r="G324" s="884"/>
      <c r="H324" s="468"/>
      <c r="I324" s="862">
        <v>0</v>
      </c>
      <c r="J324" s="180"/>
      <c r="K324" s="262"/>
      <c r="L324" s="884"/>
      <c r="M324" s="13"/>
    </row>
    <row r="325" spans="1:15" ht="18" customHeight="1">
      <c r="A325" s="176" t="s">
        <v>102</v>
      </c>
      <c r="B325" s="176" t="s">
        <v>561</v>
      </c>
      <c r="C325" s="467">
        <f t="shared" si="41"/>
        <v>0</v>
      </c>
      <c r="D325" s="467">
        <f t="shared" si="42"/>
        <v>0</v>
      </c>
      <c r="E325" s="180"/>
      <c r="F325" s="262"/>
      <c r="G325" s="884"/>
      <c r="H325" s="468"/>
      <c r="I325" s="862">
        <v>0</v>
      </c>
      <c r="J325" s="180"/>
      <c r="K325" s="262"/>
      <c r="L325" s="884"/>
      <c r="M325" s="13"/>
    </row>
    <row r="326" spans="1:15" ht="18" customHeight="1">
      <c r="A326" s="176" t="s">
        <v>102</v>
      </c>
      <c r="B326" s="176" t="s">
        <v>562</v>
      </c>
      <c r="C326" s="467">
        <f t="shared" si="41"/>
        <v>0</v>
      </c>
      <c r="D326" s="467">
        <f t="shared" si="42"/>
        <v>0</v>
      </c>
      <c r="E326" s="180"/>
      <c r="F326" s="262"/>
      <c r="G326" s="884"/>
      <c r="H326" s="468"/>
      <c r="I326" s="862">
        <v>0</v>
      </c>
      <c r="J326" s="180"/>
      <c r="K326" s="262"/>
      <c r="L326" s="884"/>
      <c r="M326" s="13"/>
    </row>
    <row r="327" spans="1:15" ht="18" customHeight="1">
      <c r="A327" s="176" t="s">
        <v>102</v>
      </c>
      <c r="B327" s="176" t="s">
        <v>560</v>
      </c>
      <c r="C327" s="467">
        <f t="shared" si="41"/>
        <v>0</v>
      </c>
      <c r="D327" s="467">
        <f t="shared" si="42"/>
        <v>0</v>
      </c>
      <c r="E327" s="180"/>
      <c r="F327" s="262"/>
      <c r="G327" s="884"/>
      <c r="H327" s="468"/>
      <c r="I327" s="862">
        <v>0</v>
      </c>
      <c r="J327" s="180"/>
      <c r="K327" s="262"/>
      <c r="L327" s="884"/>
      <c r="M327" s="13"/>
    </row>
    <row r="328" spans="1:15" ht="18" customHeight="1">
      <c r="A328" s="176" t="s">
        <v>102</v>
      </c>
      <c r="B328" s="7" t="s">
        <v>105</v>
      </c>
      <c r="C328" s="467">
        <f t="shared" si="41"/>
        <v>0</v>
      </c>
      <c r="D328" s="467">
        <f t="shared" si="42"/>
        <v>115000</v>
      </c>
      <c r="E328" s="180">
        <f>D328/SUM(C330)</f>
        <v>0.40925266903914592</v>
      </c>
      <c r="F328" s="262"/>
      <c r="G328" s="884"/>
      <c r="H328" s="468"/>
      <c r="I328" s="862">
        <v>115175</v>
      </c>
      <c r="J328" s="180">
        <f>I328/SUM(H330)</f>
        <v>0.40940921370681077</v>
      </c>
      <c r="K328" s="262"/>
      <c r="L328" s="884"/>
      <c r="M328" s="13"/>
    </row>
    <row r="329" spans="1:15" ht="18" customHeight="1">
      <c r="A329" s="176" t="s">
        <v>102</v>
      </c>
      <c r="B329" s="7" t="s">
        <v>90</v>
      </c>
      <c r="C329" s="467">
        <f t="shared" si="41"/>
        <v>0</v>
      </c>
      <c r="D329" s="467">
        <f t="shared" si="42"/>
        <v>0</v>
      </c>
      <c r="E329" s="180">
        <f>D329/SUM(C330)</f>
        <v>0</v>
      </c>
      <c r="F329" s="994"/>
      <c r="G329" s="884"/>
      <c r="H329" s="468"/>
      <c r="I329" s="862">
        <v>0</v>
      </c>
      <c r="J329" s="180">
        <f>I329/SUM(H330)</f>
        <v>0</v>
      </c>
      <c r="K329" s="994"/>
      <c r="L329" s="884"/>
      <c r="M329" s="13"/>
    </row>
    <row r="330" spans="1:15" ht="18" customHeight="1">
      <c r="A330" s="908" t="s">
        <v>91</v>
      </c>
      <c r="B330" s="909"/>
      <c r="C330" s="910">
        <f>SUM(C320:C329)</f>
        <v>281000</v>
      </c>
      <c r="D330" s="911">
        <f>SUM(D320:D329)</f>
        <v>173000</v>
      </c>
      <c r="E330" s="912">
        <f>D330/SUM(C320:C321)</f>
        <v>0.63369963369963367</v>
      </c>
      <c r="F330" s="913">
        <f>C330-D330</f>
        <v>108000</v>
      </c>
      <c r="G330" s="914">
        <f>F330/C330</f>
        <v>0.38434163701067614</v>
      </c>
      <c r="H330" s="910">
        <f>SUM(H320:H329)</f>
        <v>281320</v>
      </c>
      <c r="I330" s="911">
        <f>SUM(I320:I329)</f>
        <v>172675</v>
      </c>
      <c r="J330" s="912">
        <f>I330/SUM(H320:H321)</f>
        <v>0.63211553245231911</v>
      </c>
      <c r="K330" s="913">
        <f>H330-I330</f>
        <v>108645</v>
      </c>
      <c r="L330" s="914">
        <f>K330/H330</f>
        <v>0.38619721313806343</v>
      </c>
      <c r="M330" s="13"/>
    </row>
    <row r="331" spans="1:15" ht="18" customHeight="1">
      <c r="A331" s="174" t="s">
        <v>778</v>
      </c>
      <c r="B331" s="174" t="s">
        <v>779</v>
      </c>
      <c r="C331" s="467">
        <f t="shared" ref="C331:C357" si="43">ROUND(H331,-3)</f>
        <v>5000000</v>
      </c>
      <c r="D331" s="467">
        <f t="shared" ref="D331:D357" si="44">ROUND(I331,-3)</f>
        <v>0</v>
      </c>
      <c r="E331" s="883"/>
      <c r="F331" s="262"/>
      <c r="G331" s="884"/>
      <c r="H331" s="649">
        <v>5000000</v>
      </c>
      <c r="I331" s="861"/>
      <c r="J331" s="883"/>
      <c r="K331" s="262"/>
      <c r="L331" s="884"/>
      <c r="M331" s="13"/>
    </row>
    <row r="332" spans="1:15" ht="18" customHeight="1">
      <c r="A332" s="174" t="s">
        <v>778</v>
      </c>
      <c r="B332" s="174" t="s">
        <v>388</v>
      </c>
      <c r="C332" s="467">
        <f t="shared" si="43"/>
        <v>0</v>
      </c>
      <c r="D332" s="467">
        <f t="shared" si="44"/>
        <v>0</v>
      </c>
      <c r="E332" s="883"/>
      <c r="F332" s="262"/>
      <c r="G332" s="884"/>
      <c r="H332" s="467"/>
      <c r="I332" s="861"/>
      <c r="J332" s="883"/>
      <c r="K332" s="262"/>
      <c r="L332" s="884"/>
      <c r="M332" s="13"/>
    </row>
    <row r="333" spans="1:15" ht="18" customHeight="1">
      <c r="A333" s="593"/>
      <c r="B333" s="593"/>
      <c r="C333" s="649"/>
      <c r="D333" s="649">
        <v>3069000</v>
      </c>
      <c r="E333" s="180">
        <f t="shared" ref="E333:E338" si="45">D333/$C$358</f>
        <v>0.61380000000000001</v>
      </c>
      <c r="F333" s="262"/>
      <c r="G333" s="884"/>
      <c r="H333" s="649"/>
      <c r="I333" s="863">
        <v>3069553</v>
      </c>
      <c r="J333" s="885"/>
      <c r="K333" s="262"/>
      <c r="L333" s="884"/>
      <c r="M333" s="13"/>
      <c r="N333" s="1127"/>
      <c r="O333" s="1127"/>
    </row>
    <row r="334" spans="1:15" ht="18" customHeight="1">
      <c r="A334" s="174" t="s">
        <v>778</v>
      </c>
      <c r="B334" s="7" t="s">
        <v>392</v>
      </c>
      <c r="C334" s="467">
        <f t="shared" si="43"/>
        <v>0</v>
      </c>
      <c r="D334" s="467">
        <f t="shared" si="44"/>
        <v>0</v>
      </c>
      <c r="E334" s="180">
        <f t="shared" si="45"/>
        <v>0</v>
      </c>
      <c r="F334" s="262"/>
      <c r="G334" s="884"/>
      <c r="H334" s="468"/>
      <c r="I334" s="862">
        <v>0</v>
      </c>
      <c r="J334" s="180">
        <f>I334/$C$358</f>
        <v>0</v>
      </c>
      <c r="K334" s="262"/>
      <c r="L334" s="884"/>
      <c r="M334" s="13"/>
    </row>
    <row r="335" spans="1:15" ht="18" customHeight="1">
      <c r="A335" s="174" t="s">
        <v>778</v>
      </c>
      <c r="B335" s="7" t="s">
        <v>119</v>
      </c>
      <c r="C335" s="467">
        <f t="shared" si="43"/>
        <v>0</v>
      </c>
      <c r="D335" s="467">
        <f t="shared" si="44"/>
        <v>0</v>
      </c>
      <c r="E335" s="180">
        <f t="shared" si="45"/>
        <v>0</v>
      </c>
      <c r="F335" s="262"/>
      <c r="G335" s="884"/>
      <c r="H335" s="468"/>
      <c r="I335" s="862">
        <v>0</v>
      </c>
      <c r="J335" s="180">
        <f>I335/$C$358</f>
        <v>0</v>
      </c>
      <c r="K335" s="262"/>
      <c r="L335" s="884"/>
      <c r="M335" s="13"/>
    </row>
    <row r="336" spans="1:15" ht="18" customHeight="1">
      <c r="A336" s="174" t="s">
        <v>778</v>
      </c>
      <c r="B336" s="7" t="s">
        <v>344</v>
      </c>
      <c r="C336" s="467">
        <f t="shared" si="43"/>
        <v>0</v>
      </c>
      <c r="D336" s="467">
        <f t="shared" si="44"/>
        <v>0</v>
      </c>
      <c r="E336" s="180">
        <f t="shared" si="45"/>
        <v>0</v>
      </c>
      <c r="F336" s="262"/>
      <c r="G336" s="884"/>
      <c r="H336" s="468"/>
      <c r="I336" s="862"/>
      <c r="J336" s="180">
        <f>I336/$C$358</f>
        <v>0</v>
      </c>
      <c r="K336" s="262"/>
      <c r="L336" s="884"/>
      <c r="M336" s="13"/>
    </row>
    <row r="337" spans="1:15" ht="18" customHeight="1">
      <c r="A337" s="593"/>
      <c r="B337" s="648" t="s">
        <v>563</v>
      </c>
      <c r="C337" s="467">
        <f t="shared" si="43"/>
        <v>0</v>
      </c>
      <c r="D337" s="467">
        <f t="shared" si="44"/>
        <v>93000</v>
      </c>
      <c r="E337" s="180">
        <f t="shared" si="45"/>
        <v>1.8599999999999998E-2</v>
      </c>
      <c r="F337" s="262"/>
      <c r="G337" s="884"/>
      <c r="H337" s="468"/>
      <c r="I337" s="862">
        <v>93440</v>
      </c>
      <c r="J337" s="180"/>
      <c r="K337" s="262"/>
      <c r="L337" s="884"/>
      <c r="M337" s="13"/>
      <c r="N337" s="1107"/>
      <c r="O337" s="1107"/>
    </row>
    <row r="338" spans="1:15" ht="18" customHeight="1">
      <c r="A338" s="174" t="s">
        <v>778</v>
      </c>
      <c r="B338" s="593" t="s">
        <v>81</v>
      </c>
      <c r="C338" s="467">
        <f t="shared" si="43"/>
        <v>0</v>
      </c>
      <c r="D338" s="467">
        <f t="shared" si="44"/>
        <v>0</v>
      </c>
      <c r="E338" s="180">
        <f t="shared" si="45"/>
        <v>0</v>
      </c>
      <c r="F338" s="262"/>
      <c r="G338" s="884"/>
      <c r="H338" s="468"/>
      <c r="I338" s="862"/>
      <c r="J338" s="180">
        <f>I338/$C$358</f>
        <v>0</v>
      </c>
      <c r="K338" s="262"/>
      <c r="L338" s="884"/>
      <c r="M338" s="13"/>
    </row>
    <row r="339" spans="1:15" ht="18" customHeight="1">
      <c r="A339" s="174" t="s">
        <v>778</v>
      </c>
      <c r="B339" s="593" t="s">
        <v>121</v>
      </c>
      <c r="C339" s="467">
        <f t="shared" si="43"/>
        <v>0</v>
      </c>
      <c r="D339" s="467">
        <f t="shared" si="44"/>
        <v>0</v>
      </c>
      <c r="E339" s="180"/>
      <c r="F339" s="262"/>
      <c r="G339" s="884"/>
      <c r="H339" s="468"/>
      <c r="I339" s="862"/>
      <c r="J339" s="180"/>
      <c r="K339" s="262"/>
      <c r="L339" s="884"/>
      <c r="M339" s="13"/>
    </row>
    <row r="340" spans="1:15" ht="18" customHeight="1">
      <c r="A340" s="174" t="s">
        <v>778</v>
      </c>
      <c r="B340" s="986" t="s">
        <v>82</v>
      </c>
      <c r="C340" s="467">
        <f t="shared" si="43"/>
        <v>0</v>
      </c>
      <c r="D340" s="467">
        <f t="shared" si="44"/>
        <v>328000</v>
      </c>
      <c r="E340" s="180">
        <f>D340/$C$358</f>
        <v>6.5600000000000006E-2</v>
      </c>
      <c r="F340" s="262"/>
      <c r="G340" s="884"/>
      <c r="H340" s="856"/>
      <c r="I340" s="862">
        <v>327544</v>
      </c>
      <c r="J340" s="180">
        <f>I340/$C$358</f>
        <v>6.5508800000000006E-2</v>
      </c>
      <c r="K340" s="262"/>
      <c r="L340" s="884"/>
      <c r="M340" s="13"/>
    </row>
    <row r="341" spans="1:15" ht="18" customHeight="1">
      <c r="A341" s="174" t="s">
        <v>778</v>
      </c>
      <c r="B341" s="989" t="s">
        <v>122</v>
      </c>
      <c r="C341" s="467">
        <f t="shared" si="43"/>
        <v>0</v>
      </c>
      <c r="D341" s="467">
        <f t="shared" si="44"/>
        <v>155000</v>
      </c>
      <c r="E341" s="180">
        <f>D341/$C$358</f>
        <v>3.1E-2</v>
      </c>
      <c r="F341" s="262"/>
      <c r="G341" s="884"/>
      <c r="H341" s="859"/>
      <c r="I341" s="990">
        <v>155000</v>
      </c>
      <c r="J341" s="180"/>
      <c r="K341" s="262"/>
      <c r="L341" s="884"/>
      <c r="M341" s="13"/>
    </row>
    <row r="342" spans="1:15" ht="18" customHeight="1">
      <c r="A342" s="174" t="s">
        <v>778</v>
      </c>
      <c r="B342" s="989" t="s">
        <v>83</v>
      </c>
      <c r="C342" s="467">
        <f t="shared" si="43"/>
        <v>0</v>
      </c>
      <c r="D342" s="467">
        <f t="shared" si="44"/>
        <v>0</v>
      </c>
      <c r="E342" s="180">
        <f>D342/$C$358</f>
        <v>0</v>
      </c>
      <c r="F342" s="262"/>
      <c r="G342" s="884"/>
      <c r="H342" s="859"/>
      <c r="I342" s="990"/>
      <c r="J342" s="180">
        <f>I342/$C$358</f>
        <v>0</v>
      </c>
      <c r="K342" s="262"/>
      <c r="L342" s="884"/>
      <c r="M342" s="13"/>
    </row>
    <row r="343" spans="1:15" ht="18" customHeight="1">
      <c r="A343" s="174" t="s">
        <v>778</v>
      </c>
      <c r="B343" s="989" t="s">
        <v>94</v>
      </c>
      <c r="C343" s="467">
        <f t="shared" si="43"/>
        <v>0</v>
      </c>
      <c r="D343" s="467">
        <f t="shared" si="44"/>
        <v>0</v>
      </c>
      <c r="E343" s="180">
        <f>D343/$C$358</f>
        <v>0</v>
      </c>
      <c r="F343" s="262"/>
      <c r="G343" s="884"/>
      <c r="H343" s="859"/>
      <c r="I343" s="990">
        <v>0</v>
      </c>
      <c r="J343" s="180">
        <f>I343/$C$358</f>
        <v>0</v>
      </c>
      <c r="K343" s="262"/>
      <c r="L343" s="884"/>
      <c r="M343" s="13"/>
    </row>
    <row r="344" spans="1:15" ht="18" customHeight="1">
      <c r="A344" s="174" t="s">
        <v>778</v>
      </c>
      <c r="B344" s="989" t="s">
        <v>84</v>
      </c>
      <c r="C344" s="467">
        <f t="shared" si="43"/>
        <v>0</v>
      </c>
      <c r="D344" s="467">
        <f t="shared" si="44"/>
        <v>0</v>
      </c>
      <c r="E344" s="180"/>
      <c r="F344" s="262"/>
      <c r="G344" s="884"/>
      <c r="H344" s="859"/>
      <c r="I344" s="990">
        <v>0</v>
      </c>
      <c r="J344" s="180"/>
      <c r="K344" s="262"/>
      <c r="L344" s="884"/>
      <c r="M344" s="13"/>
    </row>
    <row r="345" spans="1:15" ht="18" customHeight="1">
      <c r="A345" s="174" t="s">
        <v>778</v>
      </c>
      <c r="B345" s="989" t="s">
        <v>123</v>
      </c>
      <c r="C345" s="467">
        <f t="shared" si="43"/>
        <v>0</v>
      </c>
      <c r="D345" s="467">
        <f t="shared" si="44"/>
        <v>0</v>
      </c>
      <c r="E345" s="180"/>
      <c r="F345" s="262"/>
      <c r="G345" s="884"/>
      <c r="H345" s="859"/>
      <c r="I345" s="990">
        <v>0</v>
      </c>
      <c r="J345" s="180"/>
      <c r="K345" s="262"/>
      <c r="L345" s="884"/>
      <c r="M345" s="13"/>
    </row>
    <row r="346" spans="1:15" ht="18" customHeight="1">
      <c r="A346" s="174" t="s">
        <v>778</v>
      </c>
      <c r="B346" s="989" t="s">
        <v>115</v>
      </c>
      <c r="C346" s="467">
        <f t="shared" si="43"/>
        <v>0</v>
      </c>
      <c r="D346" s="467">
        <f t="shared" si="44"/>
        <v>281000</v>
      </c>
      <c r="E346" s="180">
        <f>D346/$C$358</f>
        <v>5.62E-2</v>
      </c>
      <c r="F346" s="262"/>
      <c r="G346" s="884"/>
      <c r="H346" s="859"/>
      <c r="I346" s="990">
        <v>280960</v>
      </c>
      <c r="J346" s="180">
        <f>I346/$C$358</f>
        <v>5.6191999999999999E-2</v>
      </c>
      <c r="K346" s="262"/>
      <c r="L346" s="884"/>
      <c r="M346" s="13"/>
    </row>
    <row r="347" spans="1:15" ht="18" customHeight="1">
      <c r="A347" s="174" t="s">
        <v>778</v>
      </c>
      <c r="B347" s="593" t="s">
        <v>85</v>
      </c>
      <c r="C347" s="467">
        <f t="shared" si="43"/>
        <v>0</v>
      </c>
      <c r="D347" s="467">
        <f t="shared" si="44"/>
        <v>29000</v>
      </c>
      <c r="E347" s="180">
        <f>D347/$C$358</f>
        <v>5.7999999999999996E-3</v>
      </c>
      <c r="F347" s="262"/>
      <c r="G347" s="884"/>
      <c r="H347" s="649"/>
      <c r="I347" s="862">
        <v>28556</v>
      </c>
      <c r="J347" s="180">
        <f>I347/$C$358</f>
        <v>5.7111999999999996E-3</v>
      </c>
      <c r="K347" s="262"/>
      <c r="L347" s="884"/>
      <c r="M347" s="13"/>
    </row>
    <row r="348" spans="1:15" ht="18" customHeight="1">
      <c r="A348" s="174" t="s">
        <v>778</v>
      </c>
      <c r="B348" s="593" t="s">
        <v>86</v>
      </c>
      <c r="C348" s="467">
        <f t="shared" si="43"/>
        <v>0</v>
      </c>
      <c r="D348" s="467">
        <f t="shared" si="44"/>
        <v>951000</v>
      </c>
      <c r="E348" s="180">
        <f>D348/$C$358</f>
        <v>0.19020000000000001</v>
      </c>
      <c r="F348" s="262"/>
      <c r="G348" s="884"/>
      <c r="H348" s="468"/>
      <c r="I348" s="862">
        <v>951180</v>
      </c>
      <c r="J348" s="180">
        <f>I348/$C$358</f>
        <v>0.19023599999999999</v>
      </c>
      <c r="K348" s="262"/>
      <c r="L348" s="884"/>
      <c r="M348" s="13"/>
    </row>
    <row r="349" spans="1:15" ht="18" customHeight="1">
      <c r="A349" s="174" t="s">
        <v>778</v>
      </c>
      <c r="B349" s="986" t="s">
        <v>97</v>
      </c>
      <c r="C349" s="467">
        <f t="shared" si="43"/>
        <v>0</v>
      </c>
      <c r="D349" s="467">
        <f t="shared" si="44"/>
        <v>0</v>
      </c>
      <c r="E349" s="180">
        <f>D349/$C$358</f>
        <v>0</v>
      </c>
      <c r="F349" s="262"/>
      <c r="G349" s="884"/>
      <c r="H349" s="468"/>
      <c r="I349" s="862">
        <v>0</v>
      </c>
      <c r="J349" s="180">
        <f>I349/$C$358</f>
        <v>0</v>
      </c>
      <c r="K349" s="262"/>
      <c r="L349" s="884"/>
      <c r="M349" s="13"/>
    </row>
    <row r="350" spans="1:15" ht="18" customHeight="1">
      <c r="A350" s="174" t="s">
        <v>778</v>
      </c>
      <c r="B350" s="989" t="s">
        <v>87</v>
      </c>
      <c r="C350" s="467">
        <f t="shared" si="43"/>
        <v>0</v>
      </c>
      <c r="D350" s="467">
        <f t="shared" si="44"/>
        <v>63000</v>
      </c>
      <c r="E350" s="180">
        <f>D350/$C$358</f>
        <v>1.26E-2</v>
      </c>
      <c r="F350" s="262"/>
      <c r="G350" s="884"/>
      <c r="H350" s="985"/>
      <c r="I350" s="862">
        <v>63185</v>
      </c>
      <c r="J350" s="180">
        <f>I350/$C$358</f>
        <v>1.2637000000000001E-2</v>
      </c>
      <c r="K350" s="262"/>
      <c r="L350" s="884"/>
      <c r="M350" s="13"/>
    </row>
    <row r="351" spans="1:15" ht="18" customHeight="1">
      <c r="A351" s="174" t="s">
        <v>778</v>
      </c>
      <c r="B351" s="989" t="s">
        <v>161</v>
      </c>
      <c r="C351" s="467">
        <f t="shared" si="43"/>
        <v>0</v>
      </c>
      <c r="D351" s="467">
        <f t="shared" si="44"/>
        <v>0</v>
      </c>
      <c r="E351" s="180"/>
      <c r="F351" s="262"/>
      <c r="G351" s="884"/>
      <c r="H351" s="985"/>
      <c r="I351" s="862">
        <v>0</v>
      </c>
      <c r="J351" s="180"/>
      <c r="K351" s="262"/>
      <c r="L351" s="884"/>
      <c r="M351" s="13"/>
    </row>
    <row r="352" spans="1:15" ht="18" customHeight="1">
      <c r="A352" s="174" t="s">
        <v>778</v>
      </c>
      <c r="B352" s="989" t="s">
        <v>88</v>
      </c>
      <c r="C352" s="467">
        <f t="shared" si="43"/>
        <v>0</v>
      </c>
      <c r="D352" s="467">
        <f t="shared" si="44"/>
        <v>30000</v>
      </c>
      <c r="E352" s="180">
        <f>D352/$C$358</f>
        <v>6.0000000000000001E-3</v>
      </c>
      <c r="F352" s="262"/>
      <c r="G352" s="884"/>
      <c r="H352" s="985"/>
      <c r="I352" s="862">
        <v>29882</v>
      </c>
      <c r="J352" s="180"/>
      <c r="K352" s="262"/>
      <c r="L352" s="884"/>
      <c r="M352" s="13"/>
    </row>
    <row r="353" spans="1:15" ht="18" customHeight="1">
      <c r="A353" s="174" t="s">
        <v>778</v>
      </c>
      <c r="B353" s="989" t="s">
        <v>125</v>
      </c>
      <c r="C353" s="467">
        <f t="shared" si="43"/>
        <v>0</v>
      </c>
      <c r="D353" s="467">
        <f t="shared" si="44"/>
        <v>0</v>
      </c>
      <c r="E353" s="180">
        <f>D353/$C$358</f>
        <v>0</v>
      </c>
      <c r="F353" s="262"/>
      <c r="G353" s="884"/>
      <c r="H353" s="985"/>
      <c r="I353" s="862">
        <v>0</v>
      </c>
      <c r="J353" s="180">
        <f>I353/$C$358</f>
        <v>0</v>
      </c>
      <c r="K353" s="262"/>
      <c r="L353" s="884"/>
      <c r="M353" s="13"/>
    </row>
    <row r="354" spans="1:15" ht="18" customHeight="1">
      <c r="A354" s="174" t="s">
        <v>778</v>
      </c>
      <c r="B354" s="989" t="s">
        <v>105</v>
      </c>
      <c r="C354" s="467">
        <f t="shared" si="43"/>
        <v>0</v>
      </c>
      <c r="D354" s="467">
        <f t="shared" si="44"/>
        <v>0</v>
      </c>
      <c r="E354" s="180">
        <f>D354/$C$358</f>
        <v>0</v>
      </c>
      <c r="F354" s="262"/>
      <c r="G354" s="884"/>
      <c r="H354" s="985"/>
      <c r="I354" s="862">
        <v>0</v>
      </c>
      <c r="J354" s="180">
        <f>I354/$C$358</f>
        <v>0</v>
      </c>
      <c r="K354" s="262"/>
      <c r="L354" s="884"/>
      <c r="M354" s="13"/>
    </row>
    <row r="355" spans="1:15" ht="18" customHeight="1">
      <c r="A355" s="174" t="s">
        <v>778</v>
      </c>
      <c r="B355" s="989" t="s">
        <v>89</v>
      </c>
      <c r="C355" s="467">
        <f t="shared" si="43"/>
        <v>0</v>
      </c>
      <c r="D355" s="467">
        <f t="shared" si="44"/>
        <v>0</v>
      </c>
      <c r="E355" s="180"/>
      <c r="F355" s="262"/>
      <c r="G355" s="884"/>
      <c r="H355" s="985"/>
      <c r="I355" s="862"/>
      <c r="J355" s="180"/>
      <c r="K355" s="262"/>
      <c r="L355" s="884"/>
      <c r="M355" s="13"/>
    </row>
    <row r="356" spans="1:15" ht="18" customHeight="1">
      <c r="A356" s="174" t="s">
        <v>778</v>
      </c>
      <c r="B356" s="989" t="s">
        <v>362</v>
      </c>
      <c r="C356" s="467">
        <f t="shared" si="43"/>
        <v>0</v>
      </c>
      <c r="D356" s="467">
        <f t="shared" si="44"/>
        <v>0</v>
      </c>
      <c r="E356" s="180"/>
      <c r="F356" s="262"/>
      <c r="G356" s="884"/>
      <c r="H356" s="985"/>
      <c r="I356" s="862">
        <v>0</v>
      </c>
      <c r="J356" s="180"/>
      <c r="K356" s="262"/>
      <c r="L356" s="884"/>
      <c r="M356" s="13"/>
    </row>
    <row r="357" spans="1:15" ht="18" customHeight="1">
      <c r="A357" s="174" t="s">
        <v>778</v>
      </c>
      <c r="B357" s="989" t="s">
        <v>90</v>
      </c>
      <c r="C357" s="467">
        <f t="shared" si="43"/>
        <v>0</v>
      </c>
      <c r="D357" s="467">
        <f t="shared" si="44"/>
        <v>1000</v>
      </c>
      <c r="E357" s="180">
        <f>D357/$C$358</f>
        <v>2.0000000000000001E-4</v>
      </c>
      <c r="F357" s="994"/>
      <c r="G357" s="884"/>
      <c r="H357" s="985"/>
      <c r="I357" s="862">
        <v>700</v>
      </c>
      <c r="J357" s="180">
        <f>I357/$C$358</f>
        <v>1.3999999999999999E-4</v>
      </c>
      <c r="K357" s="994"/>
      <c r="L357" s="884"/>
      <c r="M357" s="13"/>
    </row>
    <row r="358" spans="1:15" ht="18" customHeight="1">
      <c r="A358" s="987" t="s">
        <v>91</v>
      </c>
      <c r="B358" s="988"/>
      <c r="C358" s="920">
        <f>SUM(C331:C357)</f>
        <v>5000000</v>
      </c>
      <c r="D358" s="921">
        <f>SUM(D331:D357)</f>
        <v>5000000</v>
      </c>
      <c r="E358" s="922">
        <f>D358/$C$358</f>
        <v>1</v>
      </c>
      <c r="F358" s="913">
        <f>C358-D358</f>
        <v>0</v>
      </c>
      <c r="G358" s="914">
        <f>F358/C358</f>
        <v>0</v>
      </c>
      <c r="H358" s="920">
        <f>SUM(H331:H357)</f>
        <v>5000000</v>
      </c>
      <c r="I358" s="921">
        <f>SUM(I331:I357)</f>
        <v>5000000</v>
      </c>
      <c r="J358" s="922">
        <f>I358/$C$358</f>
        <v>1</v>
      </c>
      <c r="K358" s="913">
        <f>H358-I358</f>
        <v>0</v>
      </c>
      <c r="L358" s="914">
        <f>K358/H358</f>
        <v>0</v>
      </c>
      <c r="M358" s="13"/>
    </row>
    <row r="359" spans="1:15" ht="18" customHeight="1">
      <c r="A359" s="176" t="s">
        <v>112</v>
      </c>
      <c r="B359" s="176" t="s">
        <v>317</v>
      </c>
      <c r="C359" s="467">
        <f t="shared" ref="C359:C376" si="46">ROUND(H359,-3)</f>
        <v>420000</v>
      </c>
      <c r="D359" s="467">
        <f t="shared" ref="D359:D376" si="47">ROUND(I359,-3)</f>
        <v>0</v>
      </c>
      <c r="E359" s="180"/>
      <c r="F359" s="262"/>
      <c r="G359" s="884"/>
      <c r="H359" s="468">
        <v>419660</v>
      </c>
      <c r="I359" s="862"/>
      <c r="J359" s="180"/>
      <c r="K359" s="262"/>
      <c r="L359" s="884"/>
      <c r="M359" s="13"/>
    </row>
    <row r="360" spans="1:15" ht="18" customHeight="1">
      <c r="A360" s="176" t="s">
        <v>112</v>
      </c>
      <c r="B360" s="176" t="s">
        <v>113</v>
      </c>
      <c r="C360" s="467">
        <f t="shared" si="46"/>
        <v>13000</v>
      </c>
      <c r="D360" s="467">
        <f t="shared" si="47"/>
        <v>0</v>
      </c>
      <c r="E360" s="180"/>
      <c r="F360" s="262"/>
      <c r="G360" s="884"/>
      <c r="H360" s="468">
        <v>12500</v>
      </c>
      <c r="I360" s="862"/>
      <c r="J360" s="180"/>
      <c r="K360" s="262"/>
      <c r="L360" s="884"/>
      <c r="M360" s="13"/>
    </row>
    <row r="361" spans="1:15" ht="18" customHeight="1">
      <c r="A361" s="176" t="s">
        <v>112</v>
      </c>
      <c r="B361" s="176" t="s">
        <v>318</v>
      </c>
      <c r="C361" s="467">
        <f t="shared" si="46"/>
        <v>186000</v>
      </c>
      <c r="D361" s="467">
        <f t="shared" si="47"/>
        <v>0</v>
      </c>
      <c r="E361" s="180"/>
      <c r="F361" s="262"/>
      <c r="G361" s="884"/>
      <c r="H361" s="468">
        <v>185776</v>
      </c>
      <c r="I361" s="862"/>
      <c r="J361" s="180"/>
      <c r="K361" s="262"/>
      <c r="L361" s="884"/>
      <c r="M361" s="13"/>
    </row>
    <row r="362" spans="1:15" ht="18" customHeight="1">
      <c r="A362" s="176" t="s">
        <v>112</v>
      </c>
      <c r="B362" s="176" t="s">
        <v>394</v>
      </c>
      <c r="C362" s="467">
        <f t="shared" si="46"/>
        <v>0</v>
      </c>
      <c r="D362" s="467">
        <f t="shared" si="47"/>
        <v>36000</v>
      </c>
      <c r="E362" s="180">
        <f t="shared" ref="E362:E377" si="48">D362/$C$377</f>
        <v>5.8158319870759291E-2</v>
      </c>
      <c r="F362" s="262"/>
      <c r="G362" s="884"/>
      <c r="H362" s="468"/>
      <c r="I362" s="862">
        <v>36000</v>
      </c>
      <c r="J362" s="180">
        <f t="shared" ref="J362:J377" si="49">I362/$C$377</f>
        <v>5.8158319870759291E-2</v>
      </c>
      <c r="K362" s="262"/>
      <c r="L362" s="884"/>
      <c r="M362" s="13"/>
    </row>
    <row r="363" spans="1:15" ht="18" customHeight="1">
      <c r="A363" s="176" t="s">
        <v>112</v>
      </c>
      <c r="B363" s="176" t="s">
        <v>670</v>
      </c>
      <c r="C363" s="467">
        <f t="shared" si="46"/>
        <v>0</v>
      </c>
      <c r="D363" s="467">
        <f t="shared" si="47"/>
        <v>2000</v>
      </c>
      <c r="E363" s="180">
        <f t="shared" si="48"/>
        <v>3.2310177705977385E-3</v>
      </c>
      <c r="F363" s="262"/>
      <c r="G363" s="884"/>
      <c r="H363" s="468"/>
      <c r="I363" s="862">
        <v>2344</v>
      </c>
      <c r="J363" s="180">
        <f t="shared" si="49"/>
        <v>3.7867528271405492E-3</v>
      </c>
      <c r="K363" s="262"/>
      <c r="L363" s="884"/>
      <c r="M363" s="13"/>
      <c r="N363" s="981"/>
      <c r="O363" s="981"/>
    </row>
    <row r="364" spans="1:15" ht="18" customHeight="1">
      <c r="A364" s="176" t="s">
        <v>112</v>
      </c>
      <c r="B364" s="176" t="s">
        <v>671</v>
      </c>
      <c r="C364" s="467">
        <f t="shared" si="46"/>
        <v>0</v>
      </c>
      <c r="D364" s="467">
        <f t="shared" si="47"/>
        <v>2000</v>
      </c>
      <c r="E364" s="180">
        <f t="shared" si="48"/>
        <v>3.2310177705977385E-3</v>
      </c>
      <c r="F364" s="262"/>
      <c r="G364" s="884"/>
      <c r="H364" s="468"/>
      <c r="I364" s="862">
        <v>2481</v>
      </c>
      <c r="J364" s="180">
        <f t="shared" si="49"/>
        <v>4.008077544426494E-3</v>
      </c>
      <c r="K364" s="262"/>
      <c r="L364" s="884"/>
      <c r="M364" s="13"/>
      <c r="N364" s="981"/>
      <c r="O364" s="981"/>
    </row>
    <row r="365" spans="1:15" ht="18" customHeight="1">
      <c r="A365" s="176" t="s">
        <v>112</v>
      </c>
      <c r="B365" s="7" t="s">
        <v>344</v>
      </c>
      <c r="C365" s="467">
        <f t="shared" si="46"/>
        <v>0</v>
      </c>
      <c r="D365" s="467">
        <f t="shared" si="47"/>
        <v>0</v>
      </c>
      <c r="E365" s="180">
        <f t="shared" si="48"/>
        <v>0</v>
      </c>
      <c r="F365" s="262"/>
      <c r="G365" s="884"/>
      <c r="H365" s="468"/>
      <c r="I365" s="862">
        <v>0</v>
      </c>
      <c r="J365" s="180">
        <f t="shared" si="49"/>
        <v>0</v>
      </c>
      <c r="K365" s="262"/>
      <c r="L365" s="884"/>
      <c r="M365" s="13"/>
    </row>
    <row r="366" spans="1:15" ht="18" customHeight="1">
      <c r="A366" s="176" t="s">
        <v>112</v>
      </c>
      <c r="B366" s="7" t="s">
        <v>114</v>
      </c>
      <c r="C366" s="467">
        <f t="shared" si="46"/>
        <v>0</v>
      </c>
      <c r="D366" s="467">
        <f t="shared" si="47"/>
        <v>0</v>
      </c>
      <c r="E366" s="180">
        <f t="shared" si="48"/>
        <v>0</v>
      </c>
      <c r="F366" s="262"/>
      <c r="G366" s="884"/>
      <c r="H366" s="468"/>
      <c r="I366" s="862">
        <v>0</v>
      </c>
      <c r="J366" s="180">
        <f t="shared" si="49"/>
        <v>0</v>
      </c>
      <c r="K366" s="262"/>
      <c r="L366" s="884"/>
      <c r="M366" s="13"/>
    </row>
    <row r="367" spans="1:15" ht="18" customHeight="1">
      <c r="A367" s="176" t="s">
        <v>112</v>
      </c>
      <c r="B367" s="7" t="s">
        <v>672</v>
      </c>
      <c r="C367" s="467">
        <f t="shared" si="46"/>
        <v>0</v>
      </c>
      <c r="D367" s="467">
        <f t="shared" si="47"/>
        <v>0</v>
      </c>
      <c r="E367" s="180">
        <f t="shared" si="48"/>
        <v>0</v>
      </c>
      <c r="F367" s="262"/>
      <c r="G367" s="884"/>
      <c r="H367" s="468"/>
      <c r="I367" s="862">
        <v>0</v>
      </c>
      <c r="J367" s="180">
        <f t="shared" si="49"/>
        <v>0</v>
      </c>
      <c r="K367" s="262"/>
      <c r="L367" s="884"/>
      <c r="M367" s="13"/>
      <c r="N367" s="981"/>
      <c r="O367" s="981"/>
    </row>
    <row r="368" spans="1:15" ht="18" customHeight="1">
      <c r="A368" s="176" t="s">
        <v>112</v>
      </c>
      <c r="B368" s="7" t="s">
        <v>82</v>
      </c>
      <c r="C368" s="467">
        <f t="shared" si="46"/>
        <v>0</v>
      </c>
      <c r="D368" s="467">
        <f t="shared" si="47"/>
        <v>33000</v>
      </c>
      <c r="E368" s="180">
        <f t="shared" si="48"/>
        <v>5.3311793214862679E-2</v>
      </c>
      <c r="F368" s="262"/>
      <c r="G368" s="884"/>
      <c r="H368" s="468"/>
      <c r="I368" s="862">
        <f>9686+22896</f>
        <v>32582</v>
      </c>
      <c r="J368" s="180">
        <f t="shared" si="49"/>
        <v>5.2636510500807754E-2</v>
      </c>
      <c r="K368" s="262"/>
      <c r="L368" s="884"/>
      <c r="M368" s="13"/>
    </row>
    <row r="369" spans="1:15" ht="18" customHeight="1">
      <c r="A369" s="176" t="s">
        <v>112</v>
      </c>
      <c r="B369" s="7" t="s">
        <v>395</v>
      </c>
      <c r="C369" s="467">
        <f t="shared" si="46"/>
        <v>0</v>
      </c>
      <c r="D369" s="467">
        <f t="shared" si="47"/>
        <v>3000</v>
      </c>
      <c r="E369" s="180">
        <f t="shared" si="48"/>
        <v>4.8465266558966073E-3</v>
      </c>
      <c r="F369" s="262"/>
      <c r="G369" s="884"/>
      <c r="H369" s="468"/>
      <c r="I369" s="862">
        <v>3000</v>
      </c>
      <c r="J369" s="180">
        <f t="shared" si="49"/>
        <v>4.8465266558966073E-3</v>
      </c>
      <c r="K369" s="262"/>
      <c r="L369" s="884"/>
      <c r="M369" s="13"/>
    </row>
    <row r="370" spans="1:15" ht="18" customHeight="1">
      <c r="A370" s="176" t="s">
        <v>112</v>
      </c>
      <c r="B370" s="7" t="s">
        <v>115</v>
      </c>
      <c r="C370" s="467">
        <f t="shared" si="46"/>
        <v>0</v>
      </c>
      <c r="D370" s="467">
        <f t="shared" si="47"/>
        <v>3000</v>
      </c>
      <c r="E370" s="180">
        <f t="shared" si="48"/>
        <v>4.8465266558966073E-3</v>
      </c>
      <c r="F370" s="262"/>
      <c r="G370" s="884"/>
      <c r="H370" s="468"/>
      <c r="I370" s="862">
        <v>2550</v>
      </c>
      <c r="J370" s="180">
        <f t="shared" si="49"/>
        <v>4.1195476575121162E-3</v>
      </c>
      <c r="K370" s="262"/>
      <c r="L370" s="884"/>
      <c r="M370" s="13"/>
    </row>
    <row r="371" spans="1:15" ht="18" customHeight="1">
      <c r="A371" s="176" t="s">
        <v>112</v>
      </c>
      <c r="B371" s="7" t="s">
        <v>85</v>
      </c>
      <c r="C371" s="467">
        <f t="shared" si="46"/>
        <v>0</v>
      </c>
      <c r="D371" s="467">
        <f t="shared" si="47"/>
        <v>3000</v>
      </c>
      <c r="E371" s="180">
        <f t="shared" si="48"/>
        <v>4.8465266558966073E-3</v>
      </c>
      <c r="F371" s="262"/>
      <c r="G371" s="884"/>
      <c r="H371" s="468"/>
      <c r="I371" s="862">
        <f>1312+1404</f>
        <v>2716</v>
      </c>
      <c r="J371" s="180">
        <f t="shared" si="49"/>
        <v>4.3877221324717282E-3</v>
      </c>
      <c r="K371" s="262"/>
      <c r="L371" s="884"/>
      <c r="M371" s="13"/>
    </row>
    <row r="372" spans="1:15" ht="18" customHeight="1">
      <c r="A372" s="176" t="s">
        <v>112</v>
      </c>
      <c r="B372" s="7" t="s">
        <v>86</v>
      </c>
      <c r="C372" s="467">
        <f t="shared" si="46"/>
        <v>0</v>
      </c>
      <c r="D372" s="467">
        <f t="shared" si="47"/>
        <v>19000</v>
      </c>
      <c r="E372" s="180">
        <f t="shared" si="48"/>
        <v>3.0694668820678513E-2</v>
      </c>
      <c r="F372" s="262"/>
      <c r="G372" s="884"/>
      <c r="H372" s="468"/>
      <c r="I372" s="862">
        <f>2808+16000</f>
        <v>18808</v>
      </c>
      <c r="J372" s="180">
        <f t="shared" si="49"/>
        <v>3.038449111470113E-2</v>
      </c>
      <c r="K372" s="262"/>
      <c r="L372" s="884"/>
      <c r="M372" s="13"/>
    </row>
    <row r="373" spans="1:15" ht="18" customHeight="1">
      <c r="A373" s="176" t="s">
        <v>112</v>
      </c>
      <c r="B373" s="7" t="s">
        <v>87</v>
      </c>
      <c r="C373" s="467">
        <f t="shared" si="46"/>
        <v>0</v>
      </c>
      <c r="D373" s="467">
        <f t="shared" si="47"/>
        <v>6000</v>
      </c>
      <c r="E373" s="180">
        <f t="shared" si="48"/>
        <v>9.6930533117932146E-3</v>
      </c>
      <c r="F373" s="262"/>
      <c r="G373" s="884"/>
      <c r="H373" s="468"/>
      <c r="I373" s="862">
        <v>5616</v>
      </c>
      <c r="J373" s="180">
        <f t="shared" si="49"/>
        <v>9.0726978998384496E-3</v>
      </c>
      <c r="K373" s="262"/>
      <c r="L373" s="884"/>
      <c r="M373" s="13"/>
    </row>
    <row r="374" spans="1:15" ht="18" customHeight="1">
      <c r="A374" s="176" t="s">
        <v>112</v>
      </c>
      <c r="B374" s="7" t="s">
        <v>161</v>
      </c>
      <c r="C374" s="467">
        <f t="shared" si="46"/>
        <v>0</v>
      </c>
      <c r="D374" s="467">
        <f t="shared" si="47"/>
        <v>0</v>
      </c>
      <c r="E374" s="180">
        <f t="shared" si="48"/>
        <v>0</v>
      </c>
      <c r="F374" s="262"/>
      <c r="G374" s="884"/>
      <c r="H374" s="468"/>
      <c r="I374" s="862">
        <v>0</v>
      </c>
      <c r="J374" s="180">
        <f t="shared" si="49"/>
        <v>0</v>
      </c>
      <c r="K374" s="262"/>
      <c r="L374" s="884"/>
      <c r="M374" s="13"/>
    </row>
    <row r="375" spans="1:15" ht="18" customHeight="1">
      <c r="A375" s="176" t="s">
        <v>112</v>
      </c>
      <c r="B375" s="7" t="s">
        <v>88</v>
      </c>
      <c r="C375" s="467">
        <f t="shared" si="46"/>
        <v>0</v>
      </c>
      <c r="D375" s="467">
        <f t="shared" si="47"/>
        <v>0</v>
      </c>
      <c r="E375" s="180">
        <f t="shared" si="48"/>
        <v>0</v>
      </c>
      <c r="F375" s="262"/>
      <c r="G375" s="884"/>
      <c r="H375" s="468"/>
      <c r="I375" s="862">
        <v>0</v>
      </c>
      <c r="J375" s="180">
        <f t="shared" si="49"/>
        <v>0</v>
      </c>
      <c r="K375" s="262"/>
      <c r="L375" s="884"/>
      <c r="M375" s="13"/>
    </row>
    <row r="376" spans="1:15" ht="18" customHeight="1">
      <c r="A376" s="176" t="s">
        <v>112</v>
      </c>
      <c r="B376" s="7" t="s">
        <v>90</v>
      </c>
      <c r="C376" s="467">
        <f t="shared" si="46"/>
        <v>0</v>
      </c>
      <c r="D376" s="467">
        <f t="shared" si="47"/>
        <v>33000</v>
      </c>
      <c r="E376" s="180">
        <f t="shared" si="48"/>
        <v>5.3311793214862679E-2</v>
      </c>
      <c r="F376" s="262"/>
      <c r="G376" s="884"/>
      <c r="H376" s="468"/>
      <c r="I376" s="862">
        <f>23903+8788</f>
        <v>32691</v>
      </c>
      <c r="J376" s="180">
        <f t="shared" si="49"/>
        <v>5.2812600969305332E-2</v>
      </c>
      <c r="K376" s="262"/>
      <c r="L376" s="884"/>
      <c r="M376" s="13"/>
    </row>
    <row r="377" spans="1:15" ht="18" customHeight="1">
      <c r="A377" s="908" t="s">
        <v>91</v>
      </c>
      <c r="B377" s="909"/>
      <c r="C377" s="910">
        <f>SUM(C359:C376)</f>
        <v>619000</v>
      </c>
      <c r="D377" s="910">
        <f>SUM(D362:D376)</f>
        <v>140000</v>
      </c>
      <c r="E377" s="912">
        <f t="shared" si="48"/>
        <v>0.22617124394184168</v>
      </c>
      <c r="F377" s="913">
        <f>C377-D377</f>
        <v>479000</v>
      </c>
      <c r="G377" s="914">
        <f>F377/C377</f>
        <v>0.77382875605815837</v>
      </c>
      <c r="H377" s="910">
        <f>SUM(H359:H376)</f>
        <v>617936</v>
      </c>
      <c r="I377" s="910">
        <f>SUM(I362:I376)</f>
        <v>138788</v>
      </c>
      <c r="J377" s="912">
        <f t="shared" si="49"/>
        <v>0.22421324717285945</v>
      </c>
      <c r="K377" s="913">
        <f>H377-I377</f>
        <v>479148</v>
      </c>
      <c r="L377" s="914">
        <f>K377/H377</f>
        <v>0.77540068874446544</v>
      </c>
      <c r="M377" s="13"/>
    </row>
    <row r="378" spans="1:15" ht="18" customHeight="1">
      <c r="A378" s="176" t="s">
        <v>614</v>
      </c>
      <c r="B378" s="7" t="s">
        <v>615</v>
      </c>
      <c r="C378" s="467">
        <f t="shared" ref="C378:C405" si="50">ROUND(H378,-3)</f>
        <v>3572000</v>
      </c>
      <c r="D378" s="467">
        <f t="shared" ref="D378:D405" si="51">ROUND(I378,-3)</f>
        <v>0</v>
      </c>
      <c r="E378" s="180"/>
      <c r="F378" s="262"/>
      <c r="G378" s="884"/>
      <c r="H378" s="468">
        <v>3571510.4278187458</v>
      </c>
      <c r="I378" s="862"/>
      <c r="J378" s="180"/>
      <c r="K378" s="262"/>
      <c r="L378" s="884"/>
      <c r="M378" s="13"/>
    </row>
    <row r="379" spans="1:15" ht="18" customHeight="1">
      <c r="A379" s="176" t="s">
        <v>614</v>
      </c>
      <c r="B379" s="7" t="s">
        <v>567</v>
      </c>
      <c r="C379" s="467">
        <f t="shared" si="50"/>
        <v>1158000</v>
      </c>
      <c r="D379" s="467">
        <f t="shared" si="51"/>
        <v>0</v>
      </c>
      <c r="E379" s="180"/>
      <c r="F379" s="262"/>
      <c r="G379" s="884"/>
      <c r="H379" s="468">
        <v>1157835.731023482</v>
      </c>
      <c r="I379" s="862"/>
      <c r="J379" s="180"/>
      <c r="K379" s="262"/>
      <c r="L379" s="884"/>
      <c r="M379" s="13"/>
    </row>
    <row r="380" spans="1:15" ht="18" customHeight="1">
      <c r="A380" s="176"/>
      <c r="B380" s="7" t="s">
        <v>667</v>
      </c>
      <c r="C380" s="467">
        <f t="shared" si="50"/>
        <v>0</v>
      </c>
      <c r="D380" s="467">
        <f t="shared" si="51"/>
        <v>0</v>
      </c>
      <c r="E380" s="180"/>
      <c r="F380" s="262"/>
      <c r="G380" s="884"/>
      <c r="H380" s="468">
        <v>0</v>
      </c>
      <c r="I380" s="862"/>
      <c r="J380" s="180"/>
      <c r="K380" s="262"/>
      <c r="L380" s="884"/>
      <c r="M380" s="13"/>
      <c r="N380" s="982"/>
      <c r="O380" s="982"/>
    </row>
    <row r="381" spans="1:15" ht="18" customHeight="1">
      <c r="A381" s="176" t="s">
        <v>614</v>
      </c>
      <c r="B381" s="7" t="s">
        <v>597</v>
      </c>
      <c r="C381" s="467">
        <f t="shared" si="50"/>
        <v>731000</v>
      </c>
      <c r="D381" s="467">
        <f t="shared" si="51"/>
        <v>0</v>
      </c>
      <c r="E381" s="180"/>
      <c r="F381" s="262"/>
      <c r="G381" s="884"/>
      <c r="H381" s="468">
        <v>730653.84115777153</v>
      </c>
      <c r="I381" s="862"/>
      <c r="J381" s="180"/>
      <c r="K381" s="262"/>
      <c r="L381" s="884"/>
      <c r="M381" s="13"/>
      <c r="N381" s="937"/>
      <c r="O381" s="937"/>
    </row>
    <row r="382" spans="1:15" ht="18" customHeight="1">
      <c r="A382" s="176" t="s">
        <v>614</v>
      </c>
      <c r="B382" s="7" t="s">
        <v>331</v>
      </c>
      <c r="C382" s="467">
        <f t="shared" si="50"/>
        <v>0</v>
      </c>
      <c r="D382" s="467">
        <f t="shared" si="51"/>
        <v>3015000</v>
      </c>
      <c r="E382" s="180">
        <v>0.52319246060963043</v>
      </c>
      <c r="F382" s="262"/>
      <c r="G382" s="884"/>
      <c r="H382" s="468"/>
      <c r="I382" s="862">
        <v>3014500</v>
      </c>
      <c r="J382" s="180">
        <v>0.52319246060963043</v>
      </c>
      <c r="K382" s="262"/>
      <c r="L382" s="884"/>
      <c r="M382" s="13"/>
    </row>
    <row r="383" spans="1:15" ht="18" customHeight="1">
      <c r="A383" s="176" t="s">
        <v>614</v>
      </c>
      <c r="B383" s="7" t="s">
        <v>392</v>
      </c>
      <c r="C383" s="467">
        <f t="shared" si="50"/>
        <v>0</v>
      </c>
      <c r="D383" s="467">
        <f t="shared" si="51"/>
        <v>251000</v>
      </c>
      <c r="E383" s="180">
        <v>0</v>
      </c>
      <c r="F383" s="262"/>
      <c r="G383" s="884"/>
      <c r="H383" s="468"/>
      <c r="I383" s="862">
        <v>251287</v>
      </c>
      <c r="J383" s="180">
        <v>0</v>
      </c>
      <c r="K383" s="262"/>
      <c r="L383" s="884"/>
      <c r="M383" s="13"/>
    </row>
    <row r="384" spans="1:15" ht="18" customHeight="1">
      <c r="A384" s="176" t="s">
        <v>614</v>
      </c>
      <c r="B384" s="7" t="s">
        <v>259</v>
      </c>
      <c r="C384" s="467">
        <f t="shared" si="50"/>
        <v>0</v>
      </c>
      <c r="D384" s="467">
        <f t="shared" si="51"/>
        <v>39000</v>
      </c>
      <c r="E384" s="180">
        <v>0</v>
      </c>
      <c r="F384" s="262"/>
      <c r="G384" s="884"/>
      <c r="H384" s="468"/>
      <c r="I384" s="862">
        <v>38940</v>
      </c>
      <c r="J384" s="180">
        <v>0</v>
      </c>
      <c r="K384" s="262"/>
      <c r="L384" s="884"/>
      <c r="M384" s="13"/>
    </row>
    <row r="385" spans="1:15" ht="18" customHeight="1">
      <c r="A385" s="176" t="s">
        <v>614</v>
      </c>
      <c r="B385" s="7" t="s">
        <v>344</v>
      </c>
      <c r="C385" s="467">
        <f t="shared" si="50"/>
        <v>0</v>
      </c>
      <c r="D385" s="467">
        <f t="shared" si="51"/>
        <v>43000</v>
      </c>
      <c r="E385" s="180">
        <v>4.3233691650714182E-2</v>
      </c>
      <c r="F385" s="262"/>
      <c r="G385" s="884"/>
      <c r="H385" s="468"/>
      <c r="I385" s="862">
        <v>43400</v>
      </c>
      <c r="J385" s="180">
        <v>4.3233691650714182E-2</v>
      </c>
      <c r="K385" s="262"/>
      <c r="L385" s="884"/>
      <c r="M385" s="13"/>
      <c r="N385" s="13"/>
    </row>
    <row r="386" spans="1:15" ht="18" customHeight="1">
      <c r="A386" s="176" t="s">
        <v>614</v>
      </c>
      <c r="B386" s="176" t="s">
        <v>81</v>
      </c>
      <c r="C386" s="467">
        <f t="shared" si="50"/>
        <v>0</v>
      </c>
      <c r="D386" s="467">
        <f t="shared" si="51"/>
        <v>228000</v>
      </c>
      <c r="E386" s="180">
        <v>1.4695921072007068E-2</v>
      </c>
      <c r="F386" s="262"/>
      <c r="G386" s="884"/>
      <c r="H386" s="468"/>
      <c r="I386" s="862">
        <v>227619</v>
      </c>
      <c r="J386" s="180">
        <v>1.4695921072007068E-2</v>
      </c>
      <c r="K386" s="262"/>
      <c r="L386" s="884"/>
      <c r="M386" s="13"/>
    </row>
    <row r="387" spans="1:15" ht="18" customHeight="1">
      <c r="A387" s="176" t="s">
        <v>614</v>
      </c>
      <c r="B387" s="176" t="s">
        <v>121</v>
      </c>
      <c r="C387" s="467">
        <f t="shared" si="50"/>
        <v>0</v>
      </c>
      <c r="D387" s="467">
        <f t="shared" si="51"/>
        <v>0</v>
      </c>
      <c r="E387" s="180">
        <v>9.836548372846414E-3</v>
      </c>
      <c r="F387" s="262"/>
      <c r="G387" s="884"/>
      <c r="H387" s="468"/>
      <c r="I387" s="862">
        <v>0</v>
      </c>
      <c r="J387" s="180">
        <v>9.836548372846414E-3</v>
      </c>
      <c r="K387" s="262"/>
      <c r="L387" s="884"/>
      <c r="M387" s="13"/>
    </row>
    <row r="388" spans="1:15" ht="18" customHeight="1">
      <c r="A388" s="176" t="s">
        <v>614</v>
      </c>
      <c r="B388" s="176" t="s">
        <v>82</v>
      </c>
      <c r="C388" s="467">
        <f t="shared" si="50"/>
        <v>0</v>
      </c>
      <c r="D388" s="467">
        <f t="shared" si="51"/>
        <v>155000</v>
      </c>
      <c r="E388" s="180">
        <v>4.6826682373729937E-3</v>
      </c>
      <c r="F388" s="262"/>
      <c r="G388" s="884"/>
      <c r="H388" s="468"/>
      <c r="I388" s="862">
        <v>154922</v>
      </c>
      <c r="J388" s="180">
        <v>4.6826682373729937E-3</v>
      </c>
      <c r="K388" s="262"/>
      <c r="L388" s="884"/>
      <c r="M388" s="13"/>
    </row>
    <row r="389" spans="1:15" ht="18" customHeight="1">
      <c r="A389" s="176" t="s">
        <v>614</v>
      </c>
      <c r="B389" s="176" t="s">
        <v>122</v>
      </c>
      <c r="C389" s="467">
        <f t="shared" si="50"/>
        <v>0</v>
      </c>
      <c r="D389" s="467">
        <f t="shared" si="51"/>
        <v>0</v>
      </c>
      <c r="E389" s="180">
        <v>1.0602267707259608E-3</v>
      </c>
      <c r="F389" s="262"/>
      <c r="G389" s="884"/>
      <c r="H389" s="468"/>
      <c r="I389" s="862">
        <v>0</v>
      </c>
      <c r="J389" s="180">
        <v>1.0602267707259608E-3</v>
      </c>
      <c r="K389" s="262"/>
      <c r="L389" s="884"/>
      <c r="M389" s="13"/>
    </row>
    <row r="390" spans="1:15" ht="18" customHeight="1">
      <c r="A390" s="176" t="s">
        <v>614</v>
      </c>
      <c r="B390" s="176" t="s">
        <v>83</v>
      </c>
      <c r="C390" s="467">
        <f t="shared" si="50"/>
        <v>0</v>
      </c>
      <c r="D390" s="467">
        <f t="shared" si="51"/>
        <v>22000</v>
      </c>
      <c r="E390" s="180">
        <v>7.6571933441319396E-4</v>
      </c>
      <c r="F390" s="262"/>
      <c r="G390" s="884"/>
      <c r="H390" s="468"/>
      <c r="I390" s="862">
        <v>22208</v>
      </c>
      <c r="J390" s="180">
        <v>7.6571933441319396E-4</v>
      </c>
      <c r="K390" s="262"/>
      <c r="L390" s="884"/>
      <c r="M390" s="13"/>
    </row>
    <row r="391" spans="1:15" ht="18" customHeight="1">
      <c r="A391" s="176" t="s">
        <v>614</v>
      </c>
      <c r="B391" s="176" t="s">
        <v>94</v>
      </c>
      <c r="C391" s="467">
        <f t="shared" si="50"/>
        <v>0</v>
      </c>
      <c r="D391" s="467">
        <f t="shared" si="51"/>
        <v>42000</v>
      </c>
      <c r="E391" s="180">
        <v>2.9450743631276691E-5</v>
      </c>
      <c r="F391" s="262"/>
      <c r="G391" s="884"/>
      <c r="H391" s="468"/>
      <c r="I391" s="862">
        <v>41720</v>
      </c>
      <c r="J391" s="180">
        <v>2.9450743631276691E-5</v>
      </c>
      <c r="K391" s="262"/>
      <c r="L391" s="884"/>
      <c r="M391" s="13"/>
    </row>
    <row r="392" spans="1:15" ht="18" customHeight="1">
      <c r="A392" s="176" t="s">
        <v>614</v>
      </c>
      <c r="B392" s="176" t="s">
        <v>84</v>
      </c>
      <c r="C392" s="467">
        <f t="shared" si="50"/>
        <v>0</v>
      </c>
      <c r="D392" s="467">
        <f t="shared" si="51"/>
        <v>0</v>
      </c>
      <c r="E392" s="180">
        <v>0</v>
      </c>
      <c r="F392" s="262"/>
      <c r="G392" s="884"/>
      <c r="H392" s="468"/>
      <c r="I392" s="862">
        <v>0</v>
      </c>
      <c r="J392" s="180">
        <v>0</v>
      </c>
      <c r="K392" s="262"/>
      <c r="L392" s="884"/>
      <c r="M392" s="13"/>
    </row>
    <row r="393" spans="1:15" ht="18" customHeight="1">
      <c r="A393" s="176"/>
      <c r="B393" s="176" t="s">
        <v>631</v>
      </c>
      <c r="C393" s="467">
        <f t="shared" si="50"/>
        <v>0</v>
      </c>
      <c r="D393" s="467">
        <f t="shared" si="51"/>
        <v>0</v>
      </c>
      <c r="E393" s="180"/>
      <c r="F393" s="262"/>
      <c r="G393" s="884"/>
      <c r="H393" s="468"/>
      <c r="I393" s="862">
        <v>0</v>
      </c>
      <c r="J393" s="180"/>
      <c r="K393" s="262"/>
      <c r="L393" s="884"/>
      <c r="M393" s="13"/>
      <c r="O393" s="938"/>
    </row>
    <row r="394" spans="1:15" ht="18" customHeight="1">
      <c r="A394" s="176" t="s">
        <v>614</v>
      </c>
      <c r="B394" s="176" t="s">
        <v>115</v>
      </c>
      <c r="C394" s="467">
        <f t="shared" si="50"/>
        <v>0</v>
      </c>
      <c r="D394" s="467">
        <f t="shared" si="51"/>
        <v>86000</v>
      </c>
      <c r="E394" s="180">
        <v>0</v>
      </c>
      <c r="F394" s="262"/>
      <c r="G394" s="884"/>
      <c r="H394" s="468"/>
      <c r="I394" s="862">
        <v>86063</v>
      </c>
      <c r="J394" s="180">
        <v>0</v>
      </c>
      <c r="K394" s="262"/>
      <c r="L394" s="884"/>
      <c r="M394" s="13"/>
    </row>
    <row r="395" spans="1:15" ht="18" customHeight="1">
      <c r="A395" s="176" t="s">
        <v>614</v>
      </c>
      <c r="B395" s="176" t="s">
        <v>85</v>
      </c>
      <c r="C395" s="467">
        <f t="shared" si="50"/>
        <v>0</v>
      </c>
      <c r="D395" s="467">
        <f t="shared" si="51"/>
        <v>42000</v>
      </c>
      <c r="E395" s="180">
        <v>3.0923280812840525E-3</v>
      </c>
      <c r="F395" s="262"/>
      <c r="G395" s="884"/>
      <c r="H395" s="468"/>
      <c r="I395" s="862">
        <v>42107</v>
      </c>
      <c r="J395" s="180">
        <v>3.0923280812840525E-3</v>
      </c>
      <c r="K395" s="262"/>
      <c r="L395" s="884"/>
      <c r="M395" s="13"/>
    </row>
    <row r="396" spans="1:15" ht="18" customHeight="1">
      <c r="A396" s="176" t="s">
        <v>614</v>
      </c>
      <c r="B396" s="176" t="s">
        <v>86</v>
      </c>
      <c r="C396" s="467">
        <f t="shared" si="50"/>
        <v>0</v>
      </c>
      <c r="D396" s="467">
        <f t="shared" si="51"/>
        <v>160000</v>
      </c>
      <c r="E396" s="180">
        <v>1.7375938742453247E-3</v>
      </c>
      <c r="F396" s="262"/>
      <c r="G396" s="884"/>
      <c r="H396" s="468"/>
      <c r="I396" s="862">
        <v>159785</v>
      </c>
      <c r="J396" s="180">
        <v>1.7375938742453247E-3</v>
      </c>
      <c r="K396" s="262"/>
      <c r="L396" s="884"/>
      <c r="M396" s="13"/>
    </row>
    <row r="397" spans="1:15" ht="18" customHeight="1">
      <c r="A397" s="176" t="s">
        <v>614</v>
      </c>
      <c r="B397" s="176" t="s">
        <v>97</v>
      </c>
      <c r="C397" s="467">
        <f t="shared" si="50"/>
        <v>0</v>
      </c>
      <c r="D397" s="467">
        <f t="shared" si="51"/>
        <v>6000</v>
      </c>
      <c r="E397" s="180"/>
      <c r="F397" s="262"/>
      <c r="G397" s="884"/>
      <c r="H397" s="468"/>
      <c r="I397" s="862">
        <v>6000</v>
      </c>
      <c r="J397" s="180"/>
      <c r="K397" s="262"/>
      <c r="L397" s="884"/>
      <c r="M397" s="13"/>
    </row>
    <row r="398" spans="1:15" ht="18" customHeight="1">
      <c r="A398" s="176" t="s">
        <v>614</v>
      </c>
      <c r="B398" s="176" t="s">
        <v>87</v>
      </c>
      <c r="C398" s="467">
        <f t="shared" si="50"/>
        <v>0</v>
      </c>
      <c r="D398" s="467">
        <f t="shared" si="51"/>
        <v>7000</v>
      </c>
      <c r="E398" s="180">
        <v>0</v>
      </c>
      <c r="F398" s="262"/>
      <c r="G398" s="884"/>
      <c r="H398" s="468"/>
      <c r="I398" s="862">
        <v>6600</v>
      </c>
      <c r="J398" s="180">
        <v>0</v>
      </c>
      <c r="K398" s="262"/>
      <c r="L398" s="884"/>
      <c r="M398" s="13"/>
    </row>
    <row r="399" spans="1:15" ht="18" customHeight="1">
      <c r="A399" s="176" t="s">
        <v>614</v>
      </c>
      <c r="B399" s="176" t="s">
        <v>161</v>
      </c>
      <c r="C399" s="467">
        <f t="shared" si="50"/>
        <v>0</v>
      </c>
      <c r="D399" s="467">
        <f t="shared" si="51"/>
        <v>0</v>
      </c>
      <c r="E399" s="180"/>
      <c r="F399" s="262"/>
      <c r="G399" s="884"/>
      <c r="H399" s="468"/>
      <c r="I399" s="862">
        <v>0</v>
      </c>
      <c r="J399" s="180"/>
      <c r="K399" s="262"/>
      <c r="L399" s="884"/>
      <c r="M399" s="13"/>
    </row>
    <row r="400" spans="1:15" ht="18" customHeight="1">
      <c r="A400" s="176" t="s">
        <v>614</v>
      </c>
      <c r="B400" s="176" t="s">
        <v>88</v>
      </c>
      <c r="C400" s="467">
        <f t="shared" si="50"/>
        <v>0</v>
      </c>
      <c r="D400" s="467">
        <f t="shared" si="51"/>
        <v>0</v>
      </c>
      <c r="E400" s="180">
        <v>3.3132086585186273E-2</v>
      </c>
      <c r="F400" s="262"/>
      <c r="G400" s="884"/>
      <c r="H400" s="468"/>
      <c r="I400" s="862">
        <v>0</v>
      </c>
      <c r="J400" s="180">
        <v>3.3132086585186273E-2</v>
      </c>
      <c r="K400" s="262"/>
      <c r="L400" s="884"/>
      <c r="M400" s="13"/>
    </row>
    <row r="401" spans="1:15" ht="18" customHeight="1">
      <c r="A401" s="176" t="s">
        <v>614</v>
      </c>
      <c r="B401" s="176" t="s">
        <v>125</v>
      </c>
      <c r="C401" s="467">
        <f t="shared" si="50"/>
        <v>0</v>
      </c>
      <c r="D401" s="467">
        <f t="shared" si="51"/>
        <v>0</v>
      </c>
      <c r="E401" s="180"/>
      <c r="F401" s="262"/>
      <c r="G401" s="884"/>
      <c r="H401" s="468"/>
      <c r="I401" s="862">
        <v>0</v>
      </c>
      <c r="J401" s="180"/>
      <c r="K401" s="262"/>
      <c r="L401" s="884"/>
      <c r="M401" s="13"/>
    </row>
    <row r="402" spans="1:15" ht="18" customHeight="1">
      <c r="A402" s="176" t="s">
        <v>614</v>
      </c>
      <c r="B402" s="176" t="s">
        <v>105</v>
      </c>
      <c r="C402" s="467">
        <f t="shared" si="50"/>
        <v>0</v>
      </c>
      <c r="D402" s="467">
        <f t="shared" si="51"/>
        <v>0</v>
      </c>
      <c r="E402" s="180">
        <v>0</v>
      </c>
      <c r="F402" s="262"/>
      <c r="G402" s="884"/>
      <c r="H402" s="468"/>
      <c r="I402" s="862">
        <v>0</v>
      </c>
      <c r="J402" s="180">
        <v>0</v>
      </c>
      <c r="K402" s="262"/>
      <c r="L402" s="884"/>
      <c r="M402" s="13"/>
    </row>
    <row r="403" spans="1:15" ht="18" customHeight="1">
      <c r="A403" s="176" t="s">
        <v>614</v>
      </c>
      <c r="B403" s="176" t="s">
        <v>89</v>
      </c>
      <c r="C403" s="467">
        <f t="shared" si="50"/>
        <v>0</v>
      </c>
      <c r="D403" s="467">
        <f t="shared" si="51"/>
        <v>1152000</v>
      </c>
      <c r="E403" s="180">
        <v>2.0497717567368574E-2</v>
      </c>
      <c r="F403" s="262"/>
      <c r="G403" s="884"/>
      <c r="H403" s="468"/>
      <c r="I403" s="862">
        <v>1152000</v>
      </c>
      <c r="J403" s="180">
        <v>2.0497717567368574E-2</v>
      </c>
      <c r="K403" s="262"/>
      <c r="L403" s="884"/>
      <c r="M403" s="13"/>
    </row>
    <row r="404" spans="1:15" ht="18" customHeight="1">
      <c r="A404" s="176" t="s">
        <v>614</v>
      </c>
      <c r="B404" s="176" t="s">
        <v>362</v>
      </c>
      <c r="C404" s="467">
        <f t="shared" si="50"/>
        <v>0</v>
      </c>
      <c r="D404" s="467">
        <f t="shared" si="51"/>
        <v>0</v>
      </c>
      <c r="E404" s="180"/>
      <c r="F404" s="262"/>
      <c r="G404" s="884"/>
      <c r="H404" s="468"/>
      <c r="I404" s="862">
        <v>0</v>
      </c>
      <c r="J404" s="180"/>
      <c r="K404" s="262"/>
      <c r="L404" s="884"/>
      <c r="M404" s="13"/>
    </row>
    <row r="405" spans="1:15" ht="18" customHeight="1">
      <c r="A405" s="176" t="s">
        <v>614</v>
      </c>
      <c r="B405" s="176" t="s">
        <v>90</v>
      </c>
      <c r="C405" s="467">
        <f t="shared" si="50"/>
        <v>0</v>
      </c>
      <c r="D405" s="467">
        <f t="shared" si="51"/>
        <v>169000</v>
      </c>
      <c r="E405" s="180">
        <v>3.0923280812840525E-3</v>
      </c>
      <c r="F405" s="994"/>
      <c r="G405" s="884"/>
      <c r="H405" s="468"/>
      <c r="I405" s="862">
        <v>168904</v>
      </c>
      <c r="J405" s="180">
        <v>3.0923280812840525E-3</v>
      </c>
      <c r="K405" s="994"/>
      <c r="L405" s="884"/>
      <c r="M405" s="13"/>
    </row>
    <row r="406" spans="1:15" ht="18" customHeight="1">
      <c r="A406" s="908" t="s">
        <v>91</v>
      </c>
      <c r="B406" s="909"/>
      <c r="C406" s="910">
        <f>SUM(C378:C405)</f>
        <v>5461000</v>
      </c>
      <c r="D406" s="911">
        <f>SUM(D378:D405)</f>
        <v>5417000</v>
      </c>
      <c r="E406" s="912">
        <v>0.65904874098070976</v>
      </c>
      <c r="F406" s="913">
        <f>C406-D406</f>
        <v>44000</v>
      </c>
      <c r="G406" s="914">
        <f>F406/C406</f>
        <v>8.057132393334554E-3</v>
      </c>
      <c r="H406" s="910">
        <f>SUM(H378:H405)</f>
        <v>5460000</v>
      </c>
      <c r="I406" s="911">
        <f>SUM(I378:I405)</f>
        <v>5416055</v>
      </c>
      <c r="J406" s="912">
        <v>0.65904874098070976</v>
      </c>
      <c r="K406" s="913">
        <f>H406-I406</f>
        <v>43945</v>
      </c>
      <c r="L406" s="914">
        <f>K406/H406</f>
        <v>8.0485347985347986E-3</v>
      </c>
      <c r="M406" s="13"/>
    </row>
    <row r="407" spans="1:15" ht="18" customHeight="1">
      <c r="A407" s="176" t="s">
        <v>785</v>
      </c>
      <c r="B407" s="7" t="s">
        <v>615</v>
      </c>
      <c r="C407" s="467">
        <f t="shared" ref="C407:C434" si="52">ROUND(H407,-3)</f>
        <v>0</v>
      </c>
      <c r="D407" s="467">
        <f t="shared" ref="D407:D434" si="53">ROUND(I407,-3)</f>
        <v>0</v>
      </c>
      <c r="E407" s="180"/>
      <c r="F407" s="262"/>
      <c r="G407" s="884"/>
      <c r="H407" s="468"/>
      <c r="I407" s="862"/>
      <c r="J407" s="180"/>
      <c r="K407" s="262"/>
      <c r="L407" s="884"/>
      <c r="M407" s="13"/>
      <c r="N407" s="1112"/>
      <c r="O407" s="1112"/>
    </row>
    <row r="408" spans="1:15" ht="18" customHeight="1">
      <c r="A408" s="176" t="s">
        <v>785</v>
      </c>
      <c r="B408" s="7" t="s">
        <v>567</v>
      </c>
      <c r="C408" s="467">
        <f t="shared" si="52"/>
        <v>140000</v>
      </c>
      <c r="D408" s="467">
        <f t="shared" si="53"/>
        <v>0</v>
      </c>
      <c r="E408" s="180"/>
      <c r="F408" s="262"/>
      <c r="G408" s="884"/>
      <c r="H408" s="468">
        <v>140000</v>
      </c>
      <c r="I408" s="862"/>
      <c r="J408" s="180"/>
      <c r="K408" s="262"/>
      <c r="L408" s="884"/>
      <c r="M408" s="13"/>
      <c r="N408" s="1112"/>
      <c r="O408" s="1112"/>
    </row>
    <row r="409" spans="1:15" ht="18" customHeight="1">
      <c r="A409" s="176" t="s">
        <v>785</v>
      </c>
      <c r="B409" s="7" t="s">
        <v>667</v>
      </c>
      <c r="C409" s="467">
        <f t="shared" si="52"/>
        <v>0</v>
      </c>
      <c r="D409" s="467">
        <f t="shared" si="53"/>
        <v>0</v>
      </c>
      <c r="E409" s="180"/>
      <c r="F409" s="262"/>
      <c r="G409" s="884"/>
      <c r="H409" s="468"/>
      <c r="I409" s="862"/>
      <c r="J409" s="180"/>
      <c r="K409" s="262"/>
      <c r="L409" s="884"/>
      <c r="M409" s="13"/>
      <c r="N409" s="1112"/>
      <c r="O409" s="1112"/>
    </row>
    <row r="410" spans="1:15" ht="18" customHeight="1">
      <c r="A410" s="176" t="s">
        <v>785</v>
      </c>
      <c r="B410" s="7" t="s">
        <v>597</v>
      </c>
      <c r="C410" s="467">
        <f t="shared" si="52"/>
        <v>0</v>
      </c>
      <c r="D410" s="467">
        <f t="shared" si="53"/>
        <v>0</v>
      </c>
      <c r="E410" s="180"/>
      <c r="F410" s="262"/>
      <c r="G410" s="884"/>
      <c r="H410" s="468"/>
      <c r="I410" s="862"/>
      <c r="J410" s="180"/>
      <c r="K410" s="262"/>
      <c r="L410" s="884"/>
      <c r="M410" s="13"/>
      <c r="N410" s="1112"/>
      <c r="O410" s="1112"/>
    </row>
    <row r="411" spans="1:15" ht="18" customHeight="1">
      <c r="A411" s="176" t="s">
        <v>785</v>
      </c>
      <c r="B411" s="7" t="s">
        <v>331</v>
      </c>
      <c r="C411" s="467">
        <f t="shared" si="52"/>
        <v>0</v>
      </c>
      <c r="D411" s="467">
        <f t="shared" si="53"/>
        <v>0</v>
      </c>
      <c r="E411" s="180">
        <f>D411/$C$377</f>
        <v>0</v>
      </c>
      <c r="F411" s="262"/>
      <c r="G411" s="884"/>
      <c r="H411" s="468"/>
      <c r="I411" s="862"/>
      <c r="J411" s="180">
        <f>I411/$C$377</f>
        <v>0</v>
      </c>
      <c r="K411" s="262"/>
      <c r="L411" s="884"/>
      <c r="M411" s="13"/>
      <c r="N411" s="1112"/>
      <c r="O411" s="1112"/>
    </row>
    <row r="412" spans="1:15" ht="18" customHeight="1">
      <c r="A412" s="176" t="s">
        <v>785</v>
      </c>
      <c r="B412" s="7" t="s">
        <v>392</v>
      </c>
      <c r="C412" s="467">
        <f t="shared" si="52"/>
        <v>0</v>
      </c>
      <c r="D412" s="467">
        <f t="shared" si="53"/>
        <v>0</v>
      </c>
      <c r="E412" s="180">
        <f t="shared" ref="E412:E434" si="54">D412/$C$377</f>
        <v>0</v>
      </c>
      <c r="F412" s="262"/>
      <c r="G412" s="884"/>
      <c r="H412" s="468"/>
      <c r="I412" s="862"/>
      <c r="J412" s="180">
        <f t="shared" ref="J412:J434" si="55">I412/$C$377</f>
        <v>0</v>
      </c>
      <c r="K412" s="262"/>
      <c r="L412" s="884"/>
      <c r="M412" s="13"/>
      <c r="N412" s="1112"/>
      <c r="O412" s="1112"/>
    </row>
    <row r="413" spans="1:15" ht="18" customHeight="1">
      <c r="A413" s="176" t="s">
        <v>785</v>
      </c>
      <c r="B413" s="7" t="s">
        <v>259</v>
      </c>
      <c r="C413" s="467">
        <f t="shared" si="52"/>
        <v>0</v>
      </c>
      <c r="D413" s="467">
        <f t="shared" si="53"/>
        <v>0</v>
      </c>
      <c r="E413" s="180">
        <f t="shared" si="54"/>
        <v>0</v>
      </c>
      <c r="F413" s="262"/>
      <c r="G413" s="884"/>
      <c r="H413" s="468"/>
      <c r="I413" s="862"/>
      <c r="J413" s="180">
        <f t="shared" si="55"/>
        <v>0</v>
      </c>
      <c r="K413" s="262"/>
      <c r="L413" s="884"/>
      <c r="M413" s="13"/>
      <c r="N413" s="1112"/>
      <c r="O413" s="1112"/>
    </row>
    <row r="414" spans="1:15" ht="18" customHeight="1">
      <c r="A414" s="176" t="s">
        <v>785</v>
      </c>
      <c r="B414" s="7" t="s">
        <v>344</v>
      </c>
      <c r="C414" s="467">
        <f t="shared" si="52"/>
        <v>0</v>
      </c>
      <c r="D414" s="467">
        <f t="shared" si="53"/>
        <v>0</v>
      </c>
      <c r="E414" s="180">
        <f t="shared" si="54"/>
        <v>0</v>
      </c>
      <c r="F414" s="262"/>
      <c r="G414" s="884"/>
      <c r="H414" s="468"/>
      <c r="I414" s="862"/>
      <c r="J414" s="180">
        <f t="shared" si="55"/>
        <v>0</v>
      </c>
      <c r="K414" s="262"/>
      <c r="L414" s="884"/>
      <c r="M414" s="13"/>
      <c r="N414" s="13"/>
      <c r="O414" s="1112"/>
    </row>
    <row r="415" spans="1:15" ht="18" customHeight="1">
      <c r="A415" s="176" t="s">
        <v>785</v>
      </c>
      <c r="B415" s="176" t="s">
        <v>81</v>
      </c>
      <c r="C415" s="467">
        <f t="shared" si="52"/>
        <v>0</v>
      </c>
      <c r="D415" s="467">
        <f t="shared" si="53"/>
        <v>0</v>
      </c>
      <c r="E415" s="180">
        <f t="shared" si="54"/>
        <v>0</v>
      </c>
      <c r="F415" s="262"/>
      <c r="G415" s="884"/>
      <c r="H415" s="468"/>
      <c r="I415" s="862"/>
      <c r="J415" s="180">
        <f t="shared" si="55"/>
        <v>0</v>
      </c>
      <c r="K415" s="262"/>
      <c r="L415" s="884"/>
      <c r="M415" s="13"/>
      <c r="N415" s="1112"/>
      <c r="O415" s="1112"/>
    </row>
    <row r="416" spans="1:15" ht="18" customHeight="1">
      <c r="A416" s="176" t="s">
        <v>785</v>
      </c>
      <c r="B416" s="176" t="s">
        <v>121</v>
      </c>
      <c r="C416" s="467">
        <f t="shared" si="52"/>
        <v>0</v>
      </c>
      <c r="D416" s="467">
        <f t="shared" si="53"/>
        <v>0</v>
      </c>
      <c r="E416" s="180">
        <f t="shared" si="54"/>
        <v>0</v>
      </c>
      <c r="F416" s="262"/>
      <c r="G416" s="884"/>
      <c r="H416" s="468"/>
      <c r="I416" s="862"/>
      <c r="J416" s="180">
        <f t="shared" si="55"/>
        <v>0</v>
      </c>
      <c r="K416" s="262"/>
      <c r="L416" s="884"/>
      <c r="M416" s="13"/>
      <c r="N416" s="1112"/>
      <c r="O416" s="1112"/>
    </row>
    <row r="417" spans="1:15" ht="18" customHeight="1">
      <c r="A417" s="176" t="s">
        <v>785</v>
      </c>
      <c r="B417" s="176" t="s">
        <v>82</v>
      </c>
      <c r="C417" s="467">
        <f t="shared" si="52"/>
        <v>0</v>
      </c>
      <c r="D417" s="467">
        <f t="shared" si="53"/>
        <v>21000</v>
      </c>
      <c r="E417" s="180">
        <f t="shared" si="54"/>
        <v>3.3925686591276254E-2</v>
      </c>
      <c r="F417" s="262"/>
      <c r="G417" s="884"/>
      <c r="H417" s="468"/>
      <c r="I417" s="862">
        <v>20825</v>
      </c>
      <c r="J417" s="180">
        <f t="shared" si="55"/>
        <v>3.3642972536348952E-2</v>
      </c>
      <c r="K417" s="262"/>
      <c r="L417" s="884"/>
      <c r="M417" s="13"/>
      <c r="N417" s="1112"/>
      <c r="O417" s="1112"/>
    </row>
    <row r="418" spans="1:15" ht="18" customHeight="1">
      <c r="A418" s="176" t="s">
        <v>785</v>
      </c>
      <c r="B418" s="176" t="s">
        <v>122</v>
      </c>
      <c r="C418" s="467">
        <f t="shared" si="52"/>
        <v>0</v>
      </c>
      <c r="D418" s="467">
        <f t="shared" si="53"/>
        <v>9000</v>
      </c>
      <c r="E418" s="180">
        <f t="shared" si="54"/>
        <v>1.4539579967689823E-2</v>
      </c>
      <c r="F418" s="262"/>
      <c r="G418" s="884"/>
      <c r="H418" s="468"/>
      <c r="I418" s="862">
        <v>9120</v>
      </c>
      <c r="J418" s="180">
        <f t="shared" si="55"/>
        <v>1.4733441033925687E-2</v>
      </c>
      <c r="K418" s="262"/>
      <c r="L418" s="884"/>
      <c r="M418" s="13"/>
      <c r="N418" s="1112"/>
      <c r="O418" s="1112"/>
    </row>
    <row r="419" spans="1:15" ht="18" customHeight="1">
      <c r="A419" s="176" t="s">
        <v>785</v>
      </c>
      <c r="B419" s="176" t="s">
        <v>83</v>
      </c>
      <c r="C419" s="467">
        <f t="shared" si="52"/>
        <v>0</v>
      </c>
      <c r="D419" s="467">
        <f t="shared" si="53"/>
        <v>0</v>
      </c>
      <c r="E419" s="180">
        <f t="shared" si="54"/>
        <v>0</v>
      </c>
      <c r="F419" s="262"/>
      <c r="G419" s="884"/>
      <c r="H419" s="468"/>
      <c r="I419" s="862"/>
      <c r="J419" s="180">
        <f t="shared" si="55"/>
        <v>0</v>
      </c>
      <c r="K419" s="262"/>
      <c r="L419" s="884"/>
      <c r="M419" s="13"/>
      <c r="N419" s="1112"/>
      <c r="O419" s="1112"/>
    </row>
    <row r="420" spans="1:15" ht="18" customHeight="1">
      <c r="A420" s="176" t="s">
        <v>785</v>
      </c>
      <c r="B420" s="176" t="s">
        <v>94</v>
      </c>
      <c r="C420" s="467">
        <f t="shared" si="52"/>
        <v>0</v>
      </c>
      <c r="D420" s="467">
        <f t="shared" si="53"/>
        <v>0</v>
      </c>
      <c r="E420" s="180">
        <f t="shared" si="54"/>
        <v>0</v>
      </c>
      <c r="F420" s="262"/>
      <c r="G420" s="884"/>
      <c r="H420" s="468"/>
      <c r="I420" s="862"/>
      <c r="J420" s="180">
        <f t="shared" si="55"/>
        <v>0</v>
      </c>
      <c r="K420" s="262"/>
      <c r="L420" s="884"/>
      <c r="M420" s="13"/>
      <c r="N420" s="1112"/>
      <c r="O420" s="1112"/>
    </row>
    <row r="421" spans="1:15" ht="18" customHeight="1">
      <c r="A421" s="176" t="s">
        <v>785</v>
      </c>
      <c r="B421" s="176" t="s">
        <v>84</v>
      </c>
      <c r="C421" s="467">
        <f t="shared" si="52"/>
        <v>0</v>
      </c>
      <c r="D421" s="467">
        <f t="shared" si="53"/>
        <v>0</v>
      </c>
      <c r="E421" s="180">
        <f t="shared" si="54"/>
        <v>0</v>
      </c>
      <c r="F421" s="262"/>
      <c r="G421" s="884"/>
      <c r="H421" s="468"/>
      <c r="I421" s="862"/>
      <c r="J421" s="180">
        <f t="shared" si="55"/>
        <v>0</v>
      </c>
      <c r="K421" s="262"/>
      <c r="L421" s="884"/>
      <c r="M421" s="13"/>
      <c r="N421" s="1112"/>
      <c r="O421" s="1112"/>
    </row>
    <row r="422" spans="1:15" ht="18" customHeight="1">
      <c r="A422" s="176" t="s">
        <v>785</v>
      </c>
      <c r="B422" s="176" t="s">
        <v>561</v>
      </c>
      <c r="C422" s="467">
        <f t="shared" si="52"/>
        <v>0</v>
      </c>
      <c r="D422" s="467">
        <f t="shared" si="53"/>
        <v>0</v>
      </c>
      <c r="E422" s="180">
        <f t="shared" si="54"/>
        <v>0</v>
      </c>
      <c r="F422" s="262"/>
      <c r="G422" s="884"/>
      <c r="H422" s="468"/>
      <c r="I422" s="862"/>
      <c r="J422" s="180">
        <f t="shared" si="55"/>
        <v>0</v>
      </c>
      <c r="K422" s="262"/>
      <c r="L422" s="884"/>
      <c r="M422" s="13"/>
      <c r="N422" s="1112"/>
      <c r="O422" s="1112"/>
    </row>
    <row r="423" spans="1:15" ht="18" customHeight="1">
      <c r="A423" s="176" t="s">
        <v>785</v>
      </c>
      <c r="B423" s="176" t="s">
        <v>115</v>
      </c>
      <c r="C423" s="467">
        <f t="shared" si="52"/>
        <v>0</v>
      </c>
      <c r="D423" s="467">
        <f t="shared" si="53"/>
        <v>0</v>
      </c>
      <c r="E423" s="180">
        <f t="shared" si="54"/>
        <v>0</v>
      </c>
      <c r="F423" s="262"/>
      <c r="G423" s="884"/>
      <c r="H423" s="468"/>
      <c r="I423" s="862"/>
      <c r="J423" s="180">
        <f t="shared" si="55"/>
        <v>0</v>
      </c>
      <c r="K423" s="262"/>
      <c r="L423" s="884"/>
      <c r="M423" s="13"/>
      <c r="N423" s="1112"/>
      <c r="O423" s="1112"/>
    </row>
    <row r="424" spans="1:15" ht="18" customHeight="1">
      <c r="A424" s="176" t="s">
        <v>785</v>
      </c>
      <c r="B424" s="176" t="s">
        <v>85</v>
      </c>
      <c r="C424" s="467">
        <f t="shared" si="52"/>
        <v>0</v>
      </c>
      <c r="D424" s="467">
        <f t="shared" si="53"/>
        <v>0</v>
      </c>
      <c r="E424" s="180">
        <f t="shared" si="54"/>
        <v>0</v>
      </c>
      <c r="F424" s="262"/>
      <c r="G424" s="884"/>
      <c r="H424" s="468"/>
      <c r="I424" s="862"/>
      <c r="J424" s="180">
        <f t="shared" si="55"/>
        <v>0</v>
      </c>
      <c r="K424" s="262"/>
      <c r="L424" s="884"/>
      <c r="M424" s="13"/>
      <c r="N424" s="1112"/>
      <c r="O424" s="1112"/>
    </row>
    <row r="425" spans="1:15" ht="18" customHeight="1">
      <c r="A425" s="176" t="s">
        <v>785</v>
      </c>
      <c r="B425" s="176" t="s">
        <v>86</v>
      </c>
      <c r="C425" s="467">
        <f t="shared" si="52"/>
        <v>0</v>
      </c>
      <c r="D425" s="467">
        <f t="shared" si="53"/>
        <v>1000</v>
      </c>
      <c r="E425" s="180">
        <f t="shared" si="54"/>
        <v>1.6155088852988692E-3</v>
      </c>
      <c r="F425" s="262"/>
      <c r="G425" s="884"/>
      <c r="H425" s="468"/>
      <c r="I425" s="862">
        <v>1360</v>
      </c>
      <c r="J425" s="180">
        <f t="shared" si="55"/>
        <v>2.1970920840064618E-3</v>
      </c>
      <c r="K425" s="262"/>
      <c r="L425" s="884"/>
      <c r="M425" s="13"/>
      <c r="N425" s="1112"/>
      <c r="O425" s="1112"/>
    </row>
    <row r="426" spans="1:15" ht="18" customHeight="1">
      <c r="A426" s="176" t="s">
        <v>785</v>
      </c>
      <c r="B426" s="176" t="s">
        <v>97</v>
      </c>
      <c r="C426" s="467">
        <f t="shared" si="52"/>
        <v>0</v>
      </c>
      <c r="D426" s="467">
        <f t="shared" si="53"/>
        <v>0</v>
      </c>
      <c r="E426" s="180">
        <f t="shared" si="54"/>
        <v>0</v>
      </c>
      <c r="F426" s="262"/>
      <c r="G426" s="884"/>
      <c r="H426" s="468"/>
      <c r="I426" s="862"/>
      <c r="J426" s="180">
        <f t="shared" si="55"/>
        <v>0</v>
      </c>
      <c r="K426" s="262"/>
      <c r="L426" s="884"/>
      <c r="M426" s="13"/>
      <c r="N426" s="1112"/>
      <c r="O426" s="1112"/>
    </row>
    <row r="427" spans="1:15" ht="18" customHeight="1">
      <c r="A427" s="176" t="s">
        <v>785</v>
      </c>
      <c r="B427" s="176" t="s">
        <v>87</v>
      </c>
      <c r="C427" s="467">
        <f t="shared" si="52"/>
        <v>0</v>
      </c>
      <c r="D427" s="467">
        <f t="shared" si="53"/>
        <v>0</v>
      </c>
      <c r="E427" s="180">
        <f t="shared" si="54"/>
        <v>0</v>
      </c>
      <c r="F427" s="262"/>
      <c r="G427" s="884"/>
      <c r="H427" s="468"/>
      <c r="I427" s="862"/>
      <c r="J427" s="180">
        <f t="shared" si="55"/>
        <v>0</v>
      </c>
      <c r="K427" s="262"/>
      <c r="L427" s="884"/>
      <c r="M427" s="13"/>
      <c r="N427" s="1112"/>
      <c r="O427" s="1112"/>
    </row>
    <row r="428" spans="1:15" ht="18" customHeight="1">
      <c r="A428" s="176" t="s">
        <v>785</v>
      </c>
      <c r="B428" s="176" t="s">
        <v>161</v>
      </c>
      <c r="C428" s="467">
        <f t="shared" si="52"/>
        <v>0</v>
      </c>
      <c r="D428" s="467">
        <f t="shared" si="53"/>
        <v>0</v>
      </c>
      <c r="E428" s="180">
        <f t="shared" si="54"/>
        <v>0</v>
      </c>
      <c r="F428" s="262"/>
      <c r="G428" s="884"/>
      <c r="H428" s="468"/>
      <c r="I428" s="862"/>
      <c r="J428" s="180">
        <f t="shared" si="55"/>
        <v>0</v>
      </c>
      <c r="K428" s="262"/>
      <c r="L428" s="884"/>
      <c r="M428" s="13"/>
      <c r="N428" s="1112"/>
      <c r="O428" s="1112"/>
    </row>
    <row r="429" spans="1:15" ht="18" customHeight="1">
      <c r="A429" s="176" t="s">
        <v>785</v>
      </c>
      <c r="B429" s="176" t="s">
        <v>88</v>
      </c>
      <c r="C429" s="467">
        <f t="shared" si="52"/>
        <v>0</v>
      </c>
      <c r="D429" s="467">
        <f t="shared" si="53"/>
        <v>0</v>
      </c>
      <c r="E429" s="180">
        <f t="shared" si="54"/>
        <v>0</v>
      </c>
      <c r="F429" s="262"/>
      <c r="G429" s="884"/>
      <c r="H429" s="468"/>
      <c r="I429" s="862"/>
      <c r="J429" s="180">
        <f t="shared" si="55"/>
        <v>0</v>
      </c>
      <c r="K429" s="262"/>
      <c r="L429" s="884"/>
      <c r="M429" s="13"/>
      <c r="N429" s="1112"/>
      <c r="O429" s="1112"/>
    </row>
    <row r="430" spans="1:15" ht="18" customHeight="1">
      <c r="A430" s="176" t="s">
        <v>785</v>
      </c>
      <c r="B430" s="176" t="s">
        <v>125</v>
      </c>
      <c r="C430" s="467">
        <f t="shared" si="52"/>
        <v>0</v>
      </c>
      <c r="D430" s="467">
        <f t="shared" si="53"/>
        <v>0</v>
      </c>
      <c r="E430" s="180">
        <f t="shared" si="54"/>
        <v>0</v>
      </c>
      <c r="F430" s="262"/>
      <c r="G430" s="884"/>
      <c r="H430" s="468"/>
      <c r="I430" s="862"/>
      <c r="J430" s="180">
        <f t="shared" si="55"/>
        <v>0</v>
      </c>
      <c r="K430" s="262"/>
      <c r="L430" s="884"/>
      <c r="M430" s="13"/>
      <c r="N430" s="1112"/>
      <c r="O430" s="1112"/>
    </row>
    <row r="431" spans="1:15" ht="18" customHeight="1">
      <c r="A431" s="176" t="s">
        <v>785</v>
      </c>
      <c r="B431" s="176" t="s">
        <v>105</v>
      </c>
      <c r="C431" s="467">
        <f t="shared" si="52"/>
        <v>0</v>
      </c>
      <c r="D431" s="467">
        <f t="shared" si="53"/>
        <v>0</v>
      </c>
      <c r="E431" s="180">
        <f t="shared" si="54"/>
        <v>0</v>
      </c>
      <c r="F431" s="262"/>
      <c r="G431" s="884"/>
      <c r="H431" s="468"/>
      <c r="I431" s="862"/>
      <c r="J431" s="180">
        <f t="shared" si="55"/>
        <v>0</v>
      </c>
      <c r="K431" s="262"/>
      <c r="L431" s="884"/>
      <c r="M431" s="13"/>
      <c r="N431" s="1112"/>
      <c r="O431" s="1112"/>
    </row>
    <row r="432" spans="1:15" ht="18" customHeight="1">
      <c r="A432" s="176" t="s">
        <v>785</v>
      </c>
      <c r="B432" s="176" t="s">
        <v>89</v>
      </c>
      <c r="C432" s="467">
        <f t="shared" si="52"/>
        <v>0</v>
      </c>
      <c r="D432" s="467">
        <f t="shared" si="53"/>
        <v>0</v>
      </c>
      <c r="E432" s="180">
        <f t="shared" si="54"/>
        <v>0</v>
      </c>
      <c r="F432" s="262"/>
      <c r="G432" s="884"/>
      <c r="H432" s="468"/>
      <c r="I432" s="862"/>
      <c r="J432" s="180">
        <f t="shared" si="55"/>
        <v>0</v>
      </c>
      <c r="K432" s="262"/>
      <c r="L432" s="884"/>
      <c r="M432" s="13"/>
      <c r="N432" s="1112"/>
      <c r="O432" s="1112"/>
    </row>
    <row r="433" spans="1:15" ht="18" customHeight="1">
      <c r="A433" s="176" t="s">
        <v>785</v>
      </c>
      <c r="B433" s="176" t="s">
        <v>362</v>
      </c>
      <c r="C433" s="467">
        <f t="shared" si="52"/>
        <v>0</v>
      </c>
      <c r="D433" s="467">
        <f t="shared" si="53"/>
        <v>0</v>
      </c>
      <c r="E433" s="180">
        <f t="shared" si="54"/>
        <v>0</v>
      </c>
      <c r="F433" s="262"/>
      <c r="G433" s="884"/>
      <c r="H433" s="468"/>
      <c r="I433" s="862"/>
      <c r="J433" s="180">
        <f t="shared" si="55"/>
        <v>0</v>
      </c>
      <c r="K433" s="262"/>
      <c r="L433" s="884"/>
      <c r="M433" s="13"/>
      <c r="N433" s="1112"/>
      <c r="O433" s="1112"/>
    </row>
    <row r="434" spans="1:15" ht="18" customHeight="1">
      <c r="A434" s="176" t="s">
        <v>785</v>
      </c>
      <c r="B434" s="176" t="s">
        <v>90</v>
      </c>
      <c r="C434" s="467">
        <f t="shared" si="52"/>
        <v>0</v>
      </c>
      <c r="D434" s="467">
        <f t="shared" si="53"/>
        <v>7000</v>
      </c>
      <c r="E434" s="180">
        <f t="shared" si="54"/>
        <v>1.1308562197092083E-2</v>
      </c>
      <c r="F434" s="994"/>
      <c r="G434" s="884"/>
      <c r="H434" s="468"/>
      <c r="I434" s="862">
        <v>6958</v>
      </c>
      <c r="J434" s="180">
        <f t="shared" si="55"/>
        <v>1.1240710823909532E-2</v>
      </c>
      <c r="K434" s="994"/>
      <c r="L434" s="884"/>
      <c r="M434" s="13"/>
      <c r="N434" s="1112"/>
      <c r="O434" s="1112"/>
    </row>
    <row r="435" spans="1:15" ht="18" customHeight="1">
      <c r="A435" s="908" t="s">
        <v>91</v>
      </c>
      <c r="B435" s="909"/>
      <c r="C435" s="910">
        <f>SUM(C407:C434)</f>
        <v>140000</v>
      </c>
      <c r="D435" s="911">
        <f>SUM(D407:D434)</f>
        <v>38000</v>
      </c>
      <c r="E435" s="912">
        <v>0.65904874098070976</v>
      </c>
      <c r="F435" s="913">
        <f>C435-D435</f>
        <v>102000</v>
      </c>
      <c r="G435" s="914">
        <f>F435/C435</f>
        <v>0.72857142857142854</v>
      </c>
      <c r="H435" s="910">
        <f>SUM(H407:H434)</f>
        <v>140000</v>
      </c>
      <c r="I435" s="911">
        <f>SUM(I407:I434)</f>
        <v>38263</v>
      </c>
      <c r="J435" s="912">
        <v>0.65904874098070976</v>
      </c>
      <c r="K435" s="913">
        <f>H435-I435</f>
        <v>101737</v>
      </c>
      <c r="L435" s="914">
        <f>K435/H435</f>
        <v>0.72669285714285714</v>
      </c>
      <c r="M435" s="13"/>
      <c r="N435" s="1112"/>
      <c r="O435" s="1112"/>
    </row>
    <row r="436" spans="1:15" ht="18" customHeight="1">
      <c r="A436" s="176" t="s">
        <v>116</v>
      </c>
      <c r="B436" s="909" t="s">
        <v>783</v>
      </c>
      <c r="C436" s="467">
        <f t="shared" ref="C436:C468" si="56">ROUND(H436,-3)</f>
        <v>0</v>
      </c>
      <c r="D436" s="467">
        <f t="shared" ref="D436:D467" si="57">ROUND(I436,-3)</f>
        <v>0</v>
      </c>
      <c r="E436" s="912"/>
      <c r="F436" s="1113"/>
      <c r="G436" s="1114"/>
      <c r="H436" s="920"/>
      <c r="I436" s="911"/>
      <c r="J436" s="912"/>
      <c r="K436" s="1113"/>
      <c r="L436" s="1114"/>
      <c r="M436" s="13"/>
      <c r="N436" s="1107"/>
      <c r="O436" s="1107"/>
    </row>
    <row r="437" spans="1:15" ht="18" customHeight="1">
      <c r="A437" s="176" t="s">
        <v>116</v>
      </c>
      <c r="B437" s="7" t="s">
        <v>567</v>
      </c>
      <c r="C437" s="467">
        <f t="shared" si="56"/>
        <v>0</v>
      </c>
      <c r="D437" s="467">
        <f t="shared" si="57"/>
        <v>0</v>
      </c>
      <c r="E437" s="180"/>
      <c r="F437" s="262" t="s">
        <v>787</v>
      </c>
      <c r="G437" s="884"/>
      <c r="H437" s="652"/>
      <c r="I437" s="862"/>
      <c r="J437" s="180"/>
      <c r="K437" s="262" t="s">
        <v>787</v>
      </c>
      <c r="L437" s="884"/>
      <c r="M437" s="13"/>
    </row>
    <row r="438" spans="1:15" ht="18" customHeight="1">
      <c r="A438" s="176" t="s">
        <v>116</v>
      </c>
      <c r="B438" s="7" t="s">
        <v>117</v>
      </c>
      <c r="C438" s="467">
        <f t="shared" si="56"/>
        <v>0</v>
      </c>
      <c r="D438" s="467">
        <f t="shared" si="57"/>
        <v>9370000</v>
      </c>
      <c r="E438" s="180" t="e">
        <f t="shared" ref="E438:E469" si="58">D438/$C$469</f>
        <v>#DIV/0!</v>
      </c>
      <c r="F438" s="262" t="s">
        <v>789</v>
      </c>
      <c r="G438" s="892">
        <f>298243+112500</f>
        <v>410743</v>
      </c>
      <c r="H438" s="891"/>
      <c r="I438" s="862">
        <f>8567120+839000-36000</f>
        <v>9370120</v>
      </c>
      <c r="J438" s="180" t="e">
        <f t="shared" ref="J438:J469" si="59">I438/$C$469</f>
        <v>#DIV/0!</v>
      </c>
      <c r="K438" s="262" t="s">
        <v>789</v>
      </c>
      <c r="L438" s="892">
        <f>298243+112500</f>
        <v>410743</v>
      </c>
      <c r="M438" s="13"/>
    </row>
    <row r="439" spans="1:15" ht="18" customHeight="1">
      <c r="A439" s="176"/>
      <c r="B439" s="7" t="s">
        <v>805</v>
      </c>
      <c r="C439" s="649"/>
      <c r="D439" s="649">
        <f>-D333</f>
        <v>-3069000</v>
      </c>
      <c r="E439" s="180"/>
      <c r="F439" s="262"/>
      <c r="G439" s="892"/>
      <c r="H439" s="891"/>
      <c r="I439" s="1157">
        <f>-I333</f>
        <v>-3069553</v>
      </c>
      <c r="J439" s="180"/>
      <c r="K439" s="262"/>
      <c r="L439" s="892"/>
      <c r="M439" s="13"/>
      <c r="N439" s="1130"/>
      <c r="O439" s="1130"/>
    </row>
    <row r="440" spans="1:15" ht="18" customHeight="1">
      <c r="A440" s="176" t="s">
        <v>116</v>
      </c>
      <c r="B440" s="7" t="s">
        <v>118</v>
      </c>
      <c r="C440" s="467">
        <f t="shared" si="56"/>
        <v>0</v>
      </c>
      <c r="D440" s="467">
        <f t="shared" si="57"/>
        <v>2235000</v>
      </c>
      <c r="E440" s="180" t="e">
        <f t="shared" si="58"/>
        <v>#DIV/0!</v>
      </c>
      <c r="F440" s="262" t="s">
        <v>787</v>
      </c>
      <c r="G440" s="884"/>
      <c r="H440" s="468"/>
      <c r="I440" s="862">
        <f>2237411-2109</f>
        <v>2235302</v>
      </c>
      <c r="J440" s="180" t="e">
        <f t="shared" si="59"/>
        <v>#DIV/0!</v>
      </c>
      <c r="K440" s="262" t="s">
        <v>787</v>
      </c>
      <c r="L440" s="884"/>
      <c r="M440" s="13"/>
    </row>
    <row r="441" spans="1:15" ht="18" customHeight="1">
      <c r="A441" s="176" t="s">
        <v>116</v>
      </c>
      <c r="B441" s="7" t="s">
        <v>119</v>
      </c>
      <c r="C441" s="467">
        <f t="shared" si="56"/>
        <v>0</v>
      </c>
      <c r="D441" s="467">
        <f t="shared" si="57"/>
        <v>832000</v>
      </c>
      <c r="E441" s="180" t="e">
        <f t="shared" si="58"/>
        <v>#DIV/0!</v>
      </c>
      <c r="F441" s="262" t="s">
        <v>787</v>
      </c>
      <c r="G441" s="884"/>
      <c r="H441" s="468"/>
      <c r="I441" s="862">
        <f>832665-444</f>
        <v>832221</v>
      </c>
      <c r="J441" s="180" t="e">
        <f t="shared" si="59"/>
        <v>#DIV/0!</v>
      </c>
      <c r="K441" s="262" t="s">
        <v>787</v>
      </c>
      <c r="L441" s="884"/>
      <c r="M441" s="13"/>
    </row>
    <row r="442" spans="1:15" ht="18" customHeight="1">
      <c r="A442" s="176" t="s">
        <v>116</v>
      </c>
      <c r="B442" s="7" t="s">
        <v>555</v>
      </c>
      <c r="C442" s="467">
        <f t="shared" si="56"/>
        <v>0</v>
      </c>
      <c r="D442" s="467">
        <f t="shared" si="57"/>
        <v>1000</v>
      </c>
      <c r="E442" s="180" t="e">
        <f t="shared" si="58"/>
        <v>#DIV/0!</v>
      </c>
      <c r="F442" s="262" t="s">
        <v>787</v>
      </c>
      <c r="G442" s="884"/>
      <c r="H442" s="468"/>
      <c r="I442" s="862">
        <f>2500-1800</f>
        <v>700</v>
      </c>
      <c r="J442" s="180" t="e">
        <f t="shared" si="59"/>
        <v>#DIV/0!</v>
      </c>
      <c r="K442" s="262" t="s">
        <v>787</v>
      </c>
      <c r="L442" s="884"/>
      <c r="M442" s="13"/>
    </row>
    <row r="443" spans="1:15" ht="18" customHeight="1">
      <c r="A443" s="176" t="s">
        <v>116</v>
      </c>
      <c r="B443" s="7" t="s">
        <v>563</v>
      </c>
      <c r="C443" s="467">
        <f t="shared" si="56"/>
        <v>0</v>
      </c>
      <c r="D443" s="467">
        <f t="shared" si="57"/>
        <v>18000</v>
      </c>
      <c r="E443" s="180" t="e">
        <f t="shared" si="58"/>
        <v>#DIV/0!</v>
      </c>
      <c r="F443" s="262"/>
      <c r="G443" s="884"/>
      <c r="H443" s="468"/>
      <c r="I443" s="862">
        <v>18144</v>
      </c>
      <c r="J443" s="180" t="e">
        <f t="shared" si="59"/>
        <v>#DIV/0!</v>
      </c>
      <c r="K443" s="262"/>
      <c r="L443" s="884"/>
      <c r="M443" s="13"/>
    </row>
    <row r="444" spans="1:15" ht="18" customHeight="1">
      <c r="A444" s="176" t="s">
        <v>116</v>
      </c>
      <c r="B444" s="7" t="s">
        <v>81</v>
      </c>
      <c r="C444" s="467">
        <f t="shared" si="56"/>
        <v>0</v>
      </c>
      <c r="D444" s="467">
        <f t="shared" si="57"/>
        <v>280000</v>
      </c>
      <c r="E444" s="180" t="e">
        <f t="shared" si="58"/>
        <v>#DIV/0!</v>
      </c>
      <c r="F444" s="262"/>
      <c r="G444" s="884"/>
      <c r="H444" s="468"/>
      <c r="I444" s="862">
        <v>279507</v>
      </c>
      <c r="J444" s="180" t="e">
        <f t="shared" si="59"/>
        <v>#DIV/0!</v>
      </c>
      <c r="K444" s="262"/>
      <c r="L444" s="884"/>
      <c r="M444" s="13"/>
    </row>
    <row r="445" spans="1:15" ht="18" customHeight="1">
      <c r="A445" s="176" t="s">
        <v>116</v>
      </c>
      <c r="B445" s="7" t="s">
        <v>121</v>
      </c>
      <c r="C445" s="467">
        <f t="shared" si="56"/>
        <v>0</v>
      </c>
      <c r="D445" s="467">
        <f t="shared" si="57"/>
        <v>324000</v>
      </c>
      <c r="E445" s="180" t="e">
        <f t="shared" si="58"/>
        <v>#DIV/0!</v>
      </c>
      <c r="F445" s="262" t="s">
        <v>568</v>
      </c>
      <c r="G445" s="884"/>
      <c r="H445" s="468"/>
      <c r="I445" s="862">
        <v>323900</v>
      </c>
      <c r="J445" s="180" t="e">
        <f t="shared" si="59"/>
        <v>#DIV/0!</v>
      </c>
      <c r="K445" s="262" t="s">
        <v>568</v>
      </c>
      <c r="L445" s="884"/>
      <c r="M445" s="13"/>
    </row>
    <row r="446" spans="1:15" ht="18" customHeight="1">
      <c r="A446" s="176" t="s">
        <v>116</v>
      </c>
      <c r="B446" s="7" t="s">
        <v>82</v>
      </c>
      <c r="C446" s="467">
        <f t="shared" si="56"/>
        <v>0</v>
      </c>
      <c r="D446" s="467">
        <f t="shared" si="57"/>
        <v>1737000</v>
      </c>
      <c r="E446" s="180" t="e">
        <f t="shared" si="58"/>
        <v>#DIV/0!</v>
      </c>
      <c r="F446" s="262" t="s">
        <v>790</v>
      </c>
      <c r="G446" s="884"/>
      <c r="H446" s="468"/>
      <c r="I446" s="862">
        <f>1755081-18144</f>
        <v>1736937</v>
      </c>
      <c r="J446" s="180" t="e">
        <f t="shared" si="59"/>
        <v>#DIV/0!</v>
      </c>
      <c r="K446" s="262" t="s">
        <v>790</v>
      </c>
      <c r="L446" s="884"/>
      <c r="M446" s="13"/>
    </row>
    <row r="447" spans="1:15" ht="18" customHeight="1">
      <c r="A447" s="176" t="s">
        <v>116</v>
      </c>
      <c r="B447" s="7" t="s">
        <v>122</v>
      </c>
      <c r="C447" s="467">
        <f t="shared" si="56"/>
        <v>0</v>
      </c>
      <c r="D447" s="467">
        <f t="shared" si="57"/>
        <v>195000</v>
      </c>
      <c r="E447" s="180" t="e">
        <f t="shared" si="58"/>
        <v>#DIV/0!</v>
      </c>
      <c r="F447" s="262"/>
      <c r="G447" s="884"/>
      <c r="H447" s="468"/>
      <c r="I447" s="862">
        <v>194531</v>
      </c>
      <c r="J447" s="180" t="e">
        <f t="shared" si="59"/>
        <v>#DIV/0!</v>
      </c>
      <c r="K447" s="262"/>
      <c r="L447" s="884"/>
      <c r="M447" s="13"/>
    </row>
    <row r="448" spans="1:15" ht="18" customHeight="1">
      <c r="A448" s="176" t="s">
        <v>116</v>
      </c>
      <c r="B448" s="7" t="s">
        <v>83</v>
      </c>
      <c r="C448" s="467">
        <f t="shared" si="56"/>
        <v>0</v>
      </c>
      <c r="D448" s="467">
        <f t="shared" si="57"/>
        <v>865000</v>
      </c>
      <c r="E448" s="180" t="e">
        <f t="shared" si="58"/>
        <v>#DIV/0!</v>
      </c>
      <c r="F448" s="262"/>
      <c r="G448" s="884"/>
      <c r="H448" s="468"/>
      <c r="I448" s="862">
        <v>865080</v>
      </c>
      <c r="J448" s="180" t="e">
        <f t="shared" si="59"/>
        <v>#DIV/0!</v>
      </c>
      <c r="K448" s="262"/>
      <c r="L448" s="884"/>
      <c r="M448" s="13"/>
    </row>
    <row r="449" spans="1:13" ht="18" customHeight="1">
      <c r="A449" s="176" t="s">
        <v>116</v>
      </c>
      <c r="B449" s="7" t="s">
        <v>94</v>
      </c>
      <c r="C449" s="467">
        <f t="shared" si="56"/>
        <v>0</v>
      </c>
      <c r="D449" s="467">
        <f t="shared" si="57"/>
        <v>25000</v>
      </c>
      <c r="E449" s="180" t="e">
        <f t="shared" si="58"/>
        <v>#DIV/0!</v>
      </c>
      <c r="F449" s="262"/>
      <c r="G449" s="884"/>
      <c r="H449" s="468"/>
      <c r="I449" s="862">
        <v>24644</v>
      </c>
      <c r="J449" s="180" t="e">
        <f t="shared" si="59"/>
        <v>#DIV/0!</v>
      </c>
      <c r="K449" s="262"/>
      <c r="L449" s="884"/>
      <c r="M449" s="13"/>
    </row>
    <row r="450" spans="1:13" ht="18" customHeight="1">
      <c r="A450" s="176" t="s">
        <v>116</v>
      </c>
      <c r="B450" s="7" t="s">
        <v>84</v>
      </c>
      <c r="C450" s="467">
        <f t="shared" si="56"/>
        <v>0</v>
      </c>
      <c r="D450" s="467">
        <f t="shared" si="57"/>
        <v>1952000</v>
      </c>
      <c r="E450" s="180" t="e">
        <f t="shared" si="58"/>
        <v>#DIV/0!</v>
      </c>
      <c r="F450" s="262"/>
      <c r="G450" s="884"/>
      <c r="H450" s="468"/>
      <c r="I450" s="862">
        <v>1951776</v>
      </c>
      <c r="J450" s="180" t="e">
        <f t="shared" si="59"/>
        <v>#DIV/0!</v>
      </c>
      <c r="K450" s="262"/>
      <c r="L450" s="884"/>
      <c r="M450" s="13"/>
    </row>
    <row r="451" spans="1:13" ht="18" customHeight="1">
      <c r="A451" s="176" t="s">
        <v>116</v>
      </c>
      <c r="B451" s="7" t="s">
        <v>123</v>
      </c>
      <c r="C451" s="467">
        <f t="shared" si="56"/>
        <v>0</v>
      </c>
      <c r="D451" s="467">
        <f t="shared" si="57"/>
        <v>8138000</v>
      </c>
      <c r="E451" s="180" t="e">
        <f t="shared" si="58"/>
        <v>#DIV/0!</v>
      </c>
      <c r="F451" s="262" t="s">
        <v>568</v>
      </c>
      <c r="G451" s="884"/>
      <c r="H451" s="468"/>
      <c r="I451" s="862">
        <v>8137936</v>
      </c>
      <c r="J451" s="180" t="e">
        <f t="shared" si="59"/>
        <v>#DIV/0!</v>
      </c>
      <c r="K451" s="262" t="s">
        <v>568</v>
      </c>
      <c r="L451" s="884"/>
      <c r="M451" s="13"/>
    </row>
    <row r="452" spans="1:13" ht="18" customHeight="1">
      <c r="A452" s="176" t="s">
        <v>116</v>
      </c>
      <c r="B452" s="7" t="s">
        <v>115</v>
      </c>
      <c r="C452" s="467">
        <f t="shared" si="56"/>
        <v>0</v>
      </c>
      <c r="D452" s="467">
        <f t="shared" si="57"/>
        <v>1254000</v>
      </c>
      <c r="E452" s="180" t="e">
        <f t="shared" si="58"/>
        <v>#DIV/0!</v>
      </c>
      <c r="F452" s="262"/>
      <c r="G452" s="884"/>
      <c r="H452" s="468"/>
      <c r="I452" s="862">
        <v>1253915</v>
      </c>
      <c r="J452" s="180" t="e">
        <f t="shared" si="59"/>
        <v>#DIV/0!</v>
      </c>
      <c r="K452" s="262"/>
      <c r="L452" s="884"/>
      <c r="M452" s="13"/>
    </row>
    <row r="453" spans="1:13" ht="18" customHeight="1">
      <c r="A453" s="176" t="s">
        <v>116</v>
      </c>
      <c r="B453" s="7" t="s">
        <v>85</v>
      </c>
      <c r="C453" s="467">
        <f t="shared" si="56"/>
        <v>0</v>
      </c>
      <c r="D453" s="467">
        <f t="shared" si="57"/>
        <v>364000</v>
      </c>
      <c r="E453" s="180" t="e">
        <f t="shared" si="58"/>
        <v>#DIV/0!</v>
      </c>
      <c r="F453" s="262"/>
      <c r="G453" s="884"/>
      <c r="H453" s="468"/>
      <c r="I453" s="862">
        <v>363965</v>
      </c>
      <c r="J453" s="180" t="e">
        <f t="shared" si="59"/>
        <v>#DIV/0!</v>
      </c>
      <c r="K453" s="262"/>
      <c r="L453" s="884"/>
      <c r="M453" s="13"/>
    </row>
    <row r="454" spans="1:13" ht="18" customHeight="1">
      <c r="A454" s="176" t="s">
        <v>116</v>
      </c>
      <c r="B454" s="7" t="s">
        <v>86</v>
      </c>
      <c r="C454" s="467">
        <f t="shared" si="56"/>
        <v>0</v>
      </c>
      <c r="D454" s="467">
        <f t="shared" si="57"/>
        <v>-8418000</v>
      </c>
      <c r="E454" s="180" t="e">
        <f t="shared" si="58"/>
        <v>#DIV/0!</v>
      </c>
      <c r="F454" s="262" t="s">
        <v>788</v>
      </c>
      <c r="G454" s="892">
        <v>864</v>
      </c>
      <c r="H454" s="468"/>
      <c r="I454" s="862">
        <f>3778347-12196000</f>
        <v>-8417653</v>
      </c>
      <c r="J454" s="180" t="e">
        <f t="shared" si="59"/>
        <v>#DIV/0!</v>
      </c>
      <c r="K454" s="262" t="s">
        <v>788</v>
      </c>
      <c r="L454" s="892">
        <v>864</v>
      </c>
      <c r="M454" s="13"/>
    </row>
    <row r="455" spans="1:13" ht="18" customHeight="1">
      <c r="A455" s="176" t="s">
        <v>116</v>
      </c>
      <c r="B455" s="7" t="s">
        <v>124</v>
      </c>
      <c r="C455" s="467">
        <f t="shared" si="56"/>
        <v>0</v>
      </c>
      <c r="D455" s="467">
        <f t="shared" si="57"/>
        <v>0</v>
      </c>
      <c r="E455" s="180" t="e">
        <f t="shared" si="58"/>
        <v>#DIV/0!</v>
      </c>
      <c r="F455" s="262"/>
      <c r="G455" s="884"/>
      <c r="H455" s="468"/>
      <c r="I455" s="862">
        <v>0</v>
      </c>
      <c r="J455" s="180" t="e">
        <f t="shared" si="59"/>
        <v>#DIV/0!</v>
      </c>
      <c r="K455" s="262"/>
      <c r="L455" s="884"/>
      <c r="M455" s="13"/>
    </row>
    <row r="456" spans="1:13" ht="18" customHeight="1">
      <c r="A456" s="176" t="s">
        <v>116</v>
      </c>
      <c r="B456" s="7" t="s">
        <v>97</v>
      </c>
      <c r="C456" s="467">
        <f t="shared" si="56"/>
        <v>0</v>
      </c>
      <c r="D456" s="467">
        <f t="shared" si="57"/>
        <v>66000</v>
      </c>
      <c r="E456" s="180" t="e">
        <f t="shared" si="58"/>
        <v>#DIV/0!</v>
      </c>
      <c r="F456" s="262"/>
      <c r="G456" s="884"/>
      <c r="H456" s="468"/>
      <c r="I456" s="862">
        <v>66420</v>
      </c>
      <c r="J456" s="180" t="e">
        <f t="shared" si="59"/>
        <v>#DIV/0!</v>
      </c>
      <c r="K456" s="262"/>
      <c r="L456" s="884"/>
      <c r="M456" s="13"/>
    </row>
    <row r="457" spans="1:13" ht="18" customHeight="1">
      <c r="A457" s="176" t="s">
        <v>116</v>
      </c>
      <c r="B457" s="7" t="s">
        <v>564</v>
      </c>
      <c r="C457" s="467">
        <f t="shared" si="56"/>
        <v>0</v>
      </c>
      <c r="D457" s="467">
        <f t="shared" si="57"/>
        <v>6000</v>
      </c>
      <c r="E457" s="180" t="e">
        <f t="shared" si="58"/>
        <v>#DIV/0!</v>
      </c>
      <c r="F457" s="262"/>
      <c r="G457" s="884"/>
      <c r="H457" s="468"/>
      <c r="I457" s="862">
        <v>6000</v>
      </c>
      <c r="J457" s="180" t="e">
        <f t="shared" si="59"/>
        <v>#DIV/0!</v>
      </c>
      <c r="K457" s="262"/>
      <c r="L457" s="884"/>
      <c r="M457" s="13"/>
    </row>
    <row r="458" spans="1:13" ht="18" customHeight="1">
      <c r="A458" s="176" t="s">
        <v>116</v>
      </c>
      <c r="B458" s="7" t="s">
        <v>87</v>
      </c>
      <c r="C458" s="467">
        <f t="shared" si="56"/>
        <v>0</v>
      </c>
      <c r="D458" s="467">
        <f t="shared" si="57"/>
        <v>478000</v>
      </c>
      <c r="E458" s="180" t="e">
        <f t="shared" si="58"/>
        <v>#DIV/0!</v>
      </c>
      <c r="F458" s="262"/>
      <c r="G458" s="884"/>
      <c r="H458" s="468"/>
      <c r="I458" s="862">
        <v>478435</v>
      </c>
      <c r="J458" s="180" t="e">
        <f t="shared" si="59"/>
        <v>#DIV/0!</v>
      </c>
      <c r="K458" s="262"/>
      <c r="L458" s="884"/>
      <c r="M458" s="13"/>
    </row>
    <row r="459" spans="1:13" ht="18" customHeight="1">
      <c r="A459" s="176" t="s">
        <v>116</v>
      </c>
      <c r="B459" s="7" t="s">
        <v>161</v>
      </c>
      <c r="C459" s="467">
        <f t="shared" si="56"/>
        <v>0</v>
      </c>
      <c r="D459" s="467">
        <f t="shared" si="57"/>
        <v>0</v>
      </c>
      <c r="E459" s="180" t="e">
        <f t="shared" si="58"/>
        <v>#DIV/0!</v>
      </c>
      <c r="F459" s="262"/>
      <c r="G459" s="884"/>
      <c r="H459" s="468"/>
      <c r="I459" s="862">
        <v>0</v>
      </c>
      <c r="J459" s="180" t="e">
        <f t="shared" si="59"/>
        <v>#DIV/0!</v>
      </c>
      <c r="K459" s="262"/>
      <c r="L459" s="884"/>
      <c r="M459" s="13"/>
    </row>
    <row r="460" spans="1:13" ht="18" customHeight="1">
      <c r="A460" s="176" t="s">
        <v>116</v>
      </c>
      <c r="B460" s="7" t="s">
        <v>88</v>
      </c>
      <c r="C460" s="467">
        <f t="shared" si="56"/>
        <v>0</v>
      </c>
      <c r="D460" s="467">
        <f t="shared" si="57"/>
        <v>200000</v>
      </c>
      <c r="E460" s="180" t="e">
        <f t="shared" si="58"/>
        <v>#DIV/0!</v>
      </c>
      <c r="F460" s="262"/>
      <c r="G460" s="884"/>
      <c r="H460" s="468"/>
      <c r="I460" s="862">
        <v>200186</v>
      </c>
      <c r="J460" s="180" t="e">
        <f t="shared" si="59"/>
        <v>#DIV/0!</v>
      </c>
      <c r="K460" s="262"/>
      <c r="L460" s="884"/>
      <c r="M460" s="13"/>
    </row>
    <row r="461" spans="1:13" ht="18" customHeight="1">
      <c r="A461" s="176" t="s">
        <v>116</v>
      </c>
      <c r="B461" s="7" t="s">
        <v>125</v>
      </c>
      <c r="C461" s="467">
        <f t="shared" si="56"/>
        <v>0</v>
      </c>
      <c r="D461" s="467">
        <f t="shared" si="57"/>
        <v>58000</v>
      </c>
      <c r="E461" s="180" t="e">
        <f t="shared" si="58"/>
        <v>#DIV/0!</v>
      </c>
      <c r="F461" s="262"/>
      <c r="G461" s="884"/>
      <c r="H461" s="468"/>
      <c r="I461" s="862">
        <v>57656</v>
      </c>
      <c r="J461" s="180" t="e">
        <f t="shared" si="59"/>
        <v>#DIV/0!</v>
      </c>
      <c r="K461" s="262"/>
      <c r="L461" s="884"/>
      <c r="M461" s="13"/>
    </row>
    <row r="462" spans="1:13" ht="18" customHeight="1">
      <c r="A462" s="176" t="s">
        <v>116</v>
      </c>
      <c r="B462" s="7" t="s">
        <v>105</v>
      </c>
      <c r="C462" s="467">
        <f t="shared" si="56"/>
        <v>0</v>
      </c>
      <c r="D462" s="467">
        <f t="shared" si="57"/>
        <v>73000</v>
      </c>
      <c r="E462" s="180" t="e">
        <f t="shared" si="58"/>
        <v>#DIV/0!</v>
      </c>
      <c r="F462" s="262"/>
      <c r="G462" s="884"/>
      <c r="H462" s="468"/>
      <c r="I462" s="862">
        <v>73050</v>
      </c>
      <c r="J462" s="180" t="e">
        <f t="shared" si="59"/>
        <v>#DIV/0!</v>
      </c>
      <c r="K462" s="262"/>
      <c r="L462" s="884"/>
      <c r="M462" s="13"/>
    </row>
    <row r="463" spans="1:13" ht="18" customHeight="1">
      <c r="A463" s="176" t="s">
        <v>116</v>
      </c>
      <c r="B463" s="7" t="s">
        <v>565</v>
      </c>
      <c r="C463" s="467">
        <f t="shared" si="56"/>
        <v>0</v>
      </c>
      <c r="D463" s="467">
        <f t="shared" si="57"/>
        <v>-1200000</v>
      </c>
      <c r="E463" s="180" t="e">
        <f t="shared" si="58"/>
        <v>#DIV/0!</v>
      </c>
      <c r="F463" s="262"/>
      <c r="G463" s="884"/>
      <c r="H463" s="468"/>
      <c r="I463" s="862">
        <v>-1200000</v>
      </c>
      <c r="J463" s="180" t="e">
        <f t="shared" si="59"/>
        <v>#DIV/0!</v>
      </c>
      <c r="K463" s="262"/>
      <c r="L463" s="884"/>
      <c r="M463" s="13"/>
    </row>
    <row r="464" spans="1:13" ht="18" customHeight="1">
      <c r="A464" s="176" t="s">
        <v>116</v>
      </c>
      <c r="B464" s="7" t="s">
        <v>566</v>
      </c>
      <c r="C464" s="467">
        <f t="shared" si="56"/>
        <v>0</v>
      </c>
      <c r="D464" s="467">
        <f t="shared" si="57"/>
        <v>0</v>
      </c>
      <c r="E464" s="180" t="e">
        <f t="shared" si="58"/>
        <v>#DIV/0!</v>
      </c>
      <c r="F464" s="262"/>
      <c r="G464" s="884"/>
      <c r="H464" s="468"/>
      <c r="I464" s="862">
        <v>0</v>
      </c>
      <c r="J464" s="180" t="e">
        <f t="shared" si="59"/>
        <v>#DIV/0!</v>
      </c>
      <c r="K464" s="262"/>
      <c r="L464" s="884"/>
      <c r="M464" s="13"/>
    </row>
    <row r="465" spans="1:13" ht="18" customHeight="1">
      <c r="A465" s="176" t="s">
        <v>116</v>
      </c>
      <c r="B465" s="7" t="s">
        <v>89</v>
      </c>
      <c r="C465" s="467">
        <f t="shared" si="56"/>
        <v>0</v>
      </c>
      <c r="D465" s="467">
        <f t="shared" si="57"/>
        <v>2040000</v>
      </c>
      <c r="E465" s="180" t="e">
        <f t="shared" si="58"/>
        <v>#DIV/0!</v>
      </c>
      <c r="F465" s="262" t="s">
        <v>568</v>
      </c>
      <c r="G465" s="884"/>
      <c r="H465" s="468"/>
      <c r="I465" s="862">
        <v>2040000</v>
      </c>
      <c r="J465" s="180" t="e">
        <f t="shared" si="59"/>
        <v>#DIV/0!</v>
      </c>
      <c r="K465" s="262" t="s">
        <v>568</v>
      </c>
      <c r="L465" s="884"/>
      <c r="M465" s="13"/>
    </row>
    <row r="466" spans="1:13" ht="18" customHeight="1">
      <c r="A466" s="176" t="s">
        <v>116</v>
      </c>
      <c r="B466" s="7" t="s">
        <v>362</v>
      </c>
      <c r="C466" s="467">
        <f t="shared" si="56"/>
        <v>0</v>
      </c>
      <c r="D466" s="467">
        <f t="shared" si="57"/>
        <v>217000</v>
      </c>
      <c r="E466" s="180" t="e">
        <f t="shared" si="58"/>
        <v>#DIV/0!</v>
      </c>
      <c r="F466" s="262"/>
      <c r="G466" s="884"/>
      <c r="H466" s="468"/>
      <c r="I466" s="862">
        <v>217000</v>
      </c>
      <c r="J466" s="180" t="e">
        <f t="shared" si="59"/>
        <v>#DIV/0!</v>
      </c>
      <c r="K466" s="262"/>
      <c r="L466" s="884"/>
      <c r="M466" s="13"/>
    </row>
    <row r="467" spans="1:13" ht="18" customHeight="1">
      <c r="A467" s="176" t="s">
        <v>116</v>
      </c>
      <c r="B467" s="7" t="s">
        <v>90</v>
      </c>
      <c r="C467" s="467">
        <f t="shared" si="56"/>
        <v>0</v>
      </c>
      <c r="D467" s="467">
        <f t="shared" si="57"/>
        <v>295000</v>
      </c>
      <c r="E467" s="180" t="e">
        <f t="shared" si="58"/>
        <v>#DIV/0!</v>
      </c>
      <c r="F467" s="262"/>
      <c r="G467" s="884"/>
      <c r="H467" s="468"/>
      <c r="I467" s="862">
        <v>294598</v>
      </c>
      <c r="J467" s="180" t="e">
        <f t="shared" si="59"/>
        <v>#DIV/0!</v>
      </c>
      <c r="K467" s="262"/>
      <c r="L467" s="884"/>
      <c r="M467" s="13"/>
    </row>
    <row r="468" spans="1:13" ht="18" customHeight="1">
      <c r="A468" s="176" t="s">
        <v>116</v>
      </c>
      <c r="B468" s="177" t="s">
        <v>126</v>
      </c>
      <c r="C468" s="467">
        <f t="shared" si="56"/>
        <v>0</v>
      </c>
      <c r="D468" s="467">
        <v>15000000</v>
      </c>
      <c r="E468" s="893" t="e">
        <f t="shared" si="58"/>
        <v>#DIV/0!</v>
      </c>
      <c r="F468" s="262"/>
      <c r="G468" s="884"/>
      <c r="H468" s="856"/>
      <c r="I468" s="1156">
        <v>15000000</v>
      </c>
      <c r="J468" s="893" t="e">
        <f t="shared" si="59"/>
        <v>#DIV/0!</v>
      </c>
      <c r="K468" s="262"/>
      <c r="L468" s="884"/>
      <c r="M468" s="13"/>
    </row>
    <row r="469" spans="1:13" ht="18" customHeight="1">
      <c r="A469" s="917" t="s">
        <v>591</v>
      </c>
      <c r="B469" s="919"/>
      <c r="C469" s="920">
        <f>SUM(C436:C468)</f>
        <v>0</v>
      </c>
      <c r="D469" s="921">
        <f>SUM(D437:D468)</f>
        <v>33336000</v>
      </c>
      <c r="E469" s="922" t="e">
        <f t="shared" si="58"/>
        <v>#DIV/0!</v>
      </c>
      <c r="F469" s="913">
        <f>C469-D469</f>
        <v>-33336000</v>
      </c>
      <c r="G469" s="914"/>
      <c r="H469" s="920">
        <f>SUM(H436:H468)</f>
        <v>0</v>
      </c>
      <c r="I469" s="921">
        <f>SUM(I436:I468)</f>
        <v>33334817</v>
      </c>
      <c r="J469" s="922" t="e">
        <f t="shared" si="59"/>
        <v>#DIV/0!</v>
      </c>
      <c r="K469" s="913">
        <f>H469-I469</f>
        <v>-33334817</v>
      </c>
      <c r="L469" s="914"/>
      <c r="M469" s="13"/>
    </row>
    <row r="470" spans="1:13" ht="24.95" customHeight="1">
      <c r="A470" s="894"/>
      <c r="B470" s="820"/>
      <c r="C470" s="895">
        <f>C469+C377+C319+C291+C260+C232+C205+C358+C330+C178+C147+C116+C90+C62+C33+C435+C406</f>
        <v>280558000</v>
      </c>
      <c r="D470" s="896">
        <f>D469+D377+D319+D291+D260+D232+D205+D358+D330+D178+D147+D116+D90+D62+D33+D435+D406</f>
        <v>265802000</v>
      </c>
      <c r="E470" s="897"/>
      <c r="F470" s="898">
        <f>F469+F377+F319+F291+F260+F232+F205+F358+F330+F178+F147+F116+F90+F62+F33+F435+F406</f>
        <v>14756000</v>
      </c>
      <c r="G470" s="899"/>
      <c r="H470" s="895">
        <f>H469+H377+H319+H291+H260+H232+H205+H358+H330+H178+H147+H116+H90+H62+H33+H435+H406</f>
        <v>280556942.05478269</v>
      </c>
      <c r="I470" s="896">
        <f>I469+I377+I319+I291+I260+I232+I205+I358+I330+I178+I147+I116+I90+I62+I33+I435+I406</f>
        <v>265798250</v>
      </c>
      <c r="J470" s="897"/>
      <c r="K470" s="898">
        <f>K469+K377+K319+K291+K260+K232+K205+K358+K330+K178+K147+K116+K90+K62+K33+K435+K406</f>
        <v>14758692.054782704</v>
      </c>
      <c r="L470" s="899"/>
      <c r="M470" s="13"/>
    </row>
    <row r="473" spans="1:13">
      <c r="A473" s="851" t="s">
        <v>573</v>
      </c>
      <c r="B473" s="852" t="s">
        <v>780</v>
      </c>
      <c r="C473" s="857">
        <f>ROUND(H473,-3)</f>
        <v>1000</v>
      </c>
      <c r="D473" s="900"/>
      <c r="F473" s="1117" t="s">
        <v>791</v>
      </c>
      <c r="H473" s="857">
        <f>370+200+2</f>
        <v>572</v>
      </c>
      <c r="I473" s="900"/>
      <c r="K473" s="1117" t="s">
        <v>791</v>
      </c>
    </row>
    <row r="474" spans="1:13">
      <c r="A474" s="853"/>
      <c r="B474" s="175" t="s">
        <v>575</v>
      </c>
      <c r="C474" s="858">
        <f>ROUND(H474,-3)</f>
        <v>291000</v>
      </c>
      <c r="D474" s="901"/>
      <c r="H474" s="858">
        <v>291000</v>
      </c>
      <c r="I474" s="901"/>
    </row>
    <row r="475" spans="1:13">
      <c r="A475" s="853"/>
      <c r="B475" s="175" t="s">
        <v>576</v>
      </c>
      <c r="C475" s="858">
        <f>ROUND(H475,-3)</f>
        <v>2000000</v>
      </c>
      <c r="D475" s="901"/>
      <c r="F475" s="581"/>
      <c r="H475" s="858">
        <v>2000000</v>
      </c>
      <c r="I475" s="901"/>
      <c r="K475" s="581"/>
    </row>
    <row r="476" spans="1:13">
      <c r="A476" s="853"/>
      <c r="B476" s="175" t="s">
        <v>577</v>
      </c>
      <c r="C476" s="858">
        <f>ROUND(H476,-3)</f>
        <v>307000</v>
      </c>
      <c r="D476" s="901"/>
      <c r="H476" s="858">
        <v>306579</v>
      </c>
      <c r="I476" s="901"/>
    </row>
    <row r="477" spans="1:13">
      <c r="A477" s="853"/>
      <c r="B477" s="175" t="s">
        <v>578</v>
      </c>
      <c r="C477" s="858">
        <f>ROUND(H477,-3)</f>
        <v>698000</v>
      </c>
      <c r="D477" s="901"/>
      <c r="H477" s="858">
        <v>697889</v>
      </c>
      <c r="I477" s="901"/>
    </row>
    <row r="478" spans="1:13">
      <c r="A478" s="902" t="s">
        <v>590</v>
      </c>
      <c r="B478" s="854"/>
      <c r="C478" s="903">
        <f>SUM(C473:C477)</f>
        <v>3297000</v>
      </c>
      <c r="D478" s="904"/>
      <c r="H478" s="903">
        <f>SUM(H473:H477)</f>
        <v>3296040</v>
      </c>
      <c r="I478" s="904"/>
    </row>
    <row r="479" spans="1:13">
      <c r="A479" s="851" t="s">
        <v>579</v>
      </c>
      <c r="B479" s="852" t="s">
        <v>580</v>
      </c>
      <c r="C479" s="857">
        <f>ROUND(H479,-3)</f>
        <v>839000</v>
      </c>
      <c r="D479" s="900"/>
      <c r="H479" s="857">
        <v>838815</v>
      </c>
      <c r="I479" s="900"/>
    </row>
    <row r="480" spans="1:13">
      <c r="A480" s="853"/>
      <c r="B480" s="175" t="s">
        <v>781</v>
      </c>
      <c r="C480" s="858">
        <f>ROUND(H480,-3)</f>
        <v>0</v>
      </c>
      <c r="D480" s="901"/>
      <c r="H480" s="858">
        <v>0</v>
      </c>
      <c r="I480" s="901"/>
    </row>
    <row r="481" spans="1:15">
      <c r="A481" s="853"/>
      <c r="B481" s="175" t="s">
        <v>581</v>
      </c>
      <c r="C481" s="858">
        <f>ROUND(H481,-3)</f>
        <v>0</v>
      </c>
      <c r="D481" s="901"/>
      <c r="H481" s="858">
        <v>0</v>
      </c>
      <c r="I481" s="901"/>
    </row>
    <row r="482" spans="1:15">
      <c r="A482" s="902" t="s">
        <v>590</v>
      </c>
      <c r="B482" s="854"/>
      <c r="C482" s="903">
        <f>SUM(C479:C481)</f>
        <v>839000</v>
      </c>
      <c r="D482" s="904"/>
      <c r="H482" s="903">
        <f>SUM(H479:H481)</f>
        <v>838815</v>
      </c>
      <c r="I482" s="904"/>
    </row>
    <row r="483" spans="1:15" s="650" customFormat="1">
      <c r="A483" s="860"/>
      <c r="B483" s="854"/>
      <c r="C483" s="855"/>
      <c r="D483" s="905"/>
      <c r="E483" s="262"/>
      <c r="F483" s="906"/>
      <c r="G483" s="285"/>
      <c r="H483" s="855"/>
      <c r="I483" s="905"/>
      <c r="J483" s="262"/>
      <c r="K483" s="906"/>
      <c r="L483" s="285"/>
      <c r="M483" s="469"/>
      <c r="N483" s="928"/>
      <c r="O483" s="928"/>
    </row>
    <row r="484" spans="1:15">
      <c r="A484" s="849" t="s">
        <v>589</v>
      </c>
      <c r="B484" s="850"/>
      <c r="C484" s="859">
        <f>F470+C478-C482</f>
        <v>17214000</v>
      </c>
      <c r="D484" s="907"/>
      <c r="H484" s="859">
        <f>K470+H478-H482</f>
        <v>17215917.054782704</v>
      </c>
      <c r="I484" s="907"/>
    </row>
    <row r="486" spans="1:15">
      <c r="A486" s="851" t="s">
        <v>582</v>
      </c>
      <c r="B486" s="852" t="s">
        <v>583</v>
      </c>
      <c r="C486" s="857">
        <f>ROUND(H486,-3)</f>
        <v>192000</v>
      </c>
      <c r="D486" s="900"/>
      <c r="H486" s="857">
        <v>192000</v>
      </c>
      <c r="I486" s="900"/>
    </row>
    <row r="487" spans="1:15">
      <c r="A487" s="853"/>
      <c r="B487" s="175" t="s">
        <v>666</v>
      </c>
      <c r="C487" s="858">
        <f>ROUND(H487,-3)</f>
        <v>0</v>
      </c>
      <c r="D487" s="901"/>
      <c r="H487" s="858">
        <v>0</v>
      </c>
      <c r="I487" s="901"/>
      <c r="N487" s="981"/>
      <c r="O487" s="981"/>
    </row>
    <row r="488" spans="1:15">
      <c r="A488" s="902" t="s">
        <v>676</v>
      </c>
      <c r="B488" s="995"/>
      <c r="C488" s="903">
        <f>SUM(C486:C487)</f>
        <v>192000</v>
      </c>
      <c r="D488" s="904"/>
      <c r="H488" s="903">
        <f>SUM(H486:H487)</f>
        <v>192000</v>
      </c>
      <c r="I488" s="904"/>
      <c r="N488" s="982"/>
      <c r="O488" s="982"/>
    </row>
    <row r="490" spans="1:15">
      <c r="A490" s="849" t="s">
        <v>584</v>
      </c>
      <c r="B490" s="850" t="s">
        <v>585</v>
      </c>
      <c r="C490" s="859">
        <f>ROUND(H490,-3)</f>
        <v>0</v>
      </c>
      <c r="D490" s="907"/>
      <c r="H490" s="859">
        <v>0</v>
      </c>
      <c r="I490" s="907"/>
    </row>
    <row r="492" spans="1:15">
      <c r="A492" s="849" t="s">
        <v>587</v>
      </c>
      <c r="B492" s="850"/>
      <c r="C492" s="859">
        <f>ROUND(H492,-3)</f>
        <v>17408000</v>
      </c>
      <c r="D492" s="907"/>
      <c r="H492" s="859">
        <f>H484+H488-H490</f>
        <v>17407917.054782704</v>
      </c>
      <c r="I492" s="907"/>
      <c r="N492" s="928">
        <f>4282629-C492</f>
        <v>-13125371</v>
      </c>
    </row>
    <row r="493" spans="1:15">
      <c r="A493" s="285"/>
      <c r="D493" s="798"/>
      <c r="I493" s="798"/>
    </row>
    <row r="494" spans="1:15">
      <c r="A494" s="849" t="s">
        <v>586</v>
      </c>
      <c r="B494" s="850"/>
      <c r="C494" s="859">
        <f>ROUND(H494,-3)</f>
        <v>6963000</v>
      </c>
      <c r="D494" s="907"/>
      <c r="H494" s="859">
        <f>H492*40%</f>
        <v>6963166.8219130822</v>
      </c>
      <c r="I494" s="907"/>
    </row>
    <row r="496" spans="1:15">
      <c r="A496" s="849" t="s">
        <v>588</v>
      </c>
      <c r="B496" s="850"/>
      <c r="C496" s="859">
        <f>C492-C494</f>
        <v>10445000</v>
      </c>
      <c r="D496" s="907"/>
      <c r="H496" s="859">
        <f>H492-H494</f>
        <v>10444750.232869621</v>
      </c>
      <c r="I496" s="907"/>
    </row>
  </sheetData>
  <sheetProtection selectLockedCells="1" selectUnlockedCells="1"/>
  <mergeCells count="10">
    <mergeCell ref="A1:A3"/>
    <mergeCell ref="B1:B3"/>
    <mergeCell ref="C1:G1"/>
    <mergeCell ref="H1:L1"/>
    <mergeCell ref="H2:H3"/>
    <mergeCell ref="I2:I3"/>
    <mergeCell ref="K2:K3"/>
    <mergeCell ref="C2:C3"/>
    <mergeCell ref="D2:D3"/>
    <mergeCell ref="F2:F3"/>
  </mergeCells>
  <phoneticPr fontId="1"/>
  <conditionalFormatting sqref="C4:D32">
    <cfRule type="cellIs" dxfId="18" priority="19" operator="equal">
      <formula>0</formula>
    </cfRule>
  </conditionalFormatting>
  <conditionalFormatting sqref="C34:D61">
    <cfRule type="cellIs" dxfId="17" priority="18" operator="equal">
      <formula>0</formula>
    </cfRule>
  </conditionalFormatting>
  <conditionalFormatting sqref="C63:D89">
    <cfRule type="cellIs" dxfId="16" priority="17" operator="equal">
      <formula>0</formula>
    </cfRule>
  </conditionalFormatting>
  <conditionalFormatting sqref="C91:D115">
    <cfRule type="cellIs" dxfId="15" priority="16" operator="equal">
      <formula>0</formula>
    </cfRule>
  </conditionalFormatting>
  <conditionalFormatting sqref="C117:D146">
    <cfRule type="cellIs" dxfId="14" priority="15" operator="equal">
      <formula>0</formula>
    </cfRule>
  </conditionalFormatting>
  <conditionalFormatting sqref="C148:D177">
    <cfRule type="cellIs" dxfId="13" priority="14" operator="equal">
      <formula>0</formula>
    </cfRule>
  </conditionalFormatting>
  <conditionalFormatting sqref="C179:D204">
    <cfRule type="cellIs" dxfId="12" priority="13" operator="equal">
      <formula>0</formula>
    </cfRule>
  </conditionalFormatting>
  <conditionalFormatting sqref="C206:D231">
    <cfRule type="cellIs" dxfId="11" priority="12" operator="equal">
      <formula>0</formula>
    </cfRule>
  </conditionalFormatting>
  <conditionalFormatting sqref="C233:D259">
    <cfRule type="cellIs" dxfId="10" priority="11" operator="equal">
      <formula>0</formula>
    </cfRule>
  </conditionalFormatting>
  <conditionalFormatting sqref="C261:D290">
    <cfRule type="cellIs" dxfId="9" priority="10" operator="equal">
      <formula>0</formula>
    </cfRule>
  </conditionalFormatting>
  <conditionalFormatting sqref="C292:D318">
    <cfRule type="cellIs" dxfId="8" priority="9" operator="equal">
      <formula>0</formula>
    </cfRule>
  </conditionalFormatting>
  <conditionalFormatting sqref="C320:D329">
    <cfRule type="cellIs" dxfId="7" priority="8" operator="equal">
      <formula>0</formula>
    </cfRule>
  </conditionalFormatting>
  <conditionalFormatting sqref="C331:D357">
    <cfRule type="cellIs" dxfId="6" priority="7" operator="equal">
      <formula>0</formula>
    </cfRule>
  </conditionalFormatting>
  <conditionalFormatting sqref="C359:D376">
    <cfRule type="cellIs" dxfId="5" priority="6" operator="equal">
      <formula>0</formula>
    </cfRule>
  </conditionalFormatting>
  <conditionalFormatting sqref="C378:D405">
    <cfRule type="cellIs" dxfId="4" priority="5" operator="equal">
      <formula>0</formula>
    </cfRule>
  </conditionalFormatting>
  <conditionalFormatting sqref="C407:D434">
    <cfRule type="cellIs" dxfId="3" priority="4" operator="equal">
      <formula>0</formula>
    </cfRule>
  </conditionalFormatting>
  <conditionalFormatting sqref="C436:D468">
    <cfRule type="cellIs" dxfId="2" priority="3" operator="equal">
      <formula>0</formula>
    </cfRule>
  </conditionalFormatting>
  <conditionalFormatting sqref="H494">
    <cfRule type="cellIs" dxfId="1" priority="2" operator="equal">
      <formula>0</formula>
    </cfRule>
  </conditionalFormatting>
  <conditionalFormatting sqref="I439">
    <cfRule type="cellIs" dxfId="0" priority="1" operator="equal">
      <formula>0</formula>
    </cfRule>
  </conditionalFormatting>
  <printOptions horizontalCentered="1"/>
  <pageMargins left="0.78740157480314965" right="0.78740157480314965" top="0.59055118110236227" bottom="0.39370078740157483" header="0.51181102362204722" footer="0.51181102362204722"/>
  <pageSetup paperSize="9" scale="78" firstPageNumber="0" orientation="portrait" r:id="rId1"/>
  <headerFooter alignWithMargins="0"/>
  <rowBreaks count="15" manualBreakCount="15">
    <brk id="33" max="16383" man="1"/>
    <brk id="62" max="16383" man="1"/>
    <brk id="90" max="16383" man="1"/>
    <brk id="116" max="16383" man="1"/>
    <brk id="147" max="16383" man="1"/>
    <brk id="178" max="16383" man="1"/>
    <brk id="205" max="16383" man="1"/>
    <brk id="232" max="16383" man="1"/>
    <brk id="260" max="11" man="1"/>
    <brk id="291" max="11" man="1"/>
    <brk id="319" max="16383" man="1"/>
    <brk id="330" max="16383" man="1"/>
    <brk id="358" max="16383" man="1"/>
    <brk id="377" max="16383" man="1"/>
    <brk id="435" max="11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77"/>
  <sheetViews>
    <sheetView view="pageBreakPreview" zoomScale="60" zoomScaleNormal="70" workbookViewId="0">
      <pane ySplit="4" topLeftCell="A35" activePane="bottomLeft" state="frozen"/>
      <selection activeCell="F33" sqref="F33"/>
      <selection pane="bottomLeft" activeCell="G70" sqref="G69:G70"/>
    </sheetView>
  </sheetViews>
  <sheetFormatPr defaultColWidth="9" defaultRowHeight="13.5"/>
  <cols>
    <col min="1" max="1" width="3.75" style="5" customWidth="1"/>
    <col min="2" max="2" width="17.25" style="5" customWidth="1"/>
    <col min="3" max="3" width="10.625" style="518" customWidth="1"/>
    <col min="4" max="14" width="10.625" style="5" customWidth="1"/>
    <col min="15" max="18" width="9" style="5" customWidth="1"/>
    <col min="19" max="19" width="12.875" style="5" customWidth="1"/>
    <col min="20" max="20" width="13.625" style="5" customWidth="1"/>
    <col min="21" max="21" width="11.625" style="5" customWidth="1"/>
    <col min="22" max="22" width="1.875" style="41" customWidth="1"/>
    <col min="23" max="23" width="17.125" style="5" customWidth="1"/>
    <col min="24" max="24" width="9" style="5" hidden="1" customWidth="1"/>
    <col min="25" max="25" width="12.875" style="5" hidden="1" customWidth="1"/>
    <col min="26" max="26" width="9" style="5" hidden="1" customWidth="1"/>
    <col min="27" max="40" width="12.625" style="5" hidden="1" customWidth="1"/>
    <col min="41" max="41" width="9" style="5"/>
    <col min="42" max="43" width="13.125" style="1107" bestFit="1" customWidth="1"/>
    <col min="44" max="16384" width="9" style="5"/>
  </cols>
  <sheetData>
    <row r="1" spans="1:43" ht="25.5" customHeight="1">
      <c r="A1" s="1204" t="s">
        <v>799</v>
      </c>
      <c r="B1" s="1204"/>
      <c r="C1" s="1204"/>
      <c r="D1" s="1204"/>
      <c r="E1" s="1204"/>
      <c r="F1" s="1204"/>
      <c r="G1" s="1204"/>
      <c r="H1" s="1204"/>
      <c r="I1" s="1204"/>
      <c r="J1" s="1204"/>
      <c r="K1" s="1204"/>
      <c r="L1" s="1204"/>
      <c r="M1" s="1204"/>
      <c r="N1" s="1204"/>
      <c r="O1" s="1204"/>
      <c r="P1" s="1204"/>
      <c r="Q1" s="1204"/>
      <c r="R1" s="1204"/>
      <c r="S1" s="1204"/>
      <c r="T1" s="1204"/>
      <c r="U1" s="1204"/>
      <c r="V1" s="1204"/>
      <c r="W1" s="1204"/>
    </row>
    <row r="2" spans="1:43" s="941" customFormat="1" ht="25.5" customHeight="1">
      <c r="A2" s="939"/>
      <c r="B2" s="940" t="s">
        <v>627</v>
      </c>
      <c r="C2" s="1203" t="s">
        <v>622</v>
      </c>
      <c r="D2" s="1203"/>
      <c r="E2" s="940" t="s">
        <v>660</v>
      </c>
      <c r="F2" s="940" t="s">
        <v>624</v>
      </c>
      <c r="G2" s="1203" t="s">
        <v>625</v>
      </c>
      <c r="H2" s="1203"/>
      <c r="I2" s="1203"/>
      <c r="J2" s="1203"/>
      <c r="K2" s="980" t="s">
        <v>619</v>
      </c>
      <c r="L2" s="980" t="s">
        <v>620</v>
      </c>
      <c r="M2" s="1213" t="s">
        <v>626</v>
      </c>
      <c r="N2" s="1214"/>
      <c r="O2" s="1214"/>
      <c r="P2" s="1214"/>
      <c r="Q2" s="1214"/>
      <c r="R2" s="1215"/>
      <c r="S2" s="939"/>
      <c r="T2" s="939"/>
      <c r="U2" s="939"/>
      <c r="V2" s="636"/>
      <c r="W2" s="939"/>
      <c r="AP2" s="1107"/>
      <c r="AQ2" s="1107"/>
    </row>
    <row r="3" spans="1:43" ht="20.100000000000001" customHeight="1">
      <c r="A3" s="926"/>
      <c r="B3" s="996"/>
      <c r="C3" s="1216" t="s">
        <v>535</v>
      </c>
      <c r="D3" s="1205" t="s">
        <v>618</v>
      </c>
      <c r="E3" s="1205" t="s">
        <v>630</v>
      </c>
      <c r="F3" s="1218" t="s">
        <v>478</v>
      </c>
      <c r="G3" s="1219"/>
      <c r="H3" s="1205" t="s">
        <v>536</v>
      </c>
      <c r="I3" s="1205" t="s">
        <v>541</v>
      </c>
      <c r="J3" s="1205" t="s">
        <v>628</v>
      </c>
      <c r="K3" s="1220" t="s">
        <v>621</v>
      </c>
      <c r="L3" s="1221"/>
      <c r="M3" s="1205" t="s">
        <v>538</v>
      </c>
      <c r="N3" s="1223" t="s">
        <v>298</v>
      </c>
      <c r="O3" s="1200" t="s">
        <v>549</v>
      </c>
      <c r="P3" s="1201"/>
      <c r="Q3" s="1201"/>
      <c r="R3" s="1202"/>
      <c r="S3" s="1207" t="s">
        <v>553</v>
      </c>
      <c r="T3" s="1209" t="s">
        <v>381</v>
      </c>
      <c r="U3" s="1210"/>
      <c r="V3" s="1007"/>
      <c r="W3" s="1207" t="s">
        <v>554</v>
      </c>
    </row>
    <row r="4" spans="1:43" ht="32.25" customHeight="1">
      <c r="A4" s="927"/>
      <c r="B4" s="997"/>
      <c r="C4" s="1217"/>
      <c r="D4" s="1206"/>
      <c r="E4" s="1206"/>
      <c r="F4" s="998" t="s">
        <v>623</v>
      </c>
      <c r="G4" s="999" t="s">
        <v>523</v>
      </c>
      <c r="H4" s="1206"/>
      <c r="I4" s="1206"/>
      <c r="J4" s="1206"/>
      <c r="K4" s="999" t="s">
        <v>619</v>
      </c>
      <c r="L4" s="999" t="s">
        <v>620</v>
      </c>
      <c r="M4" s="1206"/>
      <c r="N4" s="1224"/>
      <c r="O4" s="999" t="s">
        <v>547</v>
      </c>
      <c r="P4" s="999" t="s">
        <v>782</v>
      </c>
      <c r="Q4" s="1000" t="s">
        <v>548</v>
      </c>
      <c r="R4" s="1115" t="s">
        <v>786</v>
      </c>
      <c r="S4" s="1208"/>
      <c r="T4" s="1211"/>
      <c r="U4" s="1212"/>
      <c r="V4" s="1007"/>
      <c r="W4" s="1208"/>
      <c r="AA4" s="5" t="s">
        <v>611</v>
      </c>
      <c r="AB4" s="5" t="s">
        <v>599</v>
      </c>
      <c r="AC4" s="5" t="s">
        <v>600</v>
      </c>
      <c r="AD4" s="5" t="s">
        <v>601</v>
      </c>
      <c r="AE4" s="5" t="s">
        <v>602</v>
      </c>
      <c r="AF4" s="5" t="s">
        <v>603</v>
      </c>
      <c r="AG4" s="5" t="s">
        <v>604</v>
      </c>
      <c r="AH4" s="5" t="s">
        <v>605</v>
      </c>
      <c r="AI4" s="5" t="s">
        <v>606</v>
      </c>
      <c r="AJ4" s="5" t="s">
        <v>607</v>
      </c>
      <c r="AK4" s="5" t="s">
        <v>608</v>
      </c>
      <c r="AL4" s="5" t="s">
        <v>609</v>
      </c>
      <c r="AM4" s="5" t="s">
        <v>610</v>
      </c>
      <c r="AP4" s="187" t="s">
        <v>796</v>
      </c>
      <c r="AQ4" s="187" t="s">
        <v>784</v>
      </c>
    </row>
    <row r="5" spans="1:43" s="805" customFormat="1" ht="30" customHeight="1">
      <c r="A5" s="877" t="s">
        <v>542</v>
      </c>
      <c r="B5" s="871"/>
      <c r="C5" s="870">
        <f t="shared" ref="C5:R5" si="0">SUM(C6:C11)</f>
        <v>36093000</v>
      </c>
      <c r="D5" s="870">
        <f t="shared" si="0"/>
        <v>55477000</v>
      </c>
      <c r="E5" s="870">
        <f t="shared" si="0"/>
        <v>5461000</v>
      </c>
      <c r="F5" s="870">
        <f t="shared" si="0"/>
        <v>45119000</v>
      </c>
      <c r="G5" s="870">
        <f t="shared" si="0"/>
        <v>7543000</v>
      </c>
      <c r="H5" s="870">
        <f t="shared" si="0"/>
        <v>17400000</v>
      </c>
      <c r="I5" s="870">
        <f t="shared" si="0"/>
        <v>20259000</v>
      </c>
      <c r="J5" s="870">
        <f t="shared" si="0"/>
        <v>25247000</v>
      </c>
      <c r="K5" s="870">
        <f t="shared" si="0"/>
        <v>11581000</v>
      </c>
      <c r="L5" s="870">
        <f t="shared" si="0"/>
        <v>9424000</v>
      </c>
      <c r="M5" s="870">
        <f t="shared" si="0"/>
        <v>31747000</v>
      </c>
      <c r="N5" s="870">
        <f t="shared" si="0"/>
        <v>9167000</v>
      </c>
      <c r="O5" s="870">
        <f t="shared" si="0"/>
        <v>619000</v>
      </c>
      <c r="P5" s="870">
        <f t="shared" si="0"/>
        <v>5000000</v>
      </c>
      <c r="Q5" s="874">
        <f t="shared" si="0"/>
        <v>281000</v>
      </c>
      <c r="R5" s="874">
        <f t="shared" si="0"/>
        <v>140000</v>
      </c>
      <c r="S5" s="870">
        <f>SUM(S6:S11)</f>
        <v>280558000</v>
      </c>
      <c r="T5" s="874" t="s">
        <v>557</v>
      </c>
      <c r="U5" s="870">
        <f>SUM(U6:U11)</f>
        <v>0</v>
      </c>
      <c r="V5" s="839"/>
      <c r="W5" s="870">
        <f>SUM(W6:W11)</f>
        <v>280558000</v>
      </c>
      <c r="AA5" s="929">
        <f>AVERAGE(W5)</f>
        <v>280558000</v>
      </c>
      <c r="AB5" s="805" t="e">
        <f>#REF!+#REF!</f>
        <v>#REF!</v>
      </c>
      <c r="AC5" s="805" t="e">
        <f>#REF!+#REF!</f>
        <v>#REF!</v>
      </c>
      <c r="AD5" s="805" t="e">
        <f>#REF!+#REF!</f>
        <v>#REF!</v>
      </c>
      <c r="AE5" s="805" t="e">
        <f>#REF!+#REF!</f>
        <v>#REF!</v>
      </c>
      <c r="AF5" s="805" t="e">
        <f>#REF!+#REF!</f>
        <v>#REF!</v>
      </c>
      <c r="AG5" s="805" t="e">
        <f>#REF!+#REF!</f>
        <v>#REF!</v>
      </c>
      <c r="AH5" s="805" t="e">
        <f>#REF!+#REF!</f>
        <v>#REF!</v>
      </c>
      <c r="AI5" s="805" t="e">
        <f>#REF!+#REF!</f>
        <v>#REF!</v>
      </c>
      <c r="AJ5" s="805" t="e">
        <f>#REF!+#REF!</f>
        <v>#REF!</v>
      </c>
      <c r="AK5" s="805" t="e">
        <f>#REF!+#REF!</f>
        <v>#REF!</v>
      </c>
      <c r="AL5" s="805" t="e">
        <f>#REF!+#REF!</f>
        <v>#REF!</v>
      </c>
      <c r="AM5" s="805" t="e">
        <f>#REF!+#REF!</f>
        <v>#REF!</v>
      </c>
      <c r="AN5" s="805" t="e">
        <f>SUM(AB5:AM5)</f>
        <v>#REF!</v>
      </c>
      <c r="AP5" s="1107">
        <f>SUM(AP6:AP11)</f>
        <v>251291077</v>
      </c>
      <c r="AQ5" s="1107">
        <f>AP5-W5</f>
        <v>-29266923</v>
      </c>
    </row>
    <row r="6" spans="1:43" s="805" customFormat="1" ht="24.95" customHeight="1">
      <c r="A6" s="875"/>
      <c r="B6" s="807" t="s">
        <v>526</v>
      </c>
      <c r="C6" s="807">
        <f>①ベース事業別内訳!C4</f>
        <v>27513000</v>
      </c>
      <c r="D6" s="807">
        <f>①ベース事業別内訳!C34</f>
        <v>40252000</v>
      </c>
      <c r="E6" s="807"/>
      <c r="F6" s="807"/>
      <c r="G6" s="807"/>
      <c r="H6" s="807">
        <f>①ベース事業別内訳!C91</f>
        <v>17400000</v>
      </c>
      <c r="I6" s="807">
        <f>①ベース事業別内訳!C63</f>
        <v>15697000</v>
      </c>
      <c r="J6" s="807"/>
      <c r="K6" s="807"/>
      <c r="L6" s="807"/>
      <c r="M6" s="807">
        <f>①ベース事業別内訳!C118</f>
        <v>3131000</v>
      </c>
      <c r="N6" s="807"/>
      <c r="O6" s="807"/>
      <c r="P6" s="807"/>
      <c r="Q6" s="807"/>
      <c r="R6" s="807"/>
      <c r="S6" s="807">
        <f t="shared" ref="S6:S11" si="1">SUM(C6:R6)</f>
        <v>103993000</v>
      </c>
      <c r="T6" s="807" t="s">
        <v>526</v>
      </c>
      <c r="U6" s="807">
        <v>0</v>
      </c>
      <c r="V6" s="839"/>
      <c r="W6" s="807">
        <f>S6+U6</f>
        <v>103993000</v>
      </c>
      <c r="AA6" s="929">
        <f>AVERAGE(W6)</f>
        <v>103993000</v>
      </c>
      <c r="AB6" s="805">
        <f>AA6/12</f>
        <v>8666083.333333334</v>
      </c>
      <c r="AC6" s="805">
        <f t="shared" ref="AC6:AM6" si="2">AB6</f>
        <v>8666083.333333334</v>
      </c>
      <c r="AD6" s="805">
        <f t="shared" si="2"/>
        <v>8666083.333333334</v>
      </c>
      <c r="AE6" s="805">
        <f t="shared" si="2"/>
        <v>8666083.333333334</v>
      </c>
      <c r="AF6" s="805">
        <f t="shared" si="2"/>
        <v>8666083.333333334</v>
      </c>
      <c r="AG6" s="805">
        <f t="shared" si="2"/>
        <v>8666083.333333334</v>
      </c>
      <c r="AH6" s="805">
        <f t="shared" si="2"/>
        <v>8666083.333333334</v>
      </c>
      <c r="AI6" s="805">
        <f t="shared" si="2"/>
        <v>8666083.333333334</v>
      </c>
      <c r="AJ6" s="805">
        <f t="shared" si="2"/>
        <v>8666083.333333334</v>
      </c>
      <c r="AK6" s="805">
        <f t="shared" si="2"/>
        <v>8666083.333333334</v>
      </c>
      <c r="AL6" s="805">
        <f t="shared" si="2"/>
        <v>8666083.333333334</v>
      </c>
      <c r="AM6" s="805">
        <f t="shared" si="2"/>
        <v>8666083.333333334</v>
      </c>
      <c r="AN6" s="805">
        <f t="shared" ref="AN6:AN43" si="3">SUM(AB6:AM6)</f>
        <v>103992999.99999999</v>
      </c>
      <c r="AP6" s="1107">
        <f>94226556-(3623034-2520700)</f>
        <v>93124222</v>
      </c>
      <c r="AQ6" s="1107">
        <f t="shared" ref="AQ6:AQ69" si="4">AP6-W6</f>
        <v>-10868778</v>
      </c>
    </row>
    <row r="7" spans="1:43" s="805" customFormat="1" ht="24.95" customHeight="1">
      <c r="A7" s="875"/>
      <c r="B7" s="808" t="s">
        <v>525</v>
      </c>
      <c r="C7" s="808"/>
      <c r="D7" s="808"/>
      <c r="E7" s="808">
        <f>①ベース事業別内訳!C378</f>
        <v>3572000</v>
      </c>
      <c r="F7" s="808">
        <f>①ベース事業別内訳!C148</f>
        <v>30000000</v>
      </c>
      <c r="G7" s="808"/>
      <c r="H7" s="808"/>
      <c r="I7" s="808"/>
      <c r="J7" s="808"/>
      <c r="K7" s="808"/>
      <c r="L7" s="808"/>
      <c r="M7" s="808">
        <f>①ベース事業別内訳!C117</f>
        <v>21370000</v>
      </c>
      <c r="N7" s="808"/>
      <c r="O7" s="808"/>
      <c r="P7" s="808"/>
      <c r="Q7" s="808"/>
      <c r="R7" s="808"/>
      <c r="S7" s="808">
        <f t="shared" si="1"/>
        <v>54942000</v>
      </c>
      <c r="T7" s="808" t="s">
        <v>525</v>
      </c>
      <c r="U7" s="808">
        <v>0</v>
      </c>
      <c r="V7" s="839"/>
      <c r="W7" s="808">
        <f t="shared" ref="W7:W42" si="5">S7+U7</f>
        <v>54942000</v>
      </c>
      <c r="AA7" s="929">
        <f t="shared" ref="AA7:AA43" si="6">AVERAGE(W7)</f>
        <v>54942000</v>
      </c>
      <c r="AB7" s="805">
        <f>AA7/12</f>
        <v>4578500</v>
      </c>
      <c r="AC7" s="805">
        <f t="shared" ref="AC7:AM7" si="7">AB7</f>
        <v>4578500</v>
      </c>
      <c r="AD7" s="805">
        <f t="shared" si="7"/>
        <v>4578500</v>
      </c>
      <c r="AE7" s="805">
        <f t="shared" si="7"/>
        <v>4578500</v>
      </c>
      <c r="AF7" s="805">
        <f t="shared" si="7"/>
        <v>4578500</v>
      </c>
      <c r="AG7" s="805">
        <f t="shared" si="7"/>
        <v>4578500</v>
      </c>
      <c r="AH7" s="805">
        <f t="shared" si="7"/>
        <v>4578500</v>
      </c>
      <c r="AI7" s="805">
        <f t="shared" si="7"/>
        <v>4578500</v>
      </c>
      <c r="AJ7" s="805">
        <f t="shared" si="7"/>
        <v>4578500</v>
      </c>
      <c r="AK7" s="805">
        <f t="shared" si="7"/>
        <v>4578500</v>
      </c>
      <c r="AL7" s="805">
        <f t="shared" si="7"/>
        <v>4578500</v>
      </c>
      <c r="AM7" s="805">
        <f t="shared" si="7"/>
        <v>4578500</v>
      </c>
      <c r="AN7" s="805">
        <f t="shared" si="3"/>
        <v>54942000</v>
      </c>
      <c r="AP7" s="1107">
        <f>56343551-2520700</f>
        <v>53822851</v>
      </c>
      <c r="AQ7" s="1107">
        <f t="shared" si="4"/>
        <v>-1119149</v>
      </c>
    </row>
    <row r="8" spans="1:43" s="805" customFormat="1" ht="24.95" customHeight="1">
      <c r="A8" s="875"/>
      <c r="B8" s="808" t="s">
        <v>527</v>
      </c>
      <c r="C8" s="808"/>
      <c r="D8" s="808"/>
      <c r="E8" s="808"/>
      <c r="F8" s="808">
        <f>①ベース事業別内訳!C151</f>
        <v>0</v>
      </c>
      <c r="G8" s="808"/>
      <c r="H8" s="808"/>
      <c r="I8" s="808"/>
      <c r="J8" s="808"/>
      <c r="K8" s="808">
        <f>①ベース事業別内訳!C261</f>
        <v>4204000</v>
      </c>
      <c r="L8" s="808">
        <f>①ベース事業別内訳!C292</f>
        <v>5788000</v>
      </c>
      <c r="M8" s="808">
        <f>①ベース事業別内訳!C120</f>
        <v>1072000</v>
      </c>
      <c r="N8" s="808">
        <f>①ベース事業別内訳!C234</f>
        <v>1422000</v>
      </c>
      <c r="O8" s="808"/>
      <c r="P8" s="808">
        <f>①ベース事業別内訳!C331</f>
        <v>5000000</v>
      </c>
      <c r="Q8" s="808"/>
      <c r="R8" s="808"/>
      <c r="S8" s="808">
        <f t="shared" si="1"/>
        <v>17486000</v>
      </c>
      <c r="T8" s="808" t="s">
        <v>527</v>
      </c>
      <c r="U8" s="808">
        <f>①ベース事業別内訳!C436</f>
        <v>0</v>
      </c>
      <c r="V8" s="839"/>
      <c r="W8" s="808">
        <f t="shared" si="5"/>
        <v>17486000</v>
      </c>
      <c r="AA8" s="929">
        <f t="shared" si="6"/>
        <v>17486000</v>
      </c>
      <c r="AB8" s="805">
        <f>AA8/12</f>
        <v>1457166.6666666667</v>
      </c>
      <c r="AC8" s="805">
        <f t="shared" ref="AC8:AM8" si="8">AB8</f>
        <v>1457166.6666666667</v>
      </c>
      <c r="AD8" s="805">
        <f t="shared" si="8"/>
        <v>1457166.6666666667</v>
      </c>
      <c r="AE8" s="805">
        <f t="shared" si="8"/>
        <v>1457166.6666666667</v>
      </c>
      <c r="AF8" s="805">
        <f t="shared" si="8"/>
        <v>1457166.6666666667</v>
      </c>
      <c r="AG8" s="805">
        <f t="shared" si="8"/>
        <v>1457166.6666666667</v>
      </c>
      <c r="AH8" s="805">
        <f t="shared" si="8"/>
        <v>1457166.6666666667</v>
      </c>
      <c r="AI8" s="805">
        <f t="shared" si="8"/>
        <v>1457166.6666666667</v>
      </c>
      <c r="AJ8" s="805">
        <f t="shared" si="8"/>
        <v>1457166.6666666667</v>
      </c>
      <c r="AK8" s="805">
        <f t="shared" si="8"/>
        <v>1457166.6666666667</v>
      </c>
      <c r="AL8" s="805">
        <f t="shared" si="8"/>
        <v>1457166.6666666667</v>
      </c>
      <c r="AM8" s="805">
        <f t="shared" si="8"/>
        <v>1457166.6666666667</v>
      </c>
      <c r="AN8" s="805">
        <f t="shared" si="3"/>
        <v>17485999.999999996</v>
      </c>
      <c r="AP8" s="1107">
        <v>17061847</v>
      </c>
      <c r="AQ8" s="1107">
        <f t="shared" si="4"/>
        <v>-424153</v>
      </c>
    </row>
    <row r="9" spans="1:43" s="805" customFormat="1" ht="24.95" customHeight="1">
      <c r="A9" s="875"/>
      <c r="B9" s="808" t="s">
        <v>533</v>
      </c>
      <c r="C9" s="808">
        <f>①ベース事業別内訳!C5</f>
        <v>87000</v>
      </c>
      <c r="D9" s="808">
        <f>①ベース事業別内訳!C35</f>
        <v>2401000</v>
      </c>
      <c r="E9" s="808">
        <f>①ベース事業別内訳!C379</f>
        <v>1158000</v>
      </c>
      <c r="F9" s="808">
        <f>①ベース事業別内訳!C150</f>
        <v>13500000</v>
      </c>
      <c r="G9" s="808">
        <f>①ベース事業別内訳!C206</f>
        <v>7543000</v>
      </c>
      <c r="H9" s="808"/>
      <c r="I9" s="808"/>
      <c r="J9" s="808">
        <f>①ベース事業別内訳!C179</f>
        <v>12864000</v>
      </c>
      <c r="K9" s="808">
        <f>①ベース事業別内訳!C262</f>
        <v>6553000</v>
      </c>
      <c r="L9" s="1133"/>
      <c r="M9" s="808">
        <f>①ベース事業別内訳!C121</f>
        <v>40000</v>
      </c>
      <c r="N9" s="808">
        <f>①ベース事業別内訳!C233</f>
        <v>7745000</v>
      </c>
      <c r="O9" s="808">
        <f>①ベース事業別内訳!C377</f>
        <v>619000</v>
      </c>
      <c r="P9" s="1133"/>
      <c r="Q9" s="808">
        <f>①ベース事業別内訳!C320+①ベース事業別内訳!C321</f>
        <v>273000</v>
      </c>
      <c r="R9" s="808">
        <f>①ベース事業別内訳!C408</f>
        <v>140000</v>
      </c>
      <c r="S9" s="808">
        <f t="shared" si="1"/>
        <v>52923000</v>
      </c>
      <c r="T9" s="1134" t="s">
        <v>533</v>
      </c>
      <c r="U9" s="808">
        <f>①ベース事業別内訳!C437</f>
        <v>0</v>
      </c>
      <c r="V9" s="1002"/>
      <c r="W9" s="808">
        <f t="shared" si="5"/>
        <v>52923000</v>
      </c>
      <c r="AA9" s="929">
        <f t="shared" si="6"/>
        <v>52923000</v>
      </c>
      <c r="AB9" s="805">
        <f>AA9/12</f>
        <v>4410250</v>
      </c>
      <c r="AC9" s="805">
        <f t="shared" ref="AC9:AM9" si="9">AB9</f>
        <v>4410250</v>
      </c>
      <c r="AD9" s="805">
        <f t="shared" si="9"/>
        <v>4410250</v>
      </c>
      <c r="AE9" s="805">
        <f t="shared" si="9"/>
        <v>4410250</v>
      </c>
      <c r="AF9" s="805">
        <f t="shared" si="9"/>
        <v>4410250</v>
      </c>
      <c r="AG9" s="805">
        <f t="shared" si="9"/>
        <v>4410250</v>
      </c>
      <c r="AH9" s="805">
        <f t="shared" si="9"/>
        <v>4410250</v>
      </c>
      <c r="AI9" s="805">
        <f t="shared" si="9"/>
        <v>4410250</v>
      </c>
      <c r="AJ9" s="805">
        <f t="shared" si="9"/>
        <v>4410250</v>
      </c>
      <c r="AK9" s="805">
        <f t="shared" si="9"/>
        <v>4410250</v>
      </c>
      <c r="AL9" s="805">
        <f t="shared" si="9"/>
        <v>4410250</v>
      </c>
      <c r="AM9" s="805">
        <f t="shared" si="9"/>
        <v>4410250</v>
      </c>
      <c r="AN9" s="805">
        <f t="shared" si="3"/>
        <v>52923000</v>
      </c>
      <c r="AP9" s="1107">
        <v>46445082</v>
      </c>
      <c r="AQ9" s="1107">
        <f t="shared" si="4"/>
        <v>-6477918</v>
      </c>
    </row>
    <row r="10" spans="1:43" s="805" customFormat="1" ht="24.95" customHeight="1">
      <c r="A10" s="875"/>
      <c r="B10" s="808" t="s">
        <v>674</v>
      </c>
      <c r="C10" s="808">
        <f>①ベース事業別内訳!C6</f>
        <v>4044000</v>
      </c>
      <c r="D10" s="808">
        <f>①ベース事業別内訳!C36</f>
        <v>10361000</v>
      </c>
      <c r="E10" s="808">
        <f>①ベース事業別内訳!C380</f>
        <v>0</v>
      </c>
      <c r="F10" s="808">
        <f>①ベース事業別内訳!C152</f>
        <v>50000</v>
      </c>
      <c r="G10" s="808"/>
      <c r="H10" s="808"/>
      <c r="I10" s="808">
        <f>①ベース事業別内訳!C64</f>
        <v>3814000</v>
      </c>
      <c r="J10" s="808">
        <f>①ベース事業別内訳!C180</f>
        <v>12383000</v>
      </c>
      <c r="K10" s="808">
        <f>①ベース事業別内訳!C263</f>
        <v>0</v>
      </c>
      <c r="L10" s="808">
        <f>①ベース事業別内訳!C293</f>
        <v>2695000</v>
      </c>
      <c r="M10" s="808">
        <f>①ベース事業別内訳!C122</f>
        <v>457000</v>
      </c>
      <c r="N10" s="808">
        <f>①ベース事業別内訳!C235</f>
        <v>0</v>
      </c>
      <c r="O10" s="808"/>
      <c r="P10" s="808">
        <f>①ベース事業別内訳!C332</f>
        <v>0</v>
      </c>
      <c r="Q10" s="1134">
        <f>①ベース事業別内訳!C322</f>
        <v>8000</v>
      </c>
      <c r="R10" s="1134"/>
      <c r="S10" s="808">
        <f t="shared" si="1"/>
        <v>33812000</v>
      </c>
      <c r="T10" s="1134" t="s">
        <v>674</v>
      </c>
      <c r="U10" s="808">
        <f>①ベース事業別内訳!C438</f>
        <v>0</v>
      </c>
      <c r="V10" s="839"/>
      <c r="W10" s="808">
        <f t="shared" si="5"/>
        <v>33812000</v>
      </c>
      <c r="AA10" s="929"/>
      <c r="AP10" s="1107">
        <v>24219067</v>
      </c>
      <c r="AQ10" s="1107">
        <f t="shared" si="4"/>
        <v>-9592933</v>
      </c>
    </row>
    <row r="11" spans="1:43" s="805" customFormat="1" ht="24.95" customHeight="1">
      <c r="A11" s="875"/>
      <c r="B11" s="810" t="s">
        <v>598</v>
      </c>
      <c r="C11" s="810">
        <f>①ベース事業別内訳!C7</f>
        <v>4449000</v>
      </c>
      <c r="D11" s="810">
        <f>①ベース事業別内訳!C37</f>
        <v>2463000</v>
      </c>
      <c r="E11" s="810">
        <f>①ベース事業別内訳!C381</f>
        <v>731000</v>
      </c>
      <c r="F11" s="810">
        <f>①ベース事業別内訳!C149</f>
        <v>1569000</v>
      </c>
      <c r="G11" s="810"/>
      <c r="H11" s="810"/>
      <c r="I11" s="810">
        <f>①ベース事業別内訳!C65</f>
        <v>748000</v>
      </c>
      <c r="J11" s="810"/>
      <c r="K11" s="810">
        <f>①ベース事業別内訳!C264</f>
        <v>824000</v>
      </c>
      <c r="L11" s="810">
        <f>①ベース事業別内訳!C294</f>
        <v>941000</v>
      </c>
      <c r="M11" s="810">
        <f>①ベース事業別内訳!C119</f>
        <v>5677000</v>
      </c>
      <c r="N11" s="810"/>
      <c r="O11" s="810"/>
      <c r="P11" s="810"/>
      <c r="Q11" s="1135"/>
      <c r="R11" s="1135"/>
      <c r="S11" s="810">
        <f t="shared" si="1"/>
        <v>17402000</v>
      </c>
      <c r="T11" s="810" t="s">
        <v>598</v>
      </c>
      <c r="U11" s="810">
        <f>①ベース事業別内訳!C438</f>
        <v>0</v>
      </c>
      <c r="V11" s="839"/>
      <c r="W11" s="808">
        <f>S11+U11</f>
        <v>17402000</v>
      </c>
      <c r="AA11" s="929">
        <f t="shared" si="6"/>
        <v>17402000</v>
      </c>
      <c r="AB11" s="805">
        <f>AA11/12</f>
        <v>1450166.6666666667</v>
      </c>
      <c r="AC11" s="805">
        <f t="shared" ref="AC11:AM11" si="10">AB11</f>
        <v>1450166.6666666667</v>
      </c>
      <c r="AD11" s="805">
        <f t="shared" si="10"/>
        <v>1450166.6666666667</v>
      </c>
      <c r="AE11" s="805">
        <f t="shared" si="10"/>
        <v>1450166.6666666667</v>
      </c>
      <c r="AF11" s="805">
        <f t="shared" si="10"/>
        <v>1450166.6666666667</v>
      </c>
      <c r="AG11" s="805">
        <f t="shared" si="10"/>
        <v>1450166.6666666667</v>
      </c>
      <c r="AH11" s="805">
        <f t="shared" si="10"/>
        <v>1450166.6666666667</v>
      </c>
      <c r="AI11" s="805">
        <f t="shared" si="10"/>
        <v>1450166.6666666667</v>
      </c>
      <c r="AJ11" s="805">
        <f t="shared" si="10"/>
        <v>1450166.6666666667</v>
      </c>
      <c r="AK11" s="805">
        <f t="shared" si="10"/>
        <v>1450166.6666666667</v>
      </c>
      <c r="AL11" s="805">
        <f t="shared" si="10"/>
        <v>1450166.6666666667</v>
      </c>
      <c r="AM11" s="805">
        <f t="shared" si="10"/>
        <v>1450166.6666666667</v>
      </c>
      <c r="AN11" s="805">
        <f t="shared" si="3"/>
        <v>17401999.999999996</v>
      </c>
      <c r="AP11" s="1107">
        <v>16618008</v>
      </c>
      <c r="AQ11" s="1107">
        <f t="shared" si="4"/>
        <v>-783992</v>
      </c>
    </row>
    <row r="12" spans="1:43" s="805" customFormat="1" ht="30" customHeight="1">
      <c r="A12" s="877" t="s">
        <v>543</v>
      </c>
      <c r="B12" s="868"/>
      <c r="C12" s="869">
        <f>C16+C43</f>
        <v>29192000</v>
      </c>
      <c r="D12" s="869">
        <f t="shared" ref="D12:S12" si="11">D16+D43</f>
        <v>37225000</v>
      </c>
      <c r="E12" s="869">
        <f t="shared" si="11"/>
        <v>5417000</v>
      </c>
      <c r="F12" s="869">
        <f t="shared" si="11"/>
        <v>43694000</v>
      </c>
      <c r="G12" s="869">
        <f t="shared" si="11"/>
        <v>5036000</v>
      </c>
      <c r="H12" s="869">
        <f>H16+H43</f>
        <v>13357000</v>
      </c>
      <c r="I12" s="869">
        <f t="shared" si="11"/>
        <v>16935000</v>
      </c>
      <c r="J12" s="869">
        <f t="shared" si="11"/>
        <v>24395000</v>
      </c>
      <c r="K12" s="869">
        <f t="shared" si="11"/>
        <v>8425000</v>
      </c>
      <c r="L12" s="869">
        <f t="shared" si="11"/>
        <v>8604000</v>
      </c>
      <c r="M12" s="869">
        <f t="shared" si="11"/>
        <v>26310000</v>
      </c>
      <c r="N12" s="869">
        <f t="shared" si="11"/>
        <v>8525000</v>
      </c>
      <c r="O12" s="869">
        <f t="shared" si="11"/>
        <v>140000</v>
      </c>
      <c r="P12" s="869">
        <f t="shared" si="11"/>
        <v>5000000</v>
      </c>
      <c r="Q12" s="1132">
        <f t="shared" si="11"/>
        <v>173000</v>
      </c>
      <c r="R12" s="1132">
        <f t="shared" si="11"/>
        <v>38000</v>
      </c>
      <c r="S12" s="869">
        <f t="shared" si="11"/>
        <v>232466000</v>
      </c>
      <c r="T12" s="1132" t="s">
        <v>558</v>
      </c>
      <c r="U12" s="869">
        <f>U16+U43</f>
        <v>33336000</v>
      </c>
      <c r="V12" s="839"/>
      <c r="W12" s="870">
        <f>W16+W43</f>
        <v>265802000</v>
      </c>
      <c r="AA12" s="929">
        <f t="shared" si="6"/>
        <v>265802000</v>
      </c>
      <c r="AB12" s="805" t="e">
        <f>AB16+AB43+#REF!</f>
        <v>#REF!</v>
      </c>
      <c r="AC12" s="805" t="e">
        <f>AC16+AC43+#REF!</f>
        <v>#REF!</v>
      </c>
      <c r="AD12" s="805" t="e">
        <f>AD16+AD43+#REF!</f>
        <v>#REF!</v>
      </c>
      <c r="AE12" s="805" t="e">
        <f>AE16+AE43+#REF!</f>
        <v>#REF!</v>
      </c>
      <c r="AF12" s="805" t="e">
        <f>AF16+AF43+#REF!</f>
        <v>#REF!</v>
      </c>
      <c r="AG12" s="805" t="e">
        <f>AG16+AG43+#REF!</f>
        <v>#REF!</v>
      </c>
      <c r="AH12" s="805" t="e">
        <f>AH16+AH43+#REF!</f>
        <v>#REF!</v>
      </c>
      <c r="AI12" s="805" t="e">
        <f>AI16+AI43+#REF!</f>
        <v>#REF!</v>
      </c>
      <c r="AJ12" s="805" t="e">
        <f>AJ16+AJ43+#REF!</f>
        <v>#REF!</v>
      </c>
      <c r="AK12" s="805" t="e">
        <f>AK16+AK43+#REF!</f>
        <v>#REF!</v>
      </c>
      <c r="AL12" s="805" t="e">
        <f>AL16+AL43+#REF!</f>
        <v>#REF!</v>
      </c>
      <c r="AM12" s="805" t="e">
        <f>AM16+AM43+#REF!</f>
        <v>#REF!</v>
      </c>
      <c r="AN12" s="805" t="e">
        <f t="shared" si="3"/>
        <v>#REF!</v>
      </c>
      <c r="AP12" s="1107">
        <f>AP16+AP43</f>
        <v>251338568</v>
      </c>
      <c r="AQ12" s="1107">
        <f t="shared" si="4"/>
        <v>-14463432</v>
      </c>
    </row>
    <row r="13" spans="1:43" s="805" customFormat="1" ht="20.100000000000001" customHeight="1">
      <c r="A13" s="876"/>
      <c r="B13" s="807" t="s">
        <v>117</v>
      </c>
      <c r="C13" s="807">
        <f>①ベース事業別内訳!D8</f>
        <v>24011000</v>
      </c>
      <c r="D13" s="807">
        <f>①ベース事業別内訳!D38</f>
        <v>23343000</v>
      </c>
      <c r="E13" s="807">
        <f>①ベース事業別内訳!D382</f>
        <v>3015000</v>
      </c>
      <c r="F13" s="807">
        <f>①ベース事業別内訳!D153+①ベース事業別内訳!D154</f>
        <v>35592000</v>
      </c>
      <c r="G13" s="807">
        <f>①ベース事業別内訳!D208</f>
        <v>0</v>
      </c>
      <c r="H13" s="807">
        <f>①ベース事業別内訳!D92</f>
        <v>11135000</v>
      </c>
      <c r="I13" s="807">
        <f>①ベース事業別内訳!D66</f>
        <v>11583000</v>
      </c>
      <c r="J13" s="807">
        <f>①ベース事業別内訳!D181</f>
        <v>3795000</v>
      </c>
      <c r="K13" s="807">
        <f>①ベース事業別内訳!D265</f>
        <v>5448000</v>
      </c>
      <c r="L13" s="807">
        <f>①ベース事業別内訳!D295</f>
        <v>6054000</v>
      </c>
      <c r="M13" s="807">
        <f>①ベース事業別内訳!D123</f>
        <v>22104000</v>
      </c>
      <c r="N13" s="807">
        <f>①ベース事業別内訳!D236</f>
        <v>3837000</v>
      </c>
      <c r="O13" s="807">
        <f>①ベース事業別内訳!D362</f>
        <v>36000</v>
      </c>
      <c r="P13" s="1131">
        <f>①ベース事業別内訳!D333</f>
        <v>3069000</v>
      </c>
      <c r="Q13" s="807"/>
      <c r="R13" s="807"/>
      <c r="S13" s="808">
        <f>SUM(C13:R13)</f>
        <v>153022000</v>
      </c>
      <c r="T13" s="831" t="s">
        <v>117</v>
      </c>
      <c r="U13" s="807">
        <f>①ベース事業別内訳!D438+①ベース事業別内訳!D439</f>
        <v>6301000</v>
      </c>
      <c r="V13" s="839"/>
      <c r="W13" s="807">
        <f t="shared" si="5"/>
        <v>159323000</v>
      </c>
      <c r="Y13" s="805">
        <f>135758007+3218506-W13</f>
        <v>-20346487</v>
      </c>
      <c r="AA13" s="929">
        <f t="shared" si="6"/>
        <v>159323000</v>
      </c>
      <c r="AB13" s="805">
        <f>AA13/12</f>
        <v>13276916.666666666</v>
      </c>
      <c r="AC13" s="805">
        <f t="shared" ref="AC13:AM13" si="12">AB13</f>
        <v>13276916.666666666</v>
      </c>
      <c r="AD13" s="805">
        <f t="shared" si="12"/>
        <v>13276916.666666666</v>
      </c>
      <c r="AE13" s="805">
        <f t="shared" si="12"/>
        <v>13276916.666666666</v>
      </c>
      <c r="AF13" s="805">
        <f t="shared" si="12"/>
        <v>13276916.666666666</v>
      </c>
      <c r="AG13" s="805">
        <f t="shared" si="12"/>
        <v>13276916.666666666</v>
      </c>
      <c r="AH13" s="805">
        <f t="shared" si="12"/>
        <v>13276916.666666666</v>
      </c>
      <c r="AI13" s="805">
        <f t="shared" si="12"/>
        <v>13276916.666666666</v>
      </c>
      <c r="AJ13" s="805">
        <f t="shared" si="12"/>
        <v>13276916.666666666</v>
      </c>
      <c r="AK13" s="805">
        <f t="shared" si="12"/>
        <v>13276916.666666666</v>
      </c>
      <c r="AL13" s="805">
        <f t="shared" si="12"/>
        <v>13276916.666666666</v>
      </c>
      <c r="AM13" s="805">
        <f t="shared" si="12"/>
        <v>13276916.666666666</v>
      </c>
      <c r="AN13" s="805">
        <f t="shared" si="3"/>
        <v>159323000</v>
      </c>
      <c r="AP13" s="1107">
        <f>153712413+6150130</f>
        <v>159862543</v>
      </c>
      <c r="AQ13" s="1107">
        <f t="shared" si="4"/>
        <v>539543</v>
      </c>
    </row>
    <row r="14" spans="1:43" s="805" customFormat="1" ht="20.100000000000001" customHeight="1">
      <c r="A14" s="876"/>
      <c r="B14" s="808" t="s">
        <v>118</v>
      </c>
      <c r="C14" s="808">
        <f>①ベース事業別内訳!D10</f>
        <v>2373000</v>
      </c>
      <c r="D14" s="808">
        <f>①ベース事業別内訳!D39</f>
        <v>2214000</v>
      </c>
      <c r="E14" s="808">
        <f>①ベース事業別内訳!D383</f>
        <v>251000</v>
      </c>
      <c r="F14" s="808">
        <f>①ベース事業別内訳!D155</f>
        <v>3667000</v>
      </c>
      <c r="G14" s="808">
        <f>①ベース事業別内訳!D209</f>
        <v>285000</v>
      </c>
      <c r="H14" s="808">
        <f>①ベース事業別内訳!D93</f>
        <v>1023000</v>
      </c>
      <c r="I14" s="808">
        <f>①ベース事業別内訳!D67</f>
        <v>1069000</v>
      </c>
      <c r="J14" s="808">
        <f>①ベース事業別内訳!D182</f>
        <v>357000</v>
      </c>
      <c r="K14" s="808">
        <f>①ベース事業別内訳!D266</f>
        <v>607000</v>
      </c>
      <c r="L14" s="808">
        <f>①ベース事業別内訳!D296</f>
        <v>736000</v>
      </c>
      <c r="M14" s="808">
        <f>①ベース事業別内訳!D124</f>
        <v>1966000</v>
      </c>
      <c r="N14" s="808">
        <f>①ベース事業別内訳!D237</f>
        <v>366000</v>
      </c>
      <c r="O14" s="808">
        <f>①ベース事業別内訳!D363</f>
        <v>2000</v>
      </c>
      <c r="P14" s="808"/>
      <c r="Q14" s="808"/>
      <c r="R14" s="808"/>
      <c r="S14" s="808">
        <f>SUM(C14:R14)</f>
        <v>14916000</v>
      </c>
      <c r="T14" s="256" t="s">
        <v>118</v>
      </c>
      <c r="U14" s="808">
        <f>①ベース事業別内訳!D440</f>
        <v>2235000</v>
      </c>
      <c r="V14" s="839"/>
      <c r="W14" s="808">
        <f t="shared" si="5"/>
        <v>17151000</v>
      </c>
      <c r="AA14" s="929">
        <f t="shared" si="6"/>
        <v>17151000</v>
      </c>
      <c r="AB14" s="805">
        <f>AA14/12</f>
        <v>1429250</v>
      </c>
      <c r="AC14" s="805">
        <f t="shared" ref="AC14:AM14" si="13">AB14</f>
        <v>1429250</v>
      </c>
      <c r="AD14" s="805">
        <f t="shared" si="13"/>
        <v>1429250</v>
      </c>
      <c r="AE14" s="805">
        <f t="shared" si="13"/>
        <v>1429250</v>
      </c>
      <c r="AF14" s="805">
        <f t="shared" si="13"/>
        <v>1429250</v>
      </c>
      <c r="AG14" s="805">
        <f t="shared" si="13"/>
        <v>1429250</v>
      </c>
      <c r="AH14" s="805">
        <f t="shared" si="13"/>
        <v>1429250</v>
      </c>
      <c r="AI14" s="805">
        <f t="shared" si="13"/>
        <v>1429250</v>
      </c>
      <c r="AJ14" s="805">
        <f t="shared" si="13"/>
        <v>1429250</v>
      </c>
      <c r="AK14" s="805">
        <f t="shared" si="13"/>
        <v>1429250</v>
      </c>
      <c r="AL14" s="805">
        <f t="shared" si="13"/>
        <v>1429250</v>
      </c>
      <c r="AM14" s="805">
        <f t="shared" si="13"/>
        <v>1429250</v>
      </c>
      <c r="AN14" s="805">
        <f t="shared" si="3"/>
        <v>17151000</v>
      </c>
      <c r="AP14" s="1107">
        <v>17153110</v>
      </c>
      <c r="AQ14" s="1107">
        <f t="shared" si="4"/>
        <v>2110</v>
      </c>
    </row>
    <row r="15" spans="1:43" s="805" customFormat="1" ht="20.100000000000001" customHeight="1">
      <c r="A15" s="876"/>
      <c r="B15" s="808" t="s">
        <v>119</v>
      </c>
      <c r="C15" s="808">
        <f>①ベース事業別内訳!D11</f>
        <v>370000</v>
      </c>
      <c r="D15" s="808">
        <f>①ベース事業別内訳!D40</f>
        <v>329000</v>
      </c>
      <c r="E15" s="808">
        <f>①ベース事業別内訳!D384</f>
        <v>39000</v>
      </c>
      <c r="F15" s="808">
        <f>①ベース事業別内訳!D156</f>
        <v>409000</v>
      </c>
      <c r="G15" s="808">
        <f>①ベース事業別内訳!D210</f>
        <v>39000</v>
      </c>
      <c r="H15" s="808">
        <f>①ベース事業別内訳!D94</f>
        <v>143000</v>
      </c>
      <c r="I15" s="808">
        <f>①ベース事業別内訳!D68</f>
        <v>154000</v>
      </c>
      <c r="J15" s="808">
        <f>①ベース事業別内訳!D183</f>
        <v>62000</v>
      </c>
      <c r="K15" s="808">
        <f>①ベース事業別内訳!D267</f>
        <v>102000</v>
      </c>
      <c r="L15" s="808">
        <f>①ベース事業別内訳!D297</f>
        <v>132000</v>
      </c>
      <c r="M15" s="808">
        <f>①ベース事業別内訳!D125</f>
        <v>288000</v>
      </c>
      <c r="N15" s="808">
        <f>①ベース事業別内訳!D238</f>
        <v>153000</v>
      </c>
      <c r="O15" s="808">
        <f>①ベース事業別内訳!D364</f>
        <v>2000</v>
      </c>
      <c r="P15" s="808"/>
      <c r="Q15" s="808"/>
      <c r="R15" s="808"/>
      <c r="S15" s="808">
        <f>SUM(C15:R15)</f>
        <v>2222000</v>
      </c>
      <c r="T15" s="256" t="s">
        <v>119</v>
      </c>
      <c r="U15" s="808">
        <f>①ベース事業別内訳!D441</f>
        <v>832000</v>
      </c>
      <c r="V15" s="839"/>
      <c r="W15" s="808">
        <f t="shared" si="5"/>
        <v>3054000</v>
      </c>
      <c r="AA15" s="929">
        <f t="shared" si="6"/>
        <v>3054000</v>
      </c>
      <c r="AB15" s="805">
        <f>AA15/12</f>
        <v>254500</v>
      </c>
      <c r="AC15" s="805">
        <f t="shared" ref="AC15:AM15" si="14">AB15</f>
        <v>254500</v>
      </c>
      <c r="AD15" s="805">
        <f t="shared" si="14"/>
        <v>254500</v>
      </c>
      <c r="AE15" s="805">
        <f t="shared" si="14"/>
        <v>254500</v>
      </c>
      <c r="AF15" s="805">
        <f t="shared" si="14"/>
        <v>254500</v>
      </c>
      <c r="AG15" s="805">
        <f t="shared" si="14"/>
        <v>254500</v>
      </c>
      <c r="AH15" s="805">
        <f t="shared" si="14"/>
        <v>254500</v>
      </c>
      <c r="AI15" s="805">
        <f t="shared" si="14"/>
        <v>254500</v>
      </c>
      <c r="AJ15" s="805">
        <f t="shared" si="14"/>
        <v>254500</v>
      </c>
      <c r="AK15" s="805">
        <f t="shared" si="14"/>
        <v>254500</v>
      </c>
      <c r="AL15" s="805">
        <f t="shared" si="14"/>
        <v>254500</v>
      </c>
      <c r="AM15" s="805">
        <f t="shared" si="14"/>
        <v>254500</v>
      </c>
      <c r="AN15" s="805">
        <f t="shared" si="3"/>
        <v>3054000</v>
      </c>
      <c r="AP15" s="1107">
        <v>3054344</v>
      </c>
      <c r="AQ15" s="1107">
        <f t="shared" si="4"/>
        <v>344</v>
      </c>
    </row>
    <row r="16" spans="1:43" s="805" customFormat="1">
      <c r="A16" s="876"/>
      <c r="B16" s="875" t="s">
        <v>592</v>
      </c>
      <c r="C16" s="868">
        <f t="shared" ref="C16:R16" si="15">SUM(C13:C15)</f>
        <v>26754000</v>
      </c>
      <c r="D16" s="869">
        <f t="shared" si="15"/>
        <v>25886000</v>
      </c>
      <c r="E16" s="869">
        <f t="shared" si="15"/>
        <v>3305000</v>
      </c>
      <c r="F16" s="869">
        <f t="shared" si="15"/>
        <v>39668000</v>
      </c>
      <c r="G16" s="869">
        <f>SUM(G13:G15)</f>
        <v>324000</v>
      </c>
      <c r="H16" s="869">
        <f>SUM(H13:H15)</f>
        <v>12301000</v>
      </c>
      <c r="I16" s="869">
        <f>SUM(I13:I15)</f>
        <v>12806000</v>
      </c>
      <c r="J16" s="869">
        <f>SUM(J13:J15)</f>
        <v>4214000</v>
      </c>
      <c r="K16" s="869">
        <f t="shared" si="15"/>
        <v>6157000</v>
      </c>
      <c r="L16" s="869">
        <f t="shared" si="15"/>
        <v>6922000</v>
      </c>
      <c r="M16" s="869">
        <f>SUM(M13:M15)</f>
        <v>24358000</v>
      </c>
      <c r="N16" s="869">
        <f>SUM(N13:N15)</f>
        <v>4356000</v>
      </c>
      <c r="O16" s="869">
        <f t="shared" si="15"/>
        <v>40000</v>
      </c>
      <c r="P16" s="869">
        <f t="shared" si="15"/>
        <v>3069000</v>
      </c>
      <c r="Q16" s="873">
        <f t="shared" si="15"/>
        <v>0</v>
      </c>
      <c r="R16" s="873">
        <f t="shared" si="15"/>
        <v>0</v>
      </c>
      <c r="S16" s="869">
        <f>SUM(C16:R16)</f>
        <v>170160000</v>
      </c>
      <c r="T16" s="873" t="s">
        <v>556</v>
      </c>
      <c r="U16" s="869">
        <f>SUM(U13:U15)</f>
        <v>9368000</v>
      </c>
      <c r="V16" s="839"/>
      <c r="W16" s="869">
        <f>SUM(W13:W15)</f>
        <v>179528000</v>
      </c>
      <c r="Y16" s="805">
        <f>155384320-W16</f>
        <v>-24143680</v>
      </c>
      <c r="AA16" s="929">
        <f t="shared" si="6"/>
        <v>179528000</v>
      </c>
      <c r="AB16" s="805">
        <f t="shared" ref="AB16:AM16" si="16">SUM(AB13:AB15)</f>
        <v>14960666.666666666</v>
      </c>
      <c r="AC16" s="805">
        <f t="shared" si="16"/>
        <v>14960666.666666666</v>
      </c>
      <c r="AD16" s="805">
        <f t="shared" si="16"/>
        <v>14960666.666666666</v>
      </c>
      <c r="AE16" s="805">
        <f t="shared" si="16"/>
        <v>14960666.666666666</v>
      </c>
      <c r="AF16" s="805">
        <f t="shared" si="16"/>
        <v>14960666.666666666</v>
      </c>
      <c r="AG16" s="805">
        <f t="shared" si="16"/>
        <v>14960666.666666666</v>
      </c>
      <c r="AH16" s="805">
        <f t="shared" si="16"/>
        <v>14960666.666666666</v>
      </c>
      <c r="AI16" s="805">
        <f t="shared" si="16"/>
        <v>14960666.666666666</v>
      </c>
      <c r="AJ16" s="805">
        <f t="shared" si="16"/>
        <v>14960666.666666666</v>
      </c>
      <c r="AK16" s="805">
        <f t="shared" si="16"/>
        <v>14960666.666666666</v>
      </c>
      <c r="AL16" s="805">
        <f t="shared" si="16"/>
        <v>14960666.666666666</v>
      </c>
      <c r="AM16" s="805">
        <f t="shared" si="16"/>
        <v>14960666.666666666</v>
      </c>
      <c r="AN16" s="805">
        <f t="shared" si="3"/>
        <v>179527999.99999997</v>
      </c>
      <c r="AP16" s="1107">
        <f>SUM(AP13:AP15)</f>
        <v>180069997</v>
      </c>
      <c r="AQ16" s="1107">
        <f t="shared" si="4"/>
        <v>541997</v>
      </c>
    </row>
    <row r="17" spans="1:43" s="805" customFormat="1" ht="20.100000000000001" customHeight="1">
      <c r="A17" s="876"/>
      <c r="B17" s="818" t="s">
        <v>344</v>
      </c>
      <c r="C17" s="814">
        <f>①ベース事業別内訳!D12</f>
        <v>0</v>
      </c>
      <c r="D17" s="838">
        <f>①ベース事業別内訳!D41</f>
        <v>3009000</v>
      </c>
      <c r="E17" s="838">
        <f>①ベース事業別内訳!D385</f>
        <v>43000</v>
      </c>
      <c r="F17" s="838">
        <f>①ベース事業別内訳!D157</f>
        <v>14000</v>
      </c>
      <c r="G17" s="838">
        <f>①ベース事業別内訳!D211</f>
        <v>2840000</v>
      </c>
      <c r="H17" s="838">
        <f>①ベース事業別内訳!D95</f>
        <v>0</v>
      </c>
      <c r="I17" s="838">
        <f>①ベース事業別内訳!D69</f>
        <v>13000</v>
      </c>
      <c r="J17" s="838">
        <f>①ベース事業別内訳!D184</f>
        <v>1000</v>
      </c>
      <c r="K17" s="838">
        <f>①ベース事業別内訳!D268</f>
        <v>569000</v>
      </c>
      <c r="L17" s="838">
        <f>①ベース事業別内訳!D298</f>
        <v>458000</v>
      </c>
      <c r="M17" s="838">
        <f>①ベース事業別内訳!D126</f>
        <v>0</v>
      </c>
      <c r="N17" s="838">
        <f>①ベース事業別内訳!D239</f>
        <v>2792000</v>
      </c>
      <c r="O17" s="838">
        <f>①ベース事業別内訳!D365</f>
        <v>0</v>
      </c>
      <c r="P17" s="838">
        <f>①ベース事業別内訳!D336</f>
        <v>0</v>
      </c>
      <c r="Q17" s="838">
        <f>①ベース事業別内訳!D323</f>
        <v>58000</v>
      </c>
      <c r="R17" s="838"/>
      <c r="S17" s="808">
        <f t="shared" ref="S17:S29" si="17">SUM(C17:R17)</f>
        <v>9797000</v>
      </c>
      <c r="T17" s="255" t="s">
        <v>555</v>
      </c>
      <c r="U17" s="814">
        <f>①ベース事業別内訳!D442</f>
        <v>1000</v>
      </c>
      <c r="V17" s="839"/>
      <c r="W17" s="814">
        <f t="shared" si="5"/>
        <v>9798000</v>
      </c>
      <c r="Y17" s="805">
        <f>12681453-W17</f>
        <v>2883453</v>
      </c>
      <c r="AA17" s="929">
        <f t="shared" si="6"/>
        <v>9798000</v>
      </c>
      <c r="AB17" s="805">
        <f>AA17/12</f>
        <v>816500</v>
      </c>
      <c r="AC17" s="805">
        <f t="shared" ref="AC17:AM17" si="18">AB17</f>
        <v>816500</v>
      </c>
      <c r="AD17" s="805">
        <f t="shared" si="18"/>
        <v>816500</v>
      </c>
      <c r="AE17" s="805">
        <f t="shared" si="18"/>
        <v>816500</v>
      </c>
      <c r="AF17" s="805">
        <f t="shared" si="18"/>
        <v>816500</v>
      </c>
      <c r="AG17" s="805">
        <f t="shared" si="18"/>
        <v>816500</v>
      </c>
      <c r="AH17" s="805">
        <f t="shared" si="18"/>
        <v>816500</v>
      </c>
      <c r="AI17" s="805">
        <f t="shared" si="18"/>
        <v>816500</v>
      </c>
      <c r="AJ17" s="805">
        <f t="shared" si="18"/>
        <v>816500</v>
      </c>
      <c r="AK17" s="805">
        <f t="shared" si="18"/>
        <v>816500</v>
      </c>
      <c r="AL17" s="805">
        <f t="shared" si="18"/>
        <v>816500</v>
      </c>
      <c r="AM17" s="805">
        <f t="shared" si="18"/>
        <v>816500</v>
      </c>
      <c r="AN17" s="805">
        <f t="shared" si="3"/>
        <v>9798000</v>
      </c>
      <c r="AP17" s="1107">
        <v>9797642</v>
      </c>
      <c r="AQ17" s="1107">
        <f t="shared" si="4"/>
        <v>-358</v>
      </c>
    </row>
    <row r="18" spans="1:43" s="805" customFormat="1" ht="19.5" customHeight="1">
      <c r="A18" s="876"/>
      <c r="B18" s="838" t="s">
        <v>563</v>
      </c>
      <c r="C18" s="814"/>
      <c r="D18" s="838"/>
      <c r="E18" s="838"/>
      <c r="F18" s="838"/>
      <c r="G18" s="838"/>
      <c r="H18" s="838"/>
      <c r="I18" s="838"/>
      <c r="J18" s="838"/>
      <c r="K18" s="838">
        <f>①ベース事業別内訳!D269</f>
        <v>0</v>
      </c>
      <c r="L18" s="838"/>
      <c r="M18" s="838"/>
      <c r="N18" s="838"/>
      <c r="O18" s="838"/>
      <c r="P18" s="838">
        <f>①ベース事業別内訳!D337</f>
        <v>93000</v>
      </c>
      <c r="Q18" s="838"/>
      <c r="R18" s="838"/>
      <c r="S18" s="808">
        <f t="shared" si="17"/>
        <v>93000</v>
      </c>
      <c r="T18" s="255" t="s">
        <v>571</v>
      </c>
      <c r="U18" s="814">
        <f>①ベース事業別内訳!D443</f>
        <v>18000</v>
      </c>
      <c r="V18" s="839"/>
      <c r="W18" s="814">
        <f t="shared" si="5"/>
        <v>111000</v>
      </c>
      <c r="AA18" s="929">
        <f t="shared" si="6"/>
        <v>111000</v>
      </c>
      <c r="AB18" s="805">
        <f t="shared" ref="AB18:AB42" si="19">AA18/12</f>
        <v>9250</v>
      </c>
      <c r="AC18" s="805">
        <f t="shared" ref="AC18:AM18" si="20">AB18</f>
        <v>9250</v>
      </c>
      <c r="AD18" s="805">
        <f t="shared" si="20"/>
        <v>9250</v>
      </c>
      <c r="AE18" s="805">
        <f t="shared" si="20"/>
        <v>9250</v>
      </c>
      <c r="AF18" s="805">
        <f t="shared" si="20"/>
        <v>9250</v>
      </c>
      <c r="AG18" s="805">
        <f t="shared" si="20"/>
        <v>9250</v>
      </c>
      <c r="AH18" s="805">
        <f t="shared" si="20"/>
        <v>9250</v>
      </c>
      <c r="AI18" s="805">
        <f t="shared" si="20"/>
        <v>9250</v>
      </c>
      <c r="AJ18" s="805">
        <f t="shared" si="20"/>
        <v>9250</v>
      </c>
      <c r="AK18" s="805">
        <f t="shared" si="20"/>
        <v>9250</v>
      </c>
      <c r="AL18" s="805">
        <f t="shared" si="20"/>
        <v>9250</v>
      </c>
      <c r="AM18" s="805">
        <f t="shared" si="20"/>
        <v>9250</v>
      </c>
      <c r="AN18" s="805">
        <f t="shared" si="3"/>
        <v>111000</v>
      </c>
      <c r="AP18" s="1107">
        <v>111584</v>
      </c>
      <c r="AQ18" s="1107">
        <f t="shared" si="4"/>
        <v>584</v>
      </c>
    </row>
    <row r="19" spans="1:43" s="805" customFormat="1" ht="20.100000000000001" customHeight="1">
      <c r="A19" s="876"/>
      <c r="B19" s="819" t="s">
        <v>81</v>
      </c>
      <c r="C19" s="808">
        <f>①ベース事業別内訳!D13</f>
        <v>399000</v>
      </c>
      <c r="D19" s="819">
        <f>①ベース事業別内訳!D42</f>
        <v>1827000</v>
      </c>
      <c r="E19" s="819">
        <f>①ベース事業別内訳!D386</f>
        <v>228000</v>
      </c>
      <c r="F19" s="819">
        <f>①ベース事業別内訳!D158</f>
        <v>241000</v>
      </c>
      <c r="G19" s="819">
        <f>①ベース事業別内訳!D212</f>
        <v>370000</v>
      </c>
      <c r="H19" s="819">
        <f>①ベース事業別内訳!D96</f>
        <v>0</v>
      </c>
      <c r="I19" s="819">
        <f>①ベース事業別内訳!D70</f>
        <v>837000</v>
      </c>
      <c r="J19" s="819">
        <f>①ベース事業別内訳!D185</f>
        <v>2179000</v>
      </c>
      <c r="K19" s="819">
        <f>①ベース事業別内訳!D270</f>
        <v>247000</v>
      </c>
      <c r="L19" s="819">
        <f>①ベース事業別内訳!D299</f>
        <v>62000</v>
      </c>
      <c r="M19" s="819">
        <f>①ベース事業別内訳!D127</f>
        <v>119000</v>
      </c>
      <c r="N19" s="819">
        <f>①ベース事業別内訳!D240</f>
        <v>557000</v>
      </c>
      <c r="O19" s="819"/>
      <c r="P19" s="819">
        <f>①ベース事業別内訳!D338</f>
        <v>0</v>
      </c>
      <c r="Q19" s="819"/>
      <c r="R19" s="819"/>
      <c r="S19" s="808">
        <f t="shared" si="17"/>
        <v>7066000</v>
      </c>
      <c r="T19" s="256" t="s">
        <v>81</v>
      </c>
      <c r="U19" s="808">
        <f>①ベース事業別内訳!D444</f>
        <v>280000</v>
      </c>
      <c r="V19" s="839"/>
      <c r="W19" s="808">
        <f t="shared" si="5"/>
        <v>7346000</v>
      </c>
      <c r="AA19" s="929">
        <f t="shared" si="6"/>
        <v>7346000</v>
      </c>
      <c r="AB19" s="805">
        <f t="shared" si="19"/>
        <v>612166.66666666663</v>
      </c>
      <c r="AC19" s="805">
        <f t="shared" ref="AC19:AM19" si="21">AB19</f>
        <v>612166.66666666663</v>
      </c>
      <c r="AD19" s="805">
        <f t="shared" si="21"/>
        <v>612166.66666666663</v>
      </c>
      <c r="AE19" s="805">
        <f t="shared" si="21"/>
        <v>612166.66666666663</v>
      </c>
      <c r="AF19" s="805">
        <f t="shared" si="21"/>
        <v>612166.66666666663</v>
      </c>
      <c r="AG19" s="805">
        <f t="shared" si="21"/>
        <v>612166.66666666663</v>
      </c>
      <c r="AH19" s="805">
        <f t="shared" si="21"/>
        <v>612166.66666666663</v>
      </c>
      <c r="AI19" s="805">
        <f t="shared" si="21"/>
        <v>612166.66666666663</v>
      </c>
      <c r="AJ19" s="805">
        <f t="shared" si="21"/>
        <v>612166.66666666663</v>
      </c>
      <c r="AK19" s="805">
        <f t="shared" si="21"/>
        <v>612166.66666666663</v>
      </c>
      <c r="AL19" s="805">
        <f t="shared" si="21"/>
        <v>612166.66666666663</v>
      </c>
      <c r="AM19" s="805">
        <f t="shared" si="21"/>
        <v>612166.66666666663</v>
      </c>
      <c r="AN19" s="805">
        <f t="shared" si="3"/>
        <v>7346000.0000000009</v>
      </c>
      <c r="AP19" s="1107">
        <v>7345347</v>
      </c>
      <c r="AQ19" s="1107">
        <f t="shared" si="4"/>
        <v>-653</v>
      </c>
    </row>
    <row r="20" spans="1:43" s="805" customFormat="1" ht="20.100000000000001" customHeight="1">
      <c r="A20" s="876"/>
      <c r="B20" s="819" t="s">
        <v>121</v>
      </c>
      <c r="C20" s="808">
        <f>①ベース事業別内訳!D14</f>
        <v>64000</v>
      </c>
      <c r="D20" s="819">
        <f>①ベース事業別内訳!D43</f>
        <v>329000</v>
      </c>
      <c r="E20" s="819">
        <f>①ベース事業別内訳!D387</f>
        <v>0</v>
      </c>
      <c r="F20" s="819">
        <f>①ベース事業別内訳!D159</f>
        <v>508000</v>
      </c>
      <c r="G20" s="819">
        <f>①ベース事業別内訳!D213</f>
        <v>0</v>
      </c>
      <c r="H20" s="819">
        <f>①ベース事業別内訳!D97</f>
        <v>145000</v>
      </c>
      <c r="I20" s="819">
        <f>①ベース事業別内訳!D71</f>
        <v>118000</v>
      </c>
      <c r="J20" s="819">
        <f>①ベース事業別内訳!D186</f>
        <v>2000</v>
      </c>
      <c r="K20" s="819">
        <f>①ベース事業別内訳!D271</f>
        <v>0</v>
      </c>
      <c r="L20" s="819">
        <f>①ベース事業別内訳!D300</f>
        <v>0</v>
      </c>
      <c r="M20" s="819">
        <f>①ベース事業別内訳!D128</f>
        <v>213000</v>
      </c>
      <c r="N20" s="819">
        <f>①ベース事業別内訳!D241</f>
        <v>141000</v>
      </c>
      <c r="O20" s="819">
        <f>①ベース事業別内訳!D367</f>
        <v>0</v>
      </c>
      <c r="P20" s="819">
        <f>①ベース事業別内訳!D339</f>
        <v>0</v>
      </c>
      <c r="Q20" s="819"/>
      <c r="R20" s="819"/>
      <c r="S20" s="808">
        <f t="shared" si="17"/>
        <v>1520000</v>
      </c>
      <c r="T20" s="256" t="s">
        <v>121</v>
      </c>
      <c r="U20" s="808">
        <f>①ベース事業別内訳!D445</f>
        <v>324000</v>
      </c>
      <c r="V20" s="839"/>
      <c r="W20" s="808">
        <f t="shared" si="5"/>
        <v>1844000</v>
      </c>
      <c r="AA20" s="929">
        <f t="shared" si="6"/>
        <v>1844000</v>
      </c>
      <c r="AB20" s="805">
        <f t="shared" si="19"/>
        <v>153666.66666666666</v>
      </c>
      <c r="AC20" s="805">
        <f t="shared" ref="AC20:AM20" si="22">AB20</f>
        <v>153666.66666666666</v>
      </c>
      <c r="AD20" s="805">
        <f t="shared" si="22"/>
        <v>153666.66666666666</v>
      </c>
      <c r="AE20" s="805">
        <f t="shared" si="22"/>
        <v>153666.66666666666</v>
      </c>
      <c r="AF20" s="805">
        <f t="shared" si="22"/>
        <v>153666.66666666666</v>
      </c>
      <c r="AG20" s="805">
        <f t="shared" si="22"/>
        <v>153666.66666666666</v>
      </c>
      <c r="AH20" s="805">
        <f t="shared" si="22"/>
        <v>153666.66666666666</v>
      </c>
      <c r="AI20" s="805">
        <f t="shared" si="22"/>
        <v>153666.66666666666</v>
      </c>
      <c r="AJ20" s="805">
        <f t="shared" si="22"/>
        <v>153666.66666666666</v>
      </c>
      <c r="AK20" s="805">
        <f t="shared" si="22"/>
        <v>153666.66666666666</v>
      </c>
      <c r="AL20" s="805">
        <f t="shared" si="22"/>
        <v>153666.66666666666</v>
      </c>
      <c r="AM20" s="805">
        <f t="shared" si="22"/>
        <v>153666.66666666666</v>
      </c>
      <c r="AN20" s="805">
        <f t="shared" si="3"/>
        <v>1844000.0000000002</v>
      </c>
      <c r="AP20" s="1107">
        <v>1841684</v>
      </c>
      <c r="AQ20" s="1107">
        <f t="shared" si="4"/>
        <v>-2316</v>
      </c>
    </row>
    <row r="21" spans="1:43" s="805" customFormat="1" ht="20.100000000000001" customHeight="1">
      <c r="A21" s="876"/>
      <c r="B21" s="819" t="s">
        <v>82</v>
      </c>
      <c r="C21" s="808">
        <f>①ベース事業別内訳!D15</f>
        <v>194000</v>
      </c>
      <c r="D21" s="819">
        <f>①ベース事業別内訳!D44</f>
        <v>1084000</v>
      </c>
      <c r="E21" s="819">
        <f>①ベース事業別内訳!D388</f>
        <v>155000</v>
      </c>
      <c r="F21" s="819">
        <f>①ベース事業別内訳!D160</f>
        <v>799000</v>
      </c>
      <c r="G21" s="819">
        <f>①ベース事業別内訳!D214</f>
        <v>133000</v>
      </c>
      <c r="H21" s="819">
        <f>①ベース事業別内訳!D98</f>
        <v>200000</v>
      </c>
      <c r="I21" s="819">
        <f>①ベース事業別内訳!D72</f>
        <v>123000</v>
      </c>
      <c r="J21" s="819">
        <f>①ベース事業別内訳!D187</f>
        <v>325000</v>
      </c>
      <c r="K21" s="819">
        <f>①ベース事業別内訳!D272</f>
        <v>107000</v>
      </c>
      <c r="L21" s="819">
        <f>①ベース事業別内訳!D301</f>
        <v>78000</v>
      </c>
      <c r="M21" s="819">
        <f>①ベース事業別内訳!D129</f>
        <v>121000</v>
      </c>
      <c r="N21" s="819">
        <f>①ベース事業別内訳!D242</f>
        <v>289000</v>
      </c>
      <c r="O21" s="819">
        <f>①ベース事業別内訳!D368</f>
        <v>33000</v>
      </c>
      <c r="P21" s="819">
        <f>①ベース事業別内訳!D340</f>
        <v>328000</v>
      </c>
      <c r="Q21" s="819"/>
      <c r="R21" s="819">
        <f>①ベース事業別内訳!D417</f>
        <v>21000</v>
      </c>
      <c r="S21" s="808">
        <f t="shared" si="17"/>
        <v>3990000</v>
      </c>
      <c r="T21" s="256" t="s">
        <v>82</v>
      </c>
      <c r="U21" s="808">
        <f>①ベース事業別内訳!D446</f>
        <v>1737000</v>
      </c>
      <c r="V21" s="839"/>
      <c r="W21" s="808">
        <f t="shared" si="5"/>
        <v>5727000</v>
      </c>
      <c r="Y21" s="805">
        <f>5690329-W21</f>
        <v>-36671</v>
      </c>
      <c r="AA21" s="929">
        <f t="shared" si="6"/>
        <v>5727000</v>
      </c>
      <c r="AB21" s="805">
        <f t="shared" si="19"/>
        <v>477250</v>
      </c>
      <c r="AC21" s="805">
        <f t="shared" ref="AC21:AM21" si="23">AB21</f>
        <v>477250</v>
      </c>
      <c r="AD21" s="805">
        <f t="shared" si="23"/>
        <v>477250</v>
      </c>
      <c r="AE21" s="805">
        <f t="shared" si="23"/>
        <v>477250</v>
      </c>
      <c r="AF21" s="805">
        <f t="shared" si="23"/>
        <v>477250</v>
      </c>
      <c r="AG21" s="805">
        <f t="shared" si="23"/>
        <v>477250</v>
      </c>
      <c r="AH21" s="805">
        <f t="shared" si="23"/>
        <v>477250</v>
      </c>
      <c r="AI21" s="805">
        <f t="shared" si="23"/>
        <v>477250</v>
      </c>
      <c r="AJ21" s="805">
        <f t="shared" si="23"/>
        <v>477250</v>
      </c>
      <c r="AK21" s="805">
        <f t="shared" si="23"/>
        <v>477250</v>
      </c>
      <c r="AL21" s="805">
        <f t="shared" si="23"/>
        <v>477250</v>
      </c>
      <c r="AM21" s="805">
        <f t="shared" si="23"/>
        <v>477250</v>
      </c>
      <c r="AN21" s="805">
        <f t="shared" si="3"/>
        <v>5727000</v>
      </c>
      <c r="AP21" s="1107">
        <v>5726622</v>
      </c>
      <c r="AQ21" s="1107">
        <f t="shared" si="4"/>
        <v>-378</v>
      </c>
    </row>
    <row r="22" spans="1:43" s="805" customFormat="1" ht="20.100000000000001" customHeight="1">
      <c r="A22" s="876"/>
      <c r="B22" s="819" t="s">
        <v>122</v>
      </c>
      <c r="C22" s="808">
        <f>①ベース事業別内訳!D16</f>
        <v>0</v>
      </c>
      <c r="D22" s="819">
        <f>①ベース事業別内訳!D45</f>
        <v>787000</v>
      </c>
      <c r="E22" s="819">
        <f>①ベース事業別内訳!D389</f>
        <v>0</v>
      </c>
      <c r="F22" s="819">
        <f>①ベース事業別内訳!D161</f>
        <v>0</v>
      </c>
      <c r="G22" s="819">
        <f>①ベース事業別内訳!D215</f>
        <v>0</v>
      </c>
      <c r="H22" s="819">
        <f>①ベース事業別内訳!D99</f>
        <v>0</v>
      </c>
      <c r="I22" s="819">
        <f>①ベース事業別内訳!D73</f>
        <v>0</v>
      </c>
      <c r="J22" s="819">
        <f>①ベース事業別内訳!D188</f>
        <v>1000</v>
      </c>
      <c r="K22" s="819">
        <f>①ベース事業別内訳!D273</f>
        <v>11000</v>
      </c>
      <c r="L22" s="819">
        <f>①ベース事業別内訳!D302</f>
        <v>0</v>
      </c>
      <c r="M22" s="819">
        <f>①ベース事業別内訳!D130</f>
        <v>482000</v>
      </c>
      <c r="N22" s="819">
        <f>①ベース事業別内訳!D243</f>
        <v>0</v>
      </c>
      <c r="O22" s="819">
        <f>①ベース事業別内訳!D369</f>
        <v>3000</v>
      </c>
      <c r="P22" s="819">
        <f>①ベース事業別内訳!D341</f>
        <v>155000</v>
      </c>
      <c r="Q22" s="819"/>
      <c r="R22" s="819">
        <f>①ベース事業別内訳!D418</f>
        <v>9000</v>
      </c>
      <c r="S22" s="808">
        <f t="shared" si="17"/>
        <v>1448000</v>
      </c>
      <c r="T22" s="256" t="s">
        <v>122</v>
      </c>
      <c r="U22" s="808">
        <f>①ベース事業別内訳!D447</f>
        <v>195000</v>
      </c>
      <c r="V22" s="839"/>
      <c r="W22" s="808">
        <f t="shared" si="5"/>
        <v>1643000</v>
      </c>
      <c r="Y22" s="805">
        <f>945580-W22</f>
        <v>-697420</v>
      </c>
      <c r="AA22" s="929">
        <f t="shared" si="6"/>
        <v>1643000</v>
      </c>
      <c r="AB22" s="805">
        <f t="shared" si="19"/>
        <v>136916.66666666666</v>
      </c>
      <c r="AC22" s="805">
        <f t="shared" ref="AC22:AM22" si="24">AB22</f>
        <v>136916.66666666666</v>
      </c>
      <c r="AD22" s="805">
        <f t="shared" si="24"/>
        <v>136916.66666666666</v>
      </c>
      <c r="AE22" s="805">
        <f t="shared" si="24"/>
        <v>136916.66666666666</v>
      </c>
      <c r="AF22" s="805">
        <f t="shared" si="24"/>
        <v>136916.66666666666</v>
      </c>
      <c r="AG22" s="805">
        <f t="shared" si="24"/>
        <v>136916.66666666666</v>
      </c>
      <c r="AH22" s="805">
        <f t="shared" si="24"/>
        <v>136916.66666666666</v>
      </c>
      <c r="AI22" s="805">
        <f t="shared" si="24"/>
        <v>136916.66666666666</v>
      </c>
      <c r="AJ22" s="805">
        <f t="shared" si="24"/>
        <v>136916.66666666666</v>
      </c>
      <c r="AK22" s="805">
        <f t="shared" si="24"/>
        <v>136916.66666666666</v>
      </c>
      <c r="AL22" s="805">
        <f t="shared" si="24"/>
        <v>136916.66666666666</v>
      </c>
      <c r="AM22" s="805">
        <f t="shared" si="24"/>
        <v>136916.66666666666</v>
      </c>
      <c r="AN22" s="805">
        <f t="shared" si="3"/>
        <v>1643000.0000000002</v>
      </c>
      <c r="AP22" s="1107">
        <v>1642423</v>
      </c>
      <c r="AQ22" s="1107">
        <f t="shared" si="4"/>
        <v>-577</v>
      </c>
    </row>
    <row r="23" spans="1:43" s="805" customFormat="1" ht="20.100000000000001" customHeight="1">
      <c r="A23" s="876"/>
      <c r="B23" s="819" t="s">
        <v>83</v>
      </c>
      <c r="C23" s="808">
        <f>①ベース事業別内訳!D17</f>
        <v>0</v>
      </c>
      <c r="D23" s="819">
        <f>①ベース事業別内訳!D46</f>
        <v>302000</v>
      </c>
      <c r="E23" s="819">
        <f>①ベース事業別内訳!D390</f>
        <v>22000</v>
      </c>
      <c r="F23" s="819">
        <f>①ベース事業別内訳!D162</f>
        <v>0</v>
      </c>
      <c r="G23" s="819">
        <f>①ベース事業別内訳!D216</f>
        <v>0</v>
      </c>
      <c r="H23" s="819">
        <f>①ベース事業別内訳!D100</f>
        <v>0</v>
      </c>
      <c r="I23" s="819">
        <f>①ベース事業別内訳!D74</f>
        <v>0</v>
      </c>
      <c r="J23" s="819">
        <f>①ベース事業別内訳!D189</f>
        <v>18000</v>
      </c>
      <c r="K23" s="819">
        <f>①ベース事業別内訳!D274</f>
        <v>36000</v>
      </c>
      <c r="L23" s="819">
        <f>①ベース事業別内訳!D303</f>
        <v>33000</v>
      </c>
      <c r="M23" s="819">
        <f>①ベース事業別内訳!D131</f>
        <v>44000</v>
      </c>
      <c r="N23" s="819">
        <f>①ベース事業別内訳!D244</f>
        <v>0</v>
      </c>
      <c r="O23" s="819"/>
      <c r="P23" s="819">
        <f>①ベース事業別内訳!D342</f>
        <v>0</v>
      </c>
      <c r="Q23" s="819"/>
      <c r="R23" s="819"/>
      <c r="S23" s="808">
        <f t="shared" si="17"/>
        <v>455000</v>
      </c>
      <c r="T23" s="256" t="s">
        <v>83</v>
      </c>
      <c r="U23" s="808">
        <f>①ベース事業別内訳!D448</f>
        <v>865000</v>
      </c>
      <c r="V23" s="839"/>
      <c r="W23" s="808">
        <f t="shared" si="5"/>
        <v>1320000</v>
      </c>
      <c r="AA23" s="929">
        <f t="shared" si="6"/>
        <v>1320000</v>
      </c>
      <c r="AB23" s="805">
        <f t="shared" si="19"/>
        <v>110000</v>
      </c>
      <c r="AC23" s="805">
        <f t="shared" ref="AC23:AM23" si="25">AB23</f>
        <v>110000</v>
      </c>
      <c r="AD23" s="805">
        <f t="shared" si="25"/>
        <v>110000</v>
      </c>
      <c r="AE23" s="805">
        <f t="shared" si="25"/>
        <v>110000</v>
      </c>
      <c r="AF23" s="805">
        <f t="shared" si="25"/>
        <v>110000</v>
      </c>
      <c r="AG23" s="805">
        <f t="shared" si="25"/>
        <v>110000</v>
      </c>
      <c r="AH23" s="805">
        <f t="shared" si="25"/>
        <v>110000</v>
      </c>
      <c r="AI23" s="805">
        <f t="shared" si="25"/>
        <v>110000</v>
      </c>
      <c r="AJ23" s="805">
        <f t="shared" si="25"/>
        <v>110000</v>
      </c>
      <c r="AK23" s="805">
        <f t="shared" si="25"/>
        <v>110000</v>
      </c>
      <c r="AL23" s="805">
        <f t="shared" si="25"/>
        <v>110000</v>
      </c>
      <c r="AM23" s="805">
        <f t="shared" si="25"/>
        <v>110000</v>
      </c>
      <c r="AN23" s="805">
        <f t="shared" si="3"/>
        <v>1320000</v>
      </c>
      <c r="AP23" s="1107">
        <v>1320469</v>
      </c>
      <c r="AQ23" s="1107">
        <f t="shared" si="4"/>
        <v>469</v>
      </c>
    </row>
    <row r="24" spans="1:43" s="805" customFormat="1" ht="20.100000000000001" customHeight="1">
      <c r="A24" s="876"/>
      <c r="B24" s="819" t="s">
        <v>94</v>
      </c>
      <c r="C24" s="808">
        <f>①ベース事業別内訳!D18</f>
        <v>0</v>
      </c>
      <c r="D24" s="819">
        <f>①ベース事業別内訳!D47</f>
        <v>99000</v>
      </c>
      <c r="E24" s="819">
        <f>①ベース事業別内訳!D391</f>
        <v>42000</v>
      </c>
      <c r="F24" s="819">
        <f>①ベース事業別内訳!D163</f>
        <v>147000</v>
      </c>
      <c r="G24" s="819">
        <f>①ベース事業別内訳!D217</f>
        <v>0</v>
      </c>
      <c r="H24" s="819">
        <f>①ベース事業別内訳!D101</f>
        <v>0</v>
      </c>
      <c r="I24" s="819">
        <f>①ベース事業別内訳!D75</f>
        <v>16000</v>
      </c>
      <c r="J24" s="819">
        <f>①ベース事業別内訳!D190</f>
        <v>0</v>
      </c>
      <c r="K24" s="819">
        <f>①ベース事業別内訳!D275</f>
        <v>0</v>
      </c>
      <c r="L24" s="819">
        <f>①ベース事業別内訳!D304</f>
        <v>2000</v>
      </c>
      <c r="M24" s="819">
        <f>①ベース事業別内訳!D132</f>
        <v>0</v>
      </c>
      <c r="N24" s="819">
        <f>①ベース事業別内訳!D245</f>
        <v>0</v>
      </c>
      <c r="O24" s="819"/>
      <c r="P24" s="819">
        <f>①ベース事業別内訳!D343</f>
        <v>0</v>
      </c>
      <c r="Q24" s="819"/>
      <c r="R24" s="819"/>
      <c r="S24" s="808">
        <f t="shared" si="17"/>
        <v>306000</v>
      </c>
      <c r="T24" s="256" t="s">
        <v>94</v>
      </c>
      <c r="U24" s="808">
        <f>①ベース事業別内訳!D449</f>
        <v>25000</v>
      </c>
      <c r="V24" s="839"/>
      <c r="W24" s="808">
        <f t="shared" si="5"/>
        <v>331000</v>
      </c>
      <c r="AA24" s="929">
        <f t="shared" si="6"/>
        <v>331000</v>
      </c>
      <c r="AB24" s="805">
        <f t="shared" si="19"/>
        <v>27583.333333333332</v>
      </c>
      <c r="AC24" s="805">
        <f t="shared" ref="AC24:AM24" si="26">AB24</f>
        <v>27583.333333333332</v>
      </c>
      <c r="AD24" s="805">
        <f t="shared" si="26"/>
        <v>27583.333333333332</v>
      </c>
      <c r="AE24" s="805">
        <f t="shared" si="26"/>
        <v>27583.333333333332</v>
      </c>
      <c r="AF24" s="805">
        <f t="shared" si="26"/>
        <v>27583.333333333332</v>
      </c>
      <c r="AG24" s="805">
        <f t="shared" si="26"/>
        <v>27583.333333333332</v>
      </c>
      <c r="AH24" s="805">
        <f t="shared" si="26"/>
        <v>27583.333333333332</v>
      </c>
      <c r="AI24" s="805">
        <f t="shared" si="26"/>
        <v>27583.333333333332</v>
      </c>
      <c r="AJ24" s="805">
        <f t="shared" si="26"/>
        <v>27583.333333333332</v>
      </c>
      <c r="AK24" s="805">
        <f t="shared" si="26"/>
        <v>27583.333333333332</v>
      </c>
      <c r="AL24" s="805">
        <f t="shared" si="26"/>
        <v>27583.333333333332</v>
      </c>
      <c r="AM24" s="805">
        <f t="shared" si="26"/>
        <v>27583.333333333332</v>
      </c>
      <c r="AN24" s="805">
        <f t="shared" si="3"/>
        <v>331000</v>
      </c>
      <c r="AP24" s="1107">
        <v>329883</v>
      </c>
      <c r="AQ24" s="1107">
        <f t="shared" si="4"/>
        <v>-1117</v>
      </c>
    </row>
    <row r="25" spans="1:43" s="805" customFormat="1" ht="20.100000000000001" customHeight="1">
      <c r="A25" s="876"/>
      <c r="B25" s="819" t="s">
        <v>84</v>
      </c>
      <c r="C25" s="808">
        <f>①ベース事業別内訳!D19</f>
        <v>11000</v>
      </c>
      <c r="D25" s="819">
        <f>①ベース事業別内訳!D48</f>
        <v>71000</v>
      </c>
      <c r="E25" s="819">
        <f>①ベース事業別内訳!D392</f>
        <v>0</v>
      </c>
      <c r="F25" s="819">
        <f>①ベース事業別内訳!D164</f>
        <v>102000</v>
      </c>
      <c r="G25" s="819">
        <f>①ベース事業別内訳!D218</f>
        <v>0</v>
      </c>
      <c r="H25" s="819">
        <f>①ベース事業別内訳!D102</f>
        <v>14000</v>
      </c>
      <c r="I25" s="819">
        <f>①ベース事業別内訳!D76</f>
        <v>7000</v>
      </c>
      <c r="J25" s="819">
        <f>①ベース事業別内訳!D191</f>
        <v>0</v>
      </c>
      <c r="K25" s="819">
        <f>①ベース事業別内訳!D276</f>
        <v>0</v>
      </c>
      <c r="L25" s="819">
        <f>①ベース事業別内訳!D307</f>
        <v>0</v>
      </c>
      <c r="M25" s="819">
        <f>①ベース事業別内訳!D133</f>
        <v>34000</v>
      </c>
      <c r="N25" s="819">
        <f>①ベース事業別内訳!D246</f>
        <v>11000</v>
      </c>
      <c r="O25" s="819"/>
      <c r="P25" s="819">
        <f>①ベース事業別内訳!D344</f>
        <v>0</v>
      </c>
      <c r="Q25" s="819"/>
      <c r="R25" s="819"/>
      <c r="S25" s="808">
        <f t="shared" si="17"/>
        <v>250000</v>
      </c>
      <c r="T25" s="256" t="s">
        <v>84</v>
      </c>
      <c r="U25" s="808">
        <f>①ベース事業別内訳!D450</f>
        <v>1952000</v>
      </c>
      <c r="V25" s="839"/>
      <c r="W25" s="808">
        <f t="shared" si="5"/>
        <v>2202000</v>
      </c>
      <c r="AA25" s="929">
        <f t="shared" si="6"/>
        <v>2202000</v>
      </c>
      <c r="AB25" s="805">
        <f t="shared" si="19"/>
        <v>183500</v>
      </c>
      <c r="AC25" s="805">
        <f t="shared" ref="AC25:AM25" si="27">AB25</f>
        <v>183500</v>
      </c>
      <c r="AD25" s="805">
        <f t="shared" si="27"/>
        <v>183500</v>
      </c>
      <c r="AE25" s="805">
        <f t="shared" si="27"/>
        <v>183500</v>
      </c>
      <c r="AF25" s="805">
        <f t="shared" si="27"/>
        <v>183500</v>
      </c>
      <c r="AG25" s="805">
        <f t="shared" si="27"/>
        <v>183500</v>
      </c>
      <c r="AH25" s="805">
        <f t="shared" si="27"/>
        <v>183500</v>
      </c>
      <c r="AI25" s="805">
        <f t="shared" si="27"/>
        <v>183500</v>
      </c>
      <c r="AJ25" s="805">
        <f t="shared" si="27"/>
        <v>183500</v>
      </c>
      <c r="AK25" s="805">
        <f t="shared" si="27"/>
        <v>183500</v>
      </c>
      <c r="AL25" s="805">
        <f t="shared" si="27"/>
        <v>183500</v>
      </c>
      <c r="AM25" s="805">
        <f t="shared" si="27"/>
        <v>183500</v>
      </c>
      <c r="AN25" s="805">
        <f t="shared" si="3"/>
        <v>2202000</v>
      </c>
      <c r="AP25" s="1107">
        <v>2202176</v>
      </c>
      <c r="AQ25" s="1107">
        <f t="shared" si="4"/>
        <v>176</v>
      </c>
    </row>
    <row r="26" spans="1:43" s="805" customFormat="1" ht="20.100000000000001" customHeight="1">
      <c r="A26" s="876"/>
      <c r="B26" s="819" t="s">
        <v>123</v>
      </c>
      <c r="C26" s="808">
        <f>①ベース事業別内訳!D20</f>
        <v>0</v>
      </c>
      <c r="D26" s="819">
        <f>①ベース事業別内訳!D49</f>
        <v>0</v>
      </c>
      <c r="E26" s="819">
        <f>①ベース事業別内訳!D393</f>
        <v>0</v>
      </c>
      <c r="F26" s="819">
        <f>①ベース事業別内訳!D165</f>
        <v>0</v>
      </c>
      <c r="G26" s="819">
        <f>①ベース事業別内訳!D219</f>
        <v>0</v>
      </c>
      <c r="H26" s="819">
        <f>①ベース事業別内訳!D103</f>
        <v>0</v>
      </c>
      <c r="I26" s="819">
        <f>①ベース事業別内訳!D77</f>
        <v>0</v>
      </c>
      <c r="J26" s="819">
        <f>①ベース事業別内訳!D192</f>
        <v>0</v>
      </c>
      <c r="K26" s="819">
        <f>①ベース事業別内訳!D277</f>
        <v>0</v>
      </c>
      <c r="L26" s="819">
        <f>①ベース事業別内訳!D305</f>
        <v>0</v>
      </c>
      <c r="M26" s="819">
        <f>①ベース事業別内訳!D134</f>
        <v>0</v>
      </c>
      <c r="N26" s="819">
        <f>①ベース事業別内訳!D247</f>
        <v>0</v>
      </c>
      <c r="O26" s="819"/>
      <c r="P26" s="819">
        <f>①ベース事業別内訳!D345</f>
        <v>0</v>
      </c>
      <c r="Q26" s="819">
        <f>①ベース事業別内訳!D325</f>
        <v>0</v>
      </c>
      <c r="R26" s="819"/>
      <c r="S26" s="808">
        <f t="shared" si="17"/>
        <v>0</v>
      </c>
      <c r="T26" s="256" t="s">
        <v>123</v>
      </c>
      <c r="U26" s="808">
        <f>①ベース事業別内訳!D451</f>
        <v>8138000</v>
      </c>
      <c r="V26" s="839"/>
      <c r="W26" s="808">
        <f t="shared" si="5"/>
        <v>8138000</v>
      </c>
      <c r="AA26" s="929">
        <f t="shared" si="6"/>
        <v>8138000</v>
      </c>
      <c r="AB26" s="805">
        <f t="shared" si="19"/>
        <v>678166.66666666663</v>
      </c>
      <c r="AC26" s="805">
        <f t="shared" ref="AC26:AM26" si="28">AB26</f>
        <v>678166.66666666663</v>
      </c>
      <c r="AD26" s="805">
        <f t="shared" si="28"/>
        <v>678166.66666666663</v>
      </c>
      <c r="AE26" s="805">
        <f t="shared" si="28"/>
        <v>678166.66666666663</v>
      </c>
      <c r="AF26" s="805">
        <f t="shared" si="28"/>
        <v>678166.66666666663</v>
      </c>
      <c r="AG26" s="805">
        <f t="shared" si="28"/>
        <v>678166.66666666663</v>
      </c>
      <c r="AH26" s="805">
        <f t="shared" si="28"/>
        <v>678166.66666666663</v>
      </c>
      <c r="AI26" s="805">
        <f t="shared" si="28"/>
        <v>678166.66666666663</v>
      </c>
      <c r="AJ26" s="805">
        <f t="shared" si="28"/>
        <v>678166.66666666663</v>
      </c>
      <c r="AK26" s="805">
        <f t="shared" si="28"/>
        <v>678166.66666666663</v>
      </c>
      <c r="AL26" s="805">
        <f t="shared" si="28"/>
        <v>678166.66666666663</v>
      </c>
      <c r="AM26" s="805">
        <f t="shared" si="28"/>
        <v>678166.66666666663</v>
      </c>
      <c r="AN26" s="805">
        <f t="shared" si="3"/>
        <v>8138000.0000000009</v>
      </c>
      <c r="AP26" s="1107">
        <v>8137936</v>
      </c>
      <c r="AQ26" s="1107">
        <f t="shared" si="4"/>
        <v>-64</v>
      </c>
    </row>
    <row r="27" spans="1:43" s="805" customFormat="1" ht="20.100000000000001" customHeight="1">
      <c r="A27" s="876"/>
      <c r="B27" s="819" t="s">
        <v>115</v>
      </c>
      <c r="C27" s="808">
        <f>①ベース事業別内訳!D21</f>
        <v>409000</v>
      </c>
      <c r="D27" s="819">
        <f>①ベース事業別内訳!D50</f>
        <v>365000</v>
      </c>
      <c r="E27" s="819">
        <f>①ベース事業別内訳!D394</f>
        <v>86000</v>
      </c>
      <c r="F27" s="819">
        <f>①ベース事業別内訳!D166</f>
        <v>407000</v>
      </c>
      <c r="G27" s="819">
        <f>①ベース事業別内訳!D220</f>
        <v>45000</v>
      </c>
      <c r="H27" s="819">
        <f>①ベース事業別内訳!D104</f>
        <v>125000</v>
      </c>
      <c r="I27" s="819">
        <f>①ベース事業別内訳!D78</f>
        <v>216000</v>
      </c>
      <c r="J27" s="819">
        <f>①ベース事業別内訳!D193</f>
        <v>15000</v>
      </c>
      <c r="K27" s="819">
        <f>①ベース事業別内訳!D278</f>
        <v>361000</v>
      </c>
      <c r="L27" s="819">
        <f>①ベース事業別内訳!D306</f>
        <v>164000</v>
      </c>
      <c r="M27" s="819">
        <f>①ベース事業別内訳!D135</f>
        <v>419000</v>
      </c>
      <c r="N27" s="819">
        <f>①ベース事業別内訳!D248</f>
        <v>69000</v>
      </c>
      <c r="O27" s="819">
        <f>①ベース事業別内訳!D370</f>
        <v>3000</v>
      </c>
      <c r="P27" s="819">
        <f>①ベース事業別内訳!D346</f>
        <v>281000</v>
      </c>
      <c r="Q27" s="819"/>
      <c r="R27" s="819"/>
      <c r="S27" s="808">
        <f t="shared" si="17"/>
        <v>2965000</v>
      </c>
      <c r="T27" s="256" t="s">
        <v>115</v>
      </c>
      <c r="U27" s="808">
        <f>①ベース事業別内訳!D452</f>
        <v>1254000</v>
      </c>
      <c r="V27" s="839"/>
      <c r="W27" s="808">
        <f t="shared" si="5"/>
        <v>4219000</v>
      </c>
      <c r="AA27" s="929">
        <f t="shared" si="6"/>
        <v>4219000</v>
      </c>
      <c r="AB27" s="805">
        <f t="shared" si="19"/>
        <v>351583.33333333331</v>
      </c>
      <c r="AC27" s="805">
        <f t="shared" ref="AC27:AM27" si="29">AB27</f>
        <v>351583.33333333331</v>
      </c>
      <c r="AD27" s="805">
        <f t="shared" si="29"/>
        <v>351583.33333333331</v>
      </c>
      <c r="AE27" s="805">
        <f t="shared" si="29"/>
        <v>351583.33333333331</v>
      </c>
      <c r="AF27" s="805">
        <f t="shared" si="29"/>
        <v>351583.33333333331</v>
      </c>
      <c r="AG27" s="805">
        <f t="shared" si="29"/>
        <v>351583.33333333331</v>
      </c>
      <c r="AH27" s="805">
        <f t="shared" si="29"/>
        <v>351583.33333333331</v>
      </c>
      <c r="AI27" s="805">
        <f t="shared" si="29"/>
        <v>351583.33333333331</v>
      </c>
      <c r="AJ27" s="805">
        <f t="shared" si="29"/>
        <v>351583.33333333331</v>
      </c>
      <c r="AK27" s="805">
        <f t="shared" si="29"/>
        <v>351583.33333333331</v>
      </c>
      <c r="AL27" s="805">
        <f t="shared" si="29"/>
        <v>351583.33333333331</v>
      </c>
      <c r="AM27" s="805">
        <f t="shared" si="29"/>
        <v>351583.33333333331</v>
      </c>
      <c r="AN27" s="805">
        <f t="shared" si="3"/>
        <v>4219000.0000000009</v>
      </c>
      <c r="AP27" s="1107">
        <v>4218552</v>
      </c>
      <c r="AQ27" s="1107">
        <f t="shared" si="4"/>
        <v>-448</v>
      </c>
    </row>
    <row r="28" spans="1:43" s="805" customFormat="1" ht="20.100000000000001" customHeight="1">
      <c r="A28" s="876"/>
      <c r="B28" s="819" t="s">
        <v>85</v>
      </c>
      <c r="C28" s="808">
        <f>①ベース事業別内訳!D22</f>
        <v>102000</v>
      </c>
      <c r="D28" s="819">
        <f>①ベース事業別内訳!D51</f>
        <v>269000</v>
      </c>
      <c r="E28" s="819">
        <f>①ベース事業別内訳!D395</f>
        <v>42000</v>
      </c>
      <c r="F28" s="819">
        <f>①ベース事業別内訳!D167</f>
        <v>233000</v>
      </c>
      <c r="G28" s="819">
        <f>①ベース事業別内訳!D221</f>
        <v>35000</v>
      </c>
      <c r="H28" s="819">
        <f>①ベース事業別内訳!D105</f>
        <v>214000</v>
      </c>
      <c r="I28" s="819">
        <f>①ベース事業別内訳!D79</f>
        <v>0</v>
      </c>
      <c r="J28" s="819">
        <f>①ベース事業別内訳!D194</f>
        <v>272000</v>
      </c>
      <c r="K28" s="819">
        <f>①ベース事業別内訳!D279</f>
        <v>71000</v>
      </c>
      <c r="L28" s="819">
        <f>①ベース事業別内訳!D308</f>
        <v>98000</v>
      </c>
      <c r="M28" s="819">
        <f>①ベース事業別内訳!D136</f>
        <v>57000</v>
      </c>
      <c r="N28" s="819">
        <f>①ベース事業別内訳!D249</f>
        <v>44000</v>
      </c>
      <c r="O28" s="819">
        <f>①ベース事業別内訳!D371</f>
        <v>3000</v>
      </c>
      <c r="P28" s="819">
        <f>①ベース事業別内訳!D347</f>
        <v>29000</v>
      </c>
      <c r="Q28" s="819"/>
      <c r="R28" s="819"/>
      <c r="S28" s="808">
        <f t="shared" si="17"/>
        <v>1469000</v>
      </c>
      <c r="T28" s="256" t="s">
        <v>85</v>
      </c>
      <c r="U28" s="808">
        <f>①ベース事業別内訳!D453</f>
        <v>364000</v>
      </c>
      <c r="V28" s="839"/>
      <c r="W28" s="808">
        <f t="shared" si="5"/>
        <v>1833000</v>
      </c>
      <c r="Y28" s="805">
        <f>1653214-W28</f>
        <v>-179786</v>
      </c>
      <c r="AA28" s="929">
        <f t="shared" si="6"/>
        <v>1833000</v>
      </c>
      <c r="AB28" s="805">
        <f t="shared" si="19"/>
        <v>152750</v>
      </c>
      <c r="AC28" s="805">
        <f t="shared" ref="AC28:AM28" si="30">AB28</f>
        <v>152750</v>
      </c>
      <c r="AD28" s="805">
        <f t="shared" si="30"/>
        <v>152750</v>
      </c>
      <c r="AE28" s="805">
        <f t="shared" si="30"/>
        <v>152750</v>
      </c>
      <c r="AF28" s="805">
        <f t="shared" si="30"/>
        <v>152750</v>
      </c>
      <c r="AG28" s="805">
        <f t="shared" si="30"/>
        <v>152750</v>
      </c>
      <c r="AH28" s="805">
        <f t="shared" si="30"/>
        <v>152750</v>
      </c>
      <c r="AI28" s="805">
        <f t="shared" si="30"/>
        <v>152750</v>
      </c>
      <c r="AJ28" s="805">
        <f t="shared" si="30"/>
        <v>152750</v>
      </c>
      <c r="AK28" s="805">
        <f t="shared" si="30"/>
        <v>152750</v>
      </c>
      <c r="AL28" s="805">
        <f t="shared" si="30"/>
        <v>152750</v>
      </c>
      <c r="AM28" s="805">
        <f t="shared" si="30"/>
        <v>152750</v>
      </c>
      <c r="AN28" s="805">
        <f t="shared" si="3"/>
        <v>1833000</v>
      </c>
      <c r="AP28" s="1107">
        <v>1833567</v>
      </c>
      <c r="AQ28" s="1107">
        <f t="shared" si="4"/>
        <v>567</v>
      </c>
    </row>
    <row r="29" spans="1:43" s="805" customFormat="1" ht="20.100000000000001" customHeight="1">
      <c r="A29" s="876"/>
      <c r="B29" s="819" t="s">
        <v>86</v>
      </c>
      <c r="C29" s="819">
        <f>①ベース事業別内訳!D23</f>
        <v>1026000</v>
      </c>
      <c r="D29" s="819">
        <f>①ベース事業別内訳!D52</f>
        <v>1558000</v>
      </c>
      <c r="E29" s="819">
        <f>①ベース事業別内訳!D396</f>
        <v>160000</v>
      </c>
      <c r="F29" s="819">
        <f>①ベース事業別内訳!D168</f>
        <v>190000</v>
      </c>
      <c r="G29" s="819">
        <f>①ベース事業別内訳!D222</f>
        <v>1289000</v>
      </c>
      <c r="H29" s="819">
        <f>①ベース事業別内訳!D106</f>
        <v>0</v>
      </c>
      <c r="I29" s="819">
        <f>①ベース事業別内訳!D80</f>
        <v>806000</v>
      </c>
      <c r="J29" s="819">
        <f>①ベース事業別内訳!D195</f>
        <v>8218000</v>
      </c>
      <c r="K29" s="819">
        <f>①ベース事業別内訳!D280</f>
        <v>125000</v>
      </c>
      <c r="L29" s="819">
        <f>①ベース事業別内訳!D309</f>
        <v>12000</v>
      </c>
      <c r="M29" s="819">
        <f>①ベース事業別内訳!D137</f>
        <v>159000</v>
      </c>
      <c r="N29" s="819">
        <f>①ベース事業別内訳!D250</f>
        <v>47000</v>
      </c>
      <c r="O29" s="819">
        <f>①ベース事業別内訳!D372</f>
        <v>19000</v>
      </c>
      <c r="P29" s="819">
        <f>①ベース事業別内訳!D348</f>
        <v>951000</v>
      </c>
      <c r="Q29" s="819">
        <f>①ベース事業別内訳!D326</f>
        <v>0</v>
      </c>
      <c r="R29" s="819">
        <f>①ベース事業別内訳!D425</f>
        <v>1000</v>
      </c>
      <c r="S29" s="808">
        <f t="shared" si="17"/>
        <v>14561000</v>
      </c>
      <c r="T29" s="256" t="s">
        <v>86</v>
      </c>
      <c r="U29" s="819">
        <f>①ベース事業別内訳!D454</f>
        <v>-8418000</v>
      </c>
      <c r="V29" s="839"/>
      <c r="W29" s="808">
        <f t="shared" si="5"/>
        <v>6143000</v>
      </c>
      <c r="Y29" s="805">
        <f>4783170-W29</f>
        <v>-1359830</v>
      </c>
      <c r="AA29" s="929">
        <f t="shared" si="6"/>
        <v>6143000</v>
      </c>
      <c r="AB29" s="805">
        <f t="shared" si="19"/>
        <v>511916.66666666669</v>
      </c>
      <c r="AC29" s="805">
        <f t="shared" ref="AC29:AM29" si="31">AB29</f>
        <v>511916.66666666669</v>
      </c>
      <c r="AD29" s="805">
        <f t="shared" si="31"/>
        <v>511916.66666666669</v>
      </c>
      <c r="AE29" s="805">
        <f t="shared" si="31"/>
        <v>511916.66666666669</v>
      </c>
      <c r="AF29" s="805">
        <f t="shared" si="31"/>
        <v>511916.66666666669</v>
      </c>
      <c r="AG29" s="805">
        <f t="shared" si="31"/>
        <v>511916.66666666669</v>
      </c>
      <c r="AH29" s="805">
        <f t="shared" si="31"/>
        <v>511916.66666666669</v>
      </c>
      <c r="AI29" s="805">
        <f t="shared" si="31"/>
        <v>511916.66666666669</v>
      </c>
      <c r="AJ29" s="805">
        <f t="shared" si="31"/>
        <v>511916.66666666669</v>
      </c>
      <c r="AK29" s="805">
        <f t="shared" si="31"/>
        <v>511916.66666666669</v>
      </c>
      <c r="AL29" s="805">
        <f t="shared" si="31"/>
        <v>511916.66666666669</v>
      </c>
      <c r="AM29" s="805">
        <f t="shared" si="31"/>
        <v>511916.66666666669</v>
      </c>
      <c r="AN29" s="805">
        <f t="shared" si="3"/>
        <v>6143000.0000000009</v>
      </c>
      <c r="AP29" s="1107">
        <v>6143970</v>
      </c>
      <c r="AQ29" s="1107">
        <f t="shared" si="4"/>
        <v>970</v>
      </c>
    </row>
    <row r="30" spans="1:43" s="805" customFormat="1" ht="20.100000000000001" customHeight="1">
      <c r="A30" s="876"/>
      <c r="B30" s="819" t="s">
        <v>97</v>
      </c>
      <c r="C30" s="808">
        <f>①ベース事業別内訳!D24</f>
        <v>8000</v>
      </c>
      <c r="D30" s="808">
        <f>①ベース事業別内訳!D53</f>
        <v>0</v>
      </c>
      <c r="E30" s="819">
        <f>①ベース事業別内訳!D397</f>
        <v>6000</v>
      </c>
      <c r="F30" s="808">
        <f>①ベース事業別内訳!D169</f>
        <v>13000</v>
      </c>
      <c r="G30" s="808">
        <f>①ベース事業別内訳!D223</f>
        <v>0</v>
      </c>
      <c r="H30" s="808">
        <f>①ベース事業別内訳!D107</f>
        <v>0</v>
      </c>
      <c r="I30" s="808">
        <f>①ベース事業別内訳!D81</f>
        <v>0</v>
      </c>
      <c r="J30" s="808">
        <f>①ベース事業別内訳!D196</f>
        <v>6000</v>
      </c>
      <c r="K30" s="808">
        <f>①ベース事業別内訳!D281</f>
        <v>14000</v>
      </c>
      <c r="L30" s="808">
        <f>①ベース事業別内訳!D310</f>
        <v>13000</v>
      </c>
      <c r="M30" s="808">
        <f>①ベース事業別内訳!D138</f>
        <v>5000</v>
      </c>
      <c r="N30" s="808">
        <f>①ベース事業別内訳!D251</f>
        <v>0</v>
      </c>
      <c r="O30" s="808"/>
      <c r="P30" s="808">
        <f>①ベース事業別内訳!D349</f>
        <v>0</v>
      </c>
      <c r="Q30" s="808"/>
      <c r="R30" s="808"/>
      <c r="S30" s="808">
        <f>SUM(C30:R30)</f>
        <v>65000</v>
      </c>
      <c r="T30" s="256" t="s">
        <v>97</v>
      </c>
      <c r="U30" s="808">
        <f>①ベース事業別内訳!D456</f>
        <v>66000</v>
      </c>
      <c r="V30" s="839"/>
      <c r="W30" s="808">
        <f t="shared" si="5"/>
        <v>131000</v>
      </c>
      <c r="AA30" s="929">
        <f t="shared" si="6"/>
        <v>131000</v>
      </c>
      <c r="AB30" s="805">
        <f t="shared" si="19"/>
        <v>10916.666666666666</v>
      </c>
      <c r="AC30" s="805">
        <f t="shared" ref="AC30:AM30" si="32">AB30</f>
        <v>10916.666666666666</v>
      </c>
      <c r="AD30" s="805">
        <f t="shared" si="32"/>
        <v>10916.666666666666</v>
      </c>
      <c r="AE30" s="805">
        <f t="shared" si="32"/>
        <v>10916.666666666666</v>
      </c>
      <c r="AF30" s="805">
        <f t="shared" si="32"/>
        <v>10916.666666666666</v>
      </c>
      <c r="AG30" s="805">
        <f t="shared" si="32"/>
        <v>10916.666666666666</v>
      </c>
      <c r="AH30" s="805">
        <f t="shared" si="32"/>
        <v>10916.666666666666</v>
      </c>
      <c r="AI30" s="805">
        <f t="shared" si="32"/>
        <v>10916.666666666666</v>
      </c>
      <c r="AJ30" s="805">
        <f t="shared" si="32"/>
        <v>10916.666666666666</v>
      </c>
      <c r="AK30" s="805">
        <f t="shared" si="32"/>
        <v>10916.666666666666</v>
      </c>
      <c r="AL30" s="805">
        <f t="shared" si="32"/>
        <v>10916.666666666666</v>
      </c>
      <c r="AM30" s="805">
        <f t="shared" si="32"/>
        <v>10916.666666666666</v>
      </c>
      <c r="AN30" s="805">
        <f t="shared" si="3"/>
        <v>131000.00000000001</v>
      </c>
      <c r="AP30" s="1107">
        <v>131120</v>
      </c>
      <c r="AQ30" s="1107">
        <f t="shared" si="4"/>
        <v>120</v>
      </c>
    </row>
    <row r="31" spans="1:43" s="805" customFormat="1" ht="20.100000000000001" customHeight="1">
      <c r="A31" s="876"/>
      <c r="B31" s="819"/>
      <c r="C31" s="808"/>
      <c r="D31" s="808"/>
      <c r="E31" s="819"/>
      <c r="F31" s="808"/>
      <c r="G31" s="808"/>
      <c r="H31" s="808"/>
      <c r="I31" s="808"/>
      <c r="J31" s="808"/>
      <c r="K31" s="808"/>
      <c r="L31" s="808"/>
      <c r="M31" s="808"/>
      <c r="N31" s="808"/>
      <c r="O31" s="808"/>
      <c r="P31" s="808"/>
      <c r="Q31" s="808"/>
      <c r="R31" s="808"/>
      <c r="S31" s="808"/>
      <c r="T31" s="256" t="s">
        <v>570</v>
      </c>
      <c r="U31" s="808">
        <f>①ベース事業別内訳!D457</f>
        <v>6000</v>
      </c>
      <c r="V31" s="839"/>
      <c r="W31" s="808">
        <f t="shared" si="5"/>
        <v>6000</v>
      </c>
      <c r="AA31" s="929">
        <f t="shared" si="6"/>
        <v>6000</v>
      </c>
      <c r="AB31" s="805">
        <f t="shared" si="19"/>
        <v>500</v>
      </c>
      <c r="AC31" s="805">
        <f t="shared" ref="AC31:AM31" si="33">AB31</f>
        <v>500</v>
      </c>
      <c r="AD31" s="805">
        <f t="shared" si="33"/>
        <v>500</v>
      </c>
      <c r="AE31" s="805">
        <f t="shared" si="33"/>
        <v>500</v>
      </c>
      <c r="AF31" s="805">
        <f t="shared" si="33"/>
        <v>500</v>
      </c>
      <c r="AG31" s="805">
        <f t="shared" si="33"/>
        <v>500</v>
      </c>
      <c r="AH31" s="805">
        <f t="shared" si="33"/>
        <v>500</v>
      </c>
      <c r="AI31" s="805">
        <f t="shared" si="33"/>
        <v>500</v>
      </c>
      <c r="AJ31" s="805">
        <f t="shared" si="33"/>
        <v>500</v>
      </c>
      <c r="AK31" s="805">
        <f t="shared" si="33"/>
        <v>500</v>
      </c>
      <c r="AL31" s="805">
        <f t="shared" si="33"/>
        <v>500</v>
      </c>
      <c r="AM31" s="805">
        <f t="shared" si="33"/>
        <v>500</v>
      </c>
      <c r="AN31" s="805">
        <f t="shared" si="3"/>
        <v>6000</v>
      </c>
      <c r="AP31" s="1107">
        <v>6000</v>
      </c>
      <c r="AQ31" s="1107">
        <f t="shared" si="4"/>
        <v>0</v>
      </c>
    </row>
    <row r="32" spans="1:43" s="805" customFormat="1" ht="20.100000000000001" customHeight="1">
      <c r="A32" s="876"/>
      <c r="B32" s="819" t="s">
        <v>87</v>
      </c>
      <c r="C32" s="808">
        <f>①ベース事業別内訳!D25</f>
        <v>7000</v>
      </c>
      <c r="D32" s="808">
        <f>①ベース事業別内訳!D54</f>
        <v>7000</v>
      </c>
      <c r="E32" s="808">
        <f>①ベース事業別内訳!D398</f>
        <v>7000</v>
      </c>
      <c r="F32" s="808">
        <f>①ベース事業別内訳!D170</f>
        <v>28000</v>
      </c>
      <c r="G32" s="808">
        <f>①ベース事業別内訳!D224</f>
        <v>0</v>
      </c>
      <c r="H32" s="808">
        <f>①ベース事業別内訳!D108</f>
        <v>6000</v>
      </c>
      <c r="I32" s="808">
        <f>①ベース事業別内訳!D82</f>
        <v>6000</v>
      </c>
      <c r="J32" s="808">
        <f>①ベース事業別内訳!D197</f>
        <v>0</v>
      </c>
      <c r="K32" s="808">
        <f>①ベース事業別内訳!D282</f>
        <v>5000</v>
      </c>
      <c r="L32" s="808">
        <f>①ベース事業別内訳!D311</f>
        <v>10000</v>
      </c>
      <c r="M32" s="808">
        <f>①ベース事業別内訳!D139</f>
        <v>9000</v>
      </c>
      <c r="N32" s="808">
        <f>①ベース事業別内訳!D252</f>
        <v>0</v>
      </c>
      <c r="O32" s="808">
        <f>①ベース事業別内訳!D373</f>
        <v>6000</v>
      </c>
      <c r="P32" s="808">
        <f>①ベース事業別内訳!D350</f>
        <v>63000</v>
      </c>
      <c r="Q32" s="808">
        <f>①ベース事業別内訳!D327</f>
        <v>0</v>
      </c>
      <c r="R32" s="808"/>
      <c r="S32" s="840">
        <f t="shared" ref="S32:S38" si="34">SUM(C32:R32)</f>
        <v>154000</v>
      </c>
      <c r="T32" s="256" t="s">
        <v>87</v>
      </c>
      <c r="U32" s="808">
        <f>①ベース事業別内訳!D458</f>
        <v>478000</v>
      </c>
      <c r="V32" s="839"/>
      <c r="W32" s="808">
        <f t="shared" si="5"/>
        <v>632000</v>
      </c>
      <c r="Y32" s="805">
        <f>515250-W32</f>
        <v>-116750</v>
      </c>
      <c r="AA32" s="929">
        <f t="shared" si="6"/>
        <v>632000</v>
      </c>
      <c r="AB32" s="805">
        <f t="shared" si="19"/>
        <v>52666.666666666664</v>
      </c>
      <c r="AC32" s="805">
        <f t="shared" ref="AC32:AM32" si="35">AB32</f>
        <v>52666.666666666664</v>
      </c>
      <c r="AD32" s="805">
        <f t="shared" si="35"/>
        <v>52666.666666666664</v>
      </c>
      <c r="AE32" s="805">
        <f t="shared" si="35"/>
        <v>52666.666666666664</v>
      </c>
      <c r="AF32" s="805">
        <f t="shared" si="35"/>
        <v>52666.666666666664</v>
      </c>
      <c r="AG32" s="805">
        <f t="shared" si="35"/>
        <v>52666.666666666664</v>
      </c>
      <c r="AH32" s="805">
        <f t="shared" si="35"/>
        <v>52666.666666666664</v>
      </c>
      <c r="AI32" s="805">
        <f t="shared" si="35"/>
        <v>52666.666666666664</v>
      </c>
      <c r="AJ32" s="805">
        <f t="shared" si="35"/>
        <v>52666.666666666664</v>
      </c>
      <c r="AK32" s="805">
        <f t="shared" si="35"/>
        <v>52666.666666666664</v>
      </c>
      <c r="AL32" s="805">
        <f t="shared" si="35"/>
        <v>52666.666666666664</v>
      </c>
      <c r="AM32" s="805">
        <f t="shared" si="35"/>
        <v>52666.666666666664</v>
      </c>
      <c r="AN32" s="805">
        <f t="shared" si="3"/>
        <v>632000</v>
      </c>
      <c r="AP32" s="1107">
        <v>629682</v>
      </c>
      <c r="AQ32" s="1107">
        <f t="shared" si="4"/>
        <v>-2318</v>
      </c>
    </row>
    <row r="33" spans="1:43" s="805" customFormat="1" ht="20.100000000000001" customHeight="1">
      <c r="A33" s="876"/>
      <c r="B33" s="819" t="s">
        <v>161</v>
      </c>
      <c r="C33" s="808">
        <f>①ベース事業別内訳!D26</f>
        <v>0</v>
      </c>
      <c r="D33" s="808">
        <f>①ベース事業別内訳!D55</f>
        <v>0</v>
      </c>
      <c r="E33" s="808">
        <f>①ベース事業別内訳!D399</f>
        <v>0</v>
      </c>
      <c r="F33" s="808">
        <f>①ベース事業別内訳!D171</f>
        <v>0</v>
      </c>
      <c r="G33" s="808">
        <f>①ベース事業別内訳!D225</f>
        <v>0</v>
      </c>
      <c r="H33" s="808">
        <f>①ベース事業別内訳!D109</f>
        <v>0</v>
      </c>
      <c r="I33" s="808">
        <f>①ベース事業別内訳!D83</f>
        <v>0</v>
      </c>
      <c r="J33" s="808">
        <f>①ベース事業別内訳!D198</f>
        <v>0</v>
      </c>
      <c r="K33" s="808">
        <f>①ベース事業別内訳!D283</f>
        <v>0</v>
      </c>
      <c r="L33" s="808">
        <f>①ベース事業別内訳!D312</f>
        <v>0</v>
      </c>
      <c r="M33" s="808">
        <f>①ベース事業別内訳!D140</f>
        <v>0</v>
      </c>
      <c r="N33" s="808">
        <f>①ベース事業別内訳!D253</f>
        <v>0</v>
      </c>
      <c r="O33" s="808"/>
      <c r="P33" s="808">
        <f>①ベース事業別内訳!D351</f>
        <v>0</v>
      </c>
      <c r="Q33" s="808"/>
      <c r="R33" s="808"/>
      <c r="S33" s="840">
        <f t="shared" si="34"/>
        <v>0</v>
      </c>
      <c r="T33" s="256" t="s">
        <v>161</v>
      </c>
      <c r="U33" s="808">
        <f>①ベース事業別内訳!D459</f>
        <v>0</v>
      </c>
      <c r="V33" s="839"/>
      <c r="W33" s="808">
        <f t="shared" si="5"/>
        <v>0</v>
      </c>
      <c r="AA33" s="929">
        <f t="shared" si="6"/>
        <v>0</v>
      </c>
      <c r="AB33" s="805">
        <f t="shared" si="19"/>
        <v>0</v>
      </c>
      <c r="AC33" s="805">
        <f t="shared" ref="AC33:AM33" si="36">AB33</f>
        <v>0</v>
      </c>
      <c r="AD33" s="805">
        <f t="shared" si="36"/>
        <v>0</v>
      </c>
      <c r="AE33" s="805">
        <f t="shared" si="36"/>
        <v>0</v>
      </c>
      <c r="AF33" s="805">
        <f t="shared" si="36"/>
        <v>0</v>
      </c>
      <c r="AG33" s="805">
        <f t="shared" si="36"/>
        <v>0</v>
      </c>
      <c r="AH33" s="805">
        <f t="shared" si="36"/>
        <v>0</v>
      </c>
      <c r="AI33" s="805">
        <f t="shared" si="36"/>
        <v>0</v>
      </c>
      <c r="AJ33" s="805">
        <f t="shared" si="36"/>
        <v>0</v>
      </c>
      <c r="AK33" s="805">
        <f t="shared" si="36"/>
        <v>0</v>
      </c>
      <c r="AL33" s="805">
        <f t="shared" si="36"/>
        <v>0</v>
      </c>
      <c r="AM33" s="805">
        <f t="shared" si="36"/>
        <v>0</v>
      </c>
      <c r="AN33" s="805">
        <f t="shared" si="3"/>
        <v>0</v>
      </c>
      <c r="AP33" s="1107"/>
      <c r="AQ33" s="1107">
        <f t="shared" si="4"/>
        <v>0</v>
      </c>
    </row>
    <row r="34" spans="1:43" s="805" customFormat="1" ht="20.100000000000001" customHeight="1">
      <c r="A34" s="876"/>
      <c r="B34" s="819" t="s">
        <v>88</v>
      </c>
      <c r="C34" s="808">
        <f>①ベース事業別内訳!D27</f>
        <v>216000</v>
      </c>
      <c r="D34" s="808">
        <f>①ベース事業別内訳!D56</f>
        <v>927000</v>
      </c>
      <c r="E34" s="808">
        <f>①ベース事業別内訳!D400</f>
        <v>0</v>
      </c>
      <c r="F34" s="808">
        <f>①ベース事業別内訳!D172</f>
        <v>741000</v>
      </c>
      <c r="G34" s="808">
        <f>①ベース事業別内訳!D226</f>
        <v>0</v>
      </c>
      <c r="H34" s="808">
        <f>①ベース事業別内訳!D110</f>
        <v>280000</v>
      </c>
      <c r="I34" s="808">
        <f>①ベース事業別内訳!D84</f>
        <v>134000</v>
      </c>
      <c r="J34" s="808">
        <f>①ベース事業別内訳!D199</f>
        <v>24000</v>
      </c>
      <c r="K34" s="808">
        <f>①ベース事業別内訳!D284</f>
        <v>0</v>
      </c>
      <c r="L34" s="808">
        <f>①ベース事業別内訳!D313</f>
        <v>0</v>
      </c>
      <c r="M34" s="808">
        <f>①ベース事業別内訳!D141</f>
        <v>290000</v>
      </c>
      <c r="N34" s="808">
        <f>①ベース事業別内訳!D254</f>
        <v>219000</v>
      </c>
      <c r="O34" s="808">
        <f>①ベース事業別内訳!D375</f>
        <v>0</v>
      </c>
      <c r="P34" s="808">
        <f>①ベース事業別内訳!D352</f>
        <v>30000</v>
      </c>
      <c r="Q34" s="808"/>
      <c r="R34" s="808"/>
      <c r="S34" s="840">
        <f t="shared" si="34"/>
        <v>2861000</v>
      </c>
      <c r="T34" s="256" t="s">
        <v>88</v>
      </c>
      <c r="U34" s="808">
        <f>①ベース事業別内訳!D460</f>
        <v>200000</v>
      </c>
      <c r="V34" s="839"/>
      <c r="W34" s="808">
        <f t="shared" si="5"/>
        <v>3061000</v>
      </c>
      <c r="Y34" s="805">
        <f>2477654-W34</f>
        <v>-583346</v>
      </c>
      <c r="AA34" s="929">
        <f t="shared" si="6"/>
        <v>3061000</v>
      </c>
      <c r="AB34" s="805">
        <f t="shared" si="19"/>
        <v>255083.33333333334</v>
      </c>
      <c r="AC34" s="805">
        <f t="shared" ref="AC34:AM34" si="37">AB34</f>
        <v>255083.33333333334</v>
      </c>
      <c r="AD34" s="805">
        <f t="shared" si="37"/>
        <v>255083.33333333334</v>
      </c>
      <c r="AE34" s="805">
        <f t="shared" si="37"/>
        <v>255083.33333333334</v>
      </c>
      <c r="AF34" s="805">
        <f t="shared" si="37"/>
        <v>255083.33333333334</v>
      </c>
      <c r="AG34" s="805">
        <f t="shared" si="37"/>
        <v>255083.33333333334</v>
      </c>
      <c r="AH34" s="805">
        <f t="shared" si="37"/>
        <v>255083.33333333334</v>
      </c>
      <c r="AI34" s="805">
        <f t="shared" si="37"/>
        <v>255083.33333333334</v>
      </c>
      <c r="AJ34" s="805">
        <f t="shared" si="37"/>
        <v>255083.33333333334</v>
      </c>
      <c r="AK34" s="805">
        <f t="shared" si="37"/>
        <v>255083.33333333334</v>
      </c>
      <c r="AL34" s="805">
        <f t="shared" si="37"/>
        <v>255083.33333333334</v>
      </c>
      <c r="AM34" s="805">
        <f t="shared" si="37"/>
        <v>255083.33333333334</v>
      </c>
      <c r="AN34" s="805">
        <f t="shared" si="3"/>
        <v>3061000.0000000005</v>
      </c>
      <c r="AP34" s="1107">
        <v>3061682</v>
      </c>
      <c r="AQ34" s="1107">
        <f t="shared" si="4"/>
        <v>682</v>
      </c>
    </row>
    <row r="35" spans="1:43" s="805" customFormat="1" ht="20.100000000000001" customHeight="1">
      <c r="A35" s="876"/>
      <c r="B35" s="819" t="s">
        <v>125</v>
      </c>
      <c r="C35" s="808">
        <f>①ベース事業別内訳!D28</f>
        <v>0</v>
      </c>
      <c r="D35" s="808">
        <f>①ベース事業別内訳!D57</f>
        <v>5000</v>
      </c>
      <c r="E35" s="808">
        <f>①ベース事業別内訳!D401</f>
        <v>0</v>
      </c>
      <c r="F35" s="808">
        <f>①ベース事業別内訳!D173</f>
        <v>3000</v>
      </c>
      <c r="G35" s="808">
        <f>①ベース事業別内訳!D227</f>
        <v>0</v>
      </c>
      <c r="H35" s="808">
        <f>①ベース事業別内訳!D111</f>
        <v>0</v>
      </c>
      <c r="I35" s="808">
        <f>①ベース事業別内訳!D85</f>
        <v>0</v>
      </c>
      <c r="J35" s="808">
        <f>①ベース事業別内訳!D200</f>
        <v>0</v>
      </c>
      <c r="K35" s="808">
        <f>①ベース事業別内訳!D285</f>
        <v>0</v>
      </c>
      <c r="L35" s="808">
        <f>①ベース事業別内訳!D314</f>
        <v>0</v>
      </c>
      <c r="M35" s="808">
        <f>①ベース事業別内訳!D142</f>
        <v>0</v>
      </c>
      <c r="N35" s="808">
        <f>①ベース事業別内訳!D255</f>
        <v>0</v>
      </c>
      <c r="O35" s="808"/>
      <c r="P35" s="808">
        <f>①ベース事業別内訳!D353</f>
        <v>0</v>
      </c>
      <c r="Q35" s="808"/>
      <c r="R35" s="808"/>
      <c r="S35" s="840">
        <f t="shared" si="34"/>
        <v>8000</v>
      </c>
      <c r="T35" s="256" t="s">
        <v>125</v>
      </c>
      <c r="U35" s="808">
        <f>①ベース事業別内訳!D461</f>
        <v>58000</v>
      </c>
      <c r="V35" s="839"/>
      <c r="W35" s="808">
        <f t="shared" si="5"/>
        <v>66000</v>
      </c>
      <c r="AA35" s="929">
        <f t="shared" si="6"/>
        <v>66000</v>
      </c>
      <c r="AB35" s="805">
        <f t="shared" si="19"/>
        <v>5500</v>
      </c>
      <c r="AC35" s="805">
        <f t="shared" ref="AC35:AM35" si="38">AB35</f>
        <v>5500</v>
      </c>
      <c r="AD35" s="805">
        <f t="shared" si="38"/>
        <v>5500</v>
      </c>
      <c r="AE35" s="805">
        <f t="shared" si="38"/>
        <v>5500</v>
      </c>
      <c r="AF35" s="805">
        <f t="shared" si="38"/>
        <v>5500</v>
      </c>
      <c r="AG35" s="805">
        <f t="shared" si="38"/>
        <v>5500</v>
      </c>
      <c r="AH35" s="805">
        <f t="shared" si="38"/>
        <v>5500</v>
      </c>
      <c r="AI35" s="805">
        <f t="shared" si="38"/>
        <v>5500</v>
      </c>
      <c r="AJ35" s="805">
        <f t="shared" si="38"/>
        <v>5500</v>
      </c>
      <c r="AK35" s="805">
        <f t="shared" si="38"/>
        <v>5500</v>
      </c>
      <c r="AL35" s="805">
        <f t="shared" si="38"/>
        <v>5500</v>
      </c>
      <c r="AM35" s="805">
        <f t="shared" si="38"/>
        <v>5500</v>
      </c>
      <c r="AN35" s="805">
        <f t="shared" si="3"/>
        <v>66000</v>
      </c>
      <c r="AP35" s="1107">
        <v>65656</v>
      </c>
      <c r="AQ35" s="1107">
        <f t="shared" si="4"/>
        <v>-344</v>
      </c>
    </row>
    <row r="36" spans="1:43" s="805" customFormat="1" ht="20.100000000000001" customHeight="1">
      <c r="A36" s="876"/>
      <c r="B36" s="819" t="s">
        <v>105</v>
      </c>
      <c r="C36" s="808">
        <f>①ベース事業別内訳!D29</f>
        <v>0</v>
      </c>
      <c r="D36" s="808">
        <f>①ベース事業別内訳!D58</f>
        <v>659000</v>
      </c>
      <c r="E36" s="808">
        <f>①ベース事業別内訳!D402</f>
        <v>0</v>
      </c>
      <c r="F36" s="808">
        <f>①ベース事業別内訳!D174</f>
        <v>0</v>
      </c>
      <c r="G36" s="808">
        <f>①ベース事業別内訳!D228</f>
        <v>0</v>
      </c>
      <c r="H36" s="808">
        <f>①ベース事業別内訳!D112</f>
        <v>0</v>
      </c>
      <c r="I36" s="808">
        <f>①ベース事業別内訳!D86</f>
        <v>0</v>
      </c>
      <c r="J36" s="808">
        <f>①ベース事業別内訳!D201</f>
        <v>0</v>
      </c>
      <c r="K36" s="808">
        <f>①ベース事業別内訳!D286</f>
        <v>0</v>
      </c>
      <c r="L36" s="808">
        <f>①ベース事業別内訳!D315</f>
        <v>0</v>
      </c>
      <c r="M36" s="808">
        <f>①ベース事業別内訳!D143</f>
        <v>0</v>
      </c>
      <c r="N36" s="808">
        <f>①ベース事業別内訳!D256</f>
        <v>0</v>
      </c>
      <c r="O36" s="808"/>
      <c r="P36" s="808">
        <f>①ベース事業別内訳!D354</f>
        <v>0</v>
      </c>
      <c r="Q36" s="808">
        <f>①ベース事業別内訳!D328</f>
        <v>115000</v>
      </c>
      <c r="R36" s="840"/>
      <c r="S36" s="840">
        <f t="shared" si="34"/>
        <v>774000</v>
      </c>
      <c r="T36" s="256" t="s">
        <v>105</v>
      </c>
      <c r="U36" s="808">
        <f>①ベース事業別内訳!D462</f>
        <v>73000</v>
      </c>
      <c r="V36" s="839"/>
      <c r="W36" s="808">
        <f t="shared" si="5"/>
        <v>847000</v>
      </c>
      <c r="Y36" s="805">
        <f>474935-W36</f>
        <v>-372065</v>
      </c>
      <c r="AA36" s="929">
        <f t="shared" si="6"/>
        <v>847000</v>
      </c>
      <c r="AB36" s="805">
        <f t="shared" si="19"/>
        <v>70583.333333333328</v>
      </c>
      <c r="AC36" s="805">
        <f t="shared" ref="AC36:AM36" si="39">AB36</f>
        <v>70583.333333333328</v>
      </c>
      <c r="AD36" s="805">
        <f t="shared" si="39"/>
        <v>70583.333333333328</v>
      </c>
      <c r="AE36" s="805">
        <f t="shared" si="39"/>
        <v>70583.333333333328</v>
      </c>
      <c r="AF36" s="805">
        <f t="shared" si="39"/>
        <v>70583.333333333328</v>
      </c>
      <c r="AG36" s="805">
        <f t="shared" si="39"/>
        <v>70583.333333333328</v>
      </c>
      <c r="AH36" s="805">
        <f t="shared" si="39"/>
        <v>70583.333333333328</v>
      </c>
      <c r="AI36" s="805">
        <f t="shared" si="39"/>
        <v>70583.333333333328</v>
      </c>
      <c r="AJ36" s="805">
        <f t="shared" si="39"/>
        <v>70583.333333333328</v>
      </c>
      <c r="AK36" s="805">
        <f t="shared" si="39"/>
        <v>70583.333333333328</v>
      </c>
      <c r="AL36" s="805">
        <f t="shared" si="39"/>
        <v>70583.333333333328</v>
      </c>
      <c r="AM36" s="805">
        <f t="shared" si="39"/>
        <v>70583.333333333328</v>
      </c>
      <c r="AN36" s="805">
        <f t="shared" si="3"/>
        <v>847000.00000000012</v>
      </c>
      <c r="AP36" s="1107">
        <v>847282</v>
      </c>
      <c r="AQ36" s="1107">
        <f t="shared" si="4"/>
        <v>282</v>
      </c>
    </row>
    <row r="37" spans="1:43" s="805" customFormat="1" ht="20.100000000000001" customHeight="1">
      <c r="A37" s="876"/>
      <c r="B37" s="819" t="s">
        <v>572</v>
      </c>
      <c r="C37" s="808"/>
      <c r="D37" s="808"/>
      <c r="E37" s="808"/>
      <c r="F37" s="808">
        <f>①ベース事業別内訳!D175</f>
        <v>600000</v>
      </c>
      <c r="G37" s="808"/>
      <c r="H37" s="808"/>
      <c r="I37" s="808"/>
      <c r="J37" s="808"/>
      <c r="K37" s="808">
        <f>①ベース事業別内訳!D287</f>
        <v>600000</v>
      </c>
      <c r="L37" s="808"/>
      <c r="M37" s="808"/>
      <c r="N37" s="808"/>
      <c r="O37" s="808"/>
      <c r="P37" s="808"/>
      <c r="Q37" s="808"/>
      <c r="R37" s="840"/>
      <c r="S37" s="840">
        <f t="shared" si="34"/>
        <v>1200000</v>
      </c>
      <c r="T37" s="256" t="s">
        <v>677</v>
      </c>
      <c r="U37" s="808">
        <f>①ベース事業別内訳!D463</f>
        <v>-1200000</v>
      </c>
      <c r="V37" s="1002"/>
      <c r="W37" s="808">
        <f t="shared" si="5"/>
        <v>0</v>
      </c>
      <c r="AA37" s="929">
        <f t="shared" si="6"/>
        <v>0</v>
      </c>
      <c r="AB37" s="805">
        <f t="shared" si="19"/>
        <v>0</v>
      </c>
      <c r="AC37" s="805">
        <f t="shared" ref="AC37:AM37" si="40">AB37</f>
        <v>0</v>
      </c>
      <c r="AD37" s="805">
        <f t="shared" si="40"/>
        <v>0</v>
      </c>
      <c r="AE37" s="805">
        <f t="shared" si="40"/>
        <v>0</v>
      </c>
      <c r="AF37" s="805">
        <f t="shared" si="40"/>
        <v>0</v>
      </c>
      <c r="AG37" s="805">
        <f t="shared" si="40"/>
        <v>0</v>
      </c>
      <c r="AH37" s="805">
        <f t="shared" si="40"/>
        <v>0</v>
      </c>
      <c r="AI37" s="805">
        <f t="shared" si="40"/>
        <v>0</v>
      </c>
      <c r="AJ37" s="805">
        <f t="shared" si="40"/>
        <v>0</v>
      </c>
      <c r="AK37" s="805">
        <f t="shared" si="40"/>
        <v>0</v>
      </c>
      <c r="AL37" s="805">
        <f t="shared" si="40"/>
        <v>0</v>
      </c>
      <c r="AM37" s="805">
        <f t="shared" si="40"/>
        <v>0</v>
      </c>
      <c r="AN37" s="805">
        <f t="shared" si="3"/>
        <v>0</v>
      </c>
      <c r="AP37" s="1107"/>
      <c r="AQ37" s="1107">
        <f t="shared" si="4"/>
        <v>0</v>
      </c>
    </row>
    <row r="38" spans="1:43" s="805" customFormat="1" ht="20.100000000000001" customHeight="1">
      <c r="A38" s="876"/>
      <c r="B38" s="819" t="s">
        <v>511</v>
      </c>
      <c r="C38" s="808">
        <f>①ベース事業別内訳!D31</f>
        <v>0</v>
      </c>
      <c r="D38" s="808">
        <f>①ベース事業別内訳!D60</f>
        <v>0</v>
      </c>
      <c r="E38" s="808"/>
      <c r="F38" s="808">
        <f>①ベース事業別内訳!D176</f>
        <v>0</v>
      </c>
      <c r="G38" s="808">
        <f>①ベース事業別内訳!D230</f>
        <v>0</v>
      </c>
      <c r="H38" s="840">
        <f>①ベース事業別内訳!D114</f>
        <v>0</v>
      </c>
      <c r="I38" s="808">
        <f>①ベース事業別内訳!D88</f>
        <v>0</v>
      </c>
      <c r="J38" s="808">
        <f>①ベース事業別内訳!D203</f>
        <v>0</v>
      </c>
      <c r="L38" s="808">
        <f>①ベース事業別内訳!D317</f>
        <v>0</v>
      </c>
      <c r="M38" s="808">
        <f>①ベース事業別内訳!D145</f>
        <v>0</v>
      </c>
      <c r="N38" s="808">
        <f>①ベース事業別内訳!D258</f>
        <v>0</v>
      </c>
      <c r="O38" s="808"/>
      <c r="P38" s="808">
        <f>①ベース事業別内訳!D356</f>
        <v>0</v>
      </c>
      <c r="Q38" s="808"/>
      <c r="R38" s="808"/>
      <c r="S38" s="840">
        <f t="shared" si="34"/>
        <v>0</v>
      </c>
      <c r="T38" s="254" t="s">
        <v>566</v>
      </c>
      <c r="U38" s="808">
        <f>①ベース事業別内訳!D464</f>
        <v>0</v>
      </c>
      <c r="V38" s="1002"/>
      <c r="W38" s="808">
        <f t="shared" si="5"/>
        <v>0</v>
      </c>
      <c r="AA38" s="929">
        <f t="shared" si="6"/>
        <v>0</v>
      </c>
      <c r="AB38" s="805">
        <f t="shared" si="19"/>
        <v>0</v>
      </c>
      <c r="AC38" s="805">
        <f t="shared" ref="AC38:AM38" si="41">AB38</f>
        <v>0</v>
      </c>
      <c r="AD38" s="805">
        <f t="shared" si="41"/>
        <v>0</v>
      </c>
      <c r="AE38" s="805">
        <f t="shared" si="41"/>
        <v>0</v>
      </c>
      <c r="AF38" s="805">
        <f t="shared" si="41"/>
        <v>0</v>
      </c>
      <c r="AG38" s="805">
        <f t="shared" si="41"/>
        <v>0</v>
      </c>
      <c r="AH38" s="805">
        <f t="shared" si="41"/>
        <v>0</v>
      </c>
      <c r="AI38" s="805">
        <f t="shared" si="41"/>
        <v>0</v>
      </c>
      <c r="AJ38" s="805">
        <f t="shared" si="41"/>
        <v>0</v>
      </c>
      <c r="AK38" s="805">
        <f t="shared" si="41"/>
        <v>0</v>
      </c>
      <c r="AL38" s="805">
        <f t="shared" si="41"/>
        <v>0</v>
      </c>
      <c r="AM38" s="805">
        <f t="shared" si="41"/>
        <v>0</v>
      </c>
      <c r="AN38" s="805">
        <f t="shared" si="3"/>
        <v>0</v>
      </c>
      <c r="AP38" s="1107"/>
      <c r="AQ38" s="1107">
        <f t="shared" si="4"/>
        <v>0</v>
      </c>
    </row>
    <row r="39" spans="1:43" s="805" customFormat="1" ht="20.100000000000001" customHeight="1">
      <c r="A39" s="876"/>
      <c r="B39" s="819" t="s">
        <v>89</v>
      </c>
      <c r="C39" s="808">
        <f>①ベース事業別内訳!D30</f>
        <v>0</v>
      </c>
      <c r="D39" s="808">
        <f>①ベース事業別内訳!D59</f>
        <v>0</v>
      </c>
      <c r="E39" s="808">
        <f>①ベース事業別内訳!D403</f>
        <v>1152000</v>
      </c>
      <c r="G39" s="808">
        <f>①ベース事業別内訳!D229</f>
        <v>0</v>
      </c>
      <c r="H39" s="808">
        <f>①ベース事業別内訳!D113</f>
        <v>72000</v>
      </c>
      <c r="I39" s="808">
        <f>①ベース事業別内訳!D87</f>
        <v>1814000</v>
      </c>
      <c r="J39" s="808">
        <f>①ベース事業別内訳!D202</f>
        <v>9120000</v>
      </c>
      <c r="K39" s="808">
        <f>①ベース事業別内訳!D288</f>
        <v>115000</v>
      </c>
      <c r="L39" s="808">
        <f>①ベース事業別内訳!D316</f>
        <v>750000</v>
      </c>
      <c r="M39" s="808">
        <f>①ベース事業別内訳!D144</f>
        <v>0</v>
      </c>
      <c r="N39" s="808">
        <f>①ベース事業別内訳!D257</f>
        <v>0</v>
      </c>
      <c r="O39" s="808"/>
      <c r="P39" s="808">
        <f>①ベース事業別内訳!D355</f>
        <v>0</v>
      </c>
      <c r="Q39" s="808"/>
      <c r="R39" s="840"/>
      <c r="S39" s="840">
        <f>SUM(C39:R39)</f>
        <v>13023000</v>
      </c>
      <c r="T39" s="814" t="s">
        <v>518</v>
      </c>
      <c r="U39" s="808">
        <f>①ベース事業別内訳!D465</f>
        <v>2040000</v>
      </c>
      <c r="V39" s="1002"/>
      <c r="W39" s="808">
        <f t="shared" si="5"/>
        <v>15063000</v>
      </c>
      <c r="AA39" s="929">
        <f t="shared" si="6"/>
        <v>15063000</v>
      </c>
      <c r="AB39" s="805">
        <f t="shared" si="19"/>
        <v>1255250</v>
      </c>
      <c r="AC39" s="805">
        <f t="shared" ref="AC39:AM39" si="42">AB39</f>
        <v>1255250</v>
      </c>
      <c r="AD39" s="805">
        <f t="shared" si="42"/>
        <v>1255250</v>
      </c>
      <c r="AE39" s="805">
        <f t="shared" si="42"/>
        <v>1255250</v>
      </c>
      <c r="AF39" s="805">
        <f t="shared" si="42"/>
        <v>1255250</v>
      </c>
      <c r="AG39" s="805">
        <f t="shared" si="42"/>
        <v>1255250</v>
      </c>
      <c r="AH39" s="805">
        <f t="shared" si="42"/>
        <v>1255250</v>
      </c>
      <c r="AI39" s="805">
        <f t="shared" si="42"/>
        <v>1255250</v>
      </c>
      <c r="AJ39" s="805">
        <f t="shared" si="42"/>
        <v>1255250</v>
      </c>
      <c r="AK39" s="805">
        <f t="shared" si="42"/>
        <v>1255250</v>
      </c>
      <c r="AL39" s="805">
        <f t="shared" si="42"/>
        <v>1255250</v>
      </c>
      <c r="AM39" s="805">
        <f t="shared" si="42"/>
        <v>1255250</v>
      </c>
      <c r="AN39" s="805">
        <f t="shared" si="3"/>
        <v>15063000</v>
      </c>
      <c r="AP39" s="1107">
        <v>15063400</v>
      </c>
      <c r="AQ39" s="1107">
        <f t="shared" si="4"/>
        <v>400</v>
      </c>
    </row>
    <row r="40" spans="1:43" s="805" customFormat="1" ht="20.100000000000001" customHeight="1">
      <c r="A40" s="876"/>
      <c r="B40" s="830" t="s">
        <v>362</v>
      </c>
      <c r="C40" s="842"/>
      <c r="D40" s="841"/>
      <c r="E40" s="841"/>
      <c r="F40" s="841"/>
      <c r="G40" s="840"/>
      <c r="H40" s="840"/>
      <c r="I40" s="840"/>
      <c r="J40" s="840"/>
      <c r="K40" s="841"/>
      <c r="L40" s="841"/>
      <c r="M40" s="841"/>
      <c r="N40" s="841"/>
      <c r="O40" s="840"/>
      <c r="P40" s="840"/>
      <c r="Q40" s="840"/>
      <c r="R40" s="1116"/>
      <c r="S40" s="808"/>
      <c r="T40" s="256" t="s">
        <v>362</v>
      </c>
      <c r="U40" s="808">
        <f>①ベース事業別内訳!D466</f>
        <v>217000</v>
      </c>
      <c r="V40" s="1002"/>
      <c r="W40" s="808">
        <f t="shared" si="5"/>
        <v>217000</v>
      </c>
      <c r="AA40" s="929">
        <f t="shared" si="6"/>
        <v>217000</v>
      </c>
      <c r="AB40" s="805">
        <f t="shared" si="19"/>
        <v>18083.333333333332</v>
      </c>
      <c r="AC40" s="805">
        <f t="shared" ref="AC40:AM40" si="43">AB40</f>
        <v>18083.333333333332</v>
      </c>
      <c r="AD40" s="805">
        <f t="shared" si="43"/>
        <v>18083.333333333332</v>
      </c>
      <c r="AE40" s="805">
        <f t="shared" si="43"/>
        <v>18083.333333333332</v>
      </c>
      <c r="AF40" s="805">
        <f t="shared" si="43"/>
        <v>18083.333333333332</v>
      </c>
      <c r="AG40" s="805">
        <f t="shared" si="43"/>
        <v>18083.333333333332</v>
      </c>
      <c r="AH40" s="805">
        <f t="shared" si="43"/>
        <v>18083.333333333332</v>
      </c>
      <c r="AI40" s="805">
        <f t="shared" si="43"/>
        <v>18083.333333333332</v>
      </c>
      <c r="AJ40" s="805">
        <f t="shared" si="43"/>
        <v>18083.333333333332</v>
      </c>
      <c r="AK40" s="805">
        <f t="shared" si="43"/>
        <v>18083.333333333332</v>
      </c>
      <c r="AL40" s="805">
        <f t="shared" si="43"/>
        <v>18083.333333333332</v>
      </c>
      <c r="AM40" s="805">
        <f t="shared" si="43"/>
        <v>18083.333333333332</v>
      </c>
      <c r="AN40" s="805">
        <f t="shared" si="3"/>
        <v>217000.00000000003</v>
      </c>
      <c r="AP40" s="1107">
        <v>217000</v>
      </c>
      <c r="AQ40" s="1107">
        <f t="shared" si="4"/>
        <v>0</v>
      </c>
    </row>
    <row r="41" spans="1:43" s="805" customFormat="1" ht="20.100000000000001" customHeight="1">
      <c r="A41" s="876"/>
      <c r="B41" s="819" t="s">
        <v>90</v>
      </c>
      <c r="C41" s="840">
        <f>①ベース事業別内訳!D32</f>
        <v>2000</v>
      </c>
      <c r="D41" s="808">
        <f>①ベース事業別内訳!D61</f>
        <v>41000</v>
      </c>
      <c r="E41" s="840">
        <f>①ベース事業別内訳!D405</f>
        <v>169000</v>
      </c>
      <c r="F41" s="840">
        <f>①ベース事業別内訳!D177</f>
        <v>0</v>
      </c>
      <c r="G41" s="808">
        <f>①ベース事業別内訳!D231</f>
        <v>0</v>
      </c>
      <c r="H41" s="808">
        <f>①ベース事業別内訳!D115</f>
        <v>0</v>
      </c>
      <c r="I41" s="808">
        <f>①ベース事業別内訳!D89</f>
        <v>39000</v>
      </c>
      <c r="J41" s="840">
        <f>①ベース事業別内訳!D204</f>
        <v>0</v>
      </c>
      <c r="K41" s="840">
        <f>①ベース事業別内訳!D290</f>
        <v>7000</v>
      </c>
      <c r="L41" s="840">
        <f>①ベース事業別内訳!D318</f>
        <v>2000</v>
      </c>
      <c r="M41" s="840">
        <f>①ベース事業別内訳!D146</f>
        <v>0</v>
      </c>
      <c r="N41" s="840">
        <f>①ベース事業別内訳!D259</f>
        <v>0</v>
      </c>
      <c r="O41" s="808">
        <f>①ベース事業別内訳!D376</f>
        <v>33000</v>
      </c>
      <c r="P41" s="808">
        <f>①ベース事業別内訳!D357</f>
        <v>1000</v>
      </c>
      <c r="Q41" s="808">
        <f>①ベース事業別内訳!D329</f>
        <v>0</v>
      </c>
      <c r="R41" s="808">
        <f>①ベース事業別内訳!D434</f>
        <v>7000</v>
      </c>
      <c r="S41" s="808">
        <f>SUM(C41:R41)</f>
        <v>301000</v>
      </c>
      <c r="T41" s="872" t="s">
        <v>90</v>
      </c>
      <c r="U41" s="808">
        <f>①ベース事業別内訳!D467</f>
        <v>295000</v>
      </c>
      <c r="V41" s="839"/>
      <c r="W41" s="808">
        <f t="shared" si="5"/>
        <v>596000</v>
      </c>
      <c r="Y41" s="805">
        <f>826418-W41</f>
        <v>230418</v>
      </c>
      <c r="AA41" s="929">
        <f t="shared" si="6"/>
        <v>596000</v>
      </c>
      <c r="AB41" s="805">
        <f t="shared" si="19"/>
        <v>49666.666666666664</v>
      </c>
      <c r="AC41" s="805">
        <f t="shared" ref="AC41:AM41" si="44">AB41</f>
        <v>49666.666666666664</v>
      </c>
      <c r="AD41" s="805">
        <f t="shared" si="44"/>
        <v>49666.666666666664</v>
      </c>
      <c r="AE41" s="805">
        <f t="shared" si="44"/>
        <v>49666.666666666664</v>
      </c>
      <c r="AF41" s="805">
        <f t="shared" si="44"/>
        <v>49666.666666666664</v>
      </c>
      <c r="AG41" s="805">
        <f t="shared" si="44"/>
        <v>49666.666666666664</v>
      </c>
      <c r="AH41" s="805">
        <f t="shared" si="44"/>
        <v>49666.666666666664</v>
      </c>
      <c r="AI41" s="805">
        <f t="shared" si="44"/>
        <v>49666.666666666664</v>
      </c>
      <c r="AJ41" s="805">
        <f t="shared" si="44"/>
        <v>49666.666666666664</v>
      </c>
      <c r="AK41" s="805">
        <f t="shared" si="44"/>
        <v>49666.666666666664</v>
      </c>
      <c r="AL41" s="805">
        <f t="shared" si="44"/>
        <v>49666.666666666664</v>
      </c>
      <c r="AM41" s="805">
        <f t="shared" si="44"/>
        <v>49666.666666666664</v>
      </c>
      <c r="AN41" s="805">
        <f t="shared" si="3"/>
        <v>596000</v>
      </c>
      <c r="AP41" s="1107">
        <v>594894</v>
      </c>
      <c r="AQ41" s="1107">
        <f t="shared" si="4"/>
        <v>-1106</v>
      </c>
    </row>
    <row r="42" spans="1:43" s="805" customFormat="1" ht="20.100000000000001" customHeight="1">
      <c r="A42" s="876"/>
      <c r="B42" s="923"/>
      <c r="C42" s="841"/>
      <c r="D42" s="830"/>
      <c r="E42" s="841"/>
      <c r="F42" s="841"/>
      <c r="G42" s="830"/>
      <c r="H42" s="830"/>
      <c r="I42" s="830"/>
      <c r="J42" s="841"/>
      <c r="K42" s="841"/>
      <c r="L42" s="841"/>
      <c r="M42" s="841"/>
      <c r="N42" s="841"/>
      <c r="O42" s="830"/>
      <c r="P42" s="830"/>
      <c r="Q42" s="924"/>
      <c r="R42" s="924"/>
      <c r="S42" s="830"/>
      <c r="T42" s="925" t="s">
        <v>596</v>
      </c>
      <c r="U42" s="808">
        <f>①ベース事業別内訳!D468</f>
        <v>15000000</v>
      </c>
      <c r="V42" s="839"/>
      <c r="W42" s="808">
        <f t="shared" si="5"/>
        <v>15000000</v>
      </c>
      <c r="AA42" s="929">
        <f t="shared" si="6"/>
        <v>15000000</v>
      </c>
      <c r="AB42" s="805">
        <f t="shared" si="19"/>
        <v>1250000</v>
      </c>
      <c r="AC42" s="805">
        <f t="shared" ref="AC42:AM42" si="45">AB42</f>
        <v>1250000</v>
      </c>
      <c r="AD42" s="805">
        <f t="shared" si="45"/>
        <v>1250000</v>
      </c>
      <c r="AE42" s="805">
        <f t="shared" si="45"/>
        <v>1250000</v>
      </c>
      <c r="AF42" s="805">
        <f t="shared" si="45"/>
        <v>1250000</v>
      </c>
      <c r="AG42" s="805">
        <f t="shared" si="45"/>
        <v>1250000</v>
      </c>
      <c r="AH42" s="805">
        <f t="shared" si="45"/>
        <v>1250000</v>
      </c>
      <c r="AI42" s="805">
        <f t="shared" si="45"/>
        <v>1250000</v>
      </c>
      <c r="AJ42" s="805">
        <f t="shared" si="45"/>
        <v>1250000</v>
      </c>
      <c r="AK42" s="805">
        <f t="shared" si="45"/>
        <v>1250000</v>
      </c>
      <c r="AL42" s="805">
        <f t="shared" si="45"/>
        <v>1250000</v>
      </c>
      <c r="AM42" s="805">
        <f t="shared" si="45"/>
        <v>1250000</v>
      </c>
      <c r="AN42" s="805">
        <f t="shared" si="3"/>
        <v>15000000</v>
      </c>
      <c r="AP42" s="1107"/>
      <c r="AQ42" s="1107">
        <f t="shared" si="4"/>
        <v>-15000000</v>
      </c>
    </row>
    <row r="43" spans="1:43" s="805" customFormat="1">
      <c r="A43" s="876"/>
      <c r="B43" s="1001" t="s">
        <v>592</v>
      </c>
      <c r="C43" s="866">
        <f t="shared" ref="C43:R43" si="46">SUM(C17:C42)</f>
        <v>2438000</v>
      </c>
      <c r="D43" s="866">
        <f t="shared" si="46"/>
        <v>11339000</v>
      </c>
      <c r="E43" s="866">
        <f t="shared" si="46"/>
        <v>2112000</v>
      </c>
      <c r="F43" s="866">
        <f t="shared" si="46"/>
        <v>4026000</v>
      </c>
      <c r="G43" s="866">
        <f t="shared" si="46"/>
        <v>4712000</v>
      </c>
      <c r="H43" s="866">
        <f t="shared" si="46"/>
        <v>1056000</v>
      </c>
      <c r="I43" s="866">
        <f t="shared" si="46"/>
        <v>4129000</v>
      </c>
      <c r="J43" s="866">
        <f t="shared" si="46"/>
        <v>20181000</v>
      </c>
      <c r="K43" s="866">
        <f t="shared" si="46"/>
        <v>2268000</v>
      </c>
      <c r="L43" s="866">
        <f t="shared" si="46"/>
        <v>1682000</v>
      </c>
      <c r="M43" s="866">
        <f t="shared" si="46"/>
        <v>1952000</v>
      </c>
      <c r="N43" s="866">
        <f t="shared" si="46"/>
        <v>4169000</v>
      </c>
      <c r="O43" s="866">
        <f t="shared" si="46"/>
        <v>100000</v>
      </c>
      <c r="P43" s="866">
        <f t="shared" si="46"/>
        <v>1931000</v>
      </c>
      <c r="Q43" s="867">
        <f t="shared" si="46"/>
        <v>173000</v>
      </c>
      <c r="R43" s="867">
        <f t="shared" si="46"/>
        <v>38000</v>
      </c>
      <c r="S43" s="866">
        <f>SUM(S17:S42)</f>
        <v>62306000</v>
      </c>
      <c r="T43" s="869" t="s">
        <v>593</v>
      </c>
      <c r="U43" s="868">
        <f>SUM(U17:U42)</f>
        <v>23968000</v>
      </c>
      <c r="V43" s="839"/>
      <c r="W43" s="866">
        <f>SUM(W17:W42)</f>
        <v>86274000</v>
      </c>
      <c r="AA43" s="929">
        <f t="shared" si="6"/>
        <v>86274000</v>
      </c>
      <c r="AB43" s="805">
        <f t="shared" ref="AB43:AM43" si="47">SUM(AB17:AB42)</f>
        <v>7189500</v>
      </c>
      <c r="AC43" s="805">
        <f t="shared" si="47"/>
        <v>7189500</v>
      </c>
      <c r="AD43" s="805">
        <f t="shared" si="47"/>
        <v>7189500</v>
      </c>
      <c r="AE43" s="805">
        <f t="shared" si="47"/>
        <v>7189500</v>
      </c>
      <c r="AF43" s="805">
        <f t="shared" si="47"/>
        <v>7189500</v>
      </c>
      <c r="AG43" s="805">
        <f t="shared" si="47"/>
        <v>7189500</v>
      </c>
      <c r="AH43" s="805">
        <f t="shared" si="47"/>
        <v>7189500</v>
      </c>
      <c r="AI43" s="805">
        <f t="shared" si="47"/>
        <v>7189500</v>
      </c>
      <c r="AJ43" s="805">
        <f t="shared" si="47"/>
        <v>7189500</v>
      </c>
      <c r="AK43" s="805">
        <f t="shared" si="47"/>
        <v>7189500</v>
      </c>
      <c r="AL43" s="805">
        <f t="shared" si="47"/>
        <v>7189500</v>
      </c>
      <c r="AM43" s="805">
        <f t="shared" si="47"/>
        <v>7189500</v>
      </c>
      <c r="AN43" s="805">
        <f t="shared" si="3"/>
        <v>86274000</v>
      </c>
      <c r="AP43" s="1107">
        <f>SUM(AP17:AP42)</f>
        <v>71268571</v>
      </c>
      <c r="AQ43" s="1107">
        <f t="shared" si="4"/>
        <v>-15005429</v>
      </c>
    </row>
    <row r="44" spans="1:43" s="805" customFormat="1" ht="30" customHeight="1">
      <c r="A44" s="1225" t="s">
        <v>680</v>
      </c>
      <c r="B44" s="1226"/>
      <c r="C44" s="869">
        <f t="shared" ref="C44:S44" si="48">C5-(C43+C16)</f>
        <v>6901000</v>
      </c>
      <c r="D44" s="869">
        <f t="shared" si="48"/>
        <v>18252000</v>
      </c>
      <c r="E44" s="869">
        <f t="shared" si="48"/>
        <v>44000</v>
      </c>
      <c r="F44" s="869">
        <f t="shared" si="48"/>
        <v>1425000</v>
      </c>
      <c r="G44" s="869">
        <f t="shared" si="48"/>
        <v>2507000</v>
      </c>
      <c r="H44" s="869">
        <f t="shared" si="48"/>
        <v>4043000</v>
      </c>
      <c r="I44" s="869">
        <f t="shared" si="48"/>
        <v>3324000</v>
      </c>
      <c r="J44" s="869">
        <f t="shared" si="48"/>
        <v>852000</v>
      </c>
      <c r="K44" s="869">
        <f t="shared" si="48"/>
        <v>3156000</v>
      </c>
      <c r="L44" s="869">
        <f t="shared" si="48"/>
        <v>820000</v>
      </c>
      <c r="M44" s="869">
        <f t="shared" si="48"/>
        <v>5437000</v>
      </c>
      <c r="N44" s="869">
        <f t="shared" si="48"/>
        <v>642000</v>
      </c>
      <c r="O44" s="869">
        <f t="shared" si="48"/>
        <v>479000</v>
      </c>
      <c r="P44" s="869">
        <f t="shared" si="48"/>
        <v>0</v>
      </c>
      <c r="Q44" s="869">
        <f t="shared" si="48"/>
        <v>108000</v>
      </c>
      <c r="R44" s="869">
        <f t="shared" si="48"/>
        <v>102000</v>
      </c>
      <c r="S44" s="869">
        <f t="shared" si="48"/>
        <v>48092000</v>
      </c>
      <c r="T44" s="869" t="s">
        <v>680</v>
      </c>
      <c r="U44" s="868">
        <f>U5-(U43+U16)</f>
        <v>-33336000</v>
      </c>
      <c r="V44" s="839"/>
      <c r="W44" s="869">
        <f>W5-(W43+W16)</f>
        <v>14756000</v>
      </c>
      <c r="AA44" s="929"/>
      <c r="AP44" s="1107">
        <f>AP5-(AP43+AP16)</f>
        <v>-47491</v>
      </c>
      <c r="AQ44" s="1107">
        <f t="shared" si="4"/>
        <v>-14803491</v>
      </c>
    </row>
    <row r="45" spans="1:43" s="805" customFormat="1">
      <c r="C45" s="805" t="s">
        <v>531</v>
      </c>
      <c r="V45" s="839"/>
      <c r="AP45" s="1107"/>
      <c r="AQ45" s="1107">
        <f t="shared" si="4"/>
        <v>0</v>
      </c>
    </row>
    <row r="46" spans="1:43" s="805" customFormat="1" ht="30" customHeight="1">
      <c r="A46" s="1222" t="s">
        <v>679</v>
      </c>
      <c r="B46" s="1222"/>
      <c r="C46" s="1003">
        <f>'③事業別損益表（拠点別）'!M7</f>
        <v>5367096</v>
      </c>
      <c r="D46" s="1003">
        <f>'③事業別損益表（拠点別）'!M8</f>
        <v>10734192</v>
      </c>
      <c r="E46" s="1003">
        <f>'③事業別損益表（拠点別）'!N8</f>
        <v>0.32200000000000001</v>
      </c>
      <c r="F46" s="1190">
        <f>'③事業別損益表（拠点別）'!M10</f>
        <v>3900312</v>
      </c>
      <c r="G46" s="1191"/>
      <c r="H46" s="1003">
        <f>'③事業別損益表（拠点別）'!M15</f>
        <v>2100168</v>
      </c>
      <c r="I46" s="1003">
        <f>'③事業別損益表（拠点別）'!M16</f>
        <v>2466864</v>
      </c>
      <c r="J46" s="1003">
        <f>'③事業別損益表（拠点別）'!M14</f>
        <v>733392</v>
      </c>
      <c r="K46" s="1003">
        <f>'③事業別損益表（拠点別）'!M18</f>
        <v>1866816</v>
      </c>
      <c r="L46" s="1003">
        <f>'③事業別損益表（拠点別）'!M19</f>
        <v>666720</v>
      </c>
      <c r="M46" s="1003">
        <f>'③事業別損益表（拠点別）'!M20</f>
        <v>4867056</v>
      </c>
      <c r="N46" s="1003">
        <f>'③事業別損益表（拠点別）'!M21</f>
        <v>600048</v>
      </c>
      <c r="O46" s="1003">
        <f>'③事業別損益表（拠点別）'!M24</f>
        <v>0</v>
      </c>
      <c r="P46" s="1003"/>
      <c r="Q46" s="1003"/>
      <c r="R46" s="1003"/>
      <c r="S46" s="870">
        <f>SUM(C46:R46)</f>
        <v>33302664.322000001</v>
      </c>
      <c r="T46" s="839"/>
      <c r="U46" s="839"/>
      <c r="V46" s="839"/>
      <c r="W46" s="839"/>
      <c r="AA46" s="929" t="e">
        <f>AVERAGE(W46)</f>
        <v>#DIV/0!</v>
      </c>
      <c r="AB46" s="805" t="e">
        <f t="shared" ref="AB46:AM46" si="49">SUM(AB47:AB49)</f>
        <v>#REF!</v>
      </c>
      <c r="AC46" s="805" t="e">
        <f t="shared" si="49"/>
        <v>#REF!</v>
      </c>
      <c r="AD46" s="805" t="e">
        <f t="shared" si="49"/>
        <v>#REF!</v>
      </c>
      <c r="AE46" s="805" t="e">
        <f t="shared" si="49"/>
        <v>#REF!</v>
      </c>
      <c r="AF46" s="805" t="e">
        <f t="shared" si="49"/>
        <v>#REF!</v>
      </c>
      <c r="AG46" s="805" t="e">
        <f t="shared" si="49"/>
        <v>#REF!</v>
      </c>
      <c r="AH46" s="805" t="e">
        <f t="shared" si="49"/>
        <v>#REF!</v>
      </c>
      <c r="AI46" s="805" t="e">
        <f t="shared" si="49"/>
        <v>#REF!</v>
      </c>
      <c r="AJ46" s="805" t="e">
        <f t="shared" si="49"/>
        <v>#REF!</v>
      </c>
      <c r="AK46" s="805" t="e">
        <f t="shared" si="49"/>
        <v>#REF!</v>
      </c>
      <c r="AL46" s="805" t="e">
        <f t="shared" si="49"/>
        <v>#REF!</v>
      </c>
      <c r="AM46" s="805" t="e">
        <f t="shared" si="49"/>
        <v>#REF!</v>
      </c>
      <c r="AN46" s="805" t="e">
        <f>SUM(AB46:AM46)</f>
        <v>#REF!</v>
      </c>
      <c r="AP46" s="1107"/>
      <c r="AQ46" s="1107">
        <f t="shared" si="4"/>
        <v>0</v>
      </c>
    </row>
    <row r="47" spans="1:43" s="839" customFormat="1">
      <c r="AP47" s="798"/>
      <c r="AQ47" s="1107">
        <f t="shared" si="4"/>
        <v>0</v>
      </c>
    </row>
    <row r="48" spans="1:43" s="843" customFormat="1" ht="30" customHeight="1">
      <c r="A48" s="1006" t="s">
        <v>681</v>
      </c>
      <c r="B48" s="1003"/>
      <c r="C48" s="1003">
        <f>C44-C46</f>
        <v>1533904</v>
      </c>
      <c r="D48" s="1003">
        <f t="shared" ref="D48:W48" si="50">D44-D46</f>
        <v>7517808</v>
      </c>
      <c r="E48" s="1003">
        <f t="shared" si="50"/>
        <v>43999.678</v>
      </c>
      <c r="F48" s="1190">
        <f>F44+G44-F46</f>
        <v>31688</v>
      </c>
      <c r="G48" s="1191"/>
      <c r="H48" s="1003">
        <f t="shared" si="50"/>
        <v>1942832</v>
      </c>
      <c r="I48" s="1003">
        <f t="shared" si="50"/>
        <v>857136</v>
      </c>
      <c r="J48" s="1003">
        <f t="shared" si="50"/>
        <v>118608</v>
      </c>
      <c r="K48" s="1003">
        <f t="shared" si="50"/>
        <v>1289184</v>
      </c>
      <c r="L48" s="1003">
        <f t="shared" si="50"/>
        <v>153280</v>
      </c>
      <c r="M48" s="1003">
        <f t="shared" si="50"/>
        <v>569944</v>
      </c>
      <c r="N48" s="1003">
        <f t="shared" si="50"/>
        <v>41952</v>
      </c>
      <c r="O48" s="1003">
        <f t="shared" si="50"/>
        <v>479000</v>
      </c>
      <c r="P48" s="1003">
        <f t="shared" si="50"/>
        <v>0</v>
      </c>
      <c r="Q48" s="1003">
        <f t="shared" si="50"/>
        <v>108000</v>
      </c>
      <c r="R48" s="1003"/>
      <c r="S48" s="1003">
        <f t="shared" si="50"/>
        <v>14789335.677999999</v>
      </c>
      <c r="T48" s="1003" t="s">
        <v>682</v>
      </c>
      <c r="U48" s="1003">
        <f t="shared" si="50"/>
        <v>-33336000</v>
      </c>
      <c r="V48" s="1008"/>
      <c r="W48" s="1003">
        <f t="shared" si="50"/>
        <v>14756000</v>
      </c>
      <c r="Y48" s="843">
        <f>W48-13610093</f>
        <v>1145907</v>
      </c>
      <c r="AA48" s="929">
        <f>AVERAGE(W48)</f>
        <v>14756000</v>
      </c>
      <c r="AB48" s="805" t="e">
        <f t="shared" ref="AB48:AM48" si="51">AB5-AB12</f>
        <v>#REF!</v>
      </c>
      <c r="AC48" s="805" t="e">
        <f t="shared" si="51"/>
        <v>#REF!</v>
      </c>
      <c r="AD48" s="805" t="e">
        <f t="shared" si="51"/>
        <v>#REF!</v>
      </c>
      <c r="AE48" s="805" t="e">
        <f t="shared" si="51"/>
        <v>#REF!</v>
      </c>
      <c r="AF48" s="805" t="e">
        <f t="shared" si="51"/>
        <v>#REF!</v>
      </c>
      <c r="AG48" s="805" t="e">
        <f t="shared" si="51"/>
        <v>#REF!</v>
      </c>
      <c r="AH48" s="805" t="e">
        <f t="shared" si="51"/>
        <v>#REF!</v>
      </c>
      <c r="AI48" s="805" t="e">
        <f t="shared" si="51"/>
        <v>#REF!</v>
      </c>
      <c r="AJ48" s="805" t="e">
        <f t="shared" si="51"/>
        <v>#REF!</v>
      </c>
      <c r="AK48" s="805" t="e">
        <f t="shared" si="51"/>
        <v>#REF!</v>
      </c>
      <c r="AL48" s="805" t="e">
        <f t="shared" si="51"/>
        <v>#REF!</v>
      </c>
      <c r="AM48" s="805" t="e">
        <f t="shared" si="51"/>
        <v>#REF!</v>
      </c>
      <c r="AN48" s="805" t="e">
        <f>SUM(AB48:AM48)</f>
        <v>#REF!</v>
      </c>
      <c r="AP48" s="1107">
        <f>AP44-AP46</f>
        <v>-47491</v>
      </c>
      <c r="AQ48" s="1107">
        <f t="shared" si="4"/>
        <v>-14803491</v>
      </c>
    </row>
    <row r="49" spans="1:43" s="1005" customFormat="1" ht="30" customHeight="1">
      <c r="A49" s="1016"/>
      <c r="B49" s="1004"/>
      <c r="C49" s="1004"/>
      <c r="D49" s="1004"/>
      <c r="E49" s="1004"/>
      <c r="F49" s="1004"/>
      <c r="G49" s="1004"/>
      <c r="H49" s="1004"/>
      <c r="I49" s="1004"/>
      <c r="J49" s="1004"/>
      <c r="K49" s="1004"/>
      <c r="L49" s="1004"/>
      <c r="M49" s="1004"/>
      <c r="N49" s="1004"/>
      <c r="O49" s="1004"/>
      <c r="P49" s="1004"/>
      <c r="Q49" s="1004"/>
      <c r="R49" s="1004"/>
      <c r="S49" s="1004"/>
      <c r="T49" s="1004"/>
      <c r="U49" s="1004"/>
      <c r="V49" s="1004"/>
      <c r="W49" s="1004"/>
      <c r="AA49" s="878"/>
      <c r="AB49" s="878"/>
      <c r="AC49" s="878"/>
      <c r="AD49" s="878"/>
      <c r="AE49" s="878"/>
      <c r="AF49" s="878"/>
      <c r="AG49" s="878"/>
      <c r="AH49" s="878"/>
      <c r="AI49" s="878"/>
      <c r="AJ49" s="878"/>
      <c r="AK49" s="878"/>
      <c r="AL49" s="878"/>
      <c r="AM49" s="878"/>
      <c r="AN49" s="878"/>
      <c r="AP49" s="581"/>
      <c r="AQ49" s="1107">
        <f t="shared" si="4"/>
        <v>0</v>
      </c>
    </row>
    <row r="50" spans="1:43">
      <c r="S50" s="851" t="s">
        <v>573</v>
      </c>
      <c r="T50" s="1198" t="s">
        <v>574</v>
      </c>
      <c r="U50" s="1198"/>
      <c r="V50" s="660"/>
      <c r="W50" s="857">
        <f>①ベース事業別内訳!C473</f>
        <v>1000</v>
      </c>
      <c r="X50" s="900"/>
      <c r="AP50" s="1107">
        <f>370+200+2</f>
        <v>572</v>
      </c>
      <c r="AQ50" s="1107">
        <f t="shared" si="4"/>
        <v>-428</v>
      </c>
    </row>
    <row r="51" spans="1:43" s="13" customFormat="1">
      <c r="E51" s="262"/>
      <c r="F51" s="581"/>
      <c r="G51" s="179"/>
      <c r="H51" s="469"/>
      <c r="I51" s="991"/>
      <c r="J51" s="991"/>
      <c r="S51" s="853"/>
      <c r="T51" s="1199" t="s">
        <v>281</v>
      </c>
      <c r="U51" s="1199"/>
      <c r="V51" s="650"/>
      <c r="W51" s="858">
        <f>①ベース事業別内訳!C474</f>
        <v>291000</v>
      </c>
      <c r="X51" s="901"/>
      <c r="AP51" s="1107">
        <v>291000</v>
      </c>
      <c r="AQ51" s="1107">
        <f t="shared" si="4"/>
        <v>0</v>
      </c>
    </row>
    <row r="52" spans="1:43" s="13" customFormat="1">
      <c r="E52" s="262"/>
      <c r="F52" s="886"/>
      <c r="G52" s="179"/>
      <c r="H52" s="469"/>
      <c r="I52" s="991"/>
      <c r="J52" s="991"/>
      <c r="S52" s="853"/>
      <c r="T52" s="1199" t="s">
        <v>576</v>
      </c>
      <c r="U52" s="1199"/>
      <c r="V52" s="650"/>
      <c r="W52" s="858">
        <f>①ベース事業別内訳!C475</f>
        <v>2000000</v>
      </c>
      <c r="X52" s="901"/>
      <c r="AP52" s="1107">
        <v>7008034</v>
      </c>
      <c r="AQ52" s="1107">
        <f t="shared" si="4"/>
        <v>5008034</v>
      </c>
    </row>
    <row r="53" spans="1:43" s="13" customFormat="1">
      <c r="E53" s="262"/>
      <c r="F53" s="581"/>
      <c r="G53" s="179"/>
      <c r="H53" s="469"/>
      <c r="I53" s="991"/>
      <c r="J53" s="991"/>
      <c r="S53" s="853"/>
      <c r="T53" s="1199" t="s">
        <v>577</v>
      </c>
      <c r="U53" s="1199"/>
      <c r="V53" s="650"/>
      <c r="W53" s="858">
        <f>①ベース事業別内訳!C476</f>
        <v>307000</v>
      </c>
      <c r="X53" s="901"/>
      <c r="AP53" s="1107">
        <v>306579</v>
      </c>
      <c r="AQ53" s="1107">
        <f t="shared" si="4"/>
        <v>-421</v>
      </c>
    </row>
    <row r="54" spans="1:43" s="13" customFormat="1">
      <c r="E54" s="262"/>
      <c r="F54" s="886"/>
      <c r="G54" s="179"/>
      <c r="H54" s="469"/>
      <c r="I54" s="991"/>
      <c r="J54" s="991"/>
      <c r="S54" s="1009"/>
      <c r="T54" s="1197" t="s">
        <v>578</v>
      </c>
      <c r="U54" s="1197"/>
      <c r="V54" s="654"/>
      <c r="W54" s="903">
        <f>①ベース事業別内訳!C477</f>
        <v>698000</v>
      </c>
      <c r="X54" s="901"/>
      <c r="AP54" s="1107">
        <v>697889</v>
      </c>
      <c r="AQ54" s="1107">
        <f t="shared" si="4"/>
        <v>-111</v>
      </c>
    </row>
    <row r="55" spans="1:43" s="13" customFormat="1">
      <c r="E55" s="262"/>
      <c r="F55" s="886"/>
      <c r="G55" s="179"/>
      <c r="H55" s="469"/>
      <c r="I55" s="991"/>
      <c r="J55" s="991"/>
      <c r="S55" s="1011" t="s">
        <v>191</v>
      </c>
      <c r="T55" s="1195"/>
      <c r="U55" s="1195"/>
      <c r="V55" s="654"/>
      <c r="W55" s="903">
        <f>SUM(W50:W54)</f>
        <v>3297000</v>
      </c>
      <c r="X55" s="904"/>
      <c r="AP55" s="1107">
        <f>SUM(AP50:AP54)</f>
        <v>8304074</v>
      </c>
      <c r="AQ55" s="1107">
        <f t="shared" si="4"/>
        <v>5007074</v>
      </c>
    </row>
    <row r="56" spans="1:43" s="13" customFormat="1">
      <c r="E56" s="262"/>
      <c r="F56" s="886"/>
      <c r="G56" s="179"/>
      <c r="H56" s="469"/>
      <c r="I56" s="991"/>
      <c r="J56" s="991"/>
      <c r="S56" s="1012"/>
      <c r="T56" s="1013"/>
      <c r="U56" s="1013"/>
      <c r="V56" s="1014"/>
      <c r="W56" s="1015"/>
      <c r="X56" s="900"/>
      <c r="AP56" s="1107"/>
      <c r="AQ56" s="1107">
        <f t="shared" si="4"/>
        <v>0</v>
      </c>
    </row>
    <row r="57" spans="1:43" s="13" customFormat="1">
      <c r="E57" s="262"/>
      <c r="F57" s="886"/>
      <c r="G57" s="179"/>
      <c r="H57" s="469"/>
      <c r="I57" s="991"/>
      <c r="J57" s="991"/>
      <c r="S57" s="851" t="s">
        <v>579</v>
      </c>
      <c r="T57" s="1198" t="s">
        <v>580</v>
      </c>
      <c r="U57" s="1198"/>
      <c r="V57" s="1010"/>
      <c r="W57" s="857">
        <f>①ベース事業別内訳!C479</f>
        <v>839000</v>
      </c>
      <c r="X57" s="901"/>
      <c r="AP57" s="1107">
        <v>838815</v>
      </c>
      <c r="AQ57" s="1107">
        <f t="shared" si="4"/>
        <v>-185</v>
      </c>
    </row>
    <row r="58" spans="1:43" s="13" customFormat="1">
      <c r="E58" s="262"/>
      <c r="F58" s="886"/>
      <c r="G58" s="179"/>
      <c r="H58" s="469"/>
      <c r="I58" s="991"/>
      <c r="J58" s="991"/>
      <c r="S58" s="853"/>
      <c r="T58" s="1199" t="s">
        <v>781</v>
      </c>
      <c r="U58" s="1199"/>
      <c r="V58" s="650"/>
      <c r="W58" s="858">
        <f>①ベース事業別内訳!C480</f>
        <v>0</v>
      </c>
      <c r="X58" s="901"/>
      <c r="AP58" s="1107">
        <v>29774</v>
      </c>
      <c r="AQ58" s="1107">
        <f t="shared" si="4"/>
        <v>29774</v>
      </c>
    </row>
    <row r="59" spans="1:43" s="13" customFormat="1">
      <c r="E59" s="262"/>
      <c r="F59" s="886"/>
      <c r="G59" s="179"/>
      <c r="H59" s="469"/>
      <c r="I59" s="991"/>
      <c r="J59" s="991"/>
      <c r="S59" s="1009"/>
      <c r="T59" s="1197" t="s">
        <v>551</v>
      </c>
      <c r="U59" s="1197"/>
      <c r="V59" s="654"/>
      <c r="W59" s="903">
        <f>①ベース事業別内訳!C481</f>
        <v>0</v>
      </c>
      <c r="X59" s="904"/>
      <c r="AP59" s="1107">
        <v>0</v>
      </c>
      <c r="AQ59" s="1107">
        <f t="shared" si="4"/>
        <v>0</v>
      </c>
    </row>
    <row r="60" spans="1:43" s="13" customFormat="1">
      <c r="E60" s="262"/>
      <c r="F60" s="886"/>
      <c r="G60" s="179"/>
      <c r="H60" s="469"/>
      <c r="I60" s="991"/>
      <c r="J60" s="991"/>
      <c r="S60" s="1011" t="s">
        <v>191</v>
      </c>
      <c r="T60" s="1195"/>
      <c r="U60" s="1195"/>
      <c r="V60" s="654"/>
      <c r="W60" s="903">
        <f>SUM(W57:W59)</f>
        <v>839000</v>
      </c>
      <c r="X60" s="905"/>
      <c r="AP60" s="1107">
        <f>SUM(AP57:AP59)</f>
        <v>868589</v>
      </c>
      <c r="AQ60" s="1107">
        <f t="shared" si="4"/>
        <v>29589</v>
      </c>
    </row>
    <row r="61" spans="1:43" s="650" customFormat="1">
      <c r="E61" s="262"/>
      <c r="F61" s="906"/>
      <c r="G61" s="285"/>
      <c r="H61" s="469"/>
      <c r="I61" s="991"/>
      <c r="J61" s="991"/>
      <c r="S61" s="285"/>
      <c r="T61" s="13"/>
      <c r="U61" s="175"/>
      <c r="V61" s="13"/>
      <c r="W61" s="855"/>
      <c r="X61" s="907"/>
      <c r="AP61" s="978"/>
      <c r="AQ61" s="1107">
        <f t="shared" si="4"/>
        <v>0</v>
      </c>
    </row>
    <row r="62" spans="1:43" s="13" customFormat="1">
      <c r="E62" s="262"/>
      <c r="F62" s="886"/>
      <c r="G62" s="179"/>
      <c r="H62" s="469"/>
      <c r="I62" s="991"/>
      <c r="J62" s="991"/>
      <c r="S62" s="1192" t="s">
        <v>589</v>
      </c>
      <c r="T62" s="1193"/>
      <c r="U62" s="1193"/>
      <c r="V62" s="1194"/>
      <c r="W62" s="859">
        <f>W48+W55-W60</f>
        <v>17214000</v>
      </c>
      <c r="X62" s="581"/>
      <c r="AP62" s="1107">
        <f>AP48+AP55-AP60</f>
        <v>7387994</v>
      </c>
      <c r="AQ62" s="1107">
        <f t="shared" si="4"/>
        <v>-9826006</v>
      </c>
    </row>
    <row r="63" spans="1:43" s="13" customFormat="1">
      <c r="E63" s="262"/>
      <c r="F63" s="886"/>
      <c r="G63" s="179"/>
      <c r="H63" s="469"/>
      <c r="I63" s="991"/>
      <c r="J63" s="991"/>
      <c r="S63" s="179"/>
      <c r="U63" s="175"/>
      <c r="W63" s="469"/>
      <c r="X63" s="900"/>
      <c r="AP63" s="1107"/>
      <c r="AQ63" s="1107">
        <f t="shared" si="4"/>
        <v>0</v>
      </c>
    </row>
    <row r="64" spans="1:43" s="13" customFormat="1">
      <c r="E64" s="262"/>
      <c r="F64" s="886"/>
      <c r="G64" s="179"/>
      <c r="H64" s="469"/>
      <c r="I64" s="991"/>
      <c r="J64" s="991"/>
      <c r="S64" s="851" t="s">
        <v>363</v>
      </c>
      <c r="T64" s="1198" t="s">
        <v>583</v>
      </c>
      <c r="U64" s="1198"/>
      <c r="V64" s="1010"/>
      <c r="W64" s="857">
        <f>①ベース事業別内訳!C486</f>
        <v>192000</v>
      </c>
      <c r="X64" s="901"/>
      <c r="AP64" s="1107">
        <v>192000</v>
      </c>
      <c r="AQ64" s="1107">
        <f t="shared" si="4"/>
        <v>0</v>
      </c>
    </row>
    <row r="65" spans="1:43" s="13" customFormat="1">
      <c r="E65" s="262"/>
      <c r="F65" s="886"/>
      <c r="G65" s="179"/>
      <c r="H65" s="469"/>
      <c r="I65" s="991"/>
      <c r="J65" s="991"/>
      <c r="S65" s="1009"/>
      <c r="T65" s="1197" t="s">
        <v>666</v>
      </c>
      <c r="U65" s="1197"/>
      <c r="V65" s="654"/>
      <c r="W65" s="903">
        <f>①ベース事業別内訳!C487</f>
        <v>0</v>
      </c>
      <c r="X65" s="904"/>
      <c r="AP65" s="1107">
        <v>4353085</v>
      </c>
      <c r="AQ65" s="1107">
        <f t="shared" si="4"/>
        <v>4353085</v>
      </c>
    </row>
    <row r="66" spans="1:43" s="13" customFormat="1">
      <c r="E66" s="262"/>
      <c r="F66" s="886"/>
      <c r="G66" s="179"/>
      <c r="H66" s="469"/>
      <c r="I66" s="991"/>
      <c r="J66" s="991"/>
      <c r="S66" s="1011" t="s">
        <v>191</v>
      </c>
      <c r="T66" s="1195"/>
      <c r="U66" s="1195"/>
      <c r="V66" s="654"/>
      <c r="W66" s="903">
        <f>SUM(W64:W65)</f>
        <v>192000</v>
      </c>
      <c r="X66" s="581"/>
      <c r="AP66" s="1107">
        <f>SUM(AP64:AP65)</f>
        <v>4545085</v>
      </c>
      <c r="AQ66" s="1107">
        <f t="shared" si="4"/>
        <v>4353085</v>
      </c>
    </row>
    <row r="67" spans="1:43" s="13" customFormat="1">
      <c r="E67" s="262"/>
      <c r="F67" s="886"/>
      <c r="G67" s="179"/>
      <c r="H67" s="469"/>
      <c r="I67" s="991"/>
      <c r="J67" s="991"/>
      <c r="S67" s="179"/>
      <c r="U67" s="175"/>
      <c r="W67" s="469"/>
      <c r="X67" s="907"/>
      <c r="AP67" s="1107"/>
      <c r="AQ67" s="1107">
        <f t="shared" si="4"/>
        <v>0</v>
      </c>
    </row>
    <row r="68" spans="1:43" s="13" customFormat="1">
      <c r="E68" s="262"/>
      <c r="F68" s="886"/>
      <c r="G68" s="179"/>
      <c r="H68" s="469"/>
      <c r="I68" s="991"/>
      <c r="J68" s="991"/>
      <c r="S68" s="849" t="s">
        <v>584</v>
      </c>
      <c r="T68" s="1196" t="s">
        <v>585</v>
      </c>
      <c r="U68" s="1196"/>
      <c r="V68" s="1014"/>
      <c r="W68" s="859">
        <f>①ベース事業別内訳!C490</f>
        <v>0</v>
      </c>
      <c r="X68" s="581"/>
      <c r="AP68" s="1107">
        <v>4737956</v>
      </c>
      <c r="AQ68" s="1107">
        <f t="shared" si="4"/>
        <v>4737956</v>
      </c>
    </row>
    <row r="69" spans="1:43" s="13" customFormat="1">
      <c r="E69" s="262"/>
      <c r="F69" s="886"/>
      <c r="G69" s="179"/>
      <c r="H69" s="469"/>
      <c r="I69" s="991"/>
      <c r="J69" s="991"/>
      <c r="S69" s="1011" t="s">
        <v>191</v>
      </c>
      <c r="T69" s="1195"/>
      <c r="U69" s="1195"/>
      <c r="V69" s="654"/>
      <c r="W69" s="903">
        <f>SUM(W68)</f>
        <v>0</v>
      </c>
      <c r="X69" s="907"/>
      <c r="AP69" s="1107">
        <f>SUM(AP68)</f>
        <v>4737956</v>
      </c>
      <c r="AQ69" s="1107">
        <f t="shared" si="4"/>
        <v>4737956</v>
      </c>
    </row>
    <row r="70" spans="1:43" s="13" customFormat="1">
      <c r="E70" s="262"/>
      <c r="F70" s="886"/>
      <c r="G70" s="179"/>
      <c r="H70" s="469"/>
      <c r="I70" s="991"/>
      <c r="J70" s="991"/>
      <c r="S70" s="179"/>
      <c r="U70" s="175"/>
      <c r="W70" s="469"/>
      <c r="X70" s="798"/>
      <c r="AP70" s="1107"/>
      <c r="AQ70" s="1107">
        <f t="shared" ref="AQ70:AQ75" si="52">AP70-W70</f>
        <v>0</v>
      </c>
    </row>
    <row r="71" spans="1:43" s="13" customFormat="1">
      <c r="E71" s="262"/>
      <c r="F71" s="886"/>
      <c r="G71" s="179"/>
      <c r="H71" s="469"/>
      <c r="I71" s="991"/>
      <c r="J71" s="991"/>
      <c r="S71" s="1192" t="s">
        <v>587</v>
      </c>
      <c r="T71" s="1193"/>
      <c r="U71" s="1193"/>
      <c r="V71" s="1194"/>
      <c r="W71" s="859">
        <f>W62+W66-W68</f>
        <v>17406000</v>
      </c>
      <c r="X71" s="907"/>
      <c r="AP71" s="1107">
        <f>AP62+AP66-AP68</f>
        <v>7195123</v>
      </c>
      <c r="AQ71" s="1107">
        <f t="shared" si="52"/>
        <v>-10210877</v>
      </c>
    </row>
    <row r="72" spans="1:43" s="13" customFormat="1">
      <c r="E72" s="262"/>
      <c r="F72" s="886"/>
      <c r="G72" s="179"/>
      <c r="H72" s="469"/>
      <c r="I72" s="991"/>
      <c r="J72" s="991"/>
      <c r="S72" s="285"/>
      <c r="U72" s="175"/>
      <c r="W72" s="469"/>
      <c r="X72" s="581"/>
      <c r="AP72" s="1107"/>
      <c r="AQ72" s="1107">
        <f t="shared" si="52"/>
        <v>0</v>
      </c>
    </row>
    <row r="73" spans="1:43" s="13" customFormat="1">
      <c r="E73" s="262"/>
      <c r="F73" s="886"/>
      <c r="G73" s="179"/>
      <c r="H73" s="469"/>
      <c r="I73" s="991"/>
      <c r="J73" s="991"/>
      <c r="S73" s="1192" t="s">
        <v>586</v>
      </c>
      <c r="T73" s="1193"/>
      <c r="U73" s="1193"/>
      <c r="V73" s="1194"/>
      <c r="W73" s="859">
        <f>①ベース事業別内訳!C494</f>
        <v>6963000</v>
      </c>
      <c r="X73" s="907"/>
      <c r="AP73" s="1107">
        <v>1255090</v>
      </c>
      <c r="AQ73" s="1107">
        <f t="shared" si="52"/>
        <v>-5707910</v>
      </c>
    </row>
    <row r="74" spans="1:43" s="13" customFormat="1">
      <c r="E74" s="262"/>
      <c r="F74" s="886"/>
      <c r="G74" s="179"/>
      <c r="H74" s="469"/>
      <c r="I74" s="991"/>
      <c r="J74" s="991"/>
      <c r="S74" s="179"/>
      <c r="U74" s="175"/>
      <c r="W74" s="469"/>
      <c r="AP74" s="1107"/>
      <c r="AQ74" s="1107">
        <f t="shared" si="52"/>
        <v>0</v>
      </c>
    </row>
    <row r="75" spans="1:43" s="13" customFormat="1">
      <c r="A75" s="179"/>
      <c r="B75" s="175"/>
      <c r="C75" s="469"/>
      <c r="D75" s="581"/>
      <c r="E75" s="262"/>
      <c r="F75" s="886"/>
      <c r="G75" s="179"/>
      <c r="H75" s="469"/>
      <c r="I75" s="991"/>
      <c r="J75" s="991"/>
      <c r="S75" s="1192" t="s">
        <v>588</v>
      </c>
      <c r="T75" s="1193"/>
      <c r="U75" s="1193"/>
      <c r="V75" s="1194"/>
      <c r="W75" s="859">
        <f>W71-W73</f>
        <v>10443000</v>
      </c>
      <c r="AP75" s="1107">
        <f>AP71-AP73</f>
        <v>5940033</v>
      </c>
      <c r="AQ75" s="1107">
        <f t="shared" si="52"/>
        <v>-4502967</v>
      </c>
    </row>
    <row r="76" spans="1:43">
      <c r="S76" s="13"/>
      <c r="T76" s="13"/>
      <c r="U76" s="13"/>
      <c r="V76" s="13"/>
      <c r="W76" s="13"/>
    </row>
    <row r="77" spans="1:43">
      <c r="S77" s="13"/>
      <c r="T77" s="13"/>
      <c r="U77" s="13"/>
      <c r="V77" s="13"/>
      <c r="W77" s="13"/>
    </row>
  </sheetData>
  <mergeCells count="41">
    <mergeCell ref="A46:B46"/>
    <mergeCell ref="N3:N4"/>
    <mergeCell ref="M3:M4"/>
    <mergeCell ref="I3:I4"/>
    <mergeCell ref="D3:D4"/>
    <mergeCell ref="H3:H4"/>
    <mergeCell ref="A44:B44"/>
    <mergeCell ref="F46:G46"/>
    <mergeCell ref="C2:D2"/>
    <mergeCell ref="G2:J2"/>
    <mergeCell ref="A1:W1"/>
    <mergeCell ref="J3:J4"/>
    <mergeCell ref="W3:W4"/>
    <mergeCell ref="T3:U4"/>
    <mergeCell ref="S3:S4"/>
    <mergeCell ref="M2:R2"/>
    <mergeCell ref="C3:C4"/>
    <mergeCell ref="E3:E4"/>
    <mergeCell ref="F3:G3"/>
    <mergeCell ref="K3:L3"/>
    <mergeCell ref="T54:U54"/>
    <mergeCell ref="T53:U53"/>
    <mergeCell ref="T52:U52"/>
    <mergeCell ref="T51:U51"/>
    <mergeCell ref="O3:R3"/>
    <mergeCell ref="F48:G48"/>
    <mergeCell ref="S75:V75"/>
    <mergeCell ref="S73:V73"/>
    <mergeCell ref="S71:V71"/>
    <mergeCell ref="S62:V62"/>
    <mergeCell ref="T69:U69"/>
    <mergeCell ref="T68:U68"/>
    <mergeCell ref="T66:U66"/>
    <mergeCell ref="T65:U65"/>
    <mergeCell ref="T64:U64"/>
    <mergeCell ref="T50:U50"/>
    <mergeCell ref="T60:U60"/>
    <mergeCell ref="T59:U59"/>
    <mergeCell ref="T58:U58"/>
    <mergeCell ref="T57:U57"/>
    <mergeCell ref="T55:U55"/>
  </mergeCells>
  <phoneticPr fontId="1"/>
  <printOptions horizontalCentered="1"/>
  <pageMargins left="0" right="0" top="0.55118110236220474" bottom="0" header="0.11811023622047245" footer="0"/>
  <pageSetup paperSize="8" scale="6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workbookViewId="0">
      <selection activeCell="B19" sqref="B19"/>
    </sheetView>
  </sheetViews>
  <sheetFormatPr defaultColWidth="9" defaultRowHeight="13.5"/>
  <cols>
    <col min="1" max="1" width="17.375" style="485" bestFit="1" customWidth="1"/>
    <col min="2" max="2" width="2.75" style="485" bestFit="1" customWidth="1"/>
    <col min="3" max="3" width="4.875" style="485" bestFit="1" customWidth="1"/>
    <col min="4" max="4" width="12.875" style="494" bestFit="1" customWidth="1"/>
    <col min="5" max="5" width="13" style="495" customWidth="1"/>
    <col min="6" max="6" width="11.375" style="495" customWidth="1"/>
    <col min="7" max="7" width="4.5" style="512" customWidth="1"/>
    <col min="8" max="8" width="10.25" style="495" customWidth="1"/>
    <col min="9" max="9" width="3.375" style="512" customWidth="1"/>
    <col min="10" max="10" width="13" style="495" customWidth="1"/>
    <col min="11" max="11" width="13" style="495" bestFit="1" customWidth="1"/>
    <col min="12" max="12" width="11.875" style="509" bestFit="1" customWidth="1"/>
    <col min="13" max="16384" width="9" style="485"/>
  </cols>
  <sheetData>
    <row r="1" spans="1:12" ht="17.25">
      <c r="A1" s="1227" t="s">
        <v>464</v>
      </c>
      <c r="B1" s="1227"/>
      <c r="C1" s="1227"/>
      <c r="D1" s="1227"/>
      <c r="E1" s="1227"/>
      <c r="F1" s="1227"/>
      <c r="G1" s="1227"/>
      <c r="H1" s="1227"/>
      <c r="I1" s="1227"/>
      <c r="J1" s="1227"/>
      <c r="K1" s="1227"/>
      <c r="L1" s="1227"/>
    </row>
    <row r="2" spans="1:12">
      <c r="A2" s="1239" t="s">
        <v>410</v>
      </c>
      <c r="B2" s="1239"/>
      <c r="C2" s="1239"/>
      <c r="D2" s="1239"/>
      <c r="E2" s="1239"/>
      <c r="F2" s="1239"/>
      <c r="G2" s="1239"/>
      <c r="H2" s="1239"/>
      <c r="I2" s="1239"/>
      <c r="J2" s="1239"/>
      <c r="K2" s="1239"/>
      <c r="L2" s="1239"/>
    </row>
    <row r="3" spans="1:12" ht="20.100000000000001" customHeight="1">
      <c r="A3" s="1233" t="s">
        <v>411</v>
      </c>
      <c r="B3" s="1234"/>
      <c r="C3" s="1235"/>
      <c r="D3" s="1230" t="s">
        <v>377</v>
      </c>
      <c r="E3" s="1232" t="s">
        <v>378</v>
      </c>
      <c r="F3" s="1232"/>
      <c r="G3" s="1232"/>
      <c r="H3" s="1232"/>
      <c r="I3" s="1232"/>
      <c r="J3" s="1232"/>
      <c r="K3" s="1232"/>
      <c r="L3" s="1228" t="s">
        <v>380</v>
      </c>
    </row>
    <row r="4" spans="1:12" ht="19.5" customHeight="1">
      <c r="A4" s="1236"/>
      <c r="B4" s="1237"/>
      <c r="C4" s="1238"/>
      <c r="D4" s="1231"/>
      <c r="E4" s="486" t="s">
        <v>177</v>
      </c>
      <c r="F4" s="487" t="s">
        <v>160</v>
      </c>
      <c r="G4" s="594"/>
      <c r="H4" s="487"/>
      <c r="I4" s="595" t="s">
        <v>473</v>
      </c>
      <c r="J4" s="487" t="s">
        <v>166</v>
      </c>
      <c r="K4" s="488" t="s">
        <v>379</v>
      </c>
      <c r="L4" s="1229"/>
    </row>
    <row r="5" spans="1:12" ht="39.950000000000003" customHeight="1">
      <c r="A5" s="489" t="s">
        <v>157</v>
      </c>
      <c r="B5" s="490"/>
      <c r="C5" s="491"/>
      <c r="D5" s="497">
        <f>①ベース事業別内訳!C33</f>
        <v>36093000</v>
      </c>
      <c r="E5" s="498">
        <f>①ベース事業別内訳!D33</f>
        <v>29192000</v>
      </c>
      <c r="F5" s="499">
        <f>D5-E5</f>
        <v>6901000</v>
      </c>
      <c r="G5" s="507" t="e">
        <f t="shared" ref="G5:G12" si="0">F5/$F$20</f>
        <v>#REF!</v>
      </c>
      <c r="H5" s="499">
        <f>F5</f>
        <v>6901000</v>
      </c>
      <c r="I5" s="507" t="e">
        <f t="shared" ref="I5:I12" si="1">H5/$H$20</f>
        <v>#REF!</v>
      </c>
      <c r="J5" s="499" t="e">
        <f>-$F$21*I5</f>
        <v>#REF!</v>
      </c>
      <c r="K5" s="501" t="e">
        <f>E5+J5</f>
        <v>#REF!</v>
      </c>
      <c r="L5" s="510" t="e">
        <f>D5-K5</f>
        <v>#REF!</v>
      </c>
    </row>
    <row r="6" spans="1:12" ht="39.950000000000003" customHeight="1">
      <c r="A6" s="489" t="s">
        <v>373</v>
      </c>
      <c r="B6" s="490"/>
      <c r="C6" s="491"/>
      <c r="D6" s="497">
        <f>①ベース事業別内訳!C62</f>
        <v>55477000</v>
      </c>
      <c r="E6" s="498">
        <f>①ベース事業別内訳!D62</f>
        <v>37225000</v>
      </c>
      <c r="F6" s="499">
        <f t="shared" ref="F6:F19" si="2">D6-E6</f>
        <v>18252000</v>
      </c>
      <c r="G6" s="507" t="e">
        <f t="shared" si="0"/>
        <v>#REF!</v>
      </c>
      <c r="H6" s="499">
        <f>F6</f>
        <v>18252000</v>
      </c>
      <c r="I6" s="507" t="e">
        <f t="shared" si="1"/>
        <v>#REF!</v>
      </c>
      <c r="J6" s="499" t="e">
        <f>-$F$21*I6</f>
        <v>#REF!</v>
      </c>
      <c r="K6" s="501" t="e">
        <f t="shared" ref="K6:K19" si="3">E6+J6</f>
        <v>#REF!</v>
      </c>
      <c r="L6" s="510" t="e">
        <f t="shared" ref="L6:L19" si="4">D6-K6</f>
        <v>#REF!</v>
      </c>
    </row>
    <row r="7" spans="1:12" ht="39.950000000000003" customHeight="1">
      <c r="A7" s="489" t="s">
        <v>467</v>
      </c>
      <c r="B7" s="490"/>
      <c r="C7" s="491"/>
      <c r="D7" s="497">
        <f>①ベース事業別内訳!C90</f>
        <v>20259000</v>
      </c>
      <c r="E7" s="498">
        <f>①ベース事業別内訳!D90</f>
        <v>16935000</v>
      </c>
      <c r="F7" s="499">
        <f t="shared" si="2"/>
        <v>3324000</v>
      </c>
      <c r="G7" s="507" t="e">
        <f t="shared" si="0"/>
        <v>#REF!</v>
      </c>
      <c r="H7" s="499">
        <f>F7</f>
        <v>3324000</v>
      </c>
      <c r="I7" s="507" t="e">
        <f t="shared" si="1"/>
        <v>#REF!</v>
      </c>
      <c r="J7" s="499" t="e">
        <f t="shared" ref="J7:J18" si="5">-$F$21*I7</f>
        <v>#REF!</v>
      </c>
      <c r="K7" s="501" t="e">
        <f t="shared" si="3"/>
        <v>#REF!</v>
      </c>
      <c r="L7" s="510" t="e">
        <f t="shared" si="4"/>
        <v>#REF!</v>
      </c>
    </row>
    <row r="8" spans="1:12" ht="39.950000000000003" customHeight="1">
      <c r="A8" s="489" t="s">
        <v>375</v>
      </c>
      <c r="B8" s="490"/>
      <c r="C8" s="491"/>
      <c r="D8" s="497">
        <f>①ベース事業別内訳!C116</f>
        <v>17400000</v>
      </c>
      <c r="E8" s="498">
        <f>①ベース事業別内訳!D116</f>
        <v>13357000</v>
      </c>
      <c r="F8" s="499">
        <f t="shared" si="2"/>
        <v>4043000</v>
      </c>
      <c r="G8" s="507" t="e">
        <f t="shared" si="0"/>
        <v>#REF!</v>
      </c>
      <c r="H8" s="499">
        <f>F8</f>
        <v>4043000</v>
      </c>
      <c r="I8" s="507" t="e">
        <f t="shared" si="1"/>
        <v>#REF!</v>
      </c>
      <c r="J8" s="499" t="e">
        <f t="shared" si="5"/>
        <v>#REF!</v>
      </c>
      <c r="K8" s="501" t="e">
        <f t="shared" si="3"/>
        <v>#REF!</v>
      </c>
      <c r="L8" s="510" t="e">
        <f t="shared" si="4"/>
        <v>#REF!</v>
      </c>
    </row>
    <row r="9" spans="1:12" ht="39.950000000000003" customHeight="1">
      <c r="A9" s="489" t="s">
        <v>180</v>
      </c>
      <c r="B9" s="490"/>
      <c r="C9" s="491"/>
      <c r="D9" s="497">
        <f>①ベース事業別内訳!C147</f>
        <v>31747000</v>
      </c>
      <c r="E9" s="498">
        <f>①ベース事業別内訳!D147</f>
        <v>26310000</v>
      </c>
      <c r="F9" s="499">
        <f t="shared" si="2"/>
        <v>5437000</v>
      </c>
      <c r="G9" s="507" t="e">
        <f t="shared" si="0"/>
        <v>#REF!</v>
      </c>
      <c r="H9" s="499">
        <f>F9</f>
        <v>5437000</v>
      </c>
      <c r="I9" s="507" t="e">
        <f t="shared" si="1"/>
        <v>#REF!</v>
      </c>
      <c r="J9" s="499" t="e">
        <f t="shared" si="5"/>
        <v>#REF!</v>
      </c>
      <c r="K9" s="501" t="e">
        <f t="shared" si="3"/>
        <v>#REF!</v>
      </c>
      <c r="L9" s="510" t="e">
        <f t="shared" si="4"/>
        <v>#REF!</v>
      </c>
    </row>
    <row r="10" spans="1:12" ht="39.950000000000003" customHeight="1">
      <c r="A10" s="489" t="s">
        <v>178</v>
      </c>
      <c r="B10" s="490"/>
      <c r="C10" s="491"/>
      <c r="D10" s="497">
        <f>①ベース事業別内訳!C178</f>
        <v>45119000</v>
      </c>
      <c r="E10" s="498">
        <f>①ベース事業別内訳!D178</f>
        <v>43694000</v>
      </c>
      <c r="F10" s="499">
        <f t="shared" si="2"/>
        <v>1425000</v>
      </c>
      <c r="G10" s="507" t="e">
        <f t="shared" si="0"/>
        <v>#REF!</v>
      </c>
      <c r="H10" s="499"/>
      <c r="I10" s="507" t="e">
        <f t="shared" si="1"/>
        <v>#REF!</v>
      </c>
      <c r="J10" s="499" t="e">
        <f t="shared" si="5"/>
        <v>#REF!</v>
      </c>
      <c r="K10" s="501" t="e">
        <f t="shared" si="3"/>
        <v>#REF!</v>
      </c>
      <c r="L10" s="510" t="e">
        <f t="shared" si="4"/>
        <v>#REF!</v>
      </c>
    </row>
    <row r="11" spans="1:12" ht="39.950000000000003" customHeight="1">
      <c r="A11" s="489" t="s">
        <v>376</v>
      </c>
      <c r="B11" s="490"/>
      <c r="C11" s="491"/>
      <c r="D11" s="497">
        <f>①ベース事業別内訳!C330</f>
        <v>281000</v>
      </c>
      <c r="E11" s="498">
        <f>①ベース事業別内訳!D330</f>
        <v>173000</v>
      </c>
      <c r="F11" s="499">
        <f>D11-E11</f>
        <v>108000</v>
      </c>
      <c r="G11" s="507" t="e">
        <f t="shared" si="0"/>
        <v>#REF!</v>
      </c>
      <c r="H11" s="499">
        <f>F11</f>
        <v>108000</v>
      </c>
      <c r="I11" s="507" t="e">
        <f t="shared" si="1"/>
        <v>#REF!</v>
      </c>
      <c r="J11" s="499" t="e">
        <f t="shared" si="5"/>
        <v>#REF!</v>
      </c>
      <c r="K11" s="501" t="e">
        <f>E11+J11</f>
        <v>#REF!</v>
      </c>
      <c r="L11" s="510" t="e">
        <f>D11-K11</f>
        <v>#REF!</v>
      </c>
    </row>
    <row r="12" spans="1:12" ht="39.950000000000003" customHeight="1">
      <c r="A12" s="489" t="s">
        <v>472</v>
      </c>
      <c r="B12" s="490"/>
      <c r="C12" s="491"/>
      <c r="D12" s="497" t="e">
        <f>①ベース事業別内訳!#REF!</f>
        <v>#REF!</v>
      </c>
      <c r="E12" s="498" t="e">
        <f>①ベース事業別内訳!#REF!</f>
        <v>#REF!</v>
      </c>
      <c r="F12" s="499" t="e">
        <f>D12-E12</f>
        <v>#REF!</v>
      </c>
      <c r="G12" s="507" t="e">
        <f t="shared" si="0"/>
        <v>#REF!</v>
      </c>
      <c r="H12" s="499" t="e">
        <f>F12</f>
        <v>#REF!</v>
      </c>
      <c r="I12" s="507" t="e">
        <f t="shared" si="1"/>
        <v>#REF!</v>
      </c>
      <c r="J12" s="499" t="e">
        <f t="shared" si="5"/>
        <v>#REF!</v>
      </c>
      <c r="K12" s="501" t="e">
        <f>E12+J12</f>
        <v>#REF!</v>
      </c>
      <c r="L12" s="510" t="e">
        <f>D12-K12</f>
        <v>#REF!</v>
      </c>
    </row>
    <row r="13" spans="1:12" ht="39.950000000000003" customHeight="1">
      <c r="A13" s="489" t="s">
        <v>468</v>
      </c>
      <c r="B13" s="490"/>
      <c r="C13" s="491"/>
      <c r="D13" s="497">
        <f>①ベース事業別内訳!C205</f>
        <v>25247000</v>
      </c>
      <c r="E13" s="498">
        <f>①ベース事業別内訳!D205</f>
        <v>24395000</v>
      </c>
      <c r="F13" s="499">
        <f>D13-E13</f>
        <v>852000</v>
      </c>
      <c r="G13" s="507" t="e">
        <f t="shared" ref="G13:G19" si="6">F13/$F$20</f>
        <v>#REF!</v>
      </c>
      <c r="H13" s="499">
        <v>0</v>
      </c>
      <c r="I13" s="507" t="e">
        <f>H13/$H$20</f>
        <v>#REF!</v>
      </c>
      <c r="J13" s="499" t="e">
        <f t="shared" si="5"/>
        <v>#REF!</v>
      </c>
      <c r="K13" s="501" t="e">
        <f>E13+J13</f>
        <v>#REF!</v>
      </c>
      <c r="L13" s="510" t="e">
        <f>D13-K13</f>
        <v>#REF!</v>
      </c>
    </row>
    <row r="14" spans="1:12" ht="39.950000000000003" customHeight="1">
      <c r="A14" s="489" t="s">
        <v>469</v>
      </c>
      <c r="B14" s="490"/>
      <c r="C14" s="491"/>
      <c r="D14" s="497">
        <f>①ベース事業別内訳!C232</f>
        <v>7543000</v>
      </c>
      <c r="E14" s="498">
        <f>①ベース事業別内訳!D232</f>
        <v>5036000</v>
      </c>
      <c r="F14" s="499">
        <f>D14-E14</f>
        <v>2507000</v>
      </c>
      <c r="G14" s="507" t="e">
        <f t="shared" si="6"/>
        <v>#REF!</v>
      </c>
      <c r="H14" s="499">
        <v>0</v>
      </c>
      <c r="I14" s="507" t="e">
        <f>H14/$H$20</f>
        <v>#REF!</v>
      </c>
      <c r="J14" s="499" t="e">
        <f t="shared" si="5"/>
        <v>#REF!</v>
      </c>
      <c r="K14" s="501" t="e">
        <f>E14+J14</f>
        <v>#REF!</v>
      </c>
      <c r="L14" s="510" t="e">
        <f>D14-K14</f>
        <v>#REF!</v>
      </c>
    </row>
    <row r="15" spans="1:12" ht="39.950000000000003" customHeight="1">
      <c r="A15" s="489" t="s">
        <v>168</v>
      </c>
      <c r="B15" s="490"/>
      <c r="C15" s="491"/>
      <c r="D15" s="497">
        <f>①ベース事業別内訳!C260</f>
        <v>9167000</v>
      </c>
      <c r="E15" s="498">
        <f>①ベース事業別内訳!D260</f>
        <v>8525000</v>
      </c>
      <c r="F15" s="499">
        <f>D15-E15</f>
        <v>642000</v>
      </c>
      <c r="G15" s="507" t="e">
        <f t="shared" si="6"/>
        <v>#REF!</v>
      </c>
      <c r="H15" s="499">
        <f>F15</f>
        <v>642000</v>
      </c>
      <c r="I15" s="507" t="e">
        <f t="shared" ref="I15:I20" si="7">H15/$H$20</f>
        <v>#REF!</v>
      </c>
      <c r="J15" s="499" t="e">
        <f t="shared" si="5"/>
        <v>#REF!</v>
      </c>
      <c r="K15" s="501" t="e">
        <f>E15+J15</f>
        <v>#REF!</v>
      </c>
      <c r="L15" s="510" t="e">
        <f>D15-K15</f>
        <v>#REF!</v>
      </c>
    </row>
    <row r="16" spans="1:12" ht="39.950000000000003" customHeight="1">
      <c r="A16" s="489" t="s">
        <v>470</v>
      </c>
      <c r="B16" s="490"/>
      <c r="C16" s="491"/>
      <c r="D16" s="497">
        <f>①ベース事業別内訳!C291</f>
        <v>11581000</v>
      </c>
      <c r="E16" s="498">
        <f>①ベース事業別内訳!D291</f>
        <v>8425000</v>
      </c>
      <c r="F16" s="499">
        <f t="shared" si="2"/>
        <v>3156000</v>
      </c>
      <c r="G16" s="507" t="e">
        <f t="shared" si="6"/>
        <v>#REF!</v>
      </c>
      <c r="H16" s="499">
        <f>F16</f>
        <v>3156000</v>
      </c>
      <c r="I16" s="507" t="e">
        <f t="shared" si="7"/>
        <v>#REF!</v>
      </c>
      <c r="J16" s="499" t="e">
        <f t="shared" si="5"/>
        <v>#REF!</v>
      </c>
      <c r="K16" s="501" t="e">
        <f t="shared" si="3"/>
        <v>#REF!</v>
      </c>
      <c r="L16" s="510" t="e">
        <f t="shared" si="4"/>
        <v>#REF!</v>
      </c>
    </row>
    <row r="17" spans="1:12" ht="39.950000000000003" customHeight="1">
      <c r="A17" s="489" t="s">
        <v>471</v>
      </c>
      <c r="B17" s="490"/>
      <c r="C17" s="491"/>
      <c r="D17" s="497">
        <f>①ベース事業別内訳!C319</f>
        <v>9424000</v>
      </c>
      <c r="E17" s="498">
        <f>①ベース事業別内訳!D319</f>
        <v>8604000</v>
      </c>
      <c r="F17" s="499">
        <f>D17-E17</f>
        <v>820000</v>
      </c>
      <c r="G17" s="507" t="e">
        <f t="shared" si="6"/>
        <v>#REF!</v>
      </c>
      <c r="H17" s="499">
        <v>0</v>
      </c>
      <c r="I17" s="507" t="e">
        <f t="shared" si="7"/>
        <v>#REF!</v>
      </c>
      <c r="J17" s="499" t="e">
        <f t="shared" si="5"/>
        <v>#REF!</v>
      </c>
      <c r="K17" s="501" t="e">
        <f>E17+J17</f>
        <v>#REF!</v>
      </c>
      <c r="L17" s="510" t="e">
        <f>D17-K17</f>
        <v>#REF!</v>
      </c>
    </row>
    <row r="18" spans="1:12" ht="39.950000000000003" customHeight="1">
      <c r="A18" s="489" t="s">
        <v>167</v>
      </c>
      <c r="B18" s="490"/>
      <c r="C18" s="491"/>
      <c r="D18" s="497">
        <f>①ベース事業別内訳!C358</f>
        <v>5000000</v>
      </c>
      <c r="E18" s="498">
        <f>①ベース事業別内訳!D358</f>
        <v>5000000</v>
      </c>
      <c r="F18" s="499">
        <f>D18-E18</f>
        <v>0</v>
      </c>
      <c r="G18" s="507" t="e">
        <f t="shared" si="6"/>
        <v>#REF!</v>
      </c>
      <c r="H18" s="499">
        <v>0</v>
      </c>
      <c r="I18" s="507" t="e">
        <f t="shared" si="7"/>
        <v>#REF!</v>
      </c>
      <c r="J18" s="499" t="e">
        <f t="shared" si="5"/>
        <v>#REF!</v>
      </c>
      <c r="K18" s="501" t="e">
        <f>E18+J18</f>
        <v>#REF!</v>
      </c>
      <c r="L18" s="510" t="e">
        <f>D18-K18</f>
        <v>#REF!</v>
      </c>
    </row>
    <row r="19" spans="1:12" ht="39.950000000000003" customHeight="1">
      <c r="A19" s="489" t="s">
        <v>158</v>
      </c>
      <c r="B19" s="490"/>
      <c r="C19" s="491"/>
      <c r="D19" s="497">
        <f>①ベース事業別内訳!C377</f>
        <v>619000</v>
      </c>
      <c r="E19" s="498">
        <f>①ベース事業別内訳!D377</f>
        <v>140000</v>
      </c>
      <c r="F19" s="499">
        <f t="shared" si="2"/>
        <v>479000</v>
      </c>
      <c r="G19" s="507" t="e">
        <f t="shared" si="6"/>
        <v>#REF!</v>
      </c>
      <c r="H19" s="499">
        <f>F19</f>
        <v>479000</v>
      </c>
      <c r="I19" s="507" t="e">
        <f>H19/$H$20</f>
        <v>#REF!</v>
      </c>
      <c r="J19" s="499" t="e">
        <f>-$F$21*I19</f>
        <v>#REF!</v>
      </c>
      <c r="K19" s="501" t="e">
        <f t="shared" si="3"/>
        <v>#REF!</v>
      </c>
      <c r="L19" s="510" t="e">
        <f t="shared" si="4"/>
        <v>#REF!</v>
      </c>
    </row>
    <row r="20" spans="1:12" ht="24.95" customHeight="1">
      <c r="A20" s="496" t="s">
        <v>386</v>
      </c>
      <c r="B20" s="492" t="s">
        <v>382</v>
      </c>
      <c r="C20" s="493"/>
      <c r="D20" s="502" t="e">
        <f>SUM(D5:D19)</f>
        <v>#REF!</v>
      </c>
      <c r="E20" s="503" t="e">
        <f>SUM(E5:E19)</f>
        <v>#REF!</v>
      </c>
      <c r="F20" s="504" t="e">
        <f>SUM(F5:F19)</f>
        <v>#REF!</v>
      </c>
      <c r="G20" s="508"/>
      <c r="H20" s="504" t="e">
        <f>SUM(H5:H19)</f>
        <v>#REF!</v>
      </c>
      <c r="I20" s="508" t="e">
        <f t="shared" si="7"/>
        <v>#REF!</v>
      </c>
      <c r="J20" s="504" t="e">
        <f>SUM(J5:J19)</f>
        <v>#REF!</v>
      </c>
      <c r="K20" s="505" t="e">
        <f>SUM(K5:K19)</f>
        <v>#REF!</v>
      </c>
      <c r="L20" s="511" t="e">
        <f>SUM(L5:L19)</f>
        <v>#REF!</v>
      </c>
    </row>
    <row r="21" spans="1:12" ht="39.950000000000003" customHeight="1">
      <c r="A21" s="489" t="s">
        <v>381</v>
      </c>
      <c r="B21" s="490" t="s">
        <v>383</v>
      </c>
      <c r="C21" s="491"/>
      <c r="D21" s="497">
        <f>①ベース事業別内訳!C469</f>
        <v>0</v>
      </c>
      <c r="E21" s="498">
        <f>①ベース事業別内訳!D469</f>
        <v>33336000</v>
      </c>
      <c r="F21" s="499">
        <f>D21-E21</f>
        <v>-33336000</v>
      </c>
      <c r="G21" s="507"/>
      <c r="H21" s="499"/>
      <c r="I21" s="507"/>
      <c r="J21" s="500"/>
      <c r="K21" s="506"/>
      <c r="L21" s="510"/>
    </row>
    <row r="22" spans="1:12" ht="39.950000000000003" customHeight="1">
      <c r="A22" s="496" t="s">
        <v>387</v>
      </c>
      <c r="B22" s="492" t="s">
        <v>384</v>
      </c>
      <c r="C22" s="493" t="s">
        <v>385</v>
      </c>
      <c r="D22" s="502" t="e">
        <f>D20+D21</f>
        <v>#REF!</v>
      </c>
      <c r="E22" s="503" t="e">
        <f>E20+E21</f>
        <v>#REF!</v>
      </c>
      <c r="F22" s="504" t="e">
        <f>F20+F21</f>
        <v>#REF!</v>
      </c>
      <c r="G22" s="508"/>
      <c r="H22" s="504" t="e">
        <f>H20+H21</f>
        <v>#REF!</v>
      </c>
      <c r="I22" s="508"/>
      <c r="J22" s="504"/>
      <c r="K22" s="505"/>
      <c r="L22" s="511" t="e">
        <f>L20+L21</f>
        <v>#REF!</v>
      </c>
    </row>
    <row r="23" spans="1:12" ht="20.100000000000001" customHeight="1"/>
    <row r="24" spans="1:12" ht="20.100000000000001" customHeight="1"/>
    <row r="25" spans="1:12" ht="20.100000000000001" customHeight="1"/>
  </sheetData>
  <mergeCells count="6">
    <mergeCell ref="A1:L1"/>
    <mergeCell ref="L3:L4"/>
    <mergeCell ref="D3:D4"/>
    <mergeCell ref="E3:K3"/>
    <mergeCell ref="A3:C4"/>
    <mergeCell ref="A2:L2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4"/>
  <sheetViews>
    <sheetView zoomScale="70" zoomScaleNormal="70" workbookViewId="0">
      <pane xSplit="3" ySplit="6" topLeftCell="D7" activePane="bottomRight" state="frozen"/>
      <selection activeCell="F33" sqref="F33"/>
      <selection pane="topRight" activeCell="F33" sqref="F33"/>
      <selection pane="bottomLeft" activeCell="F33" sqref="F33"/>
      <selection pane="bottomRight" activeCell="AE40" sqref="AE40"/>
    </sheetView>
  </sheetViews>
  <sheetFormatPr defaultColWidth="9" defaultRowHeight="13.5"/>
  <cols>
    <col min="1" max="1" width="4" style="612" customWidth="1"/>
    <col min="2" max="2" width="24.125" style="5" bestFit="1" customWidth="1"/>
    <col min="3" max="3" width="5.5" style="1" hidden="1" customWidth="1"/>
    <col min="4" max="4" width="13" style="613" bestFit="1" customWidth="1"/>
    <col min="5" max="5" width="6.75" style="191" hidden="1" customWidth="1"/>
    <col min="6" max="6" width="13" style="613" bestFit="1" customWidth="1"/>
    <col min="7" max="7" width="12.875" style="613" hidden="1" customWidth="1"/>
    <col min="8" max="8" width="5.25" style="193" hidden="1" customWidth="1"/>
    <col min="9" max="9" width="13.75" style="613" hidden="1" customWidth="1"/>
    <col min="10" max="10" width="15.125" style="614" hidden="1" customWidth="1"/>
    <col min="11" max="11" width="7.875" style="944" hidden="1" customWidth="1"/>
    <col min="12" max="12" width="2.875" style="1031" hidden="1" customWidth="1"/>
    <col min="13" max="13" width="12.5" style="613" customWidth="1"/>
    <col min="14" max="14" width="7.75" style="829" hidden="1" customWidth="1"/>
    <col min="15" max="15" width="15.125" style="614" customWidth="1"/>
    <col min="16" max="16" width="15.375" style="614" bestFit="1" customWidth="1"/>
    <col min="17" max="17" width="3.5" style="931" hidden="1" customWidth="1"/>
    <col min="18" max="18" width="12.875" style="936" hidden="1" customWidth="1"/>
    <col min="19" max="19" width="3.875" style="193" hidden="1" customWidth="1"/>
    <col min="20" max="20" width="11.625" style="518" hidden="1" customWidth="1"/>
    <col min="21" max="21" width="3.875" style="5" hidden="1" customWidth="1"/>
    <col min="22" max="22" width="13.125" style="5" hidden="1" customWidth="1"/>
    <col min="23" max="23" width="3.875" style="5" hidden="1" customWidth="1"/>
    <col min="24" max="24" width="9" style="5" hidden="1" customWidth="1"/>
    <col min="25" max="25" width="11.75" style="5" hidden="1" customWidth="1"/>
    <col min="26" max="26" width="14.375" style="5" bestFit="1" customWidth="1"/>
    <col min="27" max="16384" width="9" style="5"/>
  </cols>
  <sheetData>
    <row r="1" spans="1:25" ht="18.75">
      <c r="A1" s="1269" t="s">
        <v>800</v>
      </c>
      <c r="B1" s="1269"/>
      <c r="C1" s="1269"/>
      <c r="D1" s="1269"/>
      <c r="E1" s="1269"/>
      <c r="F1" s="1269"/>
      <c r="G1" s="1269"/>
      <c r="H1" s="1269"/>
      <c r="I1" s="1269"/>
      <c r="J1" s="1269"/>
      <c r="K1" s="1269"/>
      <c r="L1" s="1269"/>
      <c r="M1" s="1269"/>
      <c r="N1" s="1269"/>
      <c r="O1" s="1269"/>
      <c r="P1" s="1269"/>
      <c r="Q1" s="932"/>
    </row>
    <row r="2" spans="1:25">
      <c r="A2" s="1270" t="s">
        <v>410</v>
      </c>
      <c r="B2" s="1270"/>
      <c r="C2" s="1270"/>
      <c r="D2" s="1270"/>
      <c r="E2" s="1270"/>
      <c r="F2" s="1270"/>
      <c r="G2" s="1270"/>
      <c r="H2" s="1270"/>
      <c r="I2" s="1270"/>
      <c r="J2" s="1270"/>
      <c r="K2" s="1271"/>
      <c r="L2" s="1270"/>
      <c r="M2" s="1270"/>
      <c r="N2" s="1270"/>
      <c r="O2" s="1270"/>
      <c r="P2" s="1270"/>
      <c r="Q2" s="633"/>
    </row>
    <row r="3" spans="1:25" ht="27" customHeight="1">
      <c r="A3" s="1272" t="s">
        <v>411</v>
      </c>
      <c r="B3" s="1273"/>
      <c r="C3" s="1274"/>
      <c r="D3" s="1281" t="s">
        <v>377</v>
      </c>
      <c r="E3" s="832"/>
      <c r="F3" s="1281" t="s">
        <v>378</v>
      </c>
      <c r="G3" s="1283"/>
      <c r="H3" s="1283"/>
      <c r="I3" s="1283"/>
      <c r="J3" s="1283"/>
      <c r="K3" s="1283"/>
      <c r="L3" s="1283"/>
      <c r="M3" s="1283"/>
      <c r="N3" s="1283"/>
      <c r="O3" s="1284"/>
      <c r="P3" s="1285" t="s">
        <v>380</v>
      </c>
      <c r="Q3" s="933"/>
      <c r="R3" s="1248" t="s">
        <v>773</v>
      </c>
      <c r="S3" s="1248"/>
      <c r="T3" s="1248"/>
      <c r="U3" s="1248"/>
      <c r="V3" s="1248"/>
      <c r="W3" s="1248"/>
    </row>
    <row r="4" spans="1:25" ht="18" customHeight="1">
      <c r="A4" s="1275"/>
      <c r="B4" s="1276"/>
      <c r="C4" s="1277"/>
      <c r="D4" s="1282"/>
      <c r="E4" s="1297" t="s">
        <v>482</v>
      </c>
      <c r="F4" s="1291" t="s">
        <v>177</v>
      </c>
      <c r="G4" s="1306"/>
      <c r="H4" s="1306"/>
      <c r="I4" s="1307"/>
      <c r="J4" s="1294" t="s">
        <v>160</v>
      </c>
      <c r="K4" s="1022"/>
      <c r="L4" s="1029"/>
      <c r="M4" s="1300" t="s">
        <v>635</v>
      </c>
      <c r="N4" s="1147"/>
      <c r="O4" s="1288" t="s">
        <v>483</v>
      </c>
      <c r="P4" s="1286"/>
      <c r="Q4" s="933"/>
      <c r="R4" s="1249" t="s">
        <v>636</v>
      </c>
      <c r="S4" s="930"/>
      <c r="T4" s="1243" t="s">
        <v>637</v>
      </c>
      <c r="U4" s="661"/>
      <c r="V4" s="1243" t="s">
        <v>638</v>
      </c>
      <c r="W4" s="661"/>
    </row>
    <row r="5" spans="1:25" ht="18" customHeight="1">
      <c r="A5" s="1275"/>
      <c r="B5" s="1276"/>
      <c r="C5" s="1277"/>
      <c r="D5" s="1282"/>
      <c r="E5" s="1298"/>
      <c r="F5" s="1292"/>
      <c r="G5" s="1305" t="s">
        <v>501</v>
      </c>
      <c r="H5" s="821"/>
      <c r="I5" s="1303" t="s">
        <v>502</v>
      </c>
      <c r="J5" s="1295"/>
      <c r="K5" s="1254" t="s">
        <v>481</v>
      </c>
      <c r="L5" s="1030"/>
      <c r="M5" s="1301"/>
      <c r="N5" s="1308" t="s">
        <v>481</v>
      </c>
      <c r="O5" s="1289"/>
      <c r="P5" s="1286"/>
      <c r="Q5" s="933"/>
      <c r="R5" s="1250"/>
      <c r="S5" s="1252" t="s">
        <v>612</v>
      </c>
      <c r="T5" s="1244"/>
      <c r="U5" s="1246" t="s">
        <v>613</v>
      </c>
      <c r="V5" s="1244"/>
      <c r="W5" s="1246" t="s">
        <v>481</v>
      </c>
    </row>
    <row r="6" spans="1:25">
      <c r="A6" s="1278"/>
      <c r="B6" s="1279"/>
      <c r="C6" s="1280"/>
      <c r="D6" s="1282"/>
      <c r="E6" s="1299"/>
      <c r="F6" s="1293"/>
      <c r="G6" s="1304"/>
      <c r="H6" s="822" t="s">
        <v>506</v>
      </c>
      <c r="I6" s="1304"/>
      <c r="J6" s="1296"/>
      <c r="K6" s="1255"/>
      <c r="L6" s="1030"/>
      <c r="M6" s="1302"/>
      <c r="N6" s="1309"/>
      <c r="O6" s="1290"/>
      <c r="P6" s="1287"/>
      <c r="Q6" s="933"/>
      <c r="R6" s="1251"/>
      <c r="S6" s="1253"/>
      <c r="T6" s="1245"/>
      <c r="U6" s="1247"/>
      <c r="V6" s="1245"/>
      <c r="W6" s="1247"/>
    </row>
    <row r="7" spans="1:25" s="95" customFormat="1" ht="39.950000000000003" customHeight="1">
      <c r="A7" s="1260" t="s">
        <v>474</v>
      </c>
      <c r="B7" s="1259"/>
      <c r="C7" s="1048"/>
      <c r="D7" s="787">
        <f>①ベース事業別内訳!C33</f>
        <v>36093000</v>
      </c>
      <c r="E7" s="833">
        <f t="shared" ref="E7:E21" si="0">ROUND(D7/$D$22,3)</f>
        <v>0.13100000000000001</v>
      </c>
      <c r="F7" s="603">
        <f>①ベース事業別内訳!D33</f>
        <v>29192000</v>
      </c>
      <c r="G7" s="672">
        <f>(①ベース事業別内訳!D8+①ベース事業別内訳!D9+①ベース事業別内訳!D10+①ベース事業別内訳!D11)</f>
        <v>26754000</v>
      </c>
      <c r="H7" s="824">
        <f t="shared" ref="H7:H13" si="1">G7/D7</f>
        <v>0.74125176627046796</v>
      </c>
      <c r="I7" s="672">
        <f>F7-G7</f>
        <v>2438000</v>
      </c>
      <c r="J7" s="604">
        <f>D7-F7</f>
        <v>6901000</v>
      </c>
      <c r="K7" s="1023">
        <f>J7/D7</f>
        <v>0.19120050979414291</v>
      </c>
      <c r="L7" s="1027"/>
      <c r="M7" s="1148">
        <f>ROUNDUP(-$Y$21*N7,0)</f>
        <v>5367096</v>
      </c>
      <c r="N7" s="1055">
        <f>E7+3%</f>
        <v>0.161</v>
      </c>
      <c r="O7" s="1104">
        <f>F7+M7</f>
        <v>34559096</v>
      </c>
      <c r="P7" s="1028">
        <f>D7-O7</f>
        <v>1533904</v>
      </c>
      <c r="Q7" s="931"/>
      <c r="R7" s="605">
        <f>ROUND(D7/12,-3)</f>
        <v>3008000</v>
      </c>
      <c r="S7" s="945"/>
      <c r="T7" s="605">
        <f>ROUND(F7/12,-3)</f>
        <v>2433000</v>
      </c>
      <c r="U7" s="945"/>
      <c r="V7" s="605">
        <f>ROUND(J7/12,-3)</f>
        <v>575000</v>
      </c>
      <c r="W7" s="945"/>
    </row>
    <row r="8" spans="1:25" ht="30" customHeight="1">
      <c r="A8" s="1258" t="s">
        <v>595</v>
      </c>
      <c r="B8" s="1259"/>
      <c r="C8" s="1049"/>
      <c r="D8" s="787">
        <f>①ベース事業別内訳!C62</f>
        <v>55477000</v>
      </c>
      <c r="E8" s="833">
        <f t="shared" si="0"/>
        <v>0.20200000000000001</v>
      </c>
      <c r="F8" s="603">
        <f>①ベース事業別内訳!D62</f>
        <v>37225000</v>
      </c>
      <c r="G8" s="672">
        <f>(①ベース事業別内訳!D38+①ベース事業別内訳!D39+①ベース事業別内訳!D40)</f>
        <v>25886000</v>
      </c>
      <c r="H8" s="824">
        <f t="shared" si="1"/>
        <v>0.46660778340573572</v>
      </c>
      <c r="I8" s="672">
        <f>F8-G8</f>
        <v>11339000</v>
      </c>
      <c r="J8" s="604">
        <f>D8-F8</f>
        <v>18252000</v>
      </c>
      <c r="K8" s="1023">
        <f>J8/D8</f>
        <v>0.3290012077076987</v>
      </c>
      <c r="L8" s="1027"/>
      <c r="M8" s="1148">
        <f>ROUNDUP(-$Y$21*N8,0)</f>
        <v>10734192</v>
      </c>
      <c r="N8" s="1055">
        <f>E8+12%</f>
        <v>0.32200000000000001</v>
      </c>
      <c r="O8" s="1104">
        <f>F8+M8</f>
        <v>47959192</v>
      </c>
      <c r="P8" s="1028">
        <f>D8-O8</f>
        <v>7517808</v>
      </c>
      <c r="R8" s="605">
        <f t="shared" ref="R8:R30" si="2">ROUND(D8/12,-3)</f>
        <v>4623000</v>
      </c>
      <c r="S8" s="597"/>
      <c r="T8" s="605">
        <f t="shared" ref="T8:T30" si="3">ROUND(F8/12,-3)</f>
        <v>3102000</v>
      </c>
      <c r="U8" s="597"/>
      <c r="V8" s="605">
        <f t="shared" ref="V8:V30" si="4">ROUND(J8/12,-3)</f>
        <v>1521000</v>
      </c>
      <c r="W8" s="597"/>
    </row>
    <row r="9" spans="1:25" s="95" customFormat="1" ht="30" customHeight="1">
      <c r="A9" s="942" t="s">
        <v>632</v>
      </c>
      <c r="B9" s="943"/>
      <c r="C9" s="1045"/>
      <c r="D9" s="787">
        <f>①ベース事業別内訳!C406</f>
        <v>5461000</v>
      </c>
      <c r="E9" s="833">
        <f t="shared" si="0"/>
        <v>0.02</v>
      </c>
      <c r="F9" s="603">
        <f>①ベース事業別内訳!D406</f>
        <v>5417000</v>
      </c>
      <c r="G9" s="672">
        <f>①ベース事業別内訳!D382+①ベース事業別内訳!D383+①ベース事業別内訳!D384</f>
        <v>3305000</v>
      </c>
      <c r="H9" s="824">
        <f t="shared" si="1"/>
        <v>0.6052005127266068</v>
      </c>
      <c r="I9" s="672">
        <f>F9-G9</f>
        <v>2112000</v>
      </c>
      <c r="J9" s="604">
        <f>D9-F9</f>
        <v>44000</v>
      </c>
      <c r="K9" s="1023">
        <f>J9/D9</f>
        <v>8.057132393334554E-3</v>
      </c>
      <c r="L9" s="1027"/>
      <c r="M9" s="1148">
        <f>ROUNDUP(-$Y$21*N9,0)</f>
        <v>0</v>
      </c>
      <c r="N9" s="1055">
        <f>E9-2%</f>
        <v>0</v>
      </c>
      <c r="O9" s="1104">
        <f>F9+M9</f>
        <v>5417000</v>
      </c>
      <c r="P9" s="1028">
        <f>D9-O9</f>
        <v>44000</v>
      </c>
      <c r="Q9" s="931"/>
      <c r="R9" s="605">
        <f>ROUND(D9/5,-3)</f>
        <v>1092000</v>
      </c>
      <c r="S9" s="945"/>
      <c r="T9" s="605">
        <f>ROUND(F9/5,-3)</f>
        <v>1083000</v>
      </c>
      <c r="U9" s="945"/>
      <c r="V9" s="605">
        <f>ROUND(J9/5,-3)</f>
        <v>9000</v>
      </c>
      <c r="W9" s="945"/>
    </row>
    <row r="10" spans="1:25" ht="30" customHeight="1">
      <c r="A10" s="1260" t="s">
        <v>478</v>
      </c>
      <c r="B10" s="1259"/>
      <c r="C10" s="1049"/>
      <c r="D10" s="787">
        <f>D11+D12+D13</f>
        <v>52662000</v>
      </c>
      <c r="E10" s="833">
        <f t="shared" si="0"/>
        <v>0.192</v>
      </c>
      <c r="F10" s="603">
        <f>F11+F12+F13</f>
        <v>48730000</v>
      </c>
      <c r="G10" s="672">
        <f>G11+G12+G13</f>
        <v>39992000</v>
      </c>
      <c r="H10" s="824">
        <f t="shared" si="1"/>
        <v>0.75940906156241694</v>
      </c>
      <c r="I10" s="672">
        <f>I11+I12+I13</f>
        <v>8738000</v>
      </c>
      <c r="J10" s="604">
        <f>J11+J12+J13</f>
        <v>3932000</v>
      </c>
      <c r="K10" s="1023">
        <f>J10/D10</f>
        <v>7.4664843720329652E-2</v>
      </c>
      <c r="L10" s="1027"/>
      <c r="M10" s="1148">
        <f>ROUNDUP(-$Y$21*N10,0)</f>
        <v>3900312</v>
      </c>
      <c r="N10" s="1055">
        <f>E10-7.5%</f>
        <v>0.11700000000000001</v>
      </c>
      <c r="O10" s="1104">
        <f>F10+M10</f>
        <v>52630312</v>
      </c>
      <c r="P10" s="1028">
        <f>D10-O10</f>
        <v>31688</v>
      </c>
      <c r="R10" s="605">
        <f>ROUND(D10/12,-3)</f>
        <v>4389000</v>
      </c>
      <c r="S10" s="597"/>
      <c r="T10" s="605">
        <f t="shared" si="3"/>
        <v>4061000</v>
      </c>
      <c r="U10" s="597"/>
      <c r="V10" s="605">
        <f t="shared" si="4"/>
        <v>328000</v>
      </c>
      <c r="W10" s="597"/>
      <c r="Y10" s="173"/>
    </row>
    <row r="11" spans="1:25" ht="20.100000000000001" customHeight="1">
      <c r="A11" s="686"/>
      <c r="B11" s="685" t="s">
        <v>507</v>
      </c>
      <c r="C11" s="1050"/>
      <c r="D11" s="845">
        <f>(①ベース事業別内訳!C148+①ベース事業別内訳!C149)+①ベース事業別内訳!C152</f>
        <v>31619000</v>
      </c>
      <c r="E11" s="834">
        <f t="shared" si="0"/>
        <v>0.115</v>
      </c>
      <c r="F11" s="682">
        <f>①ベース事業別内訳!D178-F12</f>
        <v>30514000</v>
      </c>
      <c r="G11" s="683">
        <f>(①ベース事業別内訳!D153+①ベース事業別内訳!D155+①ベース事業別内訳!D156)</f>
        <v>26488000</v>
      </c>
      <c r="H11" s="823">
        <f t="shared" si="1"/>
        <v>0.83772415319902593</v>
      </c>
      <c r="I11" s="683">
        <f t="shared" ref="I11:I16" si="5">F11-G11</f>
        <v>4026000</v>
      </c>
      <c r="J11" s="684">
        <f t="shared" ref="J11:J16" si="6">D11-F11</f>
        <v>1105000</v>
      </c>
      <c r="K11" s="1024">
        <f t="shared" ref="K11:K30" si="7">J11/D11</f>
        <v>3.4947341788165345E-2</v>
      </c>
      <c r="L11" s="1027"/>
      <c r="M11" s="1149"/>
      <c r="N11" s="1150"/>
      <c r="O11" s="1105"/>
      <c r="P11" s="1066"/>
      <c r="R11" s="605">
        <f t="shared" si="2"/>
        <v>2635000</v>
      </c>
      <c r="S11" s="597"/>
      <c r="T11" s="605">
        <f t="shared" si="3"/>
        <v>2543000</v>
      </c>
      <c r="U11" s="597"/>
      <c r="V11" s="605">
        <f t="shared" si="4"/>
        <v>92000</v>
      </c>
      <c r="W11" s="597"/>
    </row>
    <row r="12" spans="1:25" ht="20.100000000000001" customHeight="1">
      <c r="A12" s="686"/>
      <c r="B12" s="685" t="s">
        <v>508</v>
      </c>
      <c r="C12" s="1050"/>
      <c r="D12" s="845">
        <f>①ベース事業別内訳!C150</f>
        <v>13500000</v>
      </c>
      <c r="E12" s="834">
        <f t="shared" si="0"/>
        <v>4.9000000000000002E-2</v>
      </c>
      <c r="F12" s="682">
        <f>G12</f>
        <v>13180000</v>
      </c>
      <c r="G12" s="683">
        <f>①ベース事業別内訳!D154</f>
        <v>13180000</v>
      </c>
      <c r="H12" s="823">
        <f t="shared" si="1"/>
        <v>0.97629629629629633</v>
      </c>
      <c r="I12" s="683">
        <f t="shared" si="5"/>
        <v>0</v>
      </c>
      <c r="J12" s="684">
        <f t="shared" si="6"/>
        <v>320000</v>
      </c>
      <c r="K12" s="1024">
        <f t="shared" si="7"/>
        <v>2.3703703703703703E-2</v>
      </c>
      <c r="L12" s="1027"/>
      <c r="M12" s="1149"/>
      <c r="N12" s="1150"/>
      <c r="O12" s="1105"/>
      <c r="P12" s="1066"/>
      <c r="R12" s="605">
        <f t="shared" si="2"/>
        <v>1125000</v>
      </c>
      <c r="S12" s="597"/>
      <c r="T12" s="605">
        <f t="shared" si="3"/>
        <v>1098000</v>
      </c>
      <c r="U12" s="597"/>
      <c r="V12" s="605">
        <f t="shared" si="4"/>
        <v>27000</v>
      </c>
      <c r="W12" s="597"/>
    </row>
    <row r="13" spans="1:25" ht="20.100000000000001" customHeight="1">
      <c r="A13" s="313"/>
      <c r="B13" s="681" t="s">
        <v>616</v>
      </c>
      <c r="C13" s="1051"/>
      <c r="D13" s="845">
        <f>①ベース事業別内訳!C232</f>
        <v>7543000</v>
      </c>
      <c r="E13" s="834">
        <f t="shared" si="0"/>
        <v>2.7E-2</v>
      </c>
      <c r="F13" s="682">
        <f>①ベース事業別内訳!D232</f>
        <v>5036000</v>
      </c>
      <c r="G13" s="683">
        <f>(①ベース事業別内訳!D208+①ベース事業別内訳!D209+①ベース事業別内訳!D210)</f>
        <v>324000</v>
      </c>
      <c r="H13" s="823">
        <f t="shared" si="1"/>
        <v>4.2953731936895133E-2</v>
      </c>
      <c r="I13" s="683">
        <f t="shared" si="5"/>
        <v>4712000</v>
      </c>
      <c r="J13" s="684">
        <f t="shared" si="6"/>
        <v>2507000</v>
      </c>
      <c r="K13" s="1024">
        <f t="shared" si="7"/>
        <v>0.33236112952406205</v>
      </c>
      <c r="L13" s="1027"/>
      <c r="M13" s="1149"/>
      <c r="N13" s="1150"/>
      <c r="O13" s="1105"/>
      <c r="P13" s="1066"/>
      <c r="R13" s="605">
        <f t="shared" si="2"/>
        <v>629000</v>
      </c>
      <c r="S13" s="597"/>
      <c r="T13" s="605">
        <f t="shared" si="3"/>
        <v>420000</v>
      </c>
      <c r="U13" s="597"/>
      <c r="V13" s="605">
        <f t="shared" si="4"/>
        <v>209000</v>
      </c>
      <c r="W13" s="597"/>
    </row>
    <row r="14" spans="1:25" s="95" customFormat="1" ht="30" customHeight="1">
      <c r="A14" s="1260" t="s">
        <v>633</v>
      </c>
      <c r="B14" s="1267"/>
      <c r="C14" s="1268"/>
      <c r="D14" s="787">
        <f>①ベース事業別内訳!C205</f>
        <v>25247000</v>
      </c>
      <c r="E14" s="833">
        <f t="shared" si="0"/>
        <v>9.1999999999999998E-2</v>
      </c>
      <c r="F14" s="603">
        <f>①ベース事業別内訳!D205</f>
        <v>24395000</v>
      </c>
      <c r="G14" s="672">
        <f>(①ベース事業別内訳!D181+①ベース事業別内訳!D182+①ベース事業別内訳!D183)</f>
        <v>4214000</v>
      </c>
      <c r="H14" s="824">
        <f t="shared" ref="H14:H20" si="8">G14/D14</f>
        <v>0.16691092010931993</v>
      </c>
      <c r="I14" s="672">
        <f>F14-G14</f>
        <v>20181000</v>
      </c>
      <c r="J14" s="604">
        <f t="shared" si="6"/>
        <v>852000</v>
      </c>
      <c r="K14" s="1023">
        <f t="shared" si="7"/>
        <v>3.3746583752525053E-2</v>
      </c>
      <c r="L14" s="1027"/>
      <c r="M14" s="1148">
        <f>ROUNDUP(-$Y$21*N14,0)</f>
        <v>733392</v>
      </c>
      <c r="N14" s="1055">
        <f>E14-7%</f>
        <v>2.1999999999999992E-2</v>
      </c>
      <c r="O14" s="1104">
        <f>F14+M14</f>
        <v>25128392</v>
      </c>
      <c r="P14" s="1028">
        <f>D14-O14</f>
        <v>118608</v>
      </c>
      <c r="Q14" s="931"/>
      <c r="R14" s="605">
        <f t="shared" si="2"/>
        <v>2104000</v>
      </c>
      <c r="S14" s="945"/>
      <c r="T14" s="605">
        <f t="shared" si="3"/>
        <v>2033000</v>
      </c>
      <c r="U14" s="945"/>
      <c r="V14" s="605">
        <f t="shared" si="4"/>
        <v>71000</v>
      </c>
      <c r="W14" s="945"/>
    </row>
    <row r="15" spans="1:25" ht="30" customHeight="1">
      <c r="A15" s="1258" t="s">
        <v>476</v>
      </c>
      <c r="B15" s="1259"/>
      <c r="C15" s="1049"/>
      <c r="D15" s="787">
        <f>①ベース事業別内訳!C116</f>
        <v>17400000</v>
      </c>
      <c r="E15" s="833">
        <f t="shared" si="0"/>
        <v>6.3E-2</v>
      </c>
      <c r="F15" s="603">
        <f>①ベース事業別内訳!D116</f>
        <v>13357000</v>
      </c>
      <c r="G15" s="672">
        <f>(①ベース事業別内訳!D92+①ベース事業別内訳!D93+①ベース事業別内訳!D94)</f>
        <v>12301000</v>
      </c>
      <c r="H15" s="824">
        <f t="shared" si="8"/>
        <v>0.70695402298850574</v>
      </c>
      <c r="I15" s="672">
        <f t="shared" si="5"/>
        <v>1056000</v>
      </c>
      <c r="J15" s="604">
        <f t="shared" si="6"/>
        <v>4043000</v>
      </c>
      <c r="K15" s="1023">
        <f t="shared" si="7"/>
        <v>0.23235632183908045</v>
      </c>
      <c r="L15" s="1027"/>
      <c r="M15" s="1148">
        <f>ROUNDUP(-$Y$21*N15,0)</f>
        <v>2100168</v>
      </c>
      <c r="N15" s="1055">
        <f>E15</f>
        <v>6.3E-2</v>
      </c>
      <c r="O15" s="1104">
        <f t="shared" ref="O15:O21" si="9">F15+M15</f>
        <v>15457168</v>
      </c>
      <c r="P15" s="1028">
        <f>D15-O15</f>
        <v>1942832</v>
      </c>
      <c r="R15" s="605">
        <f>ROUND(D15/12,-3)</f>
        <v>1450000</v>
      </c>
      <c r="S15" s="597"/>
      <c r="T15" s="605">
        <f t="shared" si="3"/>
        <v>1113000</v>
      </c>
      <c r="U15" s="597"/>
      <c r="V15" s="605">
        <f t="shared" si="4"/>
        <v>337000</v>
      </c>
      <c r="W15" s="597"/>
    </row>
    <row r="16" spans="1:25" ht="30" customHeight="1">
      <c r="A16" s="1258" t="s">
        <v>569</v>
      </c>
      <c r="B16" s="1259"/>
      <c r="C16" s="1048"/>
      <c r="D16" s="787">
        <f>①ベース事業別内訳!C90</f>
        <v>20259000</v>
      </c>
      <c r="E16" s="833">
        <f t="shared" si="0"/>
        <v>7.3999999999999996E-2</v>
      </c>
      <c r="F16" s="603">
        <f>①ベース事業別内訳!D90</f>
        <v>16935000</v>
      </c>
      <c r="G16" s="672">
        <f>(①ベース事業別内訳!D66+①ベース事業別内訳!D67+①ベース事業別内訳!D68)</f>
        <v>12806000</v>
      </c>
      <c r="H16" s="824">
        <f t="shared" si="8"/>
        <v>0.63211412211856455</v>
      </c>
      <c r="I16" s="672">
        <f t="shared" si="5"/>
        <v>4129000</v>
      </c>
      <c r="J16" s="604">
        <f t="shared" si="6"/>
        <v>3324000</v>
      </c>
      <c r="K16" s="1023">
        <f t="shared" si="7"/>
        <v>0.164075225825559</v>
      </c>
      <c r="L16" s="1027"/>
      <c r="M16" s="1148">
        <f>ROUNDUP(-$Y$21*N16,0)</f>
        <v>2466864</v>
      </c>
      <c r="N16" s="1055">
        <f>E16</f>
        <v>7.3999999999999996E-2</v>
      </c>
      <c r="O16" s="1104">
        <f t="shared" si="9"/>
        <v>19401864</v>
      </c>
      <c r="P16" s="1028">
        <f>D16-O16</f>
        <v>857136</v>
      </c>
      <c r="R16" s="605">
        <f t="shared" si="2"/>
        <v>1688000</v>
      </c>
      <c r="S16" s="597"/>
      <c r="T16" s="605">
        <f t="shared" si="3"/>
        <v>1411000</v>
      </c>
      <c r="U16" s="597"/>
      <c r="V16" s="605">
        <f t="shared" si="4"/>
        <v>277000</v>
      </c>
      <c r="W16" s="597"/>
    </row>
    <row r="17" spans="1:26" ht="30" customHeight="1">
      <c r="A17" s="1260" t="s">
        <v>488</v>
      </c>
      <c r="B17" s="1259"/>
      <c r="C17" s="1049"/>
      <c r="D17" s="787">
        <f>D18+D19</f>
        <v>21005000</v>
      </c>
      <c r="E17" s="833">
        <f t="shared" si="0"/>
        <v>7.6999999999999999E-2</v>
      </c>
      <c r="F17" s="603">
        <f>F18+F19</f>
        <v>17029000</v>
      </c>
      <c r="G17" s="672">
        <f>G18+G19</f>
        <v>13079000</v>
      </c>
      <c r="H17" s="824">
        <f t="shared" si="8"/>
        <v>0.6226612711259224</v>
      </c>
      <c r="I17" s="672">
        <f>I18+I19</f>
        <v>3950000</v>
      </c>
      <c r="J17" s="604">
        <f>J18+J19</f>
        <v>3976000</v>
      </c>
      <c r="K17" s="1023">
        <f t="shared" si="7"/>
        <v>0.18928826469888121</v>
      </c>
      <c r="L17" s="1027"/>
      <c r="M17" s="1148">
        <f>ROUNDUP(-$Y$21*N17,0)</f>
        <v>2566872</v>
      </c>
      <c r="N17" s="1055">
        <f>E17</f>
        <v>7.6999999999999999E-2</v>
      </c>
      <c r="O17" s="1104">
        <f t="shared" si="9"/>
        <v>19595872</v>
      </c>
      <c r="P17" s="1028">
        <f>D17-O17</f>
        <v>1409128</v>
      </c>
      <c r="R17" s="605">
        <f t="shared" si="2"/>
        <v>1750000</v>
      </c>
      <c r="S17" s="597"/>
      <c r="T17" s="605">
        <f t="shared" si="3"/>
        <v>1419000</v>
      </c>
      <c r="U17" s="597"/>
      <c r="V17" s="605">
        <f t="shared" si="4"/>
        <v>331000</v>
      </c>
      <c r="W17" s="597"/>
      <c r="Y17" s="173"/>
    </row>
    <row r="18" spans="1:26" ht="20.100000000000001" customHeight="1">
      <c r="A18" s="659"/>
      <c r="B18" s="681" t="s">
        <v>470</v>
      </c>
      <c r="C18" s="1051"/>
      <c r="D18" s="845">
        <f>①ベース事業別内訳!C291</f>
        <v>11581000</v>
      </c>
      <c r="E18" s="834">
        <f t="shared" si="0"/>
        <v>4.2000000000000003E-2</v>
      </c>
      <c r="F18" s="682">
        <f>①ベース事業別内訳!D291</f>
        <v>8425000</v>
      </c>
      <c r="G18" s="683">
        <f>(①ベース事業別内訳!D265+①ベース事業別内訳!D266+①ベース事業別内訳!D267)</f>
        <v>6157000</v>
      </c>
      <c r="H18" s="823">
        <f t="shared" si="8"/>
        <v>0.53164666263707794</v>
      </c>
      <c r="I18" s="683">
        <f>F18-G18</f>
        <v>2268000</v>
      </c>
      <c r="J18" s="684">
        <f>D18-F18</f>
        <v>3156000</v>
      </c>
      <c r="K18" s="1024">
        <f t="shared" si="7"/>
        <v>0.27251532682842589</v>
      </c>
      <c r="L18" s="1027"/>
      <c r="M18" s="1182">
        <f t="shared" ref="M18:M19" si="10">ROUNDUP(-$Y$21*N18,0)</f>
        <v>1866816</v>
      </c>
      <c r="N18" s="1151">
        <f>E18+1.4%</f>
        <v>5.6000000000000001E-2</v>
      </c>
      <c r="O18" s="1183">
        <f t="shared" ref="O18:O19" si="11">F18+M18</f>
        <v>10291816</v>
      </c>
      <c r="P18" s="1139">
        <f t="shared" ref="P18:P19" si="12">D18-O18</f>
        <v>1289184</v>
      </c>
      <c r="R18" s="605">
        <f t="shared" si="2"/>
        <v>965000</v>
      </c>
      <c r="S18" s="597"/>
      <c r="T18" s="605">
        <f t="shared" si="3"/>
        <v>702000</v>
      </c>
      <c r="U18" s="597"/>
      <c r="V18" s="605">
        <f t="shared" si="4"/>
        <v>263000</v>
      </c>
      <c r="W18" s="597"/>
    </row>
    <row r="19" spans="1:26" ht="20.100000000000001" customHeight="1" thickBot="1">
      <c r="A19" s="313"/>
      <c r="B19" s="681" t="s">
        <v>471</v>
      </c>
      <c r="C19" s="1051"/>
      <c r="D19" s="845">
        <f>①ベース事業別内訳!C319</f>
        <v>9424000</v>
      </c>
      <c r="E19" s="834">
        <f t="shared" si="0"/>
        <v>3.4000000000000002E-2</v>
      </c>
      <c r="F19" s="682">
        <f>①ベース事業別内訳!D319</f>
        <v>8604000</v>
      </c>
      <c r="G19" s="683">
        <f>(①ベース事業別内訳!D295+①ベース事業別内訳!D296+①ベース事業別内訳!D297)</f>
        <v>6922000</v>
      </c>
      <c r="H19" s="823">
        <f t="shared" si="8"/>
        <v>0.73450764006791169</v>
      </c>
      <c r="I19" s="683">
        <f>F19-G19</f>
        <v>1682000</v>
      </c>
      <c r="J19" s="684">
        <f>D19-F19</f>
        <v>820000</v>
      </c>
      <c r="K19" s="1024">
        <f t="shared" si="7"/>
        <v>8.7011884550084892E-2</v>
      </c>
      <c r="L19" s="1027"/>
      <c r="M19" s="1182">
        <f t="shared" si="10"/>
        <v>666720</v>
      </c>
      <c r="N19" s="1151">
        <f>E19-1.4%</f>
        <v>2.0000000000000004E-2</v>
      </c>
      <c r="O19" s="1183">
        <f t="shared" si="11"/>
        <v>9270720</v>
      </c>
      <c r="P19" s="1139">
        <f t="shared" si="12"/>
        <v>153280</v>
      </c>
      <c r="R19" s="605">
        <f t="shared" si="2"/>
        <v>785000</v>
      </c>
      <c r="S19" s="597"/>
      <c r="T19" s="605">
        <f t="shared" si="3"/>
        <v>717000</v>
      </c>
      <c r="U19" s="597"/>
      <c r="V19" s="605">
        <f t="shared" si="4"/>
        <v>68000</v>
      </c>
      <c r="W19" s="597"/>
    </row>
    <row r="20" spans="1:26" ht="30" customHeight="1">
      <c r="A20" s="1258" t="s">
        <v>477</v>
      </c>
      <c r="B20" s="1259"/>
      <c r="C20" s="1049"/>
      <c r="D20" s="787">
        <f>①ベース事業別内訳!C147</f>
        <v>31747000</v>
      </c>
      <c r="E20" s="833">
        <f t="shared" si="0"/>
        <v>0.11600000000000001</v>
      </c>
      <c r="F20" s="603">
        <f>①ベース事業別内訳!D147</f>
        <v>26310000</v>
      </c>
      <c r="G20" s="672">
        <f>(①ベース事業別内訳!D123+①ベース事業別内訳!D124+①ベース事業別内訳!D125)</f>
        <v>24358000</v>
      </c>
      <c r="H20" s="824">
        <f t="shared" si="8"/>
        <v>0.76725359876523769</v>
      </c>
      <c r="I20" s="672">
        <f>F20-G20</f>
        <v>1952000</v>
      </c>
      <c r="J20" s="604">
        <f>D20-F20</f>
        <v>5437000</v>
      </c>
      <c r="K20" s="1023">
        <f t="shared" si="7"/>
        <v>0.17126027656156487</v>
      </c>
      <c r="L20" s="1027"/>
      <c r="M20" s="1148">
        <f>ROUNDUP(-$Y$21*N20,0)</f>
        <v>4867056</v>
      </c>
      <c r="N20" s="1055">
        <f>E20+3%</f>
        <v>0.14600000000000002</v>
      </c>
      <c r="O20" s="1104">
        <f t="shared" si="9"/>
        <v>31177056</v>
      </c>
      <c r="P20" s="1028">
        <f>D20-O20</f>
        <v>569944</v>
      </c>
      <c r="R20" s="605">
        <f t="shared" si="2"/>
        <v>2646000</v>
      </c>
      <c r="S20" s="597"/>
      <c r="T20" s="605">
        <f t="shared" si="3"/>
        <v>2193000</v>
      </c>
      <c r="U20" s="597"/>
      <c r="V20" s="605">
        <f t="shared" si="4"/>
        <v>453000</v>
      </c>
      <c r="W20" s="597"/>
      <c r="Y20" s="1043" t="s">
        <v>772</v>
      </c>
    </row>
    <row r="21" spans="1:26" ht="30" customHeight="1" thickBot="1">
      <c r="A21" s="1258" t="s">
        <v>479</v>
      </c>
      <c r="B21" s="1259"/>
      <c r="C21" s="1049"/>
      <c r="D21" s="787">
        <f>①ベース事業別内訳!C260</f>
        <v>9167000</v>
      </c>
      <c r="E21" s="833">
        <f t="shared" si="0"/>
        <v>3.3000000000000002E-2</v>
      </c>
      <c r="F21" s="603">
        <f>①ベース事業別内訳!D260</f>
        <v>8525000</v>
      </c>
      <c r="G21" s="672">
        <f>(①ベース事業別内訳!D236+①ベース事業別内訳!D237+①ベース事業別内訳!D238)</f>
        <v>4356000</v>
      </c>
      <c r="H21" s="824">
        <f>G21/D21</f>
        <v>0.47518272062834077</v>
      </c>
      <c r="I21" s="672">
        <f>F21-G21</f>
        <v>4169000</v>
      </c>
      <c r="J21" s="604">
        <f>D21-F21</f>
        <v>642000</v>
      </c>
      <c r="K21" s="1023">
        <f t="shared" si="7"/>
        <v>7.0033816952110833E-2</v>
      </c>
      <c r="L21" s="1027"/>
      <c r="M21" s="1148">
        <f>ROUNDUP(-$Y$21*N21,0)</f>
        <v>600048</v>
      </c>
      <c r="N21" s="1055">
        <f>E21-1.5%</f>
        <v>1.8000000000000002E-2</v>
      </c>
      <c r="O21" s="1104">
        <f t="shared" si="9"/>
        <v>9125048</v>
      </c>
      <c r="P21" s="1028">
        <f>D21-O21</f>
        <v>41952</v>
      </c>
      <c r="R21" s="605">
        <f t="shared" si="2"/>
        <v>764000</v>
      </c>
      <c r="S21" s="597"/>
      <c r="T21" s="605">
        <f t="shared" si="3"/>
        <v>710000</v>
      </c>
      <c r="U21" s="597"/>
      <c r="V21" s="605">
        <f t="shared" si="4"/>
        <v>54000</v>
      </c>
      <c r="W21" s="597"/>
      <c r="Y21" s="1044">
        <f>J29</f>
        <v>-33336000</v>
      </c>
    </row>
    <row r="22" spans="1:26" s="41" customFormat="1" ht="14.25" customHeight="1">
      <c r="A22" s="1261" t="s">
        <v>771</v>
      </c>
      <c r="B22" s="1262"/>
      <c r="C22" s="1052"/>
      <c r="D22" s="1038">
        <f>D7+D8+D9+D10+D14+D15+D16+D17+D20+D21</f>
        <v>274518000</v>
      </c>
      <c r="E22" s="1060"/>
      <c r="F22" s="1038">
        <f>F7+F8+F9+F10+F14+F15+F16+F17+F20+F21</f>
        <v>227115000</v>
      </c>
      <c r="G22" s="1038">
        <f>G7+G8+G9+G10+G14+G15+G16+G17+G20+G21</f>
        <v>167051000</v>
      </c>
      <c r="H22" s="1121">
        <f>G22/D22</f>
        <v>0.60852475976074427</v>
      </c>
      <c r="I22" s="1038">
        <f>I7+I8+I9+I10+I14+I15+I16+I17+I20+I21</f>
        <v>60064000</v>
      </c>
      <c r="J22" s="1038">
        <f>J7+J8+J9+J10+J14+J15+J16+J17+J20+J21</f>
        <v>47403000</v>
      </c>
      <c r="K22" s="1039"/>
      <c r="L22" s="1120"/>
      <c r="M22" s="1152">
        <f>M7+M8+M9+M10+M14+M15+M16+M17+M20+M21</f>
        <v>33336000</v>
      </c>
      <c r="N22" s="1153">
        <f>N7+N8+N9+N10+N14+N15+N16+N17+N20+N21</f>
        <v>1</v>
      </c>
      <c r="O22" s="1152">
        <f>O7+O8+O9+O10+O14+O15+O16+O17+O20+O21</f>
        <v>260451000</v>
      </c>
      <c r="P22" s="1122">
        <f>P7+P8+P9+P10+P14+P15+P16+P17+P20+P21</f>
        <v>14067000</v>
      </c>
      <c r="Q22" s="931"/>
      <c r="R22" s="1034"/>
      <c r="S22" s="1036"/>
      <c r="T22" s="1034"/>
      <c r="U22" s="1036"/>
      <c r="V22" s="1034"/>
      <c r="W22" s="1036"/>
      <c r="Z22" s="1068"/>
    </row>
    <row r="23" spans="1:26" s="41" customFormat="1" ht="14.25">
      <c r="A23" s="1047"/>
      <c r="B23" s="1046"/>
      <c r="C23" s="1053"/>
      <c r="D23" s="706"/>
      <c r="E23" s="1032"/>
      <c r="F23" s="706"/>
      <c r="G23" s="706"/>
      <c r="H23" s="1033"/>
      <c r="I23" s="706"/>
      <c r="J23" s="1034"/>
      <c r="K23" s="1035"/>
      <c r="L23" s="1027"/>
      <c r="M23" s="1042"/>
      <c r="N23" s="1040"/>
      <c r="O23" s="1067"/>
      <c r="P23" s="934"/>
      <c r="Q23" s="931"/>
      <c r="R23" s="1034"/>
      <c r="S23" s="1036"/>
      <c r="T23" s="1034"/>
      <c r="U23" s="1036"/>
      <c r="V23" s="1034"/>
      <c r="W23" s="1036"/>
    </row>
    <row r="24" spans="1:26" ht="30" customHeight="1">
      <c r="A24" s="1260" t="s">
        <v>594</v>
      </c>
      <c r="B24" s="1259"/>
      <c r="C24" s="1049"/>
      <c r="D24" s="787">
        <f>D25+D26+D27</f>
        <v>6040000</v>
      </c>
      <c r="E24" s="833"/>
      <c r="F24" s="603">
        <f>F25+F26+F27</f>
        <v>5351000</v>
      </c>
      <c r="G24" s="672">
        <f>G25+G26+G27</f>
        <v>3109000</v>
      </c>
      <c r="H24" s="824">
        <f>G24/D24</f>
        <v>0.5147350993377483</v>
      </c>
      <c r="I24" s="672">
        <f>I25+I26+I27</f>
        <v>2242000</v>
      </c>
      <c r="J24" s="604">
        <f>J25+J26+J27</f>
        <v>689000</v>
      </c>
      <c r="K24" s="1023">
        <f t="shared" si="7"/>
        <v>0.1140728476821192</v>
      </c>
      <c r="L24" s="1027"/>
      <c r="M24" s="1062"/>
      <c r="N24" s="1063"/>
      <c r="O24" s="605">
        <f>F24</f>
        <v>5351000</v>
      </c>
      <c r="P24" s="605">
        <f>D24-O24</f>
        <v>689000</v>
      </c>
      <c r="R24" s="605">
        <f t="shared" si="2"/>
        <v>503000</v>
      </c>
      <c r="S24" s="597"/>
      <c r="T24" s="605">
        <f t="shared" si="3"/>
        <v>446000</v>
      </c>
      <c r="U24" s="597"/>
      <c r="V24" s="605">
        <f t="shared" si="4"/>
        <v>57000</v>
      </c>
      <c r="W24" s="597"/>
    </row>
    <row r="25" spans="1:26" hidden="1">
      <c r="A25" s="659"/>
      <c r="B25" s="681" t="s">
        <v>376</v>
      </c>
      <c r="C25" s="1051"/>
      <c r="D25" s="845">
        <f>①ベース事業別内訳!C330</f>
        <v>281000</v>
      </c>
      <c r="E25" s="835"/>
      <c r="F25" s="682">
        <f>①ベース事業別内訳!D330</f>
        <v>173000</v>
      </c>
      <c r="G25" s="683"/>
      <c r="H25" s="823"/>
      <c r="I25" s="683">
        <f>F25-G25</f>
        <v>173000</v>
      </c>
      <c r="J25" s="684">
        <f>D25-F25</f>
        <v>108000</v>
      </c>
      <c r="K25" s="1024">
        <f t="shared" si="7"/>
        <v>0.38434163701067614</v>
      </c>
      <c r="L25" s="1027"/>
      <c r="M25" s="1062"/>
      <c r="N25" s="1063"/>
      <c r="O25" s="605">
        <f>-J25</f>
        <v>-108000</v>
      </c>
      <c r="P25" s="605"/>
      <c r="R25" s="605">
        <f t="shared" si="2"/>
        <v>23000</v>
      </c>
      <c r="S25" s="597"/>
      <c r="T25" s="605">
        <f t="shared" si="3"/>
        <v>14000</v>
      </c>
      <c r="U25" s="597"/>
      <c r="V25" s="605">
        <f t="shared" si="4"/>
        <v>9000</v>
      </c>
      <c r="W25" s="597"/>
    </row>
    <row r="26" spans="1:26" hidden="1">
      <c r="A26" s="313"/>
      <c r="B26" s="681" t="s">
        <v>778</v>
      </c>
      <c r="C26" s="1051"/>
      <c r="D26" s="845">
        <f>①ベース事業別内訳!C358</f>
        <v>5000000</v>
      </c>
      <c r="E26" s="834"/>
      <c r="F26" s="682">
        <f>①ベース事業別内訳!D358</f>
        <v>5000000</v>
      </c>
      <c r="G26" s="683">
        <f>①ベース事業別内訳!D333</f>
        <v>3069000</v>
      </c>
      <c r="H26" s="823"/>
      <c r="I26" s="683">
        <f>F26-G26</f>
        <v>1931000</v>
      </c>
      <c r="J26" s="684">
        <f>D26-F26</f>
        <v>0</v>
      </c>
      <c r="K26" s="1024">
        <f>J26/D26</f>
        <v>0</v>
      </c>
      <c r="L26" s="1027"/>
      <c r="M26" s="1062"/>
      <c r="N26" s="1063"/>
      <c r="O26" s="605">
        <f>-J26</f>
        <v>0</v>
      </c>
      <c r="P26" s="605"/>
      <c r="R26" s="605">
        <f t="shared" si="2"/>
        <v>417000</v>
      </c>
      <c r="S26" s="597"/>
      <c r="T26" s="605">
        <f t="shared" si="3"/>
        <v>417000</v>
      </c>
      <c r="U26" s="597"/>
      <c r="V26" s="605">
        <f t="shared" si="4"/>
        <v>0</v>
      </c>
      <c r="W26" s="597"/>
    </row>
    <row r="27" spans="1:26" hidden="1">
      <c r="A27" s="313"/>
      <c r="B27" s="1158" t="s">
        <v>808</v>
      </c>
      <c r="C27" s="1159"/>
      <c r="D27" s="1160">
        <f>①ベース事業別内訳!C377+①ベース事業別内訳!C435</f>
        <v>759000</v>
      </c>
      <c r="E27" s="1161"/>
      <c r="F27" s="1162">
        <f>①ベース事業別内訳!D377+①ベース事業別内訳!D435</f>
        <v>178000</v>
      </c>
      <c r="G27" s="1163">
        <f>①ベース事業別内訳!D362+①ベース事業別内訳!D363+①ベース事業別内訳!D364</f>
        <v>40000</v>
      </c>
      <c r="H27" s="1164"/>
      <c r="I27" s="1163">
        <f>F27-G27</f>
        <v>138000</v>
      </c>
      <c r="J27" s="1165">
        <f>D27-F27</f>
        <v>581000</v>
      </c>
      <c r="K27" s="1166">
        <f t="shared" si="7"/>
        <v>0.76548089591567847</v>
      </c>
      <c r="L27" s="1027"/>
      <c r="M27" s="1167"/>
      <c r="N27" s="1168"/>
      <c r="O27" s="601">
        <f>-J27</f>
        <v>-581000</v>
      </c>
      <c r="P27" s="601"/>
      <c r="R27" s="605">
        <f t="shared" si="2"/>
        <v>63000</v>
      </c>
      <c r="S27" s="597"/>
      <c r="T27" s="605">
        <f t="shared" si="3"/>
        <v>15000</v>
      </c>
      <c r="U27" s="597"/>
      <c r="V27" s="605">
        <f t="shared" si="4"/>
        <v>48000</v>
      </c>
      <c r="W27" s="597"/>
    </row>
    <row r="28" spans="1:26" ht="24.95" customHeight="1">
      <c r="A28" s="1261" t="s">
        <v>386</v>
      </c>
      <c r="B28" s="1262"/>
      <c r="C28" s="1180" t="s">
        <v>382</v>
      </c>
      <c r="D28" s="848">
        <f>D22+D24</f>
        <v>280558000</v>
      </c>
      <c r="E28" s="1061"/>
      <c r="F28" s="611">
        <f>F22+F24</f>
        <v>232466000</v>
      </c>
      <c r="G28" s="673">
        <f>G22+G24</f>
        <v>170160000</v>
      </c>
      <c r="H28" s="827"/>
      <c r="I28" s="673">
        <f>I22+I24</f>
        <v>62306000</v>
      </c>
      <c r="J28" s="1070">
        <f>J22+J24</f>
        <v>48092000</v>
      </c>
      <c r="K28" s="1181">
        <f t="shared" si="7"/>
        <v>0.17141553618146693</v>
      </c>
      <c r="L28" s="1035"/>
      <c r="M28" s="1056">
        <f>M22+M24</f>
        <v>33336000</v>
      </c>
      <c r="N28" s="1056"/>
      <c r="O28" s="1056">
        <f>O22+O24</f>
        <v>265802000</v>
      </c>
      <c r="P28" s="1056">
        <f>P22+P24</f>
        <v>14756000</v>
      </c>
      <c r="Q28" s="934"/>
      <c r="R28" s="605">
        <f t="shared" si="2"/>
        <v>23380000</v>
      </c>
      <c r="S28" s="597"/>
      <c r="T28" s="605">
        <f t="shared" si="3"/>
        <v>19372000</v>
      </c>
      <c r="U28" s="597"/>
      <c r="V28" s="605">
        <f t="shared" si="4"/>
        <v>4008000</v>
      </c>
      <c r="W28" s="597"/>
      <c r="Z28" s="1059"/>
    </row>
    <row r="29" spans="1:26" ht="30" hidden="1" customHeight="1">
      <c r="A29" s="1263" t="s">
        <v>480</v>
      </c>
      <c r="B29" s="1264"/>
      <c r="C29" s="1155" t="s">
        <v>383</v>
      </c>
      <c r="D29" s="1169">
        <f>(①ベース事業別内訳!C469)</f>
        <v>0</v>
      </c>
      <c r="E29" s="1170"/>
      <c r="F29" s="1171">
        <f>(①ベース事業別内訳!D469)</f>
        <v>33336000</v>
      </c>
      <c r="G29" s="1172">
        <f>(①ベース事業別内訳!D438+①ベース事業別内訳!D439+①ベース事業別内訳!D440+①ベース事業別内訳!D441)</f>
        <v>9368000</v>
      </c>
      <c r="H29" s="1173"/>
      <c r="I29" s="1172">
        <f>F29-G29</f>
        <v>23968000</v>
      </c>
      <c r="J29" s="1174">
        <f>D29-F29</f>
        <v>-33336000</v>
      </c>
      <c r="K29" s="1175"/>
      <c r="L29" s="1027"/>
      <c r="M29" s="1176"/>
      <c r="N29" s="1177"/>
      <c r="O29" s="1178"/>
      <c r="P29" s="1179"/>
      <c r="Q29" s="935"/>
      <c r="R29" s="605">
        <f t="shared" si="2"/>
        <v>0</v>
      </c>
      <c r="S29" s="597"/>
      <c r="T29" s="605">
        <f t="shared" si="3"/>
        <v>2778000</v>
      </c>
      <c r="U29" s="597"/>
      <c r="V29" s="605">
        <f t="shared" si="4"/>
        <v>-2778000</v>
      </c>
      <c r="W29" s="597"/>
    </row>
    <row r="30" spans="1:26" s="171" customFormat="1" ht="39.950000000000003" hidden="1" customHeight="1">
      <c r="A30" s="1265" t="s">
        <v>387</v>
      </c>
      <c r="B30" s="1266"/>
      <c r="C30" s="1069" t="s">
        <v>385</v>
      </c>
      <c r="D30" s="848">
        <f>D28+D29</f>
        <v>280558000</v>
      </c>
      <c r="E30" s="1061"/>
      <c r="F30" s="611">
        <f>F28+F29</f>
        <v>265802000</v>
      </c>
      <c r="G30" s="673">
        <f>G28+G29</f>
        <v>179528000</v>
      </c>
      <c r="H30" s="827">
        <f>G30/D30</f>
        <v>0.63989620684493043</v>
      </c>
      <c r="I30" s="673">
        <f>I28+I29</f>
        <v>86274000</v>
      </c>
      <c r="J30" s="1070">
        <f>J28+J29</f>
        <v>14756000</v>
      </c>
      <c r="K30" s="1071">
        <f t="shared" si="7"/>
        <v>5.259518530927651E-2</v>
      </c>
      <c r="L30" s="1076"/>
      <c r="M30" s="1072"/>
      <c r="N30" s="1058"/>
      <c r="O30" s="1056">
        <f>O28</f>
        <v>265802000</v>
      </c>
      <c r="P30" s="1056">
        <f>P28</f>
        <v>14756000</v>
      </c>
      <c r="Q30" s="934"/>
      <c r="R30" s="1073">
        <f t="shared" si="2"/>
        <v>23380000</v>
      </c>
      <c r="S30" s="1074"/>
      <c r="T30" s="1146">
        <f t="shared" si="3"/>
        <v>22150000</v>
      </c>
      <c r="U30" s="1074"/>
      <c r="V30" s="1073">
        <f t="shared" si="4"/>
        <v>1230000</v>
      </c>
      <c r="W30" s="1074"/>
      <c r="Y30" s="1075"/>
      <c r="Z30" s="1075"/>
    </row>
    <row r="31" spans="1:26" ht="20.100000000000001" hidden="1" customHeight="1">
      <c r="P31" s="614">
        <f>J30-P30</f>
        <v>0</v>
      </c>
    </row>
    <row r="32" spans="1:26" ht="27.75" customHeight="1" thickBot="1">
      <c r="E32" s="1136"/>
      <c r="F32" s="1137"/>
    </row>
    <row r="33" spans="6:16" ht="30" customHeight="1" thickBot="1">
      <c r="F33" s="1240" t="s">
        <v>806</v>
      </c>
      <c r="G33" s="1241"/>
      <c r="H33" s="1241"/>
      <c r="I33" s="1241"/>
      <c r="J33" s="1241"/>
      <c r="K33" s="1241"/>
      <c r="L33" s="1241"/>
      <c r="M33" s="1241"/>
      <c r="N33" s="1242"/>
      <c r="O33" s="1256">
        <f>①ベース事業別内訳!C494</f>
        <v>6963000</v>
      </c>
      <c r="P33" s="1257"/>
    </row>
    <row r="34" spans="6:16" ht="30" customHeight="1"/>
  </sheetData>
  <mergeCells count="39">
    <mergeCell ref="A1:P1"/>
    <mergeCell ref="A2:P2"/>
    <mergeCell ref="A3:C6"/>
    <mergeCell ref="D3:D6"/>
    <mergeCell ref="F3:O3"/>
    <mergeCell ref="P3:P6"/>
    <mergeCell ref="O4:O6"/>
    <mergeCell ref="F4:F6"/>
    <mergeCell ref="J4:J6"/>
    <mergeCell ref="E4:E6"/>
    <mergeCell ref="M4:M6"/>
    <mergeCell ref="I5:I6"/>
    <mergeCell ref="G5:G6"/>
    <mergeCell ref="G4:I4"/>
    <mergeCell ref="N5:N6"/>
    <mergeCell ref="A8:B8"/>
    <mergeCell ref="A7:B7"/>
    <mergeCell ref="A28:B28"/>
    <mergeCell ref="A29:B29"/>
    <mergeCell ref="A30:B30"/>
    <mergeCell ref="A24:B24"/>
    <mergeCell ref="A17:B17"/>
    <mergeCell ref="A21:B21"/>
    <mergeCell ref="A10:B10"/>
    <mergeCell ref="A20:B20"/>
    <mergeCell ref="A15:B15"/>
    <mergeCell ref="A14:C14"/>
    <mergeCell ref="A16:B16"/>
    <mergeCell ref="A22:B22"/>
    <mergeCell ref="F33:N33"/>
    <mergeCell ref="V4:V6"/>
    <mergeCell ref="W5:W6"/>
    <mergeCell ref="R3:W3"/>
    <mergeCell ref="U5:U6"/>
    <mergeCell ref="T4:T6"/>
    <mergeCell ref="R4:R6"/>
    <mergeCell ref="S5:S6"/>
    <mergeCell ref="K5:K6"/>
    <mergeCell ref="O33:P33"/>
  </mergeCells>
  <phoneticPr fontId="1"/>
  <printOptions horizontalCentered="1"/>
  <pageMargins left="0.7" right="0.7" top="0.75" bottom="0.75" header="0.3" footer="0.3"/>
  <pageSetup paperSize="9"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ワークシート</vt:lpstr>
      </vt:variant>
      <vt:variant>
        <vt:i4>27</vt:i4>
      </vt:variant>
      <vt:variant>
        <vt:lpstr>グラフ</vt:lpstr>
      </vt:variant>
      <vt:variant>
        <vt:i4>2</vt:i4>
      </vt:variant>
      <vt:variant>
        <vt:lpstr>名前付き一覧</vt:lpstr>
      </vt:variant>
      <vt:variant>
        <vt:i4>14</vt:i4>
      </vt:variant>
    </vt:vector>
  </HeadingPairs>
  <TitlesOfParts>
    <vt:vector size="43" baseType="lpstr">
      <vt:lpstr>ふれあい給食</vt:lpstr>
      <vt:lpstr>障がい訪問</vt:lpstr>
      <vt:lpstr>障がい就労</vt:lpstr>
      <vt:lpstr>グッドシーズン</vt:lpstr>
      <vt:lpstr>法人全体</vt:lpstr>
      <vt:lpstr>①ベース事業別内訳</vt:lpstr>
      <vt:lpstr>②事業別損益表（事業別）</vt:lpstr>
      <vt:lpstr>事業別損益表（決算）</vt:lpstr>
      <vt:lpstr>③事業別損益表（拠点別）</vt:lpstr>
      <vt:lpstr>事業別損益表（予算拠点別）</vt:lpstr>
      <vt:lpstr>賞与支給按分資料</vt:lpstr>
      <vt:lpstr>14決算15予算</vt:lpstr>
      <vt:lpstr>按分表</vt:lpstr>
      <vt:lpstr>Sheet3</vt:lpstr>
      <vt:lpstr>Sheet1</vt:lpstr>
      <vt:lpstr>グラフデータ</vt:lpstr>
      <vt:lpstr>2013予算案（管理費按分）</vt:lpstr>
      <vt:lpstr>車両関係経費試算資料</vt:lpstr>
      <vt:lpstr>Sheet2</vt:lpstr>
      <vt:lpstr>予算書</vt:lpstr>
      <vt:lpstr>事業別損益表（予算書_行動援護抜き) (2)</vt:lpstr>
      <vt:lpstr>事業別損益表（予算書)</vt:lpstr>
      <vt:lpstr>事業別損益表（予算事業別）</vt:lpstr>
      <vt:lpstr>わかちあい就労　収支計算書</vt:lpstr>
      <vt:lpstr>決算書(予算比較）</vt:lpstr>
      <vt:lpstr>Sheet4</vt:lpstr>
      <vt:lpstr>Sheet5</vt:lpstr>
      <vt:lpstr>部門別収支グラフ</vt:lpstr>
      <vt:lpstr>総収入割合</vt:lpstr>
      <vt:lpstr>①ベース事業別内訳!Print_Area</vt:lpstr>
      <vt:lpstr>グッドシーズン!Print_Area</vt:lpstr>
      <vt:lpstr>ふれあい給食!Print_Area</vt:lpstr>
      <vt:lpstr>'事業別損益表（予算書)'!Print_Area</vt:lpstr>
      <vt:lpstr>'事業別損益表（予算書_行動援護抜き) (2)'!Print_Area</vt:lpstr>
      <vt:lpstr>障がい就労!Print_Area</vt:lpstr>
      <vt:lpstr>障がい訪問!Print_Area</vt:lpstr>
      <vt:lpstr>法人全体!Print_Area</vt:lpstr>
      <vt:lpstr>予算書!Print_Area</vt:lpstr>
      <vt:lpstr>'14決算15予算'!Print_Titles</vt:lpstr>
      <vt:lpstr>①ベース事業別内訳!Print_Titles</vt:lpstr>
      <vt:lpstr>按分表!Print_Titles</vt:lpstr>
      <vt:lpstr>'決算書(予算比較）'!Print_Titles</vt:lpstr>
      <vt:lpstr>予算書!Print_Titles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note11</dc:creator>
  <cp:lastModifiedBy>tasukeainokai</cp:lastModifiedBy>
  <cp:lastPrinted>2019-08-27T06:52:43Z</cp:lastPrinted>
  <dcterms:created xsi:type="dcterms:W3CDTF">2012-04-14T03:21:36Z</dcterms:created>
  <dcterms:modified xsi:type="dcterms:W3CDTF">2019-08-27T06:52:57Z</dcterms:modified>
</cp:coreProperties>
</file>