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175" yWindow="675" windowWidth="10260" windowHeight="8145" tabRatio="773" firstSheet="5" activeTab="8"/>
  </bookViews>
  <sheets>
    <sheet name="ふれあい給食" sheetId="47" state="hidden" r:id="rId1"/>
    <sheet name="障がい訪問" sheetId="39" state="hidden" r:id="rId2"/>
    <sheet name="障がい就労" sheetId="40" state="hidden" r:id="rId3"/>
    <sheet name="グッドシーズン" sheetId="36" state="hidden" r:id="rId4"/>
    <sheet name="法人全体" sheetId="48" state="hidden" r:id="rId5"/>
    <sheet name="①ベース事業別内訳" sheetId="4" r:id="rId6"/>
    <sheet name="事業別損益表（事業別）" sheetId="53" r:id="rId7"/>
    <sheet name="事業別損益表（決算）" sheetId="25" state="hidden" r:id="rId8"/>
    <sheet name="②2016予算書" sheetId="3" r:id="rId9"/>
    <sheet name="事業別損益表（拠点別）" sheetId="49" r:id="rId10"/>
    <sheet name="賞与支給按分資料" sheetId="29" state="hidden" r:id="rId11"/>
    <sheet name="2015予算書（一覧）" sheetId="2" state="hidden" r:id="rId12"/>
    <sheet name="14決算15予算" sheetId="1" state="hidden" r:id="rId13"/>
    <sheet name="按分表" sheetId="14" state="hidden" r:id="rId14"/>
    <sheet name="Sheet3" sheetId="24" state="hidden" r:id="rId15"/>
    <sheet name="Sheet1" sheetId="12" state="hidden" r:id="rId16"/>
    <sheet name="部門別収支グラフ" sheetId="19" state="hidden" r:id="rId17"/>
    <sheet name="総収入割合" sheetId="20" state="hidden" r:id="rId18"/>
    <sheet name="グラフデータ" sheetId="18" state="hidden" r:id="rId19"/>
    <sheet name="2013予算案（管理費按分）" sheetId="10" state="hidden" r:id="rId20"/>
    <sheet name="車両関係経費試算資料" sheetId="17" state="hidden" r:id="rId21"/>
    <sheet name="Sheet2" sheetId="23" state="hidden" r:id="rId22"/>
    <sheet name="わかちあい就労　収支計算書" sheetId="51" state="hidden" r:id="rId23"/>
  </sheets>
  <definedNames>
    <definedName name="_xlnm._FilterDatabase" localSheetId="5" hidden="1">①ベース事業別内訳!$A$1:$A$422</definedName>
    <definedName name="_xlnm.Print_Area" localSheetId="5">①ベース事業別内訳!$B$1:$J$422</definedName>
    <definedName name="_xlnm.Print_Area" localSheetId="8">②2016予算書!$A$1:$I$91</definedName>
    <definedName name="_xlnm.Print_Area" localSheetId="3">グッドシーズン!$A$17:$R$77</definedName>
    <definedName name="_xlnm.Print_Area" localSheetId="0">ふれあい給食!$A$17:$U$77</definedName>
    <definedName name="_xlnm.Print_Area" localSheetId="2">障がい就労!$A$17:$U$77</definedName>
    <definedName name="_xlnm.Print_Area" localSheetId="1">障がい訪問!$A$17:$U$77</definedName>
    <definedName name="_xlnm.Print_Area" localSheetId="4">法人全体!$A$17:$U$77</definedName>
    <definedName name="_xlnm.Print_Titles" localSheetId="12">'14決算15予算'!$1:$2</definedName>
    <definedName name="_xlnm.Print_Titles" localSheetId="5">①ベース事業別内訳!$1:$3</definedName>
    <definedName name="_xlnm.Print_Titles" localSheetId="11">'2015予算書（一覧）'!$1:$4</definedName>
    <definedName name="_xlnm.Print_Titles" localSheetId="8">②2016予算書!$1:$4</definedName>
    <definedName name="_xlnm.Print_Titles" localSheetId="13">按分表!$1:$1</definedName>
  </definedNames>
  <calcPr calcId="145621"/>
</workbook>
</file>

<file path=xl/calcChain.xml><?xml version="1.0" encoding="utf-8"?>
<calcChain xmlns="http://schemas.openxmlformats.org/spreadsheetml/2006/main">
  <c r="G421" i="4" l="1"/>
  <c r="G392" i="4" l="1"/>
  <c r="G139" i="4"/>
  <c r="G404" i="4" l="1"/>
  <c r="G122" i="4"/>
  <c r="G17" i="4"/>
  <c r="G44" i="4"/>
  <c r="G70" i="4"/>
  <c r="G96" i="4"/>
  <c r="G151" i="4"/>
  <c r="G178" i="4"/>
  <c r="G205" i="4"/>
  <c r="G232" i="4"/>
  <c r="G259" i="4"/>
  <c r="G285" i="4"/>
  <c r="C4" i="53" l="1"/>
  <c r="G414" i="4"/>
  <c r="G241" i="4"/>
  <c r="G338" i="4"/>
  <c r="G105" i="4"/>
  <c r="G194" i="4"/>
  <c r="G406" i="4"/>
  <c r="G248" i="4"/>
  <c r="G275" i="4"/>
  <c r="G221" i="4"/>
  <c r="G167" i="4"/>
  <c r="G111" i="4"/>
  <c r="G85" i="4" l="1"/>
  <c r="G33" i="4"/>
  <c r="G5" i="4"/>
  <c r="F344" i="4" l="1"/>
  <c r="F343" i="4"/>
  <c r="F387" i="4"/>
  <c r="G394" i="4"/>
  <c r="G393" i="4"/>
  <c r="F137" i="4" l="1"/>
  <c r="G140" i="4" l="1"/>
  <c r="F136" i="4"/>
  <c r="F47" i="3"/>
  <c r="S35" i="53"/>
  <c r="C35" i="53"/>
  <c r="D35" i="53"/>
  <c r="E35" i="53"/>
  <c r="F35" i="53"/>
  <c r="G35" i="53"/>
  <c r="H35" i="53"/>
  <c r="I35" i="53"/>
  <c r="J35" i="53"/>
  <c r="K35" i="53"/>
  <c r="L35" i="53"/>
  <c r="M35" i="53"/>
  <c r="N35" i="53"/>
  <c r="P35" i="53"/>
  <c r="G82" i="3" l="1"/>
  <c r="N36" i="53" l="1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3" i="53"/>
  <c r="N12" i="53" s="1"/>
  <c r="F34" i="49"/>
  <c r="F32" i="49"/>
  <c r="G22" i="49"/>
  <c r="G7" i="49"/>
  <c r="F359" i="4"/>
  <c r="D22" i="49" s="1"/>
  <c r="G357" i="4"/>
  <c r="G356" i="4"/>
  <c r="G352" i="4"/>
  <c r="G351" i="4"/>
  <c r="G350" i="4"/>
  <c r="G349" i="4"/>
  <c r="G346" i="4"/>
  <c r="F345" i="4"/>
  <c r="G6" i="4"/>
  <c r="C14" i="53" s="1"/>
  <c r="F317" i="4"/>
  <c r="F273" i="4"/>
  <c r="N5" i="53" l="1"/>
  <c r="N4" i="53" s="1"/>
  <c r="H22" i="49"/>
  <c r="G7" i="4"/>
  <c r="F4" i="4"/>
  <c r="G27" i="49"/>
  <c r="U10" i="53"/>
  <c r="U9" i="53"/>
  <c r="F19" i="3" s="1"/>
  <c r="U8" i="53"/>
  <c r="F9" i="3" s="1"/>
  <c r="G9" i="3" s="1"/>
  <c r="U7" i="53"/>
  <c r="F11" i="3" s="1"/>
  <c r="U6" i="53"/>
  <c r="F7" i="3" s="1"/>
  <c r="U5" i="53"/>
  <c r="F18" i="3" s="1"/>
  <c r="G20" i="3" s="1"/>
  <c r="R12" i="53"/>
  <c r="Q12" i="53"/>
  <c r="P12" i="53"/>
  <c r="U15" i="53"/>
  <c r="F55" i="3" s="1"/>
  <c r="U36" i="53"/>
  <c r="F77" i="3" s="1"/>
  <c r="U38" i="53"/>
  <c r="U39" i="53"/>
  <c r="U34" i="53"/>
  <c r="F75" i="3" s="1"/>
  <c r="U33" i="53"/>
  <c r="F74" i="3" s="1"/>
  <c r="U30" i="53"/>
  <c r="F71" i="3" s="1"/>
  <c r="U29" i="53"/>
  <c r="F70" i="3" s="1"/>
  <c r="U27" i="53"/>
  <c r="F68" i="3" s="1"/>
  <c r="U26" i="53"/>
  <c r="F67" i="3" s="1"/>
  <c r="U24" i="53"/>
  <c r="F65" i="3" s="1"/>
  <c r="U23" i="53"/>
  <c r="F64" i="3" s="1"/>
  <c r="U22" i="53"/>
  <c r="F63" i="3" s="1"/>
  <c r="U21" i="53"/>
  <c r="F62" i="3" s="1"/>
  <c r="U20" i="53"/>
  <c r="F61" i="3" s="1"/>
  <c r="U17" i="53"/>
  <c r="F58" i="3" s="1"/>
  <c r="S9" i="53"/>
  <c r="V9" i="53" s="1"/>
  <c r="S10" i="53"/>
  <c r="U4" i="53" l="1"/>
  <c r="V10" i="53"/>
  <c r="U37" i="53"/>
  <c r="M205" i="4" l="1"/>
  <c r="R19" i="53"/>
  <c r="R32" i="53"/>
  <c r="P17" i="53"/>
  <c r="P18" i="53"/>
  <c r="P19" i="53"/>
  <c r="P20" i="53"/>
  <c r="P21" i="53"/>
  <c r="P23" i="53"/>
  <c r="P24" i="53"/>
  <c r="P25" i="53"/>
  <c r="P26" i="53"/>
  <c r="P29" i="53"/>
  <c r="P30" i="53"/>
  <c r="P33" i="53"/>
  <c r="P34" i="53"/>
  <c r="P36" i="53"/>
  <c r="P16" i="53"/>
  <c r="P8" i="53"/>
  <c r="P4" i="53" s="1"/>
  <c r="J7" i="49"/>
  <c r="G23" i="49"/>
  <c r="J25" i="49"/>
  <c r="I23" i="49"/>
  <c r="I29" i="49"/>
  <c r="M418" i="4"/>
  <c r="U32" i="53"/>
  <c r="F73" i="3" s="1"/>
  <c r="U25" i="53"/>
  <c r="F66" i="3" s="1"/>
  <c r="U19" i="53"/>
  <c r="F60" i="3" s="1"/>
  <c r="U18" i="53"/>
  <c r="F59" i="3" s="1"/>
  <c r="U14" i="53"/>
  <c r="F54" i="3" s="1"/>
  <c r="U13" i="53"/>
  <c r="U12" i="53" l="1"/>
  <c r="F53" i="3"/>
  <c r="G55" i="3" s="1"/>
  <c r="R11" i="53"/>
  <c r="M140" i="4" l="1"/>
  <c r="O20" i="53"/>
  <c r="O19" i="53"/>
  <c r="O16" i="53"/>
  <c r="Q7" i="53"/>
  <c r="Q4" i="53" s="1"/>
  <c r="M34" i="53"/>
  <c r="L34" i="53"/>
  <c r="K34" i="53"/>
  <c r="J34" i="53"/>
  <c r="I34" i="53"/>
  <c r="H34" i="53"/>
  <c r="G34" i="53"/>
  <c r="F34" i="53"/>
  <c r="E34" i="53"/>
  <c r="D34" i="53"/>
  <c r="C34" i="53"/>
  <c r="H33" i="53"/>
  <c r="G33" i="53"/>
  <c r="D33" i="53"/>
  <c r="L32" i="53"/>
  <c r="H32" i="53"/>
  <c r="D32" i="53"/>
  <c r="C32" i="53"/>
  <c r="L31" i="53"/>
  <c r="J31" i="53"/>
  <c r="I31" i="53"/>
  <c r="H31" i="53"/>
  <c r="G31" i="53"/>
  <c r="F31" i="53"/>
  <c r="E31" i="53"/>
  <c r="M30" i="53"/>
  <c r="K30" i="53"/>
  <c r="J30" i="53"/>
  <c r="I30" i="53"/>
  <c r="M29" i="53"/>
  <c r="L29" i="53"/>
  <c r="K29" i="53"/>
  <c r="J29" i="53"/>
  <c r="I29" i="53"/>
  <c r="H29" i="53"/>
  <c r="G29" i="53"/>
  <c r="F29" i="53"/>
  <c r="E29" i="53"/>
  <c r="D29" i="53"/>
  <c r="C29" i="53"/>
  <c r="M28" i="53"/>
  <c r="K28" i="53"/>
  <c r="L27" i="53"/>
  <c r="H27" i="53"/>
  <c r="E27" i="53"/>
  <c r="H25" i="53"/>
  <c r="J24" i="53"/>
  <c r="M23" i="53"/>
  <c r="K23" i="53"/>
  <c r="I23" i="53"/>
  <c r="G23" i="53"/>
  <c r="F23" i="53"/>
  <c r="H22" i="53"/>
  <c r="D22" i="53"/>
  <c r="L21" i="53"/>
  <c r="H21" i="53"/>
  <c r="D21" i="53"/>
  <c r="M20" i="53"/>
  <c r="K20" i="53"/>
  <c r="J20" i="53"/>
  <c r="I20" i="53"/>
  <c r="H20" i="53"/>
  <c r="D20" i="53"/>
  <c r="C20" i="53"/>
  <c r="M18" i="53"/>
  <c r="K18" i="53"/>
  <c r="J18" i="53"/>
  <c r="I18" i="53"/>
  <c r="D18" i="53"/>
  <c r="D17" i="53"/>
  <c r="F16" i="53"/>
  <c r="D16" i="53"/>
  <c r="C16" i="53"/>
  <c r="C13" i="53"/>
  <c r="C12" i="53" s="1"/>
  <c r="J7" i="53"/>
  <c r="I7" i="53"/>
  <c r="S34" i="53" l="1"/>
  <c r="S29" i="53"/>
  <c r="G336" i="4"/>
  <c r="P31" i="53" s="1"/>
  <c r="M128" i="4"/>
  <c r="L17" i="53"/>
  <c r="M295" i="4"/>
  <c r="F41" i="3" l="1"/>
  <c r="F46" i="3"/>
  <c r="M336" i="4"/>
  <c r="M54" i="4"/>
  <c r="L389" i="4"/>
  <c r="M268" i="4"/>
  <c r="M160" i="4"/>
  <c r="M139" i="4"/>
  <c r="M194" i="4"/>
  <c r="M392" i="4"/>
  <c r="M248" i="4"/>
  <c r="M5" i="4" l="1"/>
  <c r="M59" i="4"/>
  <c r="L31" i="4" l="1"/>
  <c r="M275" i="4" l="1"/>
  <c r="M221" i="4"/>
  <c r="M167" i="4"/>
  <c r="M90" i="4"/>
  <c r="M85" i="4"/>
  <c r="M111" i="4"/>
  <c r="L136" i="4"/>
  <c r="L137" i="4"/>
  <c r="L58" i="4"/>
  <c r="M33" i="4"/>
  <c r="L4" i="4"/>
  <c r="L110" i="4" l="1"/>
  <c r="M131" i="4"/>
  <c r="M116" i="4"/>
  <c r="L273" i="4" l="1"/>
  <c r="M254" i="4"/>
  <c r="L246" i="4"/>
  <c r="L247" i="4"/>
  <c r="M357" i="4"/>
  <c r="M356" i="4"/>
  <c r="M352" i="4"/>
  <c r="M351" i="4"/>
  <c r="M350" i="4"/>
  <c r="M349" i="4"/>
  <c r="M346" i="4"/>
  <c r="L344" i="4"/>
  <c r="L345" i="4"/>
  <c r="L343" i="4"/>
  <c r="L165" i="4" l="1"/>
  <c r="M171" i="4"/>
  <c r="M180" i="4"/>
  <c r="M27" i="4"/>
  <c r="M187" i="4" l="1"/>
  <c r="M6" i="4"/>
  <c r="I19" i="49" l="1"/>
  <c r="I14" i="49"/>
  <c r="I11" i="49"/>
  <c r="J27" i="49"/>
  <c r="J26" i="49"/>
  <c r="I28" i="49" l="1"/>
  <c r="I30" i="49" s="1"/>
  <c r="J24" i="49"/>
  <c r="J23" i="49" s="1"/>
  <c r="F14" i="51"/>
  <c r="D14" i="51"/>
  <c r="F9" i="51"/>
  <c r="D9" i="51"/>
  <c r="F3" i="51"/>
  <c r="G31" i="51" s="1"/>
  <c r="D3" i="51"/>
  <c r="E11" i="51" s="1"/>
  <c r="F8" i="51" l="1"/>
  <c r="G8" i="51" s="1"/>
  <c r="G23" i="51"/>
  <c r="E14" i="51"/>
  <c r="D8" i="51"/>
  <c r="E8" i="51" s="1"/>
  <c r="G4" i="51"/>
  <c r="G15" i="51"/>
  <c r="G11" i="51"/>
  <c r="G19" i="51"/>
  <c r="G27" i="51"/>
  <c r="D33" i="51"/>
  <c r="E33" i="51" s="1"/>
  <c r="E9" i="51"/>
  <c r="G9" i="51"/>
  <c r="G14" i="51"/>
  <c r="G6" i="51"/>
  <c r="G13" i="51"/>
  <c r="G17" i="51"/>
  <c r="G21" i="51"/>
  <c r="G25" i="51"/>
  <c r="E6" i="51"/>
  <c r="E31" i="51"/>
  <c r="E27" i="51"/>
  <c r="E23" i="51"/>
  <c r="E19" i="51"/>
  <c r="E17" i="51"/>
  <c r="E13" i="51"/>
  <c r="E3" i="51"/>
  <c r="E5" i="51"/>
  <c r="E30" i="51"/>
  <c r="E28" i="51"/>
  <c r="E26" i="51"/>
  <c r="E24" i="51"/>
  <c r="E22" i="51"/>
  <c r="E20" i="51"/>
  <c r="E18" i="51"/>
  <c r="E16" i="51"/>
  <c r="E12" i="51"/>
  <c r="E10" i="51"/>
  <c r="G5" i="51"/>
  <c r="G3" i="51"/>
  <c r="G10" i="51"/>
  <c r="G12" i="51"/>
  <c r="G16" i="51"/>
  <c r="G18" i="51"/>
  <c r="G20" i="51"/>
  <c r="G22" i="51"/>
  <c r="G24" i="51"/>
  <c r="G26" i="51"/>
  <c r="G28" i="51"/>
  <c r="G30" i="51"/>
  <c r="E4" i="51"/>
  <c r="E29" i="51"/>
  <c r="E25" i="51"/>
  <c r="E21" i="51"/>
  <c r="E15" i="51"/>
  <c r="G29" i="51"/>
  <c r="F33" i="51"/>
  <c r="G33" i="51" s="1"/>
  <c r="L57" i="4"/>
  <c r="L109" i="4"/>
  <c r="M316" i="4"/>
  <c r="L359" i="4"/>
  <c r="L385" i="4" s="1"/>
  <c r="G24" i="4" l="1"/>
  <c r="M24" i="4" l="1"/>
  <c r="C31" i="53"/>
  <c r="M26" i="4"/>
  <c r="C33" i="53"/>
  <c r="F385" i="4"/>
  <c r="G385" i="4"/>
  <c r="F22" i="49" s="1"/>
  <c r="F19" i="53"/>
  <c r="C5" i="53"/>
  <c r="H19" i="53"/>
  <c r="H18" i="53"/>
  <c r="G213" i="4"/>
  <c r="M32" i="53" s="1"/>
  <c r="M27" i="53"/>
  <c r="M26" i="53"/>
  <c r="M36" i="53"/>
  <c r="G214" i="4"/>
  <c r="M33" i="53" s="1"/>
  <c r="G212" i="4"/>
  <c r="M31" i="53" s="1"/>
  <c r="M24" i="53"/>
  <c r="M22" i="53"/>
  <c r="M19" i="53"/>
  <c r="M17" i="53"/>
  <c r="K33" i="53"/>
  <c r="K26" i="53"/>
  <c r="K17" i="53"/>
  <c r="L20" i="53"/>
  <c r="L16" i="53"/>
  <c r="I19" i="53"/>
  <c r="I17" i="53"/>
  <c r="G7" i="53"/>
  <c r="K22" i="49" l="1"/>
  <c r="L22" i="49"/>
  <c r="D13" i="49"/>
  <c r="G8" i="53"/>
  <c r="F191" i="4"/>
  <c r="K8" i="53"/>
  <c r="K4" i="53" s="1"/>
  <c r="M206" i="4"/>
  <c r="M25" i="53"/>
  <c r="G16" i="49"/>
  <c r="M13" i="53"/>
  <c r="M12" i="53" s="1"/>
  <c r="F57" i="4"/>
  <c r="E5" i="53"/>
  <c r="E4" i="53" s="1"/>
  <c r="D12" i="49"/>
  <c r="G6" i="53"/>
  <c r="F135" i="4"/>
  <c r="H121" i="4" s="1"/>
  <c r="F6" i="53"/>
  <c r="F272" i="4"/>
  <c r="I8" i="53"/>
  <c r="I4" i="53" s="1"/>
  <c r="M197" i="4"/>
  <c r="M16" i="53"/>
  <c r="G9" i="49"/>
  <c r="D13" i="53"/>
  <c r="D12" i="53" s="1"/>
  <c r="F83" i="4"/>
  <c r="L5" i="53"/>
  <c r="L4" i="53" s="1"/>
  <c r="G15" i="49"/>
  <c r="K13" i="53"/>
  <c r="K12" i="53" s="1"/>
  <c r="F218" i="4"/>
  <c r="M8" i="53"/>
  <c r="F109" i="4"/>
  <c r="D5" i="53"/>
  <c r="D4" i="53" s="1"/>
  <c r="G29" i="49"/>
  <c r="F30" i="4"/>
  <c r="L30" i="4"/>
  <c r="E139" i="4"/>
  <c r="G36" i="53"/>
  <c r="E145" i="4"/>
  <c r="E157" i="4"/>
  <c r="H26" i="4" l="1"/>
  <c r="H5" i="4"/>
  <c r="H6" i="4"/>
  <c r="S6" i="53"/>
  <c r="S5" i="53"/>
  <c r="F4" i="53"/>
  <c r="J15" i="49"/>
  <c r="J9" i="49"/>
  <c r="J16" i="49"/>
  <c r="G12" i="49"/>
  <c r="G13" i="53"/>
  <c r="H24" i="4"/>
  <c r="M366" i="4"/>
  <c r="L192" i="4"/>
  <c r="L317" i="4"/>
  <c r="V6" i="53" l="1"/>
  <c r="F14" i="3"/>
  <c r="V5" i="53"/>
  <c r="F13" i="3"/>
  <c r="J12" i="49"/>
  <c r="H12" i="49"/>
  <c r="M4" i="53"/>
  <c r="M362" i="4"/>
  <c r="M365" i="4"/>
  <c r="M364" i="4"/>
  <c r="M368" i="4"/>
  <c r="I385" i="4"/>
  <c r="J385" i="4" s="1"/>
  <c r="M371" i="4"/>
  <c r="N371" i="4" s="1"/>
  <c r="M384" i="4"/>
  <c r="M370" i="4"/>
  <c r="M372" i="4"/>
  <c r="M374" i="4"/>
  <c r="M378" i="4"/>
  <c r="M381" i="4"/>
  <c r="M361" i="4"/>
  <c r="M363" i="4"/>
  <c r="M367" i="4"/>
  <c r="M369" i="4"/>
  <c r="M373" i="4"/>
  <c r="M376" i="4"/>
  <c r="M380" i="4"/>
  <c r="M385" i="4" l="1"/>
  <c r="O385" i="4" s="1"/>
  <c r="N373" i="4"/>
  <c r="N361" i="4"/>
  <c r="N372" i="4"/>
  <c r="N380" i="4"/>
  <c r="N367" i="4"/>
  <c r="N378" i="4"/>
  <c r="N366" i="4"/>
  <c r="N368" i="4"/>
  <c r="N364" i="4"/>
  <c r="N376" i="4"/>
  <c r="N369" i="4"/>
  <c r="N365" i="4"/>
  <c r="N363" i="4"/>
  <c r="N381" i="4"/>
  <c r="N374" i="4"/>
  <c r="N370" i="4"/>
  <c r="N384" i="4"/>
  <c r="N362" i="4"/>
  <c r="N385" i="4" l="1"/>
  <c r="L83" i="4" l="1"/>
  <c r="R23" i="49" l="1"/>
  <c r="R14" i="49"/>
  <c r="R19" i="49"/>
  <c r="R28" i="49" l="1"/>
  <c r="E411" i="4"/>
  <c r="E404" i="4" l="1"/>
  <c r="E397" i="4"/>
  <c r="E238" i="4"/>
  <c r="E226" i="4"/>
  <c r="E128" i="4"/>
  <c r="E116" i="4"/>
  <c r="E23" i="4"/>
  <c r="E11" i="4"/>
  <c r="E76" i="4"/>
  <c r="E64" i="4"/>
  <c r="E50" i="4"/>
  <c r="E30" i="53" s="1"/>
  <c r="E38" i="4"/>
  <c r="E18" i="53" s="1"/>
  <c r="J36" i="53"/>
  <c r="J33" i="53"/>
  <c r="J32" i="53"/>
  <c r="J28" i="53"/>
  <c r="J26" i="53"/>
  <c r="G287" i="4"/>
  <c r="J25" i="53" s="1"/>
  <c r="J23" i="53"/>
  <c r="J22" i="53"/>
  <c r="J19" i="53"/>
  <c r="M279" i="4" l="1"/>
  <c r="J17" i="53"/>
  <c r="M278" i="4"/>
  <c r="J16" i="53"/>
  <c r="M285" i="4"/>
  <c r="M294" i="4"/>
  <c r="J8" i="53"/>
  <c r="J4" i="53" s="1"/>
  <c r="E398" i="4"/>
  <c r="P28" i="53"/>
  <c r="P27" i="53"/>
  <c r="O30" i="53"/>
  <c r="G354" i="4"/>
  <c r="O26" i="53"/>
  <c r="O25" i="53"/>
  <c r="O22" i="53"/>
  <c r="G348" i="4"/>
  <c r="O13" i="53"/>
  <c r="O12" i="53" s="1"/>
  <c r="O36" i="53"/>
  <c r="H13" i="53"/>
  <c r="H12" i="53" s="1"/>
  <c r="I27" i="53"/>
  <c r="G22" i="53"/>
  <c r="G21" i="53"/>
  <c r="O11" i="53" l="1"/>
  <c r="G20" i="49"/>
  <c r="J20" i="49" s="1"/>
  <c r="I13" i="53"/>
  <c r="I12" i="53" s="1"/>
  <c r="G13" i="49"/>
  <c r="G14" i="53"/>
  <c r="G10" i="49"/>
  <c r="F13" i="53"/>
  <c r="F12" i="53" s="1"/>
  <c r="G21" i="49"/>
  <c r="J21" i="49" s="1"/>
  <c r="J13" i="53"/>
  <c r="J12" i="53" s="1"/>
  <c r="G17" i="49"/>
  <c r="L13" i="53"/>
  <c r="L12" i="53" s="1"/>
  <c r="G8" i="49"/>
  <c r="E13" i="53"/>
  <c r="E12" i="53" s="1"/>
  <c r="M256" i="4"/>
  <c r="I21" i="53"/>
  <c r="G18" i="49"/>
  <c r="G358" i="4"/>
  <c r="F299" i="4"/>
  <c r="M353" i="4"/>
  <c r="M348" i="4"/>
  <c r="M354" i="4"/>
  <c r="G125" i="4"/>
  <c r="F27" i="53" s="1"/>
  <c r="F21" i="53"/>
  <c r="G99" i="4"/>
  <c r="D27" i="53" s="1"/>
  <c r="D19" i="53"/>
  <c r="L33" i="53"/>
  <c r="L28" i="53"/>
  <c r="L25" i="53"/>
  <c r="L22" i="53"/>
  <c r="E20" i="53"/>
  <c r="E22" i="53"/>
  <c r="E21" i="53"/>
  <c r="C28" i="53"/>
  <c r="C27" i="53"/>
  <c r="C21" i="53"/>
  <c r="U35" i="53"/>
  <c r="F76" i="3" s="1"/>
  <c r="U31" i="53"/>
  <c r="F72" i="3" s="1"/>
  <c r="U28" i="53"/>
  <c r="F69" i="3" s="1"/>
  <c r="U16" i="53"/>
  <c r="J27" i="53"/>
  <c r="J21" i="53"/>
  <c r="G277" i="4"/>
  <c r="G276" i="4"/>
  <c r="I36" i="53"/>
  <c r="I33" i="53"/>
  <c r="G267" i="4"/>
  <c r="I32" i="53" s="1"/>
  <c r="I28" i="53"/>
  <c r="I26" i="53"/>
  <c r="I25" i="53"/>
  <c r="I24" i="53"/>
  <c r="G257" i="4"/>
  <c r="I22" i="53" s="1"/>
  <c r="I16" i="53"/>
  <c r="G236" i="4"/>
  <c r="H28" i="53" s="1"/>
  <c r="H26" i="53"/>
  <c r="G231" i="4"/>
  <c r="H23" i="53" s="1"/>
  <c r="M223" i="4"/>
  <c r="G202" i="4"/>
  <c r="G185" i="4"/>
  <c r="K32" i="53"/>
  <c r="K27" i="53"/>
  <c r="K24" i="53"/>
  <c r="K22" i="53"/>
  <c r="K21" i="53"/>
  <c r="K16" i="53"/>
  <c r="G337" i="4"/>
  <c r="P32" i="53" s="1"/>
  <c r="G327" i="4"/>
  <c r="P22" i="53" s="1"/>
  <c r="G320" i="4"/>
  <c r="G319" i="4"/>
  <c r="G304" i="4"/>
  <c r="G301" i="4"/>
  <c r="G159" i="4"/>
  <c r="G32" i="53" s="1"/>
  <c r="G30" i="53"/>
  <c r="G28" i="53"/>
  <c r="G27" i="53"/>
  <c r="G26" i="53"/>
  <c r="G25" i="53"/>
  <c r="G24" i="53"/>
  <c r="G20" i="53"/>
  <c r="G19" i="53"/>
  <c r="G18" i="53"/>
  <c r="G17" i="53"/>
  <c r="G16" i="53"/>
  <c r="G142" i="4"/>
  <c r="G141" i="4"/>
  <c r="F36" i="53"/>
  <c r="F33" i="53"/>
  <c r="G130" i="4"/>
  <c r="F32" i="53" s="1"/>
  <c r="F30" i="53"/>
  <c r="F28" i="53"/>
  <c r="F26" i="53"/>
  <c r="F24" i="53"/>
  <c r="F22" i="53"/>
  <c r="F20" i="53"/>
  <c r="F18" i="53"/>
  <c r="G108" i="4"/>
  <c r="D36" i="53" s="1"/>
  <c r="D31" i="53"/>
  <c r="D28" i="53"/>
  <c r="D26" i="53"/>
  <c r="D25" i="53"/>
  <c r="D24" i="53"/>
  <c r="D23" i="53"/>
  <c r="L36" i="53"/>
  <c r="L30" i="53"/>
  <c r="L26" i="53"/>
  <c r="L24" i="53"/>
  <c r="G69" i="4"/>
  <c r="L23" i="53" s="1"/>
  <c r="L19" i="53"/>
  <c r="L18" i="53"/>
  <c r="G61" i="4"/>
  <c r="G60" i="4"/>
  <c r="E36" i="53"/>
  <c r="E32" i="53"/>
  <c r="E28" i="53"/>
  <c r="E26" i="53"/>
  <c r="E25" i="53"/>
  <c r="E24" i="53"/>
  <c r="E23" i="53"/>
  <c r="E19" i="53"/>
  <c r="E17" i="53"/>
  <c r="E16" i="53"/>
  <c r="G35" i="4"/>
  <c r="G34" i="4"/>
  <c r="C36" i="53"/>
  <c r="C30" i="53"/>
  <c r="C26" i="53"/>
  <c r="C25" i="53"/>
  <c r="C24" i="53"/>
  <c r="G16" i="4"/>
  <c r="C23" i="53" s="1"/>
  <c r="G15" i="4"/>
  <c r="C22" i="53" s="1"/>
  <c r="C18" i="53"/>
  <c r="C17" i="53"/>
  <c r="G8" i="4"/>
  <c r="E219" i="4"/>
  <c r="H8" i="53" s="1"/>
  <c r="L218" i="4"/>
  <c r="M226" i="4"/>
  <c r="M227" i="4"/>
  <c r="E246" i="4"/>
  <c r="E273" i="4"/>
  <c r="G164" i="4" l="1"/>
  <c r="K31" i="53"/>
  <c r="G191" i="4"/>
  <c r="S18" i="53"/>
  <c r="F30" i="3" s="1"/>
  <c r="G30" i="4"/>
  <c r="P11" i="53"/>
  <c r="P41" i="53" s="1"/>
  <c r="F57" i="3"/>
  <c r="U11" i="53"/>
  <c r="S14" i="53"/>
  <c r="G12" i="53"/>
  <c r="S12" i="53" s="1"/>
  <c r="F26" i="3" s="1"/>
  <c r="G26" i="3" s="1"/>
  <c r="S13" i="53"/>
  <c r="S23" i="53"/>
  <c r="S32" i="53"/>
  <c r="S22" i="53"/>
  <c r="S26" i="53"/>
  <c r="S31" i="53"/>
  <c r="S28" i="53"/>
  <c r="S27" i="53"/>
  <c r="S20" i="53"/>
  <c r="J18" i="49"/>
  <c r="J8" i="49"/>
  <c r="G14" i="49"/>
  <c r="J10" i="49"/>
  <c r="J13" i="49"/>
  <c r="J11" i="49" s="1"/>
  <c r="H13" i="49"/>
  <c r="G11" i="49"/>
  <c r="J19" i="49"/>
  <c r="J17" i="49"/>
  <c r="J14" i="49" s="1"/>
  <c r="M173" i="4"/>
  <c r="K19" i="53"/>
  <c r="M12" i="4"/>
  <c r="C19" i="53"/>
  <c r="M232" i="4"/>
  <c r="H24" i="53"/>
  <c r="S24" i="53" s="1"/>
  <c r="M244" i="4"/>
  <c r="H36" i="53"/>
  <c r="M179" i="4"/>
  <c r="K25" i="53"/>
  <c r="M224" i="4"/>
  <c r="H16" i="53"/>
  <c r="S16" i="53" s="1"/>
  <c r="L220" i="4"/>
  <c r="L219" i="4" s="1"/>
  <c r="H7" i="53"/>
  <c r="S7" i="53" s="1"/>
  <c r="M53" i="4"/>
  <c r="E33" i="53"/>
  <c r="S33" i="53" s="1"/>
  <c r="M123" i="4"/>
  <c r="F25" i="53"/>
  <c r="S25" i="53" s="1"/>
  <c r="M238" i="4"/>
  <c r="H30" i="53"/>
  <c r="G19" i="49"/>
  <c r="M102" i="4"/>
  <c r="D30" i="53"/>
  <c r="M190" i="4"/>
  <c r="K36" i="53"/>
  <c r="L300" i="4"/>
  <c r="R8" i="53"/>
  <c r="R4" i="53" s="1"/>
  <c r="M115" i="4"/>
  <c r="F17" i="53"/>
  <c r="G218" i="4"/>
  <c r="I218" i="4" s="1"/>
  <c r="J218" i="4" s="1"/>
  <c r="M21" i="53"/>
  <c r="S21" i="53" s="1"/>
  <c r="M225" i="4"/>
  <c r="H17" i="53"/>
  <c r="F421" i="4"/>
  <c r="M358" i="4"/>
  <c r="G299" i="4"/>
  <c r="G109" i="4"/>
  <c r="F245" i="4"/>
  <c r="D18" i="49" s="1"/>
  <c r="M222" i="4"/>
  <c r="G245" i="4"/>
  <c r="F18" i="49" s="1"/>
  <c r="K18" i="49" s="1"/>
  <c r="M249" i="4"/>
  <c r="G272" i="4"/>
  <c r="N194" i="4"/>
  <c r="M175" i="4"/>
  <c r="M178" i="4"/>
  <c r="M186" i="4"/>
  <c r="M195" i="4"/>
  <c r="H195" i="4"/>
  <c r="M198" i="4"/>
  <c r="H198" i="4"/>
  <c r="M202" i="4"/>
  <c r="N202" i="4" s="1"/>
  <c r="H202" i="4"/>
  <c r="N205" i="4"/>
  <c r="H205" i="4"/>
  <c r="M207" i="4"/>
  <c r="N207" i="4" s="1"/>
  <c r="H207" i="4"/>
  <c r="M213" i="4"/>
  <c r="N213" i="4" s="1"/>
  <c r="H213" i="4"/>
  <c r="M214" i="4"/>
  <c r="N214" i="4" s="1"/>
  <c r="H214" i="4"/>
  <c r="M231" i="4"/>
  <c r="M234" i="4"/>
  <c r="M277" i="4"/>
  <c r="D14" i="25"/>
  <c r="D16" i="49"/>
  <c r="H197" i="4"/>
  <c r="N197" i="4"/>
  <c r="M176" i="4"/>
  <c r="M181" i="4"/>
  <c r="M185" i="4"/>
  <c r="M196" i="4"/>
  <c r="N196" i="4" s="1"/>
  <c r="H196" i="4"/>
  <c r="M200" i="4"/>
  <c r="N200" i="4" s="1"/>
  <c r="H200" i="4"/>
  <c r="M203" i="4"/>
  <c r="N203" i="4" s="1"/>
  <c r="H203" i="4"/>
  <c r="N206" i="4"/>
  <c r="H206" i="4"/>
  <c r="M208" i="4"/>
  <c r="N208" i="4" s="1"/>
  <c r="H208" i="4"/>
  <c r="M212" i="4"/>
  <c r="N212" i="4" s="1"/>
  <c r="H212" i="4"/>
  <c r="M217" i="4"/>
  <c r="N217" i="4" s="1"/>
  <c r="H217" i="4"/>
  <c r="M236" i="4"/>
  <c r="M276" i="4"/>
  <c r="H194" i="4"/>
  <c r="F12" i="36"/>
  <c r="G12" i="36" s="1"/>
  <c r="H12" i="36" s="1"/>
  <c r="I12" i="36" s="1"/>
  <c r="F11" i="36"/>
  <c r="G11" i="36" s="1"/>
  <c r="H11" i="36" s="1"/>
  <c r="I11" i="36" s="1"/>
  <c r="M4" i="36"/>
  <c r="L4" i="36"/>
  <c r="K4" i="36"/>
  <c r="J4" i="36"/>
  <c r="M3" i="36"/>
  <c r="L3" i="36"/>
  <c r="K3" i="36"/>
  <c r="J3" i="36"/>
  <c r="S3" i="39"/>
  <c r="S5" i="39" s="1"/>
  <c r="T3" i="40"/>
  <c r="T5" i="40" s="1"/>
  <c r="S3" i="40"/>
  <c r="S5" i="47"/>
  <c r="T5" i="47"/>
  <c r="T5" i="39"/>
  <c r="U4" i="39"/>
  <c r="U3" i="47"/>
  <c r="T4" i="48"/>
  <c r="S4" i="48"/>
  <c r="T3" i="48"/>
  <c r="S3" i="48"/>
  <c r="J28" i="49" l="1"/>
  <c r="G28" i="49"/>
  <c r="V7" i="53"/>
  <c r="F15" i="3"/>
  <c r="J30" i="49"/>
  <c r="F37" i="3"/>
  <c r="F45" i="3"/>
  <c r="F28" i="3"/>
  <c r="F36" i="3"/>
  <c r="F39" i="3"/>
  <c r="F43" i="3"/>
  <c r="F34" i="3"/>
  <c r="F35" i="3"/>
  <c r="F33" i="3"/>
  <c r="F32" i="3"/>
  <c r="F40" i="3"/>
  <c r="F38" i="3"/>
  <c r="F44" i="3"/>
  <c r="S30" i="53"/>
  <c r="S36" i="53"/>
  <c r="S19" i="53"/>
  <c r="S17" i="53"/>
  <c r="R41" i="53"/>
  <c r="H16" i="49"/>
  <c r="H18" i="49"/>
  <c r="H418" i="4"/>
  <c r="H419" i="4"/>
  <c r="H4" i="53"/>
  <c r="L245" i="4"/>
  <c r="N221" i="4" s="1"/>
  <c r="N198" i="4"/>
  <c r="M191" i="4"/>
  <c r="M299" i="4"/>
  <c r="M245" i="4"/>
  <c r="N195" i="4"/>
  <c r="M218" i="4"/>
  <c r="T5" i="48"/>
  <c r="N225" i="4"/>
  <c r="R3" i="36"/>
  <c r="J11" i="36"/>
  <c r="K11" i="36" s="1"/>
  <c r="L11" i="36" s="1"/>
  <c r="M11" i="36" s="1"/>
  <c r="J12" i="36"/>
  <c r="K12" i="36" s="1"/>
  <c r="L12" i="36" s="1"/>
  <c r="M12" i="36" s="1"/>
  <c r="H236" i="4"/>
  <c r="H232" i="4"/>
  <c r="H225" i="4"/>
  <c r="N232" i="4"/>
  <c r="H224" i="4"/>
  <c r="H222" i="4"/>
  <c r="L18" i="49"/>
  <c r="H227" i="4"/>
  <c r="H223" i="4"/>
  <c r="H234" i="4"/>
  <c r="H231" i="4"/>
  <c r="H226" i="4"/>
  <c r="E14" i="25"/>
  <c r="F14" i="25" s="1"/>
  <c r="F16" i="49"/>
  <c r="H218" i="4"/>
  <c r="H238" i="4"/>
  <c r="H245" i="4"/>
  <c r="S5" i="48"/>
  <c r="H244" i="4"/>
  <c r="H221" i="4"/>
  <c r="N231" i="4"/>
  <c r="I245" i="4"/>
  <c r="J245" i="4" s="1"/>
  <c r="U3" i="39"/>
  <c r="S5" i="40"/>
  <c r="R4" i="48"/>
  <c r="R3" i="48"/>
  <c r="R4" i="40"/>
  <c r="R5" i="40" s="1"/>
  <c r="R5" i="39"/>
  <c r="R4" i="47"/>
  <c r="R5" i="47" s="1"/>
  <c r="F29" i="3" l="1"/>
  <c r="F48" i="3"/>
  <c r="F31" i="3"/>
  <c r="F42" i="3"/>
  <c r="N238" i="4"/>
  <c r="N224" i="4"/>
  <c r="N234" i="4"/>
  <c r="N227" i="4"/>
  <c r="N236" i="4"/>
  <c r="N244" i="4"/>
  <c r="O245" i="4"/>
  <c r="N218" i="4"/>
  <c r="N245" i="4"/>
  <c r="O218" i="4"/>
  <c r="L16" i="49"/>
  <c r="K16" i="49"/>
  <c r="R5" i="48"/>
  <c r="Q4" i="48"/>
  <c r="Q3" i="48"/>
  <c r="Q4" i="47"/>
  <c r="Q5" i="47" s="1"/>
  <c r="Q4" i="40"/>
  <c r="Q5" i="40" s="1"/>
  <c r="Q5" i="39"/>
  <c r="G48" i="3" l="1"/>
  <c r="G49" i="3" s="1"/>
  <c r="G30" i="49"/>
  <c r="Q5" i="48"/>
  <c r="F12" i="48" l="1"/>
  <c r="F11" i="48"/>
  <c r="L4" i="48"/>
  <c r="K4" i="48"/>
  <c r="J4" i="48"/>
  <c r="I4" i="48"/>
  <c r="H4" i="48"/>
  <c r="G4" i="48"/>
  <c r="L3" i="48"/>
  <c r="K3" i="48"/>
  <c r="J3" i="48"/>
  <c r="I3" i="48"/>
  <c r="H3" i="48"/>
  <c r="G3" i="48"/>
  <c r="G11" i="48" s="1"/>
  <c r="O4" i="48"/>
  <c r="N4" i="48"/>
  <c r="P4" i="48"/>
  <c r="M4" i="48"/>
  <c r="M12" i="48" s="1"/>
  <c r="P3" i="48"/>
  <c r="O3" i="48"/>
  <c r="N3" i="48"/>
  <c r="M3" i="48"/>
  <c r="N3" i="40"/>
  <c r="M3" i="40"/>
  <c r="G4" i="40"/>
  <c r="I3" i="40"/>
  <c r="H3" i="40"/>
  <c r="G3" i="40"/>
  <c r="F12" i="47"/>
  <c r="F11" i="47"/>
  <c r="L4" i="47"/>
  <c r="K4" i="47"/>
  <c r="J4" i="47"/>
  <c r="I4" i="47"/>
  <c r="H4" i="47"/>
  <c r="G4" i="47"/>
  <c r="P4" i="47"/>
  <c r="P5" i="47" s="1"/>
  <c r="O4" i="47"/>
  <c r="O5" i="47" s="1"/>
  <c r="N4" i="47"/>
  <c r="N5" i="47" s="1"/>
  <c r="M4" i="47"/>
  <c r="M11" i="47"/>
  <c r="N11" i="47" s="1"/>
  <c r="O11" i="47" s="1"/>
  <c r="P11" i="47" s="1"/>
  <c r="Q11" i="47" s="1"/>
  <c r="R11" i="47" s="1"/>
  <c r="S11" i="47" s="1"/>
  <c r="T11" i="47" s="1"/>
  <c r="G11" i="47"/>
  <c r="H11" i="47" s="1"/>
  <c r="I11" i="47" s="1"/>
  <c r="J11" i="47" s="1"/>
  <c r="K11" i="47" s="1"/>
  <c r="L11" i="47" s="1"/>
  <c r="L5" i="47"/>
  <c r="K5" i="47"/>
  <c r="J5" i="47"/>
  <c r="I5" i="47"/>
  <c r="H5" i="47"/>
  <c r="G12" i="47" l="1"/>
  <c r="H12" i="47" s="1"/>
  <c r="I12" i="47" s="1"/>
  <c r="J12" i="47" s="1"/>
  <c r="K12" i="47" s="1"/>
  <c r="L12" i="47" s="1"/>
  <c r="P5" i="48"/>
  <c r="U3" i="48"/>
  <c r="U4" i="48"/>
  <c r="M12" i="47"/>
  <c r="N12" i="47" s="1"/>
  <c r="O12" i="47" s="1"/>
  <c r="P12" i="47" s="1"/>
  <c r="Q12" i="47" s="1"/>
  <c r="R12" i="47" s="1"/>
  <c r="S12" i="47" s="1"/>
  <c r="T12" i="47" s="1"/>
  <c r="U4" i="47"/>
  <c r="U3" i="40"/>
  <c r="G12" i="48"/>
  <c r="H12" i="48" s="1"/>
  <c r="I12" i="48" s="1"/>
  <c r="J12" i="48" s="1"/>
  <c r="K12" i="48" s="1"/>
  <c r="L12" i="48" s="1"/>
  <c r="M11" i="48"/>
  <c r="N11" i="48" s="1"/>
  <c r="O11" i="48" s="1"/>
  <c r="P11" i="48" s="1"/>
  <c r="Q11" i="48" s="1"/>
  <c r="R11" i="48" s="1"/>
  <c r="S11" i="48" s="1"/>
  <c r="T11" i="48" s="1"/>
  <c r="O5" i="48"/>
  <c r="F13" i="48"/>
  <c r="N12" i="48"/>
  <c r="O12" i="48" s="1"/>
  <c r="P12" i="48" s="1"/>
  <c r="Q12" i="48" s="1"/>
  <c r="R12" i="48" s="1"/>
  <c r="S12" i="48" s="1"/>
  <c r="T12" i="48" s="1"/>
  <c r="N5" i="48"/>
  <c r="H11" i="48"/>
  <c r="I11" i="48" s="1"/>
  <c r="J11" i="48" s="1"/>
  <c r="K11" i="48" s="1"/>
  <c r="L11" i="48" s="1"/>
  <c r="G5" i="48"/>
  <c r="I5" i="48"/>
  <c r="K5" i="48"/>
  <c r="M5" i="48"/>
  <c r="M13" i="48" s="1"/>
  <c r="H5" i="48"/>
  <c r="J5" i="48"/>
  <c r="L5" i="48"/>
  <c r="F13" i="47"/>
  <c r="G5" i="47"/>
  <c r="M5" i="47"/>
  <c r="M13" i="47" s="1"/>
  <c r="N13" i="47" s="1"/>
  <c r="O13" i="47" s="1"/>
  <c r="P13" i="47" s="1"/>
  <c r="Q13" i="47" s="1"/>
  <c r="R13" i="47" s="1"/>
  <c r="S13" i="47" s="1"/>
  <c r="T13" i="47" s="1"/>
  <c r="F12" i="40"/>
  <c r="G12" i="40" s="1"/>
  <c r="F11" i="40"/>
  <c r="G11" i="40" s="1"/>
  <c r="H11" i="40" s="1"/>
  <c r="I11" i="40" s="1"/>
  <c r="J11" i="40" s="1"/>
  <c r="K11" i="40" s="1"/>
  <c r="L11" i="40" s="1"/>
  <c r="N4" i="40"/>
  <c r="N5" i="40" s="1"/>
  <c r="P4" i="40"/>
  <c r="P5" i="40" s="1"/>
  <c r="O4" i="40"/>
  <c r="O5" i="40" s="1"/>
  <c r="M4" i="40"/>
  <c r="M5" i="40" s="1"/>
  <c r="M13" i="40" s="1"/>
  <c r="L4" i="40"/>
  <c r="L5" i="40" s="1"/>
  <c r="K4" i="40"/>
  <c r="K5" i="40" s="1"/>
  <c r="J4" i="40"/>
  <c r="J5" i="40" s="1"/>
  <c r="I4" i="40"/>
  <c r="I5" i="40" s="1"/>
  <c r="H4" i="40"/>
  <c r="H5" i="40" s="1"/>
  <c r="M11" i="40"/>
  <c r="N11" i="40" s="1"/>
  <c r="O11" i="40" s="1"/>
  <c r="P11" i="40" s="1"/>
  <c r="Q11" i="40" s="1"/>
  <c r="R11" i="40" s="1"/>
  <c r="S11" i="40" s="1"/>
  <c r="T11" i="40" s="1"/>
  <c r="G5" i="40"/>
  <c r="P5" i="39"/>
  <c r="F12" i="39"/>
  <c r="G12" i="39" s="1"/>
  <c r="H12" i="39" s="1"/>
  <c r="I12" i="39" s="1"/>
  <c r="J12" i="39" s="1"/>
  <c r="K12" i="39" s="1"/>
  <c r="L12" i="39" s="1"/>
  <c r="F11" i="39"/>
  <c r="G11" i="39" s="1"/>
  <c r="H11" i="39" s="1"/>
  <c r="I11" i="39" s="1"/>
  <c r="J11" i="39" s="1"/>
  <c r="K11" i="39" s="1"/>
  <c r="L11" i="39" s="1"/>
  <c r="M12" i="39"/>
  <c r="N12" i="39" s="1"/>
  <c r="O12" i="39" s="1"/>
  <c r="P12" i="39" s="1"/>
  <c r="Q12" i="39" s="1"/>
  <c r="R12" i="39" s="1"/>
  <c r="S12" i="39" s="1"/>
  <c r="T12" i="39" s="1"/>
  <c r="M11" i="39"/>
  <c r="N11" i="39" s="1"/>
  <c r="O11" i="39" s="1"/>
  <c r="P11" i="39" s="1"/>
  <c r="Q11" i="39" s="1"/>
  <c r="R11" i="39" s="1"/>
  <c r="S11" i="39" s="1"/>
  <c r="T11" i="39" s="1"/>
  <c r="O5" i="39"/>
  <c r="N5" i="39"/>
  <c r="M5" i="39"/>
  <c r="M13" i="39" s="1"/>
  <c r="L5" i="39"/>
  <c r="K5" i="39"/>
  <c r="J5" i="39"/>
  <c r="I5" i="39"/>
  <c r="H5" i="39"/>
  <c r="G5" i="39"/>
  <c r="N13" i="48" l="1"/>
  <c r="O13" i="48" s="1"/>
  <c r="P13" i="48" s="1"/>
  <c r="Q13" i="48" s="1"/>
  <c r="R13" i="48" s="1"/>
  <c r="S13" i="48" s="1"/>
  <c r="T13" i="48" s="1"/>
  <c r="G13" i="48"/>
  <c r="H13" i="48" s="1"/>
  <c r="I13" i="48" s="1"/>
  <c r="J13" i="48" s="1"/>
  <c r="K13" i="48" s="1"/>
  <c r="L13" i="48" s="1"/>
  <c r="M12" i="40"/>
  <c r="N12" i="40" s="1"/>
  <c r="O12" i="40" s="1"/>
  <c r="P12" i="40" s="1"/>
  <c r="Q12" i="40" s="1"/>
  <c r="R12" i="40" s="1"/>
  <c r="S12" i="40" s="1"/>
  <c r="T12" i="40" s="1"/>
  <c r="U4" i="40"/>
  <c r="G13" i="47"/>
  <c r="H13" i="47" s="1"/>
  <c r="I13" i="47" s="1"/>
  <c r="J13" i="47" s="1"/>
  <c r="K13" i="47" s="1"/>
  <c r="L13" i="47" s="1"/>
  <c r="N13" i="39"/>
  <c r="O13" i="39" s="1"/>
  <c r="P13" i="39" s="1"/>
  <c r="Q13" i="39" s="1"/>
  <c r="R13" i="39" s="1"/>
  <c r="S13" i="39" s="1"/>
  <c r="T13" i="39" s="1"/>
  <c r="H12" i="40"/>
  <c r="I12" i="40" s="1"/>
  <c r="J12" i="40" s="1"/>
  <c r="K12" i="40" s="1"/>
  <c r="L12" i="40" s="1"/>
  <c r="N13" i="40"/>
  <c r="O13" i="40" s="1"/>
  <c r="P13" i="40" s="1"/>
  <c r="Q13" i="40" s="1"/>
  <c r="R13" i="40" s="1"/>
  <c r="S13" i="40" s="1"/>
  <c r="T13" i="40" s="1"/>
  <c r="F13" i="40"/>
  <c r="G13" i="40" s="1"/>
  <c r="H13" i="40" s="1"/>
  <c r="I13" i="40" s="1"/>
  <c r="J13" i="40" s="1"/>
  <c r="K13" i="40" s="1"/>
  <c r="L13" i="40" s="1"/>
  <c r="F13" i="39"/>
  <c r="G13" i="39" s="1"/>
  <c r="H13" i="39" s="1"/>
  <c r="I13" i="39" s="1"/>
  <c r="J13" i="39" s="1"/>
  <c r="K13" i="39" s="1"/>
  <c r="L13" i="39" s="1"/>
  <c r="I5" i="36" l="1"/>
  <c r="J5" i="36"/>
  <c r="K5" i="36"/>
  <c r="L5" i="36"/>
  <c r="M5" i="36"/>
  <c r="N5" i="36"/>
  <c r="O5" i="36"/>
  <c r="P5" i="36"/>
  <c r="Q5" i="36"/>
  <c r="H5" i="36"/>
  <c r="G5" i="36"/>
  <c r="F5" i="36"/>
  <c r="F13" i="36" s="1"/>
  <c r="R4" i="36"/>
  <c r="U4" i="36" s="1"/>
  <c r="U3" i="36"/>
  <c r="C5" i="36"/>
  <c r="G13" i="36" l="1"/>
  <c r="H13" i="36" s="1"/>
  <c r="I13" i="36" s="1"/>
  <c r="J13" i="36" s="1"/>
  <c r="K13" i="36" s="1"/>
  <c r="L13" i="36" s="1"/>
  <c r="M13" i="36" s="1"/>
  <c r="Q17" i="29" l="1"/>
  <c r="O9" i="29"/>
  <c r="O4" i="29"/>
  <c r="Q4" i="29" s="1"/>
  <c r="D17" i="29" l="1"/>
  <c r="D10" i="29"/>
  <c r="D6" i="29" l="1"/>
  <c r="D13" i="29"/>
  <c r="D12" i="29"/>
  <c r="D9" i="29"/>
  <c r="D8" i="29"/>
  <c r="D7" i="29"/>
  <c r="D5" i="29"/>
  <c r="D4" i="29"/>
  <c r="D11" i="29" l="1"/>
  <c r="D15" i="29" s="1"/>
  <c r="G342" i="4" l="1"/>
  <c r="F25" i="49" l="1"/>
  <c r="K25" i="49" s="1"/>
  <c r="M303" i="4"/>
  <c r="L191" i="4" l="1"/>
  <c r="L316" i="4"/>
  <c r="D13" i="25" l="1"/>
  <c r="D15" i="49"/>
  <c r="H167" i="4"/>
  <c r="H168" i="4"/>
  <c r="H169" i="4"/>
  <c r="H171" i="4"/>
  <c r="H175" i="4"/>
  <c r="H178" i="4"/>
  <c r="H180" i="4"/>
  <c r="H186" i="4"/>
  <c r="H187" i="4"/>
  <c r="H170" i="4"/>
  <c r="H173" i="4"/>
  <c r="H176" i="4"/>
  <c r="H179" i="4"/>
  <c r="H181" i="4"/>
  <c r="H185" i="4"/>
  <c r="H190" i="4"/>
  <c r="N167" i="4"/>
  <c r="N170" i="4"/>
  <c r="N168" i="4"/>
  <c r="N169" i="4"/>
  <c r="N185" i="4"/>
  <c r="N179" i="4"/>
  <c r="N173" i="4"/>
  <c r="N186" i="4"/>
  <c r="N178" i="4"/>
  <c r="N171" i="4"/>
  <c r="N190" i="4"/>
  <c r="N181" i="4"/>
  <c r="N176" i="4"/>
  <c r="N187" i="4"/>
  <c r="N180" i="4"/>
  <c r="N175" i="4"/>
  <c r="N191" i="4"/>
  <c r="E13" i="25"/>
  <c r="F15" i="49"/>
  <c r="H191" i="4"/>
  <c r="C11" i="36"/>
  <c r="I191" i="4"/>
  <c r="J191" i="4" s="1"/>
  <c r="O191" i="4"/>
  <c r="G316" i="4"/>
  <c r="M319" i="4"/>
  <c r="M320" i="4"/>
  <c r="F26" i="49" l="1"/>
  <c r="K26" i="49" s="1"/>
  <c r="H15" i="49"/>
  <c r="K15" i="49"/>
  <c r="L15" i="49"/>
  <c r="D17" i="25"/>
  <c r="D21" i="49"/>
  <c r="H284" i="4"/>
  <c r="H290" i="4"/>
  <c r="H278" i="4"/>
  <c r="H281" i="4"/>
  <c r="H285" i="4"/>
  <c r="H288" i="4"/>
  <c r="H294" i="4"/>
  <c r="H298" i="4"/>
  <c r="H279" i="4"/>
  <c r="H287" i="4"/>
  <c r="H295" i="4"/>
  <c r="H275" i="4"/>
  <c r="H277" i="4"/>
  <c r="H289" i="4"/>
  <c r="H276" i="4"/>
  <c r="H283" i="4"/>
  <c r="F13" i="25"/>
  <c r="H316" i="4"/>
  <c r="E12" i="25"/>
  <c r="F316" i="4"/>
  <c r="L299" i="4"/>
  <c r="L301" i="4"/>
  <c r="M250" i="4"/>
  <c r="M257" i="4"/>
  <c r="M261" i="4"/>
  <c r="M262" i="4"/>
  <c r="M267" i="4"/>
  <c r="M327" i="4"/>
  <c r="M337" i="4"/>
  <c r="M341" i="4"/>
  <c r="M304" i="4"/>
  <c r="M141" i="4"/>
  <c r="M142" i="4"/>
  <c r="M143" i="4"/>
  <c r="M144" i="4"/>
  <c r="M145" i="4"/>
  <c r="M146" i="4"/>
  <c r="M148" i="4"/>
  <c r="M149" i="4"/>
  <c r="M151" i="4"/>
  <c r="M152" i="4"/>
  <c r="M153" i="4"/>
  <c r="M154" i="4"/>
  <c r="M155" i="4"/>
  <c r="M157" i="4"/>
  <c r="M159" i="4"/>
  <c r="M112" i="4"/>
  <c r="M113" i="4"/>
  <c r="M117" i="4"/>
  <c r="M122" i="4"/>
  <c r="M125" i="4"/>
  <c r="M130" i="4"/>
  <c r="M134" i="4"/>
  <c r="M86" i="4"/>
  <c r="M87" i="4"/>
  <c r="M91" i="4"/>
  <c r="M95" i="4"/>
  <c r="M96" i="4"/>
  <c r="M97" i="4"/>
  <c r="M98" i="4"/>
  <c r="M99" i="4"/>
  <c r="M100" i="4"/>
  <c r="M103" i="4"/>
  <c r="M60" i="4"/>
  <c r="M61" i="4"/>
  <c r="M62" i="4"/>
  <c r="M63" i="4"/>
  <c r="M64" i="4"/>
  <c r="M65" i="4"/>
  <c r="M68" i="4"/>
  <c r="M70" i="4"/>
  <c r="M71" i="4"/>
  <c r="M72" i="4"/>
  <c r="M74" i="4"/>
  <c r="M76" i="4"/>
  <c r="M79" i="4"/>
  <c r="M82" i="4"/>
  <c r="M35" i="4"/>
  <c r="M36" i="4"/>
  <c r="M37" i="4"/>
  <c r="M38" i="4"/>
  <c r="M39" i="4"/>
  <c r="M41" i="4"/>
  <c r="M42" i="4"/>
  <c r="M44" i="4"/>
  <c r="M45" i="4"/>
  <c r="M46" i="4"/>
  <c r="M50" i="4"/>
  <c r="M56" i="4"/>
  <c r="M34" i="4"/>
  <c r="M7" i="4"/>
  <c r="M8" i="4"/>
  <c r="M10" i="4"/>
  <c r="M11" i="4"/>
  <c r="M14" i="4"/>
  <c r="M17" i="4"/>
  <c r="M18" i="4"/>
  <c r="M19" i="4"/>
  <c r="M20" i="4"/>
  <c r="M23" i="4"/>
  <c r="M29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1" i="4"/>
  <c r="M412" i="4"/>
  <c r="M413" i="4"/>
  <c r="M414" i="4"/>
  <c r="M415" i="4"/>
  <c r="M417" i="4"/>
  <c r="M305" i="4" l="1"/>
  <c r="E17" i="25"/>
  <c r="F17" i="25" s="1"/>
  <c r="F21" i="49"/>
  <c r="H299" i="4"/>
  <c r="D12" i="25"/>
  <c r="F12" i="25" s="1"/>
  <c r="H12" i="25" s="1"/>
  <c r="D26" i="49"/>
  <c r="M6" i="47"/>
  <c r="C11" i="47"/>
  <c r="I316" i="4"/>
  <c r="J316" i="4" s="1"/>
  <c r="H315" i="4"/>
  <c r="H314" i="4"/>
  <c r="I299" i="4"/>
  <c r="J299" i="4" s="1"/>
  <c r="D23" i="2"/>
  <c r="L21" i="49" l="1"/>
  <c r="K21" i="49"/>
  <c r="L26" i="49"/>
  <c r="C13" i="29"/>
  <c r="C10" i="29"/>
  <c r="S6" i="47"/>
  <c r="T6" i="47"/>
  <c r="R6" i="47"/>
  <c r="N6" i="47"/>
  <c r="M14" i="47"/>
  <c r="P6" i="47"/>
  <c r="Q6" i="47"/>
  <c r="O6" i="47"/>
  <c r="O299" i="4"/>
  <c r="G305" i="4"/>
  <c r="F24" i="49" l="1"/>
  <c r="K24" i="49" s="1"/>
  <c r="N14" i="47"/>
  <c r="O14" i="47" s="1"/>
  <c r="P14" i="47" s="1"/>
  <c r="Q14" i="47" s="1"/>
  <c r="R14" i="47" s="1"/>
  <c r="S14" i="47" s="1"/>
  <c r="T14" i="47" s="1"/>
  <c r="F305" i="4" l="1"/>
  <c r="D24" i="49" s="1"/>
  <c r="L24" i="49" l="1"/>
  <c r="D15" i="25"/>
  <c r="C3" i="47" s="1"/>
  <c r="E18" i="25"/>
  <c r="F342" i="4"/>
  <c r="D10" i="49"/>
  <c r="H10" i="49" s="1"/>
  <c r="D8" i="49"/>
  <c r="D7" i="49"/>
  <c r="L138" i="4"/>
  <c r="G4" i="53" s="1"/>
  <c r="H421" i="4"/>
  <c r="H7" i="49" l="1"/>
  <c r="H8" i="49"/>
  <c r="H324" i="4"/>
  <c r="H336" i="4"/>
  <c r="D8" i="25"/>
  <c r="D9" i="49"/>
  <c r="H90" i="4"/>
  <c r="H98" i="4"/>
  <c r="H95" i="4"/>
  <c r="H100" i="4"/>
  <c r="H91" i="4"/>
  <c r="H86" i="4"/>
  <c r="H96" i="4"/>
  <c r="H102" i="4"/>
  <c r="H99" i="4"/>
  <c r="H87" i="4"/>
  <c r="H97" i="4"/>
  <c r="H103" i="4"/>
  <c r="D25" i="49"/>
  <c r="H333" i="4"/>
  <c r="H320" i="4"/>
  <c r="H319" i="4"/>
  <c r="H321" i="4"/>
  <c r="D20" i="49"/>
  <c r="H256" i="4"/>
  <c r="H251" i="4"/>
  <c r="H259" i="4"/>
  <c r="H250" i="4"/>
  <c r="H257" i="4"/>
  <c r="H249" i="4"/>
  <c r="H254" i="4"/>
  <c r="H252" i="4"/>
  <c r="H260" i="4"/>
  <c r="D21" i="25"/>
  <c r="D29" i="49"/>
  <c r="D7" i="25"/>
  <c r="D17" i="49"/>
  <c r="H66" i="4"/>
  <c r="H60" i="4"/>
  <c r="H65" i="4"/>
  <c r="H76" i="4"/>
  <c r="H62" i="4"/>
  <c r="H79" i="4"/>
  <c r="H61" i="4"/>
  <c r="H69" i="4"/>
  <c r="H82" i="4"/>
  <c r="H68" i="4"/>
  <c r="H63" i="4"/>
  <c r="H70" i="4"/>
  <c r="H71" i="4"/>
  <c r="H64" i="4"/>
  <c r="H72" i="4"/>
  <c r="H74" i="4"/>
  <c r="D6" i="25"/>
  <c r="H34" i="4"/>
  <c r="H38" i="4"/>
  <c r="H42" i="4"/>
  <c r="H46" i="4"/>
  <c r="H40" i="4"/>
  <c r="H50" i="4"/>
  <c r="H41" i="4"/>
  <c r="H45" i="4"/>
  <c r="H35" i="4"/>
  <c r="H39" i="4"/>
  <c r="H43" i="4"/>
  <c r="H48" i="4"/>
  <c r="H36" i="4"/>
  <c r="H44" i="4"/>
  <c r="H37" i="4"/>
  <c r="D5" i="25"/>
  <c r="H11" i="4"/>
  <c r="H14" i="4"/>
  <c r="H8" i="4"/>
  <c r="H15" i="4"/>
  <c r="H10" i="4"/>
  <c r="H7" i="4"/>
  <c r="H17" i="4"/>
  <c r="H16" i="4"/>
  <c r="H12" i="4"/>
  <c r="H112" i="4"/>
  <c r="H124" i="4"/>
  <c r="H120" i="4"/>
  <c r="H118" i="4"/>
  <c r="H115" i="4"/>
  <c r="H116" i="4"/>
  <c r="H117" i="4"/>
  <c r="H119" i="4"/>
  <c r="H131" i="4"/>
  <c r="H126" i="4"/>
  <c r="H123" i="4"/>
  <c r="H113" i="4"/>
  <c r="H125" i="4"/>
  <c r="H134" i="4"/>
  <c r="H130" i="4"/>
  <c r="H122" i="4"/>
  <c r="H128" i="4"/>
  <c r="H248" i="4"/>
  <c r="H313" i="4"/>
  <c r="H311" i="4"/>
  <c r="H309" i="4"/>
  <c r="H312" i="4"/>
  <c r="H310" i="4"/>
  <c r="H308" i="4"/>
  <c r="F358" i="4"/>
  <c r="H337" i="4"/>
  <c r="D16" i="25"/>
  <c r="H331" i="4"/>
  <c r="F164" i="4"/>
  <c r="D9" i="25"/>
  <c r="C3" i="39" s="1"/>
  <c r="H332" i="4"/>
  <c r="D18" i="25"/>
  <c r="F18" i="25" s="1"/>
  <c r="I8" i="24"/>
  <c r="O8" i="53" l="1"/>
  <c r="S8" i="53" s="1"/>
  <c r="F422" i="4"/>
  <c r="H17" i="49"/>
  <c r="H9" i="49"/>
  <c r="D11" i="49"/>
  <c r="H11" i="49" s="1"/>
  <c r="H148" i="4"/>
  <c r="H140" i="4"/>
  <c r="H149" i="4"/>
  <c r="H141" i="4"/>
  <c r="H145" i="4"/>
  <c r="H152" i="4"/>
  <c r="H157" i="4"/>
  <c r="H142" i="4"/>
  <c r="H146" i="4"/>
  <c r="H153" i="4"/>
  <c r="H159" i="4"/>
  <c r="H143" i="4"/>
  <c r="H147" i="4"/>
  <c r="H154" i="4"/>
  <c r="H160" i="4"/>
  <c r="H144" i="4"/>
  <c r="H151" i="4"/>
  <c r="H155" i="4"/>
  <c r="H163" i="4"/>
  <c r="L25" i="49"/>
  <c r="D19" i="25"/>
  <c r="D27" i="49"/>
  <c r="D23" i="49" s="1"/>
  <c r="H347" i="4"/>
  <c r="H349" i="4"/>
  <c r="H351" i="4"/>
  <c r="H353" i="4"/>
  <c r="H355" i="4"/>
  <c r="H348" i="4"/>
  <c r="H350" i="4"/>
  <c r="H352" i="4"/>
  <c r="H354" i="4"/>
  <c r="H356" i="4"/>
  <c r="D14" i="49"/>
  <c r="D19" i="49"/>
  <c r="D10" i="25"/>
  <c r="C3" i="40" s="1"/>
  <c r="H4" i="24"/>
  <c r="O4" i="53" l="1"/>
  <c r="S4" i="53" s="1"/>
  <c r="V4" i="53" s="1"/>
  <c r="D28" i="49"/>
  <c r="V8" i="53"/>
  <c r="F16" i="3"/>
  <c r="G16" i="3" s="1"/>
  <c r="O41" i="53"/>
  <c r="H14" i="49"/>
  <c r="H19" i="49"/>
  <c r="P28" i="24"/>
  <c r="W11" i="24"/>
  <c r="U18" i="24"/>
  <c r="G6" i="24"/>
  <c r="K6" i="24"/>
  <c r="M6" i="24"/>
  <c r="O6" i="24"/>
  <c r="U6" i="24"/>
  <c r="S6" i="24"/>
  <c r="Q6" i="24"/>
  <c r="E7" i="49" l="1"/>
  <c r="E11" i="49"/>
  <c r="E23" i="49"/>
  <c r="E8" i="49"/>
  <c r="E18" i="49"/>
  <c r="N18" i="49" s="1"/>
  <c r="E19" i="49"/>
  <c r="E14" i="49"/>
  <c r="E22" i="49"/>
  <c r="N22" i="49" s="1"/>
  <c r="H28" i="49"/>
  <c r="H23" i="49"/>
  <c r="V12" i="24"/>
  <c r="T5" i="24"/>
  <c r="F5" i="24" s="1"/>
  <c r="E26" i="49" l="1"/>
  <c r="E10" i="49"/>
  <c r="E9" i="49"/>
  <c r="N23" i="49"/>
  <c r="D30" i="49"/>
  <c r="E16" i="49"/>
  <c r="E15" i="49"/>
  <c r="E21" i="49"/>
  <c r="E24" i="49"/>
  <c r="N7" i="49"/>
  <c r="E25" i="49"/>
  <c r="E20" i="49"/>
  <c r="E17" i="49"/>
  <c r="E27" i="49"/>
  <c r="H5" i="24"/>
  <c r="H3" i="24" s="1"/>
  <c r="H8" i="24" s="1"/>
  <c r="H15" i="24" s="1"/>
  <c r="H9" i="24"/>
  <c r="N11" i="49" l="1"/>
  <c r="E28" i="49"/>
  <c r="H30" i="49"/>
  <c r="U23" i="49"/>
  <c r="X23" i="49" s="1"/>
  <c r="U11" i="49"/>
  <c r="N9" i="49"/>
  <c r="U9" i="49"/>
  <c r="U17" i="49"/>
  <c r="U10" i="49"/>
  <c r="N10" i="49"/>
  <c r="U21" i="49"/>
  <c r="U16" i="49"/>
  <c r="N14" i="49"/>
  <c r="U14" i="49"/>
  <c r="U19" i="49"/>
  <c r="N19" i="49"/>
  <c r="U20" i="49"/>
  <c r="N8" i="49"/>
  <c r="U8" i="49"/>
  <c r="U15" i="49"/>
  <c r="U18" i="49"/>
  <c r="H11" i="24"/>
  <c r="H7" i="24"/>
  <c r="W16" i="24"/>
  <c r="W25" i="24" s="1"/>
  <c r="W15" i="24"/>
  <c r="W24" i="24" s="1"/>
  <c r="N28" i="49" l="1"/>
  <c r="U28" i="49"/>
  <c r="X18" i="49"/>
  <c r="X19" i="49"/>
  <c r="X16" i="49"/>
  <c r="X21" i="49"/>
  <c r="X17" i="49"/>
  <c r="X9" i="49"/>
  <c r="X15" i="49"/>
  <c r="X8" i="49"/>
  <c r="X20" i="49"/>
  <c r="X14" i="49"/>
  <c r="X10" i="49"/>
  <c r="X11" i="49"/>
  <c r="W27" i="24"/>
  <c r="W28" i="24" s="1"/>
  <c r="X28" i="49" l="1"/>
  <c r="W7" i="24"/>
  <c r="H8" i="17" l="1"/>
  <c r="H2" i="17"/>
  <c r="I2" i="17" s="1"/>
  <c r="P32" i="14"/>
  <c r="P30" i="14"/>
  <c r="P28" i="14"/>
  <c r="P26" i="14"/>
  <c r="K27" i="14" s="1"/>
  <c r="P17" i="14"/>
  <c r="D12" i="3"/>
  <c r="B12" i="3"/>
  <c r="F64" i="2"/>
  <c r="L27" i="14" l="1"/>
  <c r="M21" i="4"/>
  <c r="M16" i="4"/>
  <c r="F14" i="24"/>
  <c r="F16" i="24" s="1"/>
  <c r="F25" i="24" s="1"/>
  <c r="M52" i="4"/>
  <c r="M48" i="4"/>
  <c r="M43" i="4"/>
  <c r="M69" i="4"/>
  <c r="M83" i="4" s="1"/>
  <c r="M108" i="4"/>
  <c r="M109" i="4" s="1"/>
  <c r="L14" i="24"/>
  <c r="L16" i="24" s="1"/>
  <c r="L25" i="24" s="1"/>
  <c r="M410" i="4"/>
  <c r="M421" i="4" s="1"/>
  <c r="M57" i="4" l="1"/>
  <c r="L421" i="4"/>
  <c r="M15" i="4"/>
  <c r="M30" i="4" s="1"/>
  <c r="M147" i="4"/>
  <c r="G135" i="4"/>
  <c r="M120" i="4"/>
  <c r="E15" i="25"/>
  <c r="D11" i="25"/>
  <c r="D20" i="25" s="1"/>
  <c r="G57" i="4"/>
  <c r="F8" i="49" s="1"/>
  <c r="G83" i="4"/>
  <c r="F17" i="49" s="1"/>
  <c r="O17" i="49" s="1"/>
  <c r="H14" i="24"/>
  <c r="H16" i="24" s="1"/>
  <c r="H25" i="24" s="1"/>
  <c r="R14" i="24"/>
  <c r="R16" i="24" s="1"/>
  <c r="R25" i="24" s="1"/>
  <c r="P14" i="24"/>
  <c r="P16" i="24" s="1"/>
  <c r="T14" i="24"/>
  <c r="T16" i="24" s="1"/>
  <c r="T25" i="24" s="1"/>
  <c r="E11" i="25"/>
  <c r="J14" i="24"/>
  <c r="J16" i="24" s="1"/>
  <c r="J25" i="24" s="1"/>
  <c r="N14" i="24"/>
  <c r="N16" i="24" s="1"/>
  <c r="N25" i="24" s="1"/>
  <c r="H415" i="4"/>
  <c r="G422" i="4" l="1"/>
  <c r="I422" i="4" s="1"/>
  <c r="I164" i="4"/>
  <c r="F11" i="49"/>
  <c r="M135" i="4"/>
  <c r="M272" i="4"/>
  <c r="O30" i="4"/>
  <c r="M164" i="4"/>
  <c r="L8" i="49"/>
  <c r="K8" i="49"/>
  <c r="K17" i="49"/>
  <c r="K14" i="49" s="1"/>
  <c r="F14" i="49"/>
  <c r="L17" i="49"/>
  <c r="L14" i="49" s="1"/>
  <c r="E19" i="25"/>
  <c r="F19" i="25" s="1"/>
  <c r="H19" i="25" s="1"/>
  <c r="F27" i="49"/>
  <c r="E21" i="25"/>
  <c r="F21" i="25" s="1"/>
  <c r="F29" i="49"/>
  <c r="L29" i="49" s="1"/>
  <c r="E16" i="25"/>
  <c r="F16" i="25" s="1"/>
  <c r="H16" i="25" s="1"/>
  <c r="F20" i="49"/>
  <c r="I109" i="4"/>
  <c r="F9" i="49"/>
  <c r="E9" i="25"/>
  <c r="F9" i="25" s="1"/>
  <c r="H9" i="25" s="1"/>
  <c r="F10" i="49"/>
  <c r="L10" i="49" s="1"/>
  <c r="E10" i="25"/>
  <c r="F10" i="25" s="1"/>
  <c r="E5" i="25"/>
  <c r="F5" i="25" s="1"/>
  <c r="H5" i="25" s="1"/>
  <c r="F7" i="49"/>
  <c r="L7" i="49" s="1"/>
  <c r="E7" i="25"/>
  <c r="F7" i="25" s="1"/>
  <c r="H7" i="25" s="1"/>
  <c r="E6" i="25"/>
  <c r="F6" i="25" s="1"/>
  <c r="H6" i="25" s="1"/>
  <c r="I358" i="4"/>
  <c r="E8" i="25"/>
  <c r="F8" i="25" s="1"/>
  <c r="H8" i="25" s="1"/>
  <c r="F15" i="25"/>
  <c r="H15" i="25" s="1"/>
  <c r="F11" i="25"/>
  <c r="H11" i="25" s="1"/>
  <c r="H329" i="4"/>
  <c r="H20" i="4"/>
  <c r="C23" i="2"/>
  <c r="F22" i="2"/>
  <c r="B22" i="2"/>
  <c r="F21" i="2"/>
  <c r="B21" i="2"/>
  <c r="F20" i="2"/>
  <c r="B20" i="2"/>
  <c r="B14" i="2"/>
  <c r="B13" i="2"/>
  <c r="B12" i="2"/>
  <c r="B11" i="2"/>
  <c r="B10" i="2"/>
  <c r="B9" i="2"/>
  <c r="B19" i="2"/>
  <c r="B16" i="2"/>
  <c r="B15" i="2"/>
  <c r="B18" i="2"/>
  <c r="B17" i="2"/>
  <c r="F7" i="2"/>
  <c r="B7" i="2"/>
  <c r="F6" i="2"/>
  <c r="B6" i="2"/>
  <c r="M7" i="49" l="1"/>
  <c r="O7" i="49" s="1"/>
  <c r="P7" i="49" s="1"/>
  <c r="M22" i="49"/>
  <c r="K27" i="49"/>
  <c r="K23" i="49" s="1"/>
  <c r="F23" i="49"/>
  <c r="C40" i="53"/>
  <c r="C11" i="53" s="1"/>
  <c r="K7" i="49"/>
  <c r="K11" i="49"/>
  <c r="L11" i="49"/>
  <c r="K10" i="49"/>
  <c r="L9" i="49"/>
  <c r="K9" i="49"/>
  <c r="S11" i="49"/>
  <c r="K29" i="49"/>
  <c r="K20" i="49"/>
  <c r="K19" i="49" s="1"/>
  <c r="F19" i="49"/>
  <c r="N26" i="4"/>
  <c r="N24" i="4"/>
  <c r="L27" i="49"/>
  <c r="L23" i="49" s="1"/>
  <c r="L20" i="49"/>
  <c r="L19" i="49" s="1"/>
  <c r="E20" i="25"/>
  <c r="E22" i="25" s="1"/>
  <c r="C4" i="48" s="1"/>
  <c r="D22" i="25"/>
  <c r="C3" i="48" s="1"/>
  <c r="F20" i="25"/>
  <c r="G12" i="25" s="1"/>
  <c r="N20" i="4"/>
  <c r="N15" i="4"/>
  <c r="N18" i="4"/>
  <c r="N16" i="4"/>
  <c r="N19" i="4"/>
  <c r="B8" i="2"/>
  <c r="H6" i="2"/>
  <c r="H7" i="2"/>
  <c r="H21" i="2"/>
  <c r="H20" i="2"/>
  <c r="H22" i="2"/>
  <c r="B21" i="3"/>
  <c r="O22" i="49" l="1"/>
  <c r="P22" i="49" s="1"/>
  <c r="N40" i="53"/>
  <c r="N11" i="53" s="1"/>
  <c r="N41" i="53" s="1"/>
  <c r="L28" i="49"/>
  <c r="L30" i="49" s="1"/>
  <c r="K28" i="49"/>
  <c r="K30" i="49" s="1"/>
  <c r="F28" i="49"/>
  <c r="F30" i="49" s="1"/>
  <c r="V20" i="49"/>
  <c r="S14" i="49"/>
  <c r="V17" i="49"/>
  <c r="S9" i="49"/>
  <c r="V18" i="49"/>
  <c r="S7" i="49"/>
  <c r="V11" i="49"/>
  <c r="Y11" i="49" s="1"/>
  <c r="V8" i="49"/>
  <c r="V21" i="49"/>
  <c r="V23" i="49"/>
  <c r="S8" i="49"/>
  <c r="S27" i="49"/>
  <c r="S21" i="49"/>
  <c r="V10" i="49"/>
  <c r="V15" i="49"/>
  <c r="V16" i="49"/>
  <c r="M18" i="49"/>
  <c r="S19" i="49"/>
  <c r="S20" i="49"/>
  <c r="S17" i="49"/>
  <c r="V14" i="49"/>
  <c r="V9" i="49"/>
  <c r="V19" i="49"/>
  <c r="S18" i="49"/>
  <c r="S15" i="49"/>
  <c r="S16" i="49"/>
  <c r="S25" i="49"/>
  <c r="S24" i="49"/>
  <c r="S26" i="49"/>
  <c r="S23" i="49"/>
  <c r="S10" i="49"/>
  <c r="M11" i="49"/>
  <c r="M23" i="49"/>
  <c r="M14" i="49"/>
  <c r="M9" i="49"/>
  <c r="M10" i="49"/>
  <c r="M8" i="49"/>
  <c r="M19" i="49"/>
  <c r="G14" i="25"/>
  <c r="G17" i="25"/>
  <c r="G13" i="25"/>
  <c r="C5" i="48"/>
  <c r="F22" i="25"/>
  <c r="G15" i="25"/>
  <c r="G9" i="25"/>
  <c r="G19" i="25"/>
  <c r="G10" i="25"/>
  <c r="G18" i="25"/>
  <c r="G6" i="25"/>
  <c r="G8" i="25"/>
  <c r="G11" i="25"/>
  <c r="G7" i="25"/>
  <c r="G16" i="25"/>
  <c r="G5" i="25"/>
  <c r="H20" i="25"/>
  <c r="B80" i="3"/>
  <c r="Q40" i="53" l="1"/>
  <c r="Q11" i="53" s="1"/>
  <c r="Q41" i="53" s="1"/>
  <c r="M28" i="49"/>
  <c r="Y9" i="49"/>
  <c r="O19" i="49"/>
  <c r="P19" i="49" s="1"/>
  <c r="I40" i="53"/>
  <c r="O14" i="49"/>
  <c r="P14" i="49" s="1"/>
  <c r="L40" i="53"/>
  <c r="C41" i="53"/>
  <c r="O18" i="49"/>
  <c r="P18" i="49" s="1"/>
  <c r="H40" i="53"/>
  <c r="H11" i="53" s="1"/>
  <c r="O23" i="49"/>
  <c r="P23" i="49" s="1"/>
  <c r="Y23" i="49"/>
  <c r="Y16" i="49"/>
  <c r="O9" i="49"/>
  <c r="P9" i="49" s="1"/>
  <c r="D40" i="53"/>
  <c r="G40" i="53"/>
  <c r="O11" i="49"/>
  <c r="P11" i="49" s="1"/>
  <c r="O10" i="49"/>
  <c r="P10" i="49" s="1"/>
  <c r="F40" i="53"/>
  <c r="O21" i="49"/>
  <c r="J40" i="53"/>
  <c r="O20" i="49"/>
  <c r="O8" i="49"/>
  <c r="P8" i="49" s="1"/>
  <c r="E40" i="53"/>
  <c r="O16" i="49"/>
  <c r="M40" i="53"/>
  <c r="O15" i="49"/>
  <c r="K40" i="53"/>
  <c r="Y8" i="49"/>
  <c r="Y21" i="49"/>
  <c r="Y20" i="49"/>
  <c r="Y18" i="49"/>
  <c r="Y14" i="49"/>
  <c r="Y10" i="49"/>
  <c r="V28" i="49"/>
  <c r="Y17" i="49"/>
  <c r="Y19" i="49"/>
  <c r="Y15" i="49"/>
  <c r="S28" i="49"/>
  <c r="C4" i="29"/>
  <c r="I12" i="25"/>
  <c r="I19" i="25"/>
  <c r="J19" i="25" s="1"/>
  <c r="I5" i="25"/>
  <c r="J5" i="25" s="1"/>
  <c r="K5" i="25" s="1"/>
  <c r="I14" i="25"/>
  <c r="I17" i="25"/>
  <c r="I13" i="25"/>
  <c r="H22" i="25"/>
  <c r="I20" i="25"/>
  <c r="I18" i="25"/>
  <c r="J18" i="25" s="1"/>
  <c r="I16" i="25"/>
  <c r="J16" i="25" s="1"/>
  <c r="I6" i="25"/>
  <c r="J6" i="25" s="1"/>
  <c r="I11" i="25"/>
  <c r="J11" i="25" s="1"/>
  <c r="I10" i="25"/>
  <c r="J10" i="25" s="1"/>
  <c r="I8" i="25"/>
  <c r="J8" i="25" s="1"/>
  <c r="I15" i="25"/>
  <c r="J15" i="25" s="1"/>
  <c r="I7" i="25"/>
  <c r="J7" i="25" s="1"/>
  <c r="I9" i="25"/>
  <c r="J9" i="25" s="1"/>
  <c r="P28" i="49" l="1"/>
  <c r="P30" i="49" s="1"/>
  <c r="O28" i="49"/>
  <c r="O30" i="49" s="1"/>
  <c r="S40" i="53"/>
  <c r="Y28" i="49"/>
  <c r="J17" i="25"/>
  <c r="K17" i="25" s="1"/>
  <c r="L17" i="25" s="1"/>
  <c r="J13" i="25"/>
  <c r="K13" i="25" s="1"/>
  <c r="L13" i="25" s="1"/>
  <c r="J14" i="25"/>
  <c r="K14" i="25" s="1"/>
  <c r="L14" i="25" s="1"/>
  <c r="J12" i="25"/>
  <c r="L5" i="25"/>
  <c r="K7" i="25"/>
  <c r="K9" i="25"/>
  <c r="C4" i="39" s="1"/>
  <c r="C5" i="39" s="1"/>
  <c r="K15" i="25"/>
  <c r="K19" i="25"/>
  <c r="L19" i="25" s="1"/>
  <c r="K11" i="25"/>
  <c r="L11" i="25" s="1"/>
  <c r="K16" i="25"/>
  <c r="K8" i="25"/>
  <c r="K10" i="25"/>
  <c r="C4" i="40" s="1"/>
  <c r="C5" i="40" s="1"/>
  <c r="K6" i="25"/>
  <c r="K18" i="25"/>
  <c r="L18" i="25" s="1"/>
  <c r="U25" i="49" l="1"/>
  <c r="X25" i="49" s="1"/>
  <c r="J20" i="25"/>
  <c r="K12" i="25"/>
  <c r="L12" i="25" s="1"/>
  <c r="L15" i="25"/>
  <c r="C4" i="47"/>
  <c r="C5" i="47" s="1"/>
  <c r="L16" i="25"/>
  <c r="L8" i="25"/>
  <c r="L6" i="25"/>
  <c r="L7" i="25"/>
  <c r="L9" i="25"/>
  <c r="L10" i="25"/>
  <c r="K20" i="25" l="1"/>
  <c r="U26" i="49"/>
  <c r="X26" i="49" s="1"/>
  <c r="U24" i="49"/>
  <c r="X24" i="49" s="1"/>
  <c r="U7" i="49"/>
  <c r="X7" i="49" s="1"/>
  <c r="U27" i="49"/>
  <c r="X27" i="49" s="1"/>
  <c r="L20" i="25"/>
  <c r="L22" i="25" s="1"/>
  <c r="V25" i="49"/>
  <c r="Y25" i="49" s="1"/>
  <c r="V24" i="49"/>
  <c r="Y24" i="49" s="1"/>
  <c r="V26" i="49" l="1"/>
  <c r="Y26" i="49" s="1"/>
  <c r="V7" i="49"/>
  <c r="Y7" i="49" s="1"/>
  <c r="V27" i="49"/>
  <c r="Y27" i="49" s="1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A10" i="18" l="1"/>
  <c r="C10" i="18"/>
  <c r="D10" i="18"/>
  <c r="E10" i="18"/>
  <c r="F10" i="18"/>
  <c r="G10" i="18"/>
  <c r="Q10" i="18"/>
  <c r="H10" i="18"/>
  <c r="I10" i="18"/>
  <c r="J10" i="18"/>
  <c r="K10" i="18"/>
  <c r="L10" i="18"/>
  <c r="M10" i="18"/>
  <c r="R10" i="18"/>
  <c r="O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D18" i="18"/>
  <c r="B19" i="18"/>
  <c r="C19" i="18"/>
  <c r="D15" i="18"/>
  <c r="H37" i="17"/>
  <c r="I37" i="17" s="1"/>
  <c r="H36" i="17"/>
  <c r="I36" i="17" s="1"/>
  <c r="H35" i="17"/>
  <c r="I35" i="17" s="1"/>
  <c r="H33" i="17"/>
  <c r="I33" i="17" s="1"/>
  <c r="H27" i="17"/>
  <c r="I27" i="17" s="1"/>
  <c r="H32" i="17"/>
  <c r="I32" i="17" s="1"/>
  <c r="H26" i="17"/>
  <c r="I26" i="17" s="1"/>
  <c r="H21" i="17"/>
  <c r="I21" i="17" s="1"/>
  <c r="H17" i="17"/>
  <c r="I17" i="17" s="1"/>
  <c r="I16" i="17"/>
  <c r="H15" i="17"/>
  <c r="I15" i="17" s="1"/>
  <c r="H14" i="17"/>
  <c r="I14" i="17" s="1"/>
  <c r="I13" i="17"/>
  <c r="I12" i="17"/>
  <c r="I11" i="17"/>
  <c r="I10" i="17"/>
  <c r="H9" i="17"/>
  <c r="I9" i="17" s="1"/>
  <c r="I8" i="17"/>
  <c r="I7" i="17"/>
  <c r="I6" i="17"/>
  <c r="I5" i="17"/>
  <c r="H4" i="17"/>
  <c r="I4" i="17" s="1"/>
  <c r="I3" i="17"/>
  <c r="I38" i="17" l="1"/>
  <c r="J26" i="17" s="1"/>
  <c r="I18" i="17"/>
  <c r="J6" i="17" s="1"/>
  <c r="J32" i="17" l="1"/>
  <c r="J33" i="17"/>
  <c r="J37" i="17"/>
  <c r="J35" i="17"/>
  <c r="J36" i="17"/>
  <c r="J27" i="17"/>
  <c r="J38" i="17"/>
  <c r="J21" i="17"/>
  <c r="J17" i="17"/>
  <c r="F27" i="14" s="1"/>
  <c r="J12" i="17"/>
  <c r="J4" i="17"/>
  <c r="E27" i="14" s="1"/>
  <c r="J9" i="17"/>
  <c r="G27" i="14" s="1"/>
  <c r="J5" i="17"/>
  <c r="J14" i="17"/>
  <c r="I27" i="14" s="1"/>
  <c r="J11" i="17"/>
  <c r="J13" i="17"/>
  <c r="J15" i="17"/>
  <c r="H27" i="14" s="1"/>
  <c r="J8" i="17"/>
  <c r="J27" i="14" s="1"/>
  <c r="J16" i="17"/>
  <c r="J7" i="17"/>
  <c r="J3" i="17"/>
  <c r="J10" i="17"/>
  <c r="J2" i="17"/>
  <c r="D27" i="14" s="1"/>
  <c r="L31" i="14" l="1"/>
  <c r="J29" i="14"/>
  <c r="I31" i="14" l="1"/>
  <c r="G31" i="14"/>
  <c r="E31" i="14"/>
  <c r="M31" i="14"/>
  <c r="J31" i="14"/>
  <c r="O31" i="14"/>
  <c r="N31" i="14"/>
  <c r="H31" i="14"/>
  <c r="F31" i="14"/>
  <c r="D31" i="14"/>
  <c r="K31" i="14"/>
  <c r="N29" i="14"/>
  <c r="H29" i="14"/>
  <c r="F29" i="14"/>
  <c r="D29" i="14"/>
  <c r="K29" i="14"/>
  <c r="L29" i="14"/>
  <c r="O29" i="14"/>
  <c r="I29" i="14"/>
  <c r="G29" i="14"/>
  <c r="E29" i="14"/>
  <c r="M29" i="14"/>
  <c r="P31" i="14" l="1"/>
  <c r="P29" i="14"/>
  <c r="F42" i="2"/>
  <c r="F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41" i="2"/>
  <c r="B33" i="2"/>
  <c r="B34" i="2"/>
  <c r="B37" i="2"/>
  <c r="B27" i="2"/>
  <c r="B28" i="2"/>
  <c r="B29" i="2"/>
  <c r="B30" i="2"/>
  <c r="B31" i="2"/>
  <c r="B32" i="2"/>
  <c r="B35" i="2"/>
  <c r="B36" i="2"/>
  <c r="F65" i="2" l="1"/>
  <c r="B38" i="2"/>
  <c r="O27" i="14"/>
  <c r="N27" i="14"/>
  <c r="M27" i="14"/>
  <c r="P27" i="14" l="1"/>
  <c r="C52" i="14"/>
  <c r="O52" i="14" s="1"/>
  <c r="P52" i="14" s="1"/>
  <c r="K72" i="3"/>
  <c r="W30" i="10" l="1"/>
  <c r="K30" i="10"/>
  <c r="L28" i="10"/>
  <c r="L26" i="10"/>
  <c r="L24" i="10"/>
  <c r="L22" i="10"/>
  <c r="W20" i="10"/>
  <c r="K20" i="10"/>
  <c r="L18" i="10"/>
  <c r="L16" i="10"/>
  <c r="L14" i="10"/>
  <c r="L12" i="10"/>
  <c r="L10" i="10"/>
  <c r="L8" i="10"/>
  <c r="L6" i="10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F79" i="3"/>
  <c r="G79" i="3" s="1"/>
  <c r="F78" i="3"/>
  <c r="C53" i="14"/>
  <c r="D58" i="2"/>
  <c r="D57" i="2"/>
  <c r="D56" i="2"/>
  <c r="D55" i="2"/>
  <c r="D54" i="2"/>
  <c r="D52" i="2"/>
  <c r="D51" i="2"/>
  <c r="D50" i="2"/>
  <c r="D49" i="2"/>
  <c r="D48" i="2"/>
  <c r="D47" i="2"/>
  <c r="D46" i="2"/>
  <c r="D45" i="2"/>
  <c r="G80" i="3" l="1"/>
  <c r="H83" i="3" s="1"/>
  <c r="L30" i="10"/>
  <c r="D20" i="2"/>
  <c r="J20" i="2" s="1"/>
  <c r="D21" i="2"/>
  <c r="J21" i="2" s="1"/>
  <c r="G11" i="3"/>
  <c r="D44" i="2"/>
  <c r="D43" i="2"/>
  <c r="C36" i="14"/>
  <c r="D53" i="2"/>
  <c r="C46" i="14"/>
  <c r="D42" i="2"/>
  <c r="C35" i="14"/>
  <c r="O35" i="14" s="1"/>
  <c r="P35" i="14" s="1"/>
  <c r="K53" i="14"/>
  <c r="L53" i="14"/>
  <c r="D53" i="14"/>
  <c r="J53" i="14"/>
  <c r="G53" i="14"/>
  <c r="F53" i="14"/>
  <c r="E53" i="14"/>
  <c r="I53" i="14"/>
  <c r="H53" i="14"/>
  <c r="M53" i="14"/>
  <c r="N53" i="14"/>
  <c r="O53" i="14"/>
  <c r="L20" i="10"/>
  <c r="D6" i="2"/>
  <c r="I6" i="2" s="1"/>
  <c r="K18" i="3"/>
  <c r="I4" i="23"/>
  <c r="D59" i="2"/>
  <c r="C55" i="14"/>
  <c r="O55" i="14" s="1"/>
  <c r="P55" i="14" s="1"/>
  <c r="D61" i="2"/>
  <c r="C57" i="14"/>
  <c r="O57" i="14" s="1"/>
  <c r="P57" i="14" s="1"/>
  <c r="D63" i="2"/>
  <c r="K53" i="3"/>
  <c r="D41" i="2"/>
  <c r="I2" i="23"/>
  <c r="I7" i="23"/>
  <c r="H6" i="23" s="1"/>
  <c r="C54" i="14"/>
  <c r="O54" i="14" s="1"/>
  <c r="P54" i="14" s="1"/>
  <c r="D60" i="2"/>
  <c r="C56" i="14"/>
  <c r="D62" i="2"/>
  <c r="C58" i="14"/>
  <c r="O58" i="14" s="1"/>
  <c r="P58" i="14" s="1"/>
  <c r="D64" i="2"/>
  <c r="K79" i="3"/>
  <c r="C34" i="14"/>
  <c r="O34" i="14" s="1"/>
  <c r="P34" i="14" s="1"/>
  <c r="K10" i="3"/>
  <c r="C21" i="14"/>
  <c r="O21" i="14" s="1"/>
  <c r="P21" i="14" s="1"/>
  <c r="K57" i="3"/>
  <c r="C37" i="14"/>
  <c r="O37" i="14" s="1"/>
  <c r="P37" i="14" s="1"/>
  <c r="K59" i="3"/>
  <c r="C39" i="14"/>
  <c r="O39" i="14" s="1"/>
  <c r="P39" i="14" s="1"/>
  <c r="K61" i="3"/>
  <c r="C41" i="14"/>
  <c r="O41" i="14" s="1"/>
  <c r="P41" i="14" s="1"/>
  <c r="K63" i="3"/>
  <c r="C43" i="14"/>
  <c r="O43" i="14" s="1"/>
  <c r="P43" i="14" s="1"/>
  <c r="K65" i="3"/>
  <c r="C45" i="14"/>
  <c r="O45" i="14" s="1"/>
  <c r="P45" i="14" s="1"/>
  <c r="K69" i="3"/>
  <c r="C49" i="14"/>
  <c r="O49" i="14" s="1"/>
  <c r="P49" i="14" s="1"/>
  <c r="K71" i="3"/>
  <c r="C51" i="14"/>
  <c r="O51" i="14" s="1"/>
  <c r="P51" i="14" s="1"/>
  <c r="K74" i="3"/>
  <c r="K76" i="3"/>
  <c r="K8" i="3"/>
  <c r="C20" i="14"/>
  <c r="O20" i="14" s="1"/>
  <c r="P20" i="14" s="1"/>
  <c r="K60" i="3"/>
  <c r="C40" i="14"/>
  <c r="O40" i="14" s="1"/>
  <c r="P40" i="14" s="1"/>
  <c r="K62" i="3"/>
  <c r="C42" i="14"/>
  <c r="O42" i="14" s="1"/>
  <c r="P42" i="14" s="1"/>
  <c r="K64" i="3"/>
  <c r="C44" i="14"/>
  <c r="O44" i="14" s="1"/>
  <c r="P44" i="14" s="1"/>
  <c r="K66" i="3"/>
  <c r="K68" i="3"/>
  <c r="C48" i="14"/>
  <c r="O48" i="14" s="1"/>
  <c r="P48" i="14" s="1"/>
  <c r="K70" i="3"/>
  <c r="C50" i="14"/>
  <c r="O50" i="14" s="1"/>
  <c r="P50" i="14" s="1"/>
  <c r="K73" i="3"/>
  <c r="K75" i="3"/>
  <c r="K78" i="3"/>
  <c r="H44" i="2"/>
  <c r="H49" i="2"/>
  <c r="H50" i="2"/>
  <c r="H57" i="2"/>
  <c r="H61" i="2"/>
  <c r="L342" i="4"/>
  <c r="H327" i="4"/>
  <c r="I272" i="4"/>
  <c r="J272" i="4" s="1"/>
  <c r="H33" i="4"/>
  <c r="L305" i="4"/>
  <c r="L272" i="4"/>
  <c r="N12" i="4"/>
  <c r="L135" i="4"/>
  <c r="L164" i="4"/>
  <c r="E18" i="1"/>
  <c r="F18" i="1" s="1"/>
  <c r="E19" i="1"/>
  <c r="D22" i="2"/>
  <c r="C38" i="2"/>
  <c r="C65" i="2"/>
  <c r="E36" i="1"/>
  <c r="E37" i="1"/>
  <c r="E42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H41" i="2"/>
  <c r="H47" i="2"/>
  <c r="H53" i="2"/>
  <c r="H58" i="2"/>
  <c r="H59" i="2"/>
  <c r="H60" i="2"/>
  <c r="H62" i="2"/>
  <c r="H63" i="2"/>
  <c r="G39" i="1"/>
  <c r="G42" i="1"/>
  <c r="H42" i="1" s="1"/>
  <c r="G44" i="1"/>
  <c r="H44" i="1" s="1"/>
  <c r="G45" i="1"/>
  <c r="G52" i="1"/>
  <c r="G53" i="1"/>
  <c r="G56" i="1"/>
  <c r="E59" i="1"/>
  <c r="F59" i="1" s="1"/>
  <c r="D21" i="3"/>
  <c r="B23" i="2" s="1"/>
  <c r="D23" i="1"/>
  <c r="N23" i="4"/>
  <c r="H52" i="4"/>
  <c r="H53" i="4"/>
  <c r="H56" i="4"/>
  <c r="H85" i="4"/>
  <c r="H108" i="4"/>
  <c r="H322" i="4"/>
  <c r="H330" i="4"/>
  <c r="H341" i="4"/>
  <c r="E21" i="3"/>
  <c r="E45" i="1"/>
  <c r="F45" i="1" s="1"/>
  <c r="F34" i="10"/>
  <c r="N324" i="4" l="1"/>
  <c r="L32" i="10"/>
  <c r="N140" i="4"/>
  <c r="C11" i="39"/>
  <c r="M321" i="4"/>
  <c r="M342" i="4" s="1"/>
  <c r="N248" i="4"/>
  <c r="M6" i="39"/>
  <c r="I21" i="2"/>
  <c r="N36" i="4"/>
  <c r="I20" i="2"/>
  <c r="C11" i="40"/>
  <c r="N6" i="4"/>
  <c r="N313" i="4"/>
  <c r="N308" i="4"/>
  <c r="N309" i="4"/>
  <c r="N123" i="4"/>
  <c r="N63" i="4"/>
  <c r="N315" i="4"/>
  <c r="N316" i="4"/>
  <c r="N314" i="4"/>
  <c r="N39" i="4"/>
  <c r="N298" i="4"/>
  <c r="N294" i="4"/>
  <c r="N290" i="4"/>
  <c r="N289" i="4"/>
  <c r="N288" i="4"/>
  <c r="N287" i="4"/>
  <c r="N285" i="4"/>
  <c r="N284" i="4"/>
  <c r="N283" i="4"/>
  <c r="N281" i="4"/>
  <c r="N279" i="4"/>
  <c r="N295" i="4"/>
  <c r="N278" i="4"/>
  <c r="N275" i="4"/>
  <c r="N299" i="4"/>
  <c r="F17" i="2"/>
  <c r="Y3" i="24" s="1"/>
  <c r="F18" i="2"/>
  <c r="H18" i="2" s="1"/>
  <c r="D65" i="2"/>
  <c r="N52" i="4"/>
  <c r="N124" i="4"/>
  <c r="N303" i="4"/>
  <c r="N79" i="4"/>
  <c r="N304" i="4"/>
  <c r="N130" i="4"/>
  <c r="N72" i="4"/>
  <c r="N117" i="4"/>
  <c r="N115" i="4"/>
  <c r="J46" i="14"/>
  <c r="M46" i="14"/>
  <c r="O46" i="14"/>
  <c r="K46" i="14"/>
  <c r="F46" i="14"/>
  <c r="N46" i="14"/>
  <c r="G46" i="14"/>
  <c r="E46" i="14"/>
  <c r="I46" i="14"/>
  <c r="L46" i="14"/>
  <c r="D46" i="14"/>
  <c r="H46" i="14"/>
  <c r="J36" i="14"/>
  <c r="M36" i="14"/>
  <c r="O36" i="14"/>
  <c r="K36" i="14"/>
  <c r="F36" i="14"/>
  <c r="N36" i="14"/>
  <c r="G36" i="14"/>
  <c r="E36" i="14"/>
  <c r="I36" i="14"/>
  <c r="L36" i="14"/>
  <c r="D36" i="14"/>
  <c r="H36" i="14"/>
  <c r="P53" i="14"/>
  <c r="N68" i="4"/>
  <c r="F14" i="2"/>
  <c r="N4" i="24" s="1"/>
  <c r="N3" i="24" s="1"/>
  <c r="N155" i="4"/>
  <c r="N154" i="4"/>
  <c r="F12" i="2"/>
  <c r="H12" i="2" s="1"/>
  <c r="N102" i="4"/>
  <c r="F16" i="2"/>
  <c r="H16" i="2" s="1"/>
  <c r="I22" i="2"/>
  <c r="J22" i="2"/>
  <c r="N99" i="4"/>
  <c r="N100" i="4"/>
  <c r="N322" i="4"/>
  <c r="N330" i="4"/>
  <c r="N131" i="4"/>
  <c r="N98" i="4"/>
  <c r="F10" i="2"/>
  <c r="G13" i="1" s="1"/>
  <c r="N42" i="4"/>
  <c r="N43" i="4"/>
  <c r="N53" i="4"/>
  <c r="N46" i="4"/>
  <c r="F13" i="2"/>
  <c r="N125" i="4"/>
  <c r="N128" i="4"/>
  <c r="N120" i="4"/>
  <c r="N111" i="4"/>
  <c r="N41" i="4"/>
  <c r="N37" i="4"/>
  <c r="N341" i="4"/>
  <c r="N126" i="4"/>
  <c r="N119" i="4"/>
  <c r="N108" i="4"/>
  <c r="N56" i="4"/>
  <c r="N45" i="4"/>
  <c r="F11" i="2"/>
  <c r="N69" i="4"/>
  <c r="D15" i="2"/>
  <c r="O164" i="4"/>
  <c r="N139" i="4"/>
  <c r="N97" i="4"/>
  <c r="N91" i="4"/>
  <c r="N82" i="4"/>
  <c r="N74" i="4"/>
  <c r="N71" i="4"/>
  <c r="N65" i="4"/>
  <c r="N59" i="4"/>
  <c r="N33" i="4"/>
  <c r="D18" i="2"/>
  <c r="N134" i="4"/>
  <c r="D13" i="2"/>
  <c r="H56" i="1"/>
  <c r="H52" i="1"/>
  <c r="F9" i="2"/>
  <c r="E10" i="10" s="1"/>
  <c r="N10" i="4"/>
  <c r="N5" i="4"/>
  <c r="H53" i="1"/>
  <c r="D17" i="2"/>
  <c r="H304" i="4"/>
  <c r="H303" i="4"/>
  <c r="D35" i="2"/>
  <c r="I5" i="23"/>
  <c r="H45" i="1"/>
  <c r="N254" i="4"/>
  <c r="N257" i="4"/>
  <c r="N260" i="4"/>
  <c r="N262" i="4"/>
  <c r="N267" i="4"/>
  <c r="N271" i="4"/>
  <c r="N251" i="4"/>
  <c r="N256" i="4"/>
  <c r="N259" i="4"/>
  <c r="N261" i="4"/>
  <c r="N263" i="4"/>
  <c r="N268" i="4"/>
  <c r="N252" i="4"/>
  <c r="C66" i="2"/>
  <c r="N147" i="4"/>
  <c r="N143" i="4"/>
  <c r="N151" i="4"/>
  <c r="N153" i="4"/>
  <c r="N159" i="4"/>
  <c r="N148" i="4"/>
  <c r="N152" i="4"/>
  <c r="N157" i="4"/>
  <c r="N163" i="4"/>
  <c r="N149" i="4"/>
  <c r="N160" i="4"/>
  <c r="N146" i="4"/>
  <c r="N144" i="4"/>
  <c r="N164" i="4"/>
  <c r="N85" i="4"/>
  <c r="N62" i="4"/>
  <c r="D32" i="2"/>
  <c r="D35" i="1"/>
  <c r="D60" i="1" s="1"/>
  <c r="B65" i="2"/>
  <c r="H65" i="2" s="1"/>
  <c r="D21" i="1"/>
  <c r="F28" i="10"/>
  <c r="F32" i="2"/>
  <c r="D14" i="2"/>
  <c r="K58" i="3"/>
  <c r="C38" i="14"/>
  <c r="K67" i="3"/>
  <c r="C47" i="14"/>
  <c r="M56" i="14"/>
  <c r="G56" i="14"/>
  <c r="O56" i="14"/>
  <c r="K56" i="14"/>
  <c r="F56" i="14"/>
  <c r="N56" i="14"/>
  <c r="J56" i="14"/>
  <c r="E56" i="14"/>
  <c r="I56" i="14"/>
  <c r="L56" i="14"/>
  <c r="D56" i="14"/>
  <c r="H56" i="14"/>
  <c r="F35" i="2"/>
  <c r="N3" i="14"/>
  <c r="K20" i="3"/>
  <c r="C22" i="14"/>
  <c r="O22" i="14" s="1"/>
  <c r="P22" i="14" s="1"/>
  <c r="K55" i="3"/>
  <c r="K54" i="3"/>
  <c r="N29" i="4"/>
  <c r="N21" i="4"/>
  <c r="N14" i="4"/>
  <c r="G18" i="1"/>
  <c r="H18" i="1" s="1"/>
  <c r="D80" i="3"/>
  <c r="H392" i="4"/>
  <c r="H410" i="4"/>
  <c r="E20" i="1"/>
  <c r="F20" i="1" s="1"/>
  <c r="D12" i="2"/>
  <c r="D10" i="2"/>
  <c r="D11" i="2"/>
  <c r="G4" i="1"/>
  <c r="E28" i="10"/>
  <c r="G48" i="1"/>
  <c r="H48" i="1" s="1"/>
  <c r="E34" i="10"/>
  <c r="H34" i="10" s="1"/>
  <c r="O421" i="4"/>
  <c r="D16" i="2"/>
  <c r="N305" i="4"/>
  <c r="G51" i="1"/>
  <c r="H51" i="1" s="1"/>
  <c r="H56" i="2"/>
  <c r="G49" i="1"/>
  <c r="H49" i="1" s="1"/>
  <c r="H54" i="2"/>
  <c r="G47" i="1"/>
  <c r="H47" i="1" s="1"/>
  <c r="H52" i="2"/>
  <c r="G43" i="1"/>
  <c r="H48" i="2"/>
  <c r="G41" i="1"/>
  <c r="H46" i="2"/>
  <c r="G38" i="1"/>
  <c r="H43" i="2"/>
  <c r="G59" i="1"/>
  <c r="H59" i="1" s="1"/>
  <c r="H64" i="2"/>
  <c r="G20" i="1"/>
  <c r="G5" i="1"/>
  <c r="G50" i="1"/>
  <c r="H50" i="1" s="1"/>
  <c r="H55" i="2"/>
  <c r="G46" i="1"/>
  <c r="H46" i="1" s="1"/>
  <c r="H51" i="2"/>
  <c r="G40" i="1"/>
  <c r="H45" i="2"/>
  <c r="G37" i="1"/>
  <c r="H37" i="1" s="1"/>
  <c r="H42" i="2"/>
  <c r="G19" i="1"/>
  <c r="H19" i="1" s="1"/>
  <c r="H413" i="4"/>
  <c r="E80" i="3"/>
  <c r="F57" i="1"/>
  <c r="F55" i="1"/>
  <c r="F53" i="1"/>
  <c r="F51" i="1"/>
  <c r="F42" i="1"/>
  <c r="F36" i="1"/>
  <c r="F58" i="1"/>
  <c r="F56" i="1"/>
  <c r="F54" i="1"/>
  <c r="F52" i="1"/>
  <c r="F50" i="1"/>
  <c r="F44" i="1"/>
  <c r="F37" i="1"/>
  <c r="F19" i="1"/>
  <c r="H404" i="4"/>
  <c r="H408" i="4"/>
  <c r="H399" i="4"/>
  <c r="H417" i="4"/>
  <c r="H411" i="4"/>
  <c r="H406" i="4"/>
  <c r="H402" i="4"/>
  <c r="H395" i="4"/>
  <c r="E43" i="1"/>
  <c r="F43" i="1" s="1"/>
  <c r="E41" i="1"/>
  <c r="F41" i="1" s="1"/>
  <c r="E40" i="1"/>
  <c r="F40" i="1" s="1"/>
  <c r="E39" i="1"/>
  <c r="F39" i="1" s="1"/>
  <c r="E38" i="1"/>
  <c r="F38" i="1" s="1"/>
  <c r="H139" i="4"/>
  <c r="J164" i="4"/>
  <c r="H111" i="4"/>
  <c r="H164" i="4"/>
  <c r="F31" i="2"/>
  <c r="F27" i="2"/>
  <c r="F37" i="2"/>
  <c r="F34" i="2"/>
  <c r="F33" i="2"/>
  <c r="F29" i="2"/>
  <c r="H326" i="4"/>
  <c r="I421" i="4"/>
  <c r="H414" i="4"/>
  <c r="H412" i="4"/>
  <c r="H409" i="4"/>
  <c r="H407" i="4"/>
  <c r="H405" i="4"/>
  <c r="H403" i="4"/>
  <c r="H401" i="4"/>
  <c r="H397" i="4"/>
  <c r="H393" i="4"/>
  <c r="H400" i="4"/>
  <c r="H398" i="4"/>
  <c r="H396" i="4"/>
  <c r="H394" i="4"/>
  <c r="H271" i="4"/>
  <c r="H268" i="4"/>
  <c r="H267" i="4"/>
  <c r="H263" i="4"/>
  <c r="H262" i="4"/>
  <c r="H261" i="4"/>
  <c r="G35" i="1"/>
  <c r="H59" i="4"/>
  <c r="G36" i="1"/>
  <c r="H36" i="1" s="1"/>
  <c r="H18" i="4"/>
  <c r="H19" i="4"/>
  <c r="H21" i="4"/>
  <c r="H23" i="4"/>
  <c r="H29" i="4"/>
  <c r="I305" i="4"/>
  <c r="J305" i="4" s="1"/>
  <c r="H305" i="4"/>
  <c r="G57" i="1"/>
  <c r="H57" i="1" s="1"/>
  <c r="G54" i="1"/>
  <c r="H54" i="1" s="1"/>
  <c r="G58" i="1"/>
  <c r="H58" i="1" s="1"/>
  <c r="G55" i="1"/>
  <c r="H55" i="1" s="1"/>
  <c r="F48" i="1"/>
  <c r="F46" i="1"/>
  <c r="F49" i="1"/>
  <c r="F47" i="1"/>
  <c r="L358" i="4"/>
  <c r="N321" i="4" l="1"/>
  <c r="L422" i="4"/>
  <c r="I32" i="2"/>
  <c r="M422" i="4"/>
  <c r="I20" i="23"/>
  <c r="C8" i="29"/>
  <c r="S6" i="39"/>
  <c r="T6" i="39"/>
  <c r="N6" i="39"/>
  <c r="Q6" i="39"/>
  <c r="M14" i="39"/>
  <c r="R6" i="39"/>
  <c r="P6" i="39"/>
  <c r="O6" i="39"/>
  <c r="H14" i="2"/>
  <c r="K6" i="36"/>
  <c r="K14" i="36" s="1"/>
  <c r="M6" i="40"/>
  <c r="I17" i="2"/>
  <c r="E24" i="10"/>
  <c r="G8" i="1"/>
  <c r="E8" i="1"/>
  <c r="F8" i="1" s="1"/>
  <c r="T4" i="24"/>
  <c r="T3" i="24" s="1"/>
  <c r="T10" i="24" s="1"/>
  <c r="H17" i="2"/>
  <c r="F30" i="2"/>
  <c r="G32" i="1" s="1"/>
  <c r="J18" i="2"/>
  <c r="F19" i="2"/>
  <c r="X3" i="24" s="1"/>
  <c r="F15" i="2"/>
  <c r="J15" i="2" s="1"/>
  <c r="D7" i="2"/>
  <c r="I7" i="2" s="1"/>
  <c r="G7" i="3"/>
  <c r="H21" i="3" s="1"/>
  <c r="E16" i="10"/>
  <c r="U16" i="10" s="1"/>
  <c r="J12" i="2"/>
  <c r="J16" i="2"/>
  <c r="J4" i="24"/>
  <c r="J3" i="24" s="1"/>
  <c r="J10" i="24" s="1"/>
  <c r="G15" i="1"/>
  <c r="E8" i="10"/>
  <c r="U8" i="10" s="1"/>
  <c r="G10" i="1"/>
  <c r="R4" i="24"/>
  <c r="R3" i="24" s="1"/>
  <c r="R10" i="24" s="1"/>
  <c r="G17" i="1"/>
  <c r="J14" i="2"/>
  <c r="C16" i="14"/>
  <c r="N16" i="14" s="1"/>
  <c r="P16" i="14" s="1"/>
  <c r="P36" i="14"/>
  <c r="P46" i="14"/>
  <c r="E7" i="1"/>
  <c r="F7" i="1" s="1"/>
  <c r="H20" i="1"/>
  <c r="C6" i="14"/>
  <c r="L6" i="14" s="1"/>
  <c r="F4" i="24"/>
  <c r="F3" i="24" s="1"/>
  <c r="J13" i="2"/>
  <c r="I13" i="2"/>
  <c r="H13" i="2"/>
  <c r="I16" i="2"/>
  <c r="J17" i="2"/>
  <c r="I18" i="2"/>
  <c r="N11" i="24"/>
  <c r="N10" i="24"/>
  <c r="N7" i="24"/>
  <c r="F18" i="10"/>
  <c r="I15" i="2"/>
  <c r="I14" i="2"/>
  <c r="I12" i="2"/>
  <c r="G24" i="1"/>
  <c r="I35" i="2"/>
  <c r="H11" i="2"/>
  <c r="J11" i="2"/>
  <c r="I11" i="2"/>
  <c r="H10" i="2"/>
  <c r="I10" i="2"/>
  <c r="J10" i="2"/>
  <c r="L4" i="24"/>
  <c r="G16" i="1"/>
  <c r="E18" i="10"/>
  <c r="G12" i="1"/>
  <c r="H35" i="2"/>
  <c r="E12" i="10"/>
  <c r="U12" i="10" s="1"/>
  <c r="P56" i="14"/>
  <c r="G14" i="1"/>
  <c r="E14" i="10"/>
  <c r="U14" i="10" s="1"/>
  <c r="L2" i="14"/>
  <c r="N2" i="14"/>
  <c r="N4" i="14" s="1"/>
  <c r="H28" i="10"/>
  <c r="I28" i="10" s="1"/>
  <c r="V28" i="10" s="1"/>
  <c r="D61" i="1"/>
  <c r="I19" i="23"/>
  <c r="D9" i="2"/>
  <c r="J9" i="2" s="1"/>
  <c r="G28" i="10"/>
  <c r="O109" i="4"/>
  <c r="N109" i="4"/>
  <c r="C14" i="14"/>
  <c r="H14" i="14" s="1"/>
  <c r="H2" i="14"/>
  <c r="I15" i="23"/>
  <c r="H9" i="2"/>
  <c r="F22" i="10"/>
  <c r="E22" i="10"/>
  <c r="H40" i="1"/>
  <c r="H38" i="1"/>
  <c r="H43" i="1"/>
  <c r="D3" i="14"/>
  <c r="D27" i="2"/>
  <c r="I27" i="2" s="1"/>
  <c r="K3" i="14"/>
  <c r="D34" i="2"/>
  <c r="I34" i="2" s="1"/>
  <c r="E3" i="14"/>
  <c r="D28" i="2"/>
  <c r="M3" i="14"/>
  <c r="D37" i="2"/>
  <c r="I37" i="2" s="1"/>
  <c r="I10" i="23"/>
  <c r="I11" i="23"/>
  <c r="I3" i="23"/>
  <c r="H1" i="23" s="1"/>
  <c r="F3" i="14"/>
  <c r="D29" i="2"/>
  <c r="I29" i="2" s="1"/>
  <c r="I23" i="23"/>
  <c r="H41" i="1"/>
  <c r="I22" i="23"/>
  <c r="I13" i="23"/>
  <c r="G3" i="14"/>
  <c r="D30" i="2"/>
  <c r="I12" i="23"/>
  <c r="I16" i="23"/>
  <c r="H39" i="1"/>
  <c r="G7" i="1"/>
  <c r="E17" i="1"/>
  <c r="F17" i="1" s="1"/>
  <c r="N48" i="4"/>
  <c r="E9" i="1"/>
  <c r="F9" i="1" s="1"/>
  <c r="D19" i="2"/>
  <c r="H346" i="4"/>
  <c r="E34" i="1"/>
  <c r="F34" i="1" s="1"/>
  <c r="I3" i="14"/>
  <c r="B66" i="2"/>
  <c r="C7" i="14"/>
  <c r="J7" i="14" s="1"/>
  <c r="P7" i="14" s="1"/>
  <c r="J2" i="14"/>
  <c r="C11" i="14"/>
  <c r="E11" i="14" s="1"/>
  <c r="E2" i="14"/>
  <c r="L11" i="14" s="1"/>
  <c r="E6" i="14" s="1"/>
  <c r="E5" i="1"/>
  <c r="F5" i="1" s="1"/>
  <c r="C19" i="14"/>
  <c r="O19" i="14" s="1"/>
  <c r="P19" i="14" s="1"/>
  <c r="M47" i="14"/>
  <c r="G47" i="14"/>
  <c r="O47" i="14"/>
  <c r="K47" i="14"/>
  <c r="F47" i="14"/>
  <c r="N47" i="14"/>
  <c r="J47" i="14"/>
  <c r="E47" i="14"/>
  <c r="I47" i="14"/>
  <c r="L47" i="14"/>
  <c r="D47" i="14"/>
  <c r="H47" i="14"/>
  <c r="J38" i="14"/>
  <c r="E38" i="14"/>
  <c r="I38" i="14"/>
  <c r="L38" i="14"/>
  <c r="D38" i="14"/>
  <c r="H38" i="14"/>
  <c r="M38" i="14"/>
  <c r="G38" i="14"/>
  <c r="O38" i="14"/>
  <c r="K38" i="14"/>
  <c r="F38" i="14"/>
  <c r="N38" i="14"/>
  <c r="K2" i="14"/>
  <c r="C8" i="14"/>
  <c r="K8" i="14" s="1"/>
  <c r="P8" i="14" s="1"/>
  <c r="D2" i="14"/>
  <c r="L10" i="14" s="1"/>
  <c r="D6" i="14" s="1"/>
  <c r="C10" i="14"/>
  <c r="D10" i="14" s="1"/>
  <c r="F2" i="14"/>
  <c r="C12" i="14"/>
  <c r="F12" i="14" s="1"/>
  <c r="P12" i="14" s="1"/>
  <c r="C13" i="14"/>
  <c r="G13" i="14" s="1"/>
  <c r="P13" i="14" s="1"/>
  <c r="G2" i="14"/>
  <c r="J9" i="24"/>
  <c r="T9" i="24"/>
  <c r="F9" i="24"/>
  <c r="L9" i="24"/>
  <c r="P9" i="24"/>
  <c r="N9" i="24"/>
  <c r="O9" i="24" s="1"/>
  <c r="O8" i="24" s="1"/>
  <c r="N8" i="24" s="1"/>
  <c r="N15" i="24" s="1"/>
  <c r="R9" i="24"/>
  <c r="C59" i="14"/>
  <c r="C15" i="14"/>
  <c r="I15" i="14" s="1"/>
  <c r="P15" i="14" s="1"/>
  <c r="I2" i="14"/>
  <c r="G34" i="1"/>
  <c r="H32" i="2"/>
  <c r="K6" i="3"/>
  <c r="D33" i="2"/>
  <c r="I33" i="2" s="1"/>
  <c r="H30" i="4"/>
  <c r="K16" i="3"/>
  <c r="K14" i="3"/>
  <c r="I135" i="4"/>
  <c r="J135" i="4" s="1"/>
  <c r="E13" i="1"/>
  <c r="F13" i="1" s="1"/>
  <c r="E15" i="1"/>
  <c r="F15" i="1" s="1"/>
  <c r="I30" i="4"/>
  <c r="J30" i="4" s="1"/>
  <c r="K13" i="3"/>
  <c r="H37" i="2"/>
  <c r="F26" i="10"/>
  <c r="U10" i="10"/>
  <c r="I342" i="4"/>
  <c r="J342" i="4" s="1"/>
  <c r="E10" i="1"/>
  <c r="F10" i="1" s="1"/>
  <c r="N83" i="4"/>
  <c r="O83" i="4"/>
  <c r="G28" i="1"/>
  <c r="H31" i="2"/>
  <c r="N135" i="4"/>
  <c r="O135" i="4"/>
  <c r="H135" i="4"/>
  <c r="N272" i="4"/>
  <c r="O272" i="4"/>
  <c r="N30" i="4"/>
  <c r="E16" i="1"/>
  <c r="F16" i="1" s="1"/>
  <c r="H342" i="4"/>
  <c r="E28" i="1"/>
  <c r="F28" i="1" s="1"/>
  <c r="H357" i="4"/>
  <c r="J358" i="4"/>
  <c r="H358" i="4"/>
  <c r="H272" i="4"/>
  <c r="E35" i="1"/>
  <c r="F35" i="1" s="1"/>
  <c r="E27" i="1"/>
  <c r="F27" i="1" s="1"/>
  <c r="H109" i="4"/>
  <c r="J109" i="4"/>
  <c r="E32" i="1"/>
  <c r="F32" i="1" s="1"/>
  <c r="E14" i="1"/>
  <c r="F14" i="1" s="1"/>
  <c r="E29" i="1"/>
  <c r="F29" i="1" s="1"/>
  <c r="E12" i="1"/>
  <c r="F12" i="1" s="1"/>
  <c r="E24" i="1"/>
  <c r="F24" i="1" s="1"/>
  <c r="I57" i="4"/>
  <c r="J57" i="4" s="1"/>
  <c r="H57" i="4"/>
  <c r="N348" i="4"/>
  <c r="N349" i="4"/>
  <c r="N350" i="4"/>
  <c r="N351" i="4"/>
  <c r="N352" i="4"/>
  <c r="N353" i="4"/>
  <c r="O358" i="4"/>
  <c r="N354" i="4"/>
  <c r="N355" i="4"/>
  <c r="N357" i="4"/>
  <c r="N358" i="4"/>
  <c r="H83" i="4"/>
  <c r="I83" i="4"/>
  <c r="J83" i="4" s="1"/>
  <c r="H19" i="2" l="1"/>
  <c r="C6" i="29"/>
  <c r="C11" i="48"/>
  <c r="C5" i="29"/>
  <c r="O342" i="4"/>
  <c r="F36" i="2"/>
  <c r="N342" i="4"/>
  <c r="C7" i="29"/>
  <c r="S6" i="40"/>
  <c r="T6" i="40"/>
  <c r="F8" i="2"/>
  <c r="F23" i="2" s="1"/>
  <c r="N14" i="39"/>
  <c r="O14" i="39" s="1"/>
  <c r="P14" i="39" s="1"/>
  <c r="Q14" i="39" s="1"/>
  <c r="R14" i="39" s="1"/>
  <c r="S14" i="39" s="1"/>
  <c r="T14" i="39" s="1"/>
  <c r="N23" i="14"/>
  <c r="N68" i="14" s="1"/>
  <c r="R11" i="18" s="1"/>
  <c r="J19" i="2"/>
  <c r="R6" i="40"/>
  <c r="Q6" i="40"/>
  <c r="O6" i="40"/>
  <c r="M14" i="40"/>
  <c r="N6" i="40"/>
  <c r="P6" i="40"/>
  <c r="C9" i="29"/>
  <c r="T11" i="24"/>
  <c r="Q6" i="36"/>
  <c r="L6" i="36"/>
  <c r="O6" i="36"/>
  <c r="M6" i="36"/>
  <c r="N6" i="36"/>
  <c r="P6" i="36"/>
  <c r="H8" i="1"/>
  <c r="C12" i="29"/>
  <c r="C11" i="29" s="1"/>
  <c r="M6" i="48"/>
  <c r="T6" i="48" s="1"/>
  <c r="P28" i="10"/>
  <c r="S28" i="10" s="1"/>
  <c r="U28" i="10" s="1"/>
  <c r="X28" i="10" s="1"/>
  <c r="U9" i="24"/>
  <c r="U8" i="24" s="1"/>
  <c r="T8" i="24" s="1"/>
  <c r="T15" i="24" s="1"/>
  <c r="I30" i="2"/>
  <c r="H30" i="2"/>
  <c r="T7" i="24"/>
  <c r="E6" i="10"/>
  <c r="U6" i="10" s="1"/>
  <c r="H15" i="2"/>
  <c r="H8" i="2" s="1"/>
  <c r="F16" i="10"/>
  <c r="H16" i="10" s="1"/>
  <c r="I16" i="10" s="1"/>
  <c r="F28" i="2"/>
  <c r="G9" i="1"/>
  <c r="H9" i="1" s="1"/>
  <c r="P4" i="24"/>
  <c r="P3" i="24" s="1"/>
  <c r="P7" i="24" s="1"/>
  <c r="H85" i="3"/>
  <c r="F86" i="3" s="1"/>
  <c r="H7" i="1"/>
  <c r="J7" i="24"/>
  <c r="S9" i="24"/>
  <c r="S8" i="24" s="1"/>
  <c r="R8" i="24" s="1"/>
  <c r="R15" i="24" s="1"/>
  <c r="K9" i="24"/>
  <c r="K8" i="24" s="1"/>
  <c r="J8" i="24" s="1"/>
  <c r="G18" i="10"/>
  <c r="J11" i="24"/>
  <c r="R7" i="24"/>
  <c r="R11" i="24"/>
  <c r="H34" i="1"/>
  <c r="G22" i="10"/>
  <c r="I9" i="2"/>
  <c r="I19" i="2"/>
  <c r="N6" i="24"/>
  <c r="N13" i="24" s="1"/>
  <c r="O13" i="24" s="1"/>
  <c r="F10" i="24"/>
  <c r="F7" i="24"/>
  <c r="F11" i="24"/>
  <c r="N22" i="24"/>
  <c r="N21" i="24"/>
  <c r="N23" i="24"/>
  <c r="N17" i="24"/>
  <c r="M9" i="24"/>
  <c r="M8" i="24" s="1"/>
  <c r="L3" i="24"/>
  <c r="L7" i="24" s="1"/>
  <c r="U18" i="10"/>
  <c r="H18" i="10"/>
  <c r="I18" i="10" s="1"/>
  <c r="G9" i="24"/>
  <c r="G8" i="24" s="1"/>
  <c r="F8" i="24" s="1"/>
  <c r="O59" i="14"/>
  <c r="O62" i="14" s="1"/>
  <c r="O69" i="14" s="1"/>
  <c r="O4" i="12" s="1"/>
  <c r="I4" i="14"/>
  <c r="P11" i="14"/>
  <c r="D59" i="14"/>
  <c r="D62" i="14" s="1"/>
  <c r="P6" i="14"/>
  <c r="P38" i="14"/>
  <c r="P47" i="14"/>
  <c r="H23" i="14"/>
  <c r="H68" i="14" s="1"/>
  <c r="K2" i="12" s="1"/>
  <c r="P14" i="14"/>
  <c r="P10" i="14"/>
  <c r="H14" i="23"/>
  <c r="D8" i="2"/>
  <c r="H22" i="10"/>
  <c r="I22" i="10" s="1"/>
  <c r="V22" i="10" s="1"/>
  <c r="H9" i="23"/>
  <c r="D36" i="2"/>
  <c r="H28" i="1"/>
  <c r="H17" i="1"/>
  <c r="H32" i="1"/>
  <c r="H14" i="1"/>
  <c r="H21" i="23"/>
  <c r="H16" i="1"/>
  <c r="H24" i="1"/>
  <c r="H12" i="1"/>
  <c r="H3" i="14"/>
  <c r="H4" i="14" s="1"/>
  <c r="D31" i="2"/>
  <c r="I31" i="2" s="1"/>
  <c r="I18" i="23"/>
  <c r="H17" i="23" s="1"/>
  <c r="H10" i="1"/>
  <c r="H5" i="1"/>
  <c r="H35" i="1"/>
  <c r="H13" i="1"/>
  <c r="H15" i="1"/>
  <c r="O57" i="4"/>
  <c r="N57" i="4"/>
  <c r="K12" i="3"/>
  <c r="M2" i="14"/>
  <c r="M4" i="14" s="1"/>
  <c r="C9" i="14"/>
  <c r="M9" i="14" s="1"/>
  <c r="P9" i="14" s="1"/>
  <c r="B67" i="2"/>
  <c r="R12" i="18"/>
  <c r="L12" i="18"/>
  <c r="N59" i="14"/>
  <c r="K59" i="14"/>
  <c r="E59" i="14"/>
  <c r="D23" i="14"/>
  <c r="E25" i="1"/>
  <c r="F25" i="1" s="1"/>
  <c r="L3" i="14"/>
  <c r="E26" i="1"/>
  <c r="F26" i="1" s="1"/>
  <c r="J3" i="14"/>
  <c r="F59" i="14"/>
  <c r="I59" i="14"/>
  <c r="J59" i="14"/>
  <c r="G59" i="14"/>
  <c r="G4" i="14"/>
  <c r="F23" i="14"/>
  <c r="F68" i="14" s="1"/>
  <c r="I2" i="12" s="1"/>
  <c r="K23" i="14"/>
  <c r="K68" i="14" s="1"/>
  <c r="E2" i="12" s="1"/>
  <c r="E4" i="14"/>
  <c r="I23" i="14"/>
  <c r="I68" i="14" s="1"/>
  <c r="L2" i="12" s="1"/>
  <c r="H59" i="14"/>
  <c r="L59" i="14"/>
  <c r="M59" i="14"/>
  <c r="G23" i="14"/>
  <c r="G68" i="14" s="1"/>
  <c r="J2" i="12" s="1"/>
  <c r="F4" i="14"/>
  <c r="D4" i="14"/>
  <c r="K4" i="14"/>
  <c r="E23" i="14"/>
  <c r="E68" i="14" s="1"/>
  <c r="H2" i="12" s="1"/>
  <c r="J23" i="14"/>
  <c r="J68" i="14" s="1"/>
  <c r="D2" i="12" s="1"/>
  <c r="E26" i="10"/>
  <c r="H33" i="2"/>
  <c r="F6" i="10"/>
  <c r="H29" i="2"/>
  <c r="F14" i="10"/>
  <c r="H34" i="2"/>
  <c r="F8" i="10"/>
  <c r="H27" i="2"/>
  <c r="F10" i="10"/>
  <c r="G27" i="1"/>
  <c r="H27" i="1" s="1"/>
  <c r="E33" i="1"/>
  <c r="F33" i="1" s="1"/>
  <c r="G29" i="1"/>
  <c r="H29" i="1" s="1"/>
  <c r="G33" i="1"/>
  <c r="G26" i="1"/>
  <c r="G31" i="1"/>
  <c r="E11" i="1"/>
  <c r="F11" i="1" s="1"/>
  <c r="E31" i="1"/>
  <c r="F31" i="1" s="1"/>
  <c r="E30" i="1"/>
  <c r="F30" i="1" s="1"/>
  <c r="G11" i="1"/>
  <c r="C67" i="2"/>
  <c r="H88" i="3" l="1"/>
  <c r="H90" i="3" s="1"/>
  <c r="O422" i="4"/>
  <c r="I36" i="2"/>
  <c r="F38" i="2"/>
  <c r="F66" i="2" s="1"/>
  <c r="H66" i="2" s="1"/>
  <c r="AG3" i="18"/>
  <c r="M2" i="12"/>
  <c r="T6" i="24"/>
  <c r="T13" i="24" s="1"/>
  <c r="U13" i="24" s="1"/>
  <c r="N63" i="14"/>
  <c r="N64" i="14" s="1"/>
  <c r="H36" i="2"/>
  <c r="H38" i="2" s="1"/>
  <c r="F24" i="10"/>
  <c r="G25" i="1"/>
  <c r="H25" i="1" s="1"/>
  <c r="F12" i="10"/>
  <c r="H12" i="10" s="1"/>
  <c r="J8" i="2"/>
  <c r="C15" i="29"/>
  <c r="S6" i="48"/>
  <c r="N14" i="40"/>
  <c r="O14" i="40" s="1"/>
  <c r="P14" i="40" s="1"/>
  <c r="Q14" i="40" s="1"/>
  <c r="R14" i="40" s="1"/>
  <c r="S14" i="40" s="1"/>
  <c r="T14" i="40" s="1"/>
  <c r="R6" i="48"/>
  <c r="O6" i="48"/>
  <c r="Q6" i="48"/>
  <c r="M14" i="48"/>
  <c r="N6" i="48"/>
  <c r="P6" i="48"/>
  <c r="I28" i="2"/>
  <c r="L14" i="36"/>
  <c r="M14" i="36" s="1"/>
  <c r="N14" i="36" s="1"/>
  <c r="O14" i="36" s="1"/>
  <c r="P14" i="36" s="1"/>
  <c r="Q14" i="36" s="1"/>
  <c r="C17" i="29"/>
  <c r="C12" i="48"/>
  <c r="C13" i="48" s="1"/>
  <c r="U20" i="10"/>
  <c r="P11" i="24"/>
  <c r="P10" i="24"/>
  <c r="G16" i="10"/>
  <c r="G30" i="1"/>
  <c r="H30" i="1" s="1"/>
  <c r="H28" i="2"/>
  <c r="E38" i="10"/>
  <c r="E20" i="10"/>
  <c r="Q9" i="24"/>
  <c r="Q8" i="24" s="1"/>
  <c r="P8" i="24" s="1"/>
  <c r="P15" i="24" s="1"/>
  <c r="P21" i="24" s="1"/>
  <c r="J6" i="24"/>
  <c r="J13" i="24" s="1"/>
  <c r="K13" i="24" s="1"/>
  <c r="R6" i="24"/>
  <c r="R13" i="24" s="1"/>
  <c r="S13" i="24" s="1"/>
  <c r="H33" i="1"/>
  <c r="P18" i="10"/>
  <c r="X18" i="10" s="1"/>
  <c r="AB3" i="18"/>
  <c r="F6" i="24"/>
  <c r="L11" i="18"/>
  <c r="I8" i="2"/>
  <c r="H25" i="23"/>
  <c r="F17" i="23" s="1"/>
  <c r="T23" i="24"/>
  <c r="T22" i="24"/>
  <c r="T17" i="24"/>
  <c r="T21" i="24"/>
  <c r="H24" i="24"/>
  <c r="H27" i="24" s="1"/>
  <c r="H28" i="24" s="1"/>
  <c r="H22" i="24"/>
  <c r="H21" i="24"/>
  <c r="H23" i="24"/>
  <c r="H17" i="24"/>
  <c r="R23" i="24"/>
  <c r="R22" i="24"/>
  <c r="R21" i="24"/>
  <c r="R17" i="24"/>
  <c r="H23" i="2"/>
  <c r="R24" i="24"/>
  <c r="R27" i="24" s="1"/>
  <c r="R28" i="24" s="1"/>
  <c r="N24" i="24"/>
  <c r="N27" i="24" s="1"/>
  <c r="N28" i="24" s="1"/>
  <c r="T24" i="24"/>
  <c r="T27" i="24" s="1"/>
  <c r="T28" i="24" s="1"/>
  <c r="F15" i="24"/>
  <c r="V3" i="24"/>
  <c r="L10" i="24"/>
  <c r="L11" i="24"/>
  <c r="L8" i="24"/>
  <c r="J15" i="24"/>
  <c r="D38" i="2"/>
  <c r="H26" i="1"/>
  <c r="P3" i="14"/>
  <c r="D68" i="14"/>
  <c r="H11" i="18" s="1"/>
  <c r="G8" i="23"/>
  <c r="D63" i="14"/>
  <c r="D64" i="14" s="1"/>
  <c r="H11" i="1"/>
  <c r="M23" i="14"/>
  <c r="M68" i="14" s="1"/>
  <c r="F2" i="12" s="1"/>
  <c r="H31" i="1"/>
  <c r="K11" i="18"/>
  <c r="G11" i="18"/>
  <c r="F11" i="18"/>
  <c r="J11" i="18"/>
  <c r="I11" i="18"/>
  <c r="M11" i="18"/>
  <c r="M12" i="18"/>
  <c r="L13" i="18"/>
  <c r="R13" i="18"/>
  <c r="Q12" i="18"/>
  <c r="F12" i="18"/>
  <c r="K12" i="18"/>
  <c r="G12" i="18"/>
  <c r="J12" i="18"/>
  <c r="D14" i="18"/>
  <c r="I12" i="18"/>
  <c r="H12" i="18"/>
  <c r="D16" i="18"/>
  <c r="S3" i="18"/>
  <c r="AE3" i="18"/>
  <c r="K3" i="18"/>
  <c r="V3" i="18"/>
  <c r="P3" i="18"/>
  <c r="H3" i="18"/>
  <c r="Y3" i="18"/>
  <c r="G15" i="18"/>
  <c r="R15" i="18"/>
  <c r="E62" i="14"/>
  <c r="E69" i="14" s="1"/>
  <c r="N62" i="14"/>
  <c r="N69" i="14" s="1"/>
  <c r="M3" i="12" s="1"/>
  <c r="K62" i="14"/>
  <c r="K69" i="14" s="1"/>
  <c r="E3" i="12" s="1"/>
  <c r="E5" i="12" s="1"/>
  <c r="P59" i="14"/>
  <c r="J4" i="14"/>
  <c r="M62" i="14"/>
  <c r="M69" i="14" s="1"/>
  <c r="G62" i="14"/>
  <c r="G69" i="14" s="1"/>
  <c r="F62" i="14"/>
  <c r="F69" i="14" s="1"/>
  <c r="J62" i="14"/>
  <c r="J69" i="14" s="1"/>
  <c r="H62" i="14"/>
  <c r="H69" i="14" s="1"/>
  <c r="L62" i="14"/>
  <c r="L69" i="14" s="1"/>
  <c r="L4" i="14"/>
  <c r="L23" i="14"/>
  <c r="L68" i="14" s="1"/>
  <c r="I62" i="14"/>
  <c r="I69" i="14" s="1"/>
  <c r="G10" i="10"/>
  <c r="H10" i="10"/>
  <c r="I10" i="10" s="1"/>
  <c r="H8" i="10"/>
  <c r="G8" i="10"/>
  <c r="G26" i="10"/>
  <c r="H26" i="10"/>
  <c r="E30" i="10"/>
  <c r="H14" i="10"/>
  <c r="G14" i="10"/>
  <c r="H6" i="10"/>
  <c r="G6" i="10"/>
  <c r="E6" i="1"/>
  <c r="F6" i="1" s="1"/>
  <c r="G6" i="1"/>
  <c r="E23" i="1"/>
  <c r="F23" i="1" s="1"/>
  <c r="F20" i="10" l="1"/>
  <c r="G20" i="10" s="1"/>
  <c r="G12" i="10"/>
  <c r="G23" i="1"/>
  <c r="H23" i="1" s="1"/>
  <c r="G24" i="10"/>
  <c r="H24" i="10"/>
  <c r="I24" i="10" s="1"/>
  <c r="V24" i="10" s="1"/>
  <c r="F30" i="10"/>
  <c r="G30" i="10" s="1"/>
  <c r="N14" i="48"/>
  <c r="O14" i="48" s="1"/>
  <c r="P14" i="48" s="1"/>
  <c r="Q14" i="48" s="1"/>
  <c r="R14" i="48" s="1"/>
  <c r="S14" i="48" s="1"/>
  <c r="T14" i="48" s="1"/>
  <c r="M7" i="48"/>
  <c r="P6" i="24"/>
  <c r="P13" i="24" s="1"/>
  <c r="Q13" i="24" s="1"/>
  <c r="P17" i="24"/>
  <c r="P23" i="24"/>
  <c r="P22" i="24"/>
  <c r="E8" i="23"/>
  <c r="Q11" i="18"/>
  <c r="E25" i="23"/>
  <c r="E6" i="23"/>
  <c r="F9" i="23"/>
  <c r="E21" i="23"/>
  <c r="E1" i="23"/>
  <c r="F14" i="23"/>
  <c r="L6" i="24"/>
  <c r="L13" i="24" s="1"/>
  <c r="M13" i="24" s="1"/>
  <c r="F23" i="24"/>
  <c r="F22" i="24"/>
  <c r="F21" i="24"/>
  <c r="F24" i="24"/>
  <c r="F26" i="24" s="1"/>
  <c r="F17" i="24"/>
  <c r="J23" i="24"/>
  <c r="J22" i="24"/>
  <c r="J21" i="24"/>
  <c r="J17" i="24"/>
  <c r="J24" i="24"/>
  <c r="J27" i="24" s="1"/>
  <c r="J28" i="24" s="1"/>
  <c r="L15" i="24"/>
  <c r="G2" i="12"/>
  <c r="D69" i="14"/>
  <c r="P69" i="14" s="1"/>
  <c r="O14" i="18" s="1"/>
  <c r="P62" i="14"/>
  <c r="H6" i="1"/>
  <c r="M3" i="18"/>
  <c r="K80" i="3"/>
  <c r="D66" i="2"/>
  <c r="L70" i="14"/>
  <c r="L71" i="14" s="1"/>
  <c r="E11" i="18"/>
  <c r="C2" i="12"/>
  <c r="H70" i="14"/>
  <c r="H71" i="14" s="1"/>
  <c r="K3" i="12"/>
  <c r="K5" i="12" s="1"/>
  <c r="M70" i="14"/>
  <c r="M71" i="14" s="1"/>
  <c r="F3" i="12"/>
  <c r="F5" i="12" s="1"/>
  <c r="I70" i="14"/>
  <c r="I71" i="14" s="1"/>
  <c r="L3" i="12"/>
  <c r="L5" i="12" s="1"/>
  <c r="C3" i="12"/>
  <c r="J70" i="14"/>
  <c r="J71" i="14" s="1"/>
  <c r="D3" i="12"/>
  <c r="D5" i="12" s="1"/>
  <c r="G70" i="14"/>
  <c r="G71" i="14" s="1"/>
  <c r="J3" i="12"/>
  <c r="J5" i="12" s="1"/>
  <c r="F70" i="14"/>
  <c r="F71" i="14" s="1"/>
  <c r="I3" i="12"/>
  <c r="I5" i="12" s="1"/>
  <c r="E70" i="14"/>
  <c r="E71" i="14" s="1"/>
  <c r="H3" i="12"/>
  <c r="H5" i="12" s="1"/>
  <c r="M5" i="12"/>
  <c r="N70" i="14"/>
  <c r="N71" i="14" s="1"/>
  <c r="K70" i="14"/>
  <c r="K71" i="14" s="1"/>
  <c r="M14" i="18"/>
  <c r="F14" i="18"/>
  <c r="K14" i="18"/>
  <c r="L14" i="18"/>
  <c r="J14" i="18"/>
  <c r="Q14" i="18"/>
  <c r="I14" i="18"/>
  <c r="J13" i="18"/>
  <c r="G13" i="18"/>
  <c r="K13" i="18"/>
  <c r="F13" i="18"/>
  <c r="Q13" i="18"/>
  <c r="M13" i="18"/>
  <c r="E14" i="18"/>
  <c r="I13" i="18"/>
  <c r="H13" i="18"/>
  <c r="E12" i="18"/>
  <c r="R14" i="18"/>
  <c r="G14" i="18"/>
  <c r="AF4" i="18"/>
  <c r="Q4" i="18"/>
  <c r="AC4" i="18"/>
  <c r="W4" i="18"/>
  <c r="N4" i="18"/>
  <c r="L4" i="18"/>
  <c r="E3" i="18"/>
  <c r="F4" i="18"/>
  <c r="I4" i="18"/>
  <c r="Z4" i="18"/>
  <c r="AH4" i="18"/>
  <c r="T4" i="18"/>
  <c r="AH5" i="18"/>
  <c r="L5" i="18"/>
  <c r="AI4" i="18"/>
  <c r="H63" i="14"/>
  <c r="H64" i="14" s="1"/>
  <c r="F63" i="14"/>
  <c r="F64" i="14" s="1"/>
  <c r="M63" i="14"/>
  <c r="M64" i="14" s="1"/>
  <c r="K63" i="14"/>
  <c r="L6" i="18" s="1"/>
  <c r="J63" i="14"/>
  <c r="I6" i="18" s="1"/>
  <c r="G63" i="14"/>
  <c r="E63" i="14"/>
  <c r="AH6" i="18"/>
  <c r="I63" i="14"/>
  <c r="L63" i="14"/>
  <c r="I14" i="10"/>
  <c r="P14" i="10"/>
  <c r="X14" i="10" s="1"/>
  <c r="I26" i="10"/>
  <c r="V26" i="10" s="1"/>
  <c r="I6" i="10"/>
  <c r="H20" i="10"/>
  <c r="E32" i="10"/>
  <c r="E36" i="10" s="1"/>
  <c r="I8" i="10"/>
  <c r="P8" i="10"/>
  <c r="X8" i="10" s="1"/>
  <c r="I12" i="10"/>
  <c r="P12" i="10"/>
  <c r="X12" i="10" s="1"/>
  <c r="F67" i="2"/>
  <c r="H67" i="2" s="1"/>
  <c r="G21" i="1"/>
  <c r="E60" i="1"/>
  <c r="F60" i="1" s="1"/>
  <c r="G60" i="1"/>
  <c r="D11" i="53" l="1"/>
  <c r="E11" i="53"/>
  <c r="E41" i="53" s="1"/>
  <c r="G11" i="53"/>
  <c r="G41" i="53" s="1"/>
  <c r="F32" i="10"/>
  <c r="G32" i="10" s="1"/>
  <c r="H30" i="10"/>
  <c r="I30" i="10" s="1"/>
  <c r="S7" i="48"/>
  <c r="T7" i="48"/>
  <c r="R7" i="48"/>
  <c r="N7" i="48"/>
  <c r="P7" i="48"/>
  <c r="Q7" i="48"/>
  <c r="O7" i="48"/>
  <c r="M15" i="48"/>
  <c r="M8" i="48"/>
  <c r="F27" i="24"/>
  <c r="F28" i="24" s="1"/>
  <c r="L23" i="24"/>
  <c r="L22" i="24"/>
  <c r="L21" i="24"/>
  <c r="L17" i="24"/>
  <c r="L24" i="24"/>
  <c r="L26" i="24" s="1"/>
  <c r="G3" i="12"/>
  <c r="G5" i="12" s="1"/>
  <c r="H14" i="18"/>
  <c r="D70" i="14"/>
  <c r="H60" i="1"/>
  <c r="C5" i="12"/>
  <c r="K64" i="14"/>
  <c r="F16" i="18"/>
  <c r="F15" i="18"/>
  <c r="J64" i="14"/>
  <c r="E13" i="18"/>
  <c r="Q15" i="18"/>
  <c r="F17" i="18"/>
  <c r="G17" i="18"/>
  <c r="G16" i="18"/>
  <c r="R17" i="18"/>
  <c r="R16" i="18"/>
  <c r="E64" i="14"/>
  <c r="G64" i="14"/>
  <c r="N5" i="18"/>
  <c r="I5" i="18"/>
  <c r="N6" i="18"/>
  <c r="L64" i="14"/>
  <c r="I64" i="14"/>
  <c r="G61" i="1"/>
  <c r="D41" i="53" l="1"/>
  <c r="F36" i="10"/>
  <c r="G36" i="10" s="1"/>
  <c r="L11" i="53"/>
  <c r="L41" i="53" s="1"/>
  <c r="H41" i="53"/>
  <c r="M11" i="53"/>
  <c r="M41" i="53" s="1"/>
  <c r="I11" i="53"/>
  <c r="K11" i="53"/>
  <c r="K41" i="53" s="1"/>
  <c r="J11" i="53"/>
  <c r="J41" i="53" s="1"/>
  <c r="F11" i="53"/>
  <c r="F41" i="53" s="1"/>
  <c r="H32" i="10"/>
  <c r="I32" i="10" s="1"/>
  <c r="S8" i="48"/>
  <c r="T8" i="48"/>
  <c r="N15" i="48"/>
  <c r="O15" i="48" s="1"/>
  <c r="P15" i="48" s="1"/>
  <c r="Q15" i="48" s="1"/>
  <c r="R15" i="48" s="1"/>
  <c r="S15" i="48" s="1"/>
  <c r="T15" i="48" s="1"/>
  <c r="M16" i="48"/>
  <c r="Q8" i="48"/>
  <c r="R8" i="48"/>
  <c r="O8" i="48"/>
  <c r="P8" i="48"/>
  <c r="N8" i="48"/>
  <c r="C12" i="39"/>
  <c r="C13" i="39" s="1"/>
  <c r="C12" i="40"/>
  <c r="C13" i="40" s="1"/>
  <c r="L27" i="24"/>
  <c r="L28" i="24" s="1"/>
  <c r="O3" i="12"/>
  <c r="D71" i="14"/>
  <c r="Q16" i="18"/>
  <c r="E15" i="18"/>
  <c r="N6" i="10"/>
  <c r="N24" i="10"/>
  <c r="P24" i="10" s="1"/>
  <c r="S24" i="10" s="1"/>
  <c r="U24" i="10" s="1"/>
  <c r="X24" i="10" s="1"/>
  <c r="N10" i="10"/>
  <c r="P10" i="10" s="1"/>
  <c r="N16" i="10"/>
  <c r="P16" i="10" s="1"/>
  <c r="N26" i="10"/>
  <c r="P26" i="10" s="1"/>
  <c r="S11" i="53" l="1"/>
  <c r="I41" i="53"/>
  <c r="S41" i="53" s="1"/>
  <c r="H36" i="10"/>
  <c r="I36" i="10" s="1"/>
  <c r="C12" i="47"/>
  <c r="C13" i="47" s="1"/>
  <c r="N16" i="48"/>
  <c r="O16" i="48" s="1"/>
  <c r="P16" i="48" s="1"/>
  <c r="Q16" i="48" s="1"/>
  <c r="R16" i="48" s="1"/>
  <c r="S16" i="48" s="1"/>
  <c r="T16" i="48" s="1"/>
  <c r="C12" i="36"/>
  <c r="C13" i="36" s="1"/>
  <c r="Q17" i="18"/>
  <c r="E16" i="18"/>
  <c r="F5" i="18"/>
  <c r="F6" i="18"/>
  <c r="X16" i="10"/>
  <c r="S26" i="10"/>
  <c r="U26" i="10" s="1"/>
  <c r="X26" i="10" s="1"/>
  <c r="X10" i="10"/>
  <c r="N20" i="10"/>
  <c r="P6" i="10"/>
  <c r="N22" i="10"/>
  <c r="M7" i="40" l="1"/>
  <c r="M7" i="39"/>
  <c r="M7" i="47"/>
  <c r="E17" i="18"/>
  <c r="P20" i="10"/>
  <c r="Q6" i="10" s="1"/>
  <c r="X6" i="10"/>
  <c r="N30" i="10"/>
  <c r="N32" i="10" s="1"/>
  <c r="L34" i="10" s="1"/>
  <c r="P22" i="10"/>
  <c r="S7" i="47" l="1"/>
  <c r="T7" i="47"/>
  <c r="S7" i="39"/>
  <c r="T7" i="39"/>
  <c r="S7" i="40"/>
  <c r="T7" i="40"/>
  <c r="P7" i="47"/>
  <c r="R7" i="47"/>
  <c r="N7" i="47"/>
  <c r="M15" i="47"/>
  <c r="O7" i="47"/>
  <c r="Q7" i="47"/>
  <c r="M8" i="47"/>
  <c r="R7" i="39"/>
  <c r="P7" i="39"/>
  <c r="Q7" i="39"/>
  <c r="O7" i="39"/>
  <c r="N7" i="39"/>
  <c r="M15" i="39"/>
  <c r="M8" i="39"/>
  <c r="Q7" i="40"/>
  <c r="N7" i="40"/>
  <c r="O7" i="40"/>
  <c r="R7" i="40"/>
  <c r="P7" i="40"/>
  <c r="M15" i="40"/>
  <c r="M8" i="40"/>
  <c r="K7" i="36"/>
  <c r="G5" i="29"/>
  <c r="E5" i="29"/>
  <c r="G10" i="29"/>
  <c r="E10" i="29"/>
  <c r="G12" i="29"/>
  <c r="E12" i="29"/>
  <c r="G8" i="29"/>
  <c r="E8" i="29"/>
  <c r="G9" i="29"/>
  <c r="E9" i="29"/>
  <c r="G6" i="29"/>
  <c r="E6" i="29"/>
  <c r="G13" i="29"/>
  <c r="E13" i="29"/>
  <c r="E17" i="29"/>
  <c r="E4" i="29"/>
  <c r="G7" i="29"/>
  <c r="E7" i="29"/>
  <c r="S6" i="10"/>
  <c r="S22" i="10"/>
  <c r="P30" i="10"/>
  <c r="P32" i="10" s="1"/>
  <c r="Q12" i="10"/>
  <c r="S12" i="10" s="1"/>
  <c r="Q18" i="10"/>
  <c r="S18" i="10" s="1"/>
  <c r="Q14" i="10"/>
  <c r="S14" i="10" s="1"/>
  <c r="X20" i="10"/>
  <c r="X36" i="10" s="1"/>
  <c r="Q8" i="10"/>
  <c r="Q16" i="10"/>
  <c r="S16" i="10" s="1"/>
  <c r="Q10" i="10"/>
  <c r="S10" i="10" s="1"/>
  <c r="S8" i="40" l="1"/>
  <c r="T8" i="40"/>
  <c r="S8" i="39"/>
  <c r="T8" i="39"/>
  <c r="S8" i="47"/>
  <c r="T8" i="47"/>
  <c r="Q8" i="40"/>
  <c r="P8" i="40"/>
  <c r="N8" i="40"/>
  <c r="R8" i="40"/>
  <c r="O8" i="40"/>
  <c r="N15" i="39"/>
  <c r="O15" i="39" s="1"/>
  <c r="P15" i="39" s="1"/>
  <c r="Q15" i="39" s="1"/>
  <c r="R15" i="39" s="1"/>
  <c r="S15" i="39" s="1"/>
  <c r="T15" i="39" s="1"/>
  <c r="M16" i="39"/>
  <c r="N15" i="47"/>
  <c r="O15" i="47" s="1"/>
  <c r="P15" i="47" s="1"/>
  <c r="Q15" i="47" s="1"/>
  <c r="R15" i="47" s="1"/>
  <c r="S15" i="47" s="1"/>
  <c r="T15" i="47" s="1"/>
  <c r="M16" i="47"/>
  <c r="N15" i="40"/>
  <c r="O15" i="40" s="1"/>
  <c r="P15" i="40" s="1"/>
  <c r="Q15" i="40" s="1"/>
  <c r="R15" i="40" s="1"/>
  <c r="S15" i="40" s="1"/>
  <c r="T15" i="40" s="1"/>
  <c r="M16" i="40"/>
  <c r="N16" i="40" s="1"/>
  <c r="O8" i="47"/>
  <c r="N8" i="47"/>
  <c r="R8" i="47"/>
  <c r="Q8" i="47"/>
  <c r="P8" i="47"/>
  <c r="Q8" i="39"/>
  <c r="R8" i="39"/>
  <c r="N8" i="39"/>
  <c r="P8" i="39"/>
  <c r="O8" i="39"/>
  <c r="Q7" i="36"/>
  <c r="K15" i="36"/>
  <c r="N7" i="36"/>
  <c r="L7" i="36"/>
  <c r="P7" i="36"/>
  <c r="M7" i="36"/>
  <c r="O7" i="36"/>
  <c r="F8" i="36"/>
  <c r="E11" i="29"/>
  <c r="E15" i="29" s="1"/>
  <c r="G11" i="29"/>
  <c r="F17" i="29"/>
  <c r="G17" i="29"/>
  <c r="G4" i="29"/>
  <c r="G15" i="29" s="1"/>
  <c r="F8" i="29"/>
  <c r="F10" i="29"/>
  <c r="F7" i="29"/>
  <c r="F13" i="29"/>
  <c r="F5" i="29"/>
  <c r="F12" i="29"/>
  <c r="F6" i="29"/>
  <c r="F9" i="29"/>
  <c r="F4" i="29"/>
  <c r="Q20" i="10"/>
  <c r="S8" i="10"/>
  <c r="S20" i="10" s="1"/>
  <c r="U22" i="10"/>
  <c r="S30" i="10"/>
  <c r="O16" i="40" l="1"/>
  <c r="P16" i="40" s="1"/>
  <c r="Q16" i="40" s="1"/>
  <c r="R16" i="40" s="1"/>
  <c r="S16" i="40" s="1"/>
  <c r="T16" i="40" s="1"/>
  <c r="N16" i="39"/>
  <c r="O16" i="39" s="1"/>
  <c r="P16" i="39" s="1"/>
  <c r="Q16" i="39" s="1"/>
  <c r="R16" i="39" s="1"/>
  <c r="S16" i="39" s="1"/>
  <c r="T16" i="39" s="1"/>
  <c r="N16" i="47"/>
  <c r="O16" i="47" s="1"/>
  <c r="P16" i="47" s="1"/>
  <c r="Q16" i="47" s="1"/>
  <c r="R16" i="47" s="1"/>
  <c r="S16" i="47" s="1"/>
  <c r="T16" i="47" s="1"/>
  <c r="K8" i="36"/>
  <c r="K16" i="36" s="1"/>
  <c r="N8" i="36"/>
  <c r="G8" i="36"/>
  <c r="J8" i="36"/>
  <c r="M8" i="36"/>
  <c r="P8" i="36"/>
  <c r="H8" i="36"/>
  <c r="Q8" i="36"/>
  <c r="I8" i="36"/>
  <c r="L8" i="36"/>
  <c r="O8" i="36"/>
  <c r="L15" i="36"/>
  <c r="M15" i="36" s="1"/>
  <c r="N15" i="36" s="1"/>
  <c r="O15" i="36" s="1"/>
  <c r="P15" i="36" s="1"/>
  <c r="Q15" i="36" s="1"/>
  <c r="F11" i="29"/>
  <c r="F15" i="29" s="1"/>
  <c r="H4" i="29"/>
  <c r="H9" i="29"/>
  <c r="H13" i="29"/>
  <c r="H8" i="29"/>
  <c r="H6" i="29"/>
  <c r="H12" i="29"/>
  <c r="H5" i="29"/>
  <c r="H7" i="29"/>
  <c r="H10" i="29"/>
  <c r="H17" i="29"/>
  <c r="S32" i="10"/>
  <c r="E39" i="10"/>
  <c r="E40" i="10" s="1"/>
  <c r="U30" i="10"/>
  <c r="U32" i="10" s="1"/>
  <c r="X22" i="10"/>
  <c r="X30" i="10" s="1"/>
  <c r="L16" i="36" l="1"/>
  <c r="M16" i="36" s="1"/>
  <c r="N16" i="36" s="1"/>
  <c r="O16" i="36" s="1"/>
  <c r="P16" i="36" s="1"/>
  <c r="Q16" i="36" s="1"/>
  <c r="H11" i="29"/>
  <c r="H15" i="29" s="1"/>
  <c r="E4" i="1"/>
  <c r="O2" i="14"/>
  <c r="P2" i="14" s="1"/>
  <c r="C18" i="14"/>
  <c r="C23" i="14" s="1"/>
  <c r="J15" i="29" l="1"/>
  <c r="K8" i="29" s="1"/>
  <c r="L8" i="29" s="1"/>
  <c r="O8" i="29" s="1"/>
  <c r="Q8" i="29" s="1"/>
  <c r="J23" i="2"/>
  <c r="I23" i="2"/>
  <c r="F4" i="1"/>
  <c r="H4" i="1"/>
  <c r="K21" i="3"/>
  <c r="O18" i="14"/>
  <c r="P18" i="14" s="1"/>
  <c r="D67" i="2"/>
  <c r="E21" i="1"/>
  <c r="O4" i="14"/>
  <c r="P4" i="14" s="1"/>
  <c r="K11" i="29" l="1"/>
  <c r="L11" i="29" s="1"/>
  <c r="O11" i="29" s="1"/>
  <c r="Q11" i="29" s="1"/>
  <c r="K10" i="29"/>
  <c r="L10" i="29" s="1"/>
  <c r="O10" i="29" s="1"/>
  <c r="K6" i="29"/>
  <c r="L6" i="29" s="1"/>
  <c r="O6" i="29" s="1"/>
  <c r="Q6" i="29" s="1"/>
  <c r="K5" i="29"/>
  <c r="L5" i="29" s="1"/>
  <c r="O5" i="29" s="1"/>
  <c r="Q5" i="29" s="1"/>
  <c r="K4" i="29"/>
  <c r="L4" i="29" s="1"/>
  <c r="K7" i="29"/>
  <c r="L7" i="29" s="1"/>
  <c r="O7" i="29" s="1"/>
  <c r="Q7" i="29" s="1"/>
  <c r="F21" i="1"/>
  <c r="H21" i="1"/>
  <c r="O23" i="14"/>
  <c r="E61" i="1"/>
  <c r="L15" i="29" l="1"/>
  <c r="O15" i="29"/>
  <c r="O19" i="29" s="1"/>
  <c r="O68" i="14"/>
  <c r="P68" i="14" s="1"/>
  <c r="P72" i="14" s="1"/>
  <c r="P23" i="14"/>
  <c r="J25" i="14" s="1"/>
  <c r="O63" i="14"/>
  <c r="P63" i="14" s="1"/>
  <c r="C3" i="18"/>
  <c r="F61" i="1"/>
  <c r="H61" i="1"/>
  <c r="D12" i="18"/>
  <c r="O12" i="18"/>
  <c r="K72" i="14" l="1"/>
  <c r="O72" i="14"/>
  <c r="D19" i="18" s="1"/>
  <c r="N2" i="12"/>
  <c r="N5" i="12" s="1"/>
  <c r="D11" i="18"/>
  <c r="O70" i="14"/>
  <c r="I72" i="14"/>
  <c r="M25" i="14"/>
  <c r="J72" i="14"/>
  <c r="N72" i="14"/>
  <c r="E72" i="14"/>
  <c r="F72" i="14"/>
  <c r="G25" i="14"/>
  <c r="O11" i="18"/>
  <c r="G72" i="14"/>
  <c r="M72" i="14"/>
  <c r="H72" i="14"/>
  <c r="D72" i="14"/>
  <c r="H25" i="14"/>
  <c r="K25" i="14"/>
  <c r="I25" i="14"/>
  <c r="F25" i="14"/>
  <c r="E25" i="14"/>
  <c r="L25" i="14"/>
  <c r="N25" i="14"/>
  <c r="D25" i="14"/>
  <c r="P64" i="14"/>
  <c r="L72" i="14"/>
  <c r="D13" i="18"/>
  <c r="D17" i="18" l="1"/>
  <c r="P70" i="14"/>
  <c r="P71" i="14" s="1"/>
  <c r="O71" i="14"/>
  <c r="O2" i="12"/>
  <c r="O5" i="12" s="1"/>
  <c r="P25" i="14"/>
  <c r="AC5" i="18"/>
  <c r="T5" i="18"/>
  <c r="Z5" i="18"/>
  <c r="O13" i="18"/>
  <c r="O19" i="18"/>
  <c r="K19" i="18"/>
  <c r="L19" i="18"/>
  <c r="M19" i="18"/>
  <c r="F18" i="18"/>
  <c r="Q18" i="18"/>
  <c r="G18" i="18"/>
  <c r="R19" i="18"/>
  <c r="I19" i="18"/>
  <c r="J19" i="18"/>
  <c r="Q19" i="18"/>
  <c r="G19" i="18"/>
  <c r="F19" i="18"/>
  <c r="E19" i="18"/>
  <c r="R18" i="18"/>
  <c r="H19" i="18"/>
  <c r="W5" i="18"/>
  <c r="Q5" i="18"/>
  <c r="AF5" i="18"/>
  <c r="AF6" i="18" l="1"/>
  <c r="Q6" i="18"/>
  <c r="H15" i="18"/>
  <c r="O15" i="18"/>
  <c r="J15" i="18"/>
  <c r="W6" i="18"/>
  <c r="Z6" i="18"/>
  <c r="T6" i="18"/>
  <c r="I15" i="18"/>
  <c r="AC6" i="18"/>
  <c r="M15" i="18"/>
  <c r="E18" i="18"/>
  <c r="K15" i="18"/>
  <c r="L15" i="18"/>
  <c r="L16" i="18" l="1"/>
  <c r="M16" i="18"/>
  <c r="I16" i="18"/>
  <c r="J16" i="18"/>
  <c r="O16" i="18"/>
  <c r="H16" i="18"/>
  <c r="K16" i="18"/>
  <c r="H17" i="18" l="1"/>
  <c r="J17" i="18"/>
  <c r="J18" i="18"/>
  <c r="M17" i="18"/>
  <c r="M18" i="18"/>
  <c r="L18" i="18"/>
  <c r="L17" i="18"/>
  <c r="K17" i="18"/>
  <c r="K18" i="18"/>
  <c r="I17" i="18"/>
  <c r="I18" i="18"/>
  <c r="O17" i="18" l="1"/>
  <c r="H18" i="18"/>
  <c r="O18" i="18"/>
  <c r="W6" i="24" l="1"/>
  <c r="W13" i="24" s="1"/>
  <c r="F13" i="24" l="1"/>
  <c r="G13" i="24" l="1"/>
  <c r="I6" i="24"/>
  <c r="H10" i="24"/>
  <c r="H6" i="24" s="1"/>
  <c r="H13" i="24" l="1"/>
  <c r="V6" i="24"/>
  <c r="I13" i="24" l="1"/>
  <c r="V13" i="24"/>
  <c r="Z13" i="24" s="1"/>
</calcChain>
</file>

<file path=xl/sharedStrings.xml><?xml version="1.0" encoding="utf-8"?>
<sst xmlns="http://schemas.openxmlformats.org/spreadsheetml/2006/main" count="1970" uniqueCount="682">
  <si>
    <t>科　　　　目</t>
  </si>
  <si>
    <t>②-①</t>
  </si>
  <si>
    <t>予算の備考</t>
  </si>
  <si>
    <t>①</t>
  </si>
  <si>
    <t>②</t>
  </si>
  <si>
    <t>（千円）</t>
  </si>
  <si>
    <t>③</t>
  </si>
  <si>
    <t>Ⅰ経常収入の部</t>
  </si>
  <si>
    <t>１、財産運用収入</t>
  </si>
  <si>
    <t>２、会費収入</t>
  </si>
  <si>
    <t>３、事業収入</t>
  </si>
  <si>
    <t>た-1</t>
  </si>
  <si>
    <t>た-2</t>
  </si>
  <si>
    <t>た-3</t>
  </si>
  <si>
    <t>た-4</t>
  </si>
  <si>
    <t>た-5</t>
  </si>
  <si>
    <t>さ-1</t>
  </si>
  <si>
    <t>さ-2</t>
  </si>
  <si>
    <t>さ-3</t>
  </si>
  <si>
    <t>さ-4</t>
  </si>
  <si>
    <t>わ-1</t>
  </si>
  <si>
    <t>わ-2.3</t>
  </si>
  <si>
    <t>４、寄付収入</t>
  </si>
  <si>
    <t>５、助成金収入</t>
  </si>
  <si>
    <t>６、雑収入</t>
  </si>
  <si>
    <t>　経常収入合計（A)</t>
  </si>
  <si>
    <t>Ⅱ経常支出の部</t>
  </si>
  <si>
    <t>１、事業費</t>
  </si>
  <si>
    <t>　２、管理費</t>
  </si>
  <si>
    <t>　　　人件費</t>
  </si>
  <si>
    <t>　　　法定福利費</t>
  </si>
  <si>
    <t>　　　福利厚生費</t>
  </si>
  <si>
    <t>　　　広報費</t>
  </si>
  <si>
    <t>　　　水道光熱費</t>
  </si>
  <si>
    <t>　　　車両関連費</t>
  </si>
  <si>
    <t>　　　消耗器具備品費</t>
  </si>
  <si>
    <t>　　　賃借料</t>
  </si>
  <si>
    <t>　　　支払保険料</t>
  </si>
  <si>
    <t>　　　修繕費</t>
  </si>
  <si>
    <t>　　　租税公課</t>
  </si>
  <si>
    <t>　　　減価償却費</t>
  </si>
  <si>
    <t>　　　旅費交通費</t>
  </si>
  <si>
    <t>　　　通信費</t>
  </si>
  <si>
    <t xml:space="preserve">      支払手数料</t>
  </si>
  <si>
    <t>　　　会議費</t>
  </si>
  <si>
    <t>　　　諸会費</t>
  </si>
  <si>
    <t>　　　図書研修費</t>
  </si>
  <si>
    <t>　　　燃料費</t>
  </si>
  <si>
    <t>　　　慶弔費</t>
  </si>
  <si>
    <t>　　　謝金</t>
  </si>
  <si>
    <t>　　　地代家賃</t>
  </si>
  <si>
    <t>　　　雑費</t>
  </si>
  <si>
    <t>　　　予備費</t>
  </si>
  <si>
    <t>　経常支出合計（B)</t>
  </si>
  <si>
    <t>　当期収支差額(Ａ)-(Ｂ)</t>
  </si>
  <si>
    <t>科　　　目</t>
  </si>
  <si>
    <t>増　減</t>
  </si>
  <si>
    <t>補正予算</t>
  </si>
  <si>
    <t>(B)-(A)</t>
  </si>
  <si>
    <t>　１、財産運用収入</t>
  </si>
  <si>
    <t>　２、会費収入</t>
  </si>
  <si>
    <t>　３、事業収入</t>
  </si>
  <si>
    <t>　　　たすけあい事業</t>
  </si>
  <si>
    <t>　　　宅配給食事業</t>
  </si>
  <si>
    <t>　　　学童保育事業</t>
  </si>
  <si>
    <t>　　　人材育成事業</t>
  </si>
  <si>
    <t>　４、寄付収入</t>
  </si>
  <si>
    <t>　５、助成金収入</t>
  </si>
  <si>
    <t>　６、雑収入</t>
  </si>
  <si>
    <t>　１、事業費</t>
  </si>
  <si>
    <t>　　事業費合計</t>
  </si>
  <si>
    <t>　　管理費合計</t>
  </si>
  <si>
    <t>事業</t>
  </si>
  <si>
    <t>項目</t>
  </si>
  <si>
    <t>収入</t>
  </si>
  <si>
    <t>支出</t>
  </si>
  <si>
    <t>収支差額</t>
  </si>
  <si>
    <t>収益</t>
  </si>
  <si>
    <t>収支
差額</t>
  </si>
  <si>
    <t>備考</t>
  </si>
  <si>
    <t>比率</t>
  </si>
  <si>
    <t>高齢訪問</t>
  </si>
  <si>
    <t>高齢訪問介護収益</t>
  </si>
  <si>
    <t>人件費</t>
  </si>
  <si>
    <t>水道光熱費</t>
  </si>
  <si>
    <t>消耗品費</t>
  </si>
  <si>
    <t>支払保険料</t>
  </si>
  <si>
    <t>租税公課</t>
  </si>
  <si>
    <t>通信費</t>
  </si>
  <si>
    <t>支払手数料</t>
  </si>
  <si>
    <t>図書研修費</t>
  </si>
  <si>
    <t>燃料費</t>
  </si>
  <si>
    <t>地代家賃</t>
  </si>
  <si>
    <t>雑費</t>
  </si>
  <si>
    <t>小計</t>
  </si>
  <si>
    <t>奥立願寺</t>
  </si>
  <si>
    <t>通所介護収益</t>
  </si>
  <si>
    <t>材料費</t>
  </si>
  <si>
    <t>修繕費</t>
  </si>
  <si>
    <t>居宅</t>
  </si>
  <si>
    <t>居宅介護支援収益</t>
  </si>
  <si>
    <t>諸会費</t>
  </si>
  <si>
    <t>障がい訪問</t>
  </si>
  <si>
    <t>障がい訪問介護収益</t>
  </si>
  <si>
    <t>わ-2</t>
  </si>
  <si>
    <t>玉名市日中一時支援事業補助金</t>
  </si>
  <si>
    <t>たすけあい活動</t>
  </si>
  <si>
    <t>たすけあい活動収益</t>
  </si>
  <si>
    <t>福祉有償運送収益</t>
  </si>
  <si>
    <t>謝金</t>
  </si>
  <si>
    <t>よかとこ</t>
  </si>
  <si>
    <t>宅老所収益</t>
  </si>
  <si>
    <t>給食</t>
  </si>
  <si>
    <t>宅配給食収益</t>
  </si>
  <si>
    <t>玉名市食の自立事業委託金</t>
  </si>
  <si>
    <t>学童</t>
  </si>
  <si>
    <t>学童保育収益</t>
  </si>
  <si>
    <t>玉名市学童保育事業委託金</t>
  </si>
  <si>
    <t>人材育成</t>
  </si>
  <si>
    <t>外部講座講師派遣収益</t>
  </si>
  <si>
    <t>実習委託費</t>
  </si>
  <si>
    <t>旅費交通費</t>
  </si>
  <si>
    <t>管理費</t>
  </si>
  <si>
    <t>受取利息</t>
  </si>
  <si>
    <t>会費収入</t>
  </si>
  <si>
    <t>助成金</t>
  </si>
  <si>
    <t>寄付金</t>
  </si>
  <si>
    <t>雑収入</t>
  </si>
  <si>
    <t>職員給与</t>
  </si>
  <si>
    <t>法定福利費</t>
  </si>
  <si>
    <t>福利厚生費</t>
  </si>
  <si>
    <t>広報費</t>
  </si>
  <si>
    <t>車両関連費</t>
  </si>
  <si>
    <t>賃借料</t>
  </si>
  <si>
    <t>減価償却費</t>
  </si>
  <si>
    <t>会議費</t>
  </si>
  <si>
    <t>慶弔費</t>
  </si>
  <si>
    <t>予備費</t>
  </si>
  <si>
    <t>法人合計</t>
  </si>
  <si>
    <t>収　入</t>
  </si>
  <si>
    <t>支　出</t>
  </si>
  <si>
    <t>収支差額
（A)</t>
  </si>
  <si>
    <t>収支差額（E)
(A)-(B)</t>
  </si>
  <si>
    <t>実本部管理費</t>
  </si>
  <si>
    <t>収　益</t>
  </si>
  <si>
    <t>移送経費（B)</t>
  </si>
  <si>
    <t>負担率</t>
  </si>
  <si>
    <t>奥立願寺デイ</t>
  </si>
  <si>
    <t>中尾デイ</t>
  </si>
  <si>
    <t>収益主要事業計（C)</t>
  </si>
  <si>
    <t>障がい就労移行</t>
  </si>
  <si>
    <t>小計（C)+(D)</t>
  </si>
  <si>
    <t>≒</t>
  </si>
  <si>
    <t>↓</t>
  </si>
  <si>
    <t>本部</t>
  </si>
  <si>
    <t>→</t>
  </si>
  <si>
    <t>主要収益事業計</t>
  </si>
  <si>
    <t>非収益事業差額計</t>
  </si>
  <si>
    <t>本部管理按分計</t>
  </si>
  <si>
    <t>本部拠点経費</t>
    <rPh sb="0" eb="2">
      <t>ホンブ</t>
    </rPh>
    <phoneticPr fontId="3"/>
  </si>
  <si>
    <t>自主事業他計（D)</t>
    <rPh sb="4" eb="5">
      <t>ホカ</t>
    </rPh>
    <phoneticPr fontId="3"/>
  </si>
  <si>
    <t>↑本部(A)-自主事業(A)-移送経費ｰ本部拠点経費</t>
    <rPh sb="20" eb="22">
      <t>ホンブ</t>
    </rPh>
    <rPh sb="22" eb="24">
      <t>キョテン</t>
    </rPh>
    <rPh sb="24" eb="26">
      <t>ケイヒ</t>
    </rPh>
    <phoneticPr fontId="3"/>
  </si>
  <si>
    <t>前年実績比100％</t>
    <rPh sb="0" eb="2">
      <t>ゼンネン</t>
    </rPh>
    <rPh sb="2" eb="4">
      <t>ジッセキ</t>
    </rPh>
    <rPh sb="4" eb="5">
      <t>ヒ</t>
    </rPh>
    <phoneticPr fontId="3"/>
  </si>
  <si>
    <t>前年実績比120％</t>
    <rPh sb="0" eb="2">
      <t>ゼンネン</t>
    </rPh>
    <rPh sb="2" eb="4">
      <t>ジッセキ</t>
    </rPh>
    <rPh sb="4" eb="5">
      <t>ヒ</t>
    </rPh>
    <phoneticPr fontId="3"/>
  </si>
  <si>
    <t>前年実績比150％</t>
    <rPh sb="0" eb="2">
      <t>ゼンネン</t>
    </rPh>
    <rPh sb="2" eb="4">
      <t>ジッセキ</t>
    </rPh>
    <rPh sb="4" eb="5">
      <t>ヒ</t>
    </rPh>
    <phoneticPr fontId="3"/>
  </si>
  <si>
    <t>前年実績比160％</t>
    <rPh sb="0" eb="2">
      <t>ゼンネン</t>
    </rPh>
    <rPh sb="2" eb="4">
      <t>ジッセキ</t>
    </rPh>
    <rPh sb="4" eb="5">
      <t>ヒ</t>
    </rPh>
    <phoneticPr fontId="3"/>
  </si>
  <si>
    <t>固定費</t>
    <rPh sb="0" eb="3">
      <t>コテイヒ</t>
    </rPh>
    <phoneticPr fontId="3"/>
  </si>
  <si>
    <r>
      <t xml:space="preserve">本部管理費
負担額目安
</t>
    </r>
    <r>
      <rPr>
        <sz val="9"/>
        <rFont val="HGPｺﾞｼｯｸM"/>
        <family val="3"/>
        <charset val="128"/>
      </rPr>
      <t>（E）比率×本部（A)</t>
    </r>
  </si>
  <si>
    <t>本部</t>
    <rPh sb="0" eb="2">
      <t>ホンブ</t>
    </rPh>
    <phoneticPr fontId="3"/>
  </si>
  <si>
    <t>高齢訪問</t>
    <rPh sb="0" eb="2">
      <t>コウレイ</t>
    </rPh>
    <rPh sb="2" eb="4">
      <t>ホウモン</t>
    </rPh>
    <phoneticPr fontId="3"/>
  </si>
  <si>
    <t>人材育成</t>
    <rPh sb="0" eb="2">
      <t>ジンザイ</t>
    </rPh>
    <rPh sb="2" eb="4">
      <t>イクセイ</t>
    </rPh>
    <phoneticPr fontId="3"/>
  </si>
  <si>
    <t>居宅</t>
    <rPh sb="0" eb="2">
      <t>キョタク</t>
    </rPh>
    <phoneticPr fontId="3"/>
  </si>
  <si>
    <t>収支差額</t>
    <rPh sb="0" eb="2">
      <t>シュウシ</t>
    </rPh>
    <rPh sb="2" eb="4">
      <t>サガク</t>
    </rPh>
    <phoneticPr fontId="3"/>
  </si>
  <si>
    <t>委託講師料</t>
    <rPh sb="0" eb="2">
      <t>イタク</t>
    </rPh>
    <rPh sb="2" eb="5">
      <t>コウシリョウ</t>
    </rPh>
    <phoneticPr fontId="3"/>
  </si>
  <si>
    <t>2014年度</t>
    <phoneticPr fontId="3"/>
  </si>
  <si>
    <t>　　　宅老所事業</t>
    <rPh sb="3" eb="6">
      <t>タクロウショ</t>
    </rPh>
    <phoneticPr fontId="3"/>
  </si>
  <si>
    <t>宅老所事業</t>
    <rPh sb="0" eb="3">
      <t>タクロウショ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</si>
  <si>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</si>
  <si>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</si>
  <si>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管理費</t>
    <rPh sb="0" eb="3">
      <t>カンリヒ</t>
    </rPh>
    <phoneticPr fontId="3"/>
  </si>
  <si>
    <t>宅老所</t>
    <rPh sb="0" eb="3">
      <t>タクロウショ</t>
    </rPh>
    <phoneticPr fontId="3"/>
  </si>
  <si>
    <t>宅配給食</t>
    <rPh sb="0" eb="2">
      <t>タクハイ</t>
    </rPh>
    <rPh sb="2" eb="4">
      <t>キュウショク</t>
    </rPh>
    <phoneticPr fontId="3"/>
  </si>
  <si>
    <t>学童保育</t>
    <rPh sb="0" eb="2">
      <t>ガクドウ</t>
    </rPh>
    <rPh sb="2" eb="4">
      <t>ホイク</t>
    </rPh>
    <phoneticPr fontId="3"/>
  </si>
  <si>
    <t>奥立願寺</t>
    <rPh sb="0" eb="1">
      <t>オク</t>
    </rPh>
    <rPh sb="1" eb="4">
      <t>リュウガンジ</t>
    </rPh>
    <phoneticPr fontId="3"/>
  </si>
  <si>
    <t>中尾</t>
    <rPh sb="0" eb="2">
      <t>ナカオ</t>
    </rPh>
    <phoneticPr fontId="3"/>
  </si>
  <si>
    <t>障害訪問</t>
    <rPh sb="0" eb="2">
      <t>ショウガイ</t>
    </rPh>
    <rPh sb="2" eb="4">
      <t>ホウモン</t>
    </rPh>
    <phoneticPr fontId="3"/>
  </si>
  <si>
    <t>障害就労</t>
    <rPh sb="0" eb="2">
      <t>ショウガイ</t>
    </rPh>
    <rPh sb="2" eb="4">
      <t>シュウロウ</t>
    </rPh>
    <phoneticPr fontId="3"/>
  </si>
  <si>
    <t>たすけあい</t>
  </si>
  <si>
    <t>たすけあい</t>
    <phoneticPr fontId="3"/>
  </si>
  <si>
    <t>消耗器具備品費</t>
  </si>
  <si>
    <t>事業費</t>
    <rPh sb="0" eb="3">
      <t>ジギョウヒ</t>
    </rPh>
    <phoneticPr fontId="3"/>
  </si>
  <si>
    <t>障がい就労</t>
    <rPh sb="0" eb="1">
      <t>ショウ</t>
    </rPh>
    <rPh sb="3" eb="5">
      <t>シュウロウ</t>
    </rPh>
    <phoneticPr fontId="3"/>
  </si>
  <si>
    <t>宅老所</t>
    <rPh sb="0" eb="3">
      <t>タクロウショ</t>
    </rPh>
    <phoneticPr fontId="3"/>
  </si>
  <si>
    <t>障がい訪問</t>
    <rPh sb="0" eb="1">
      <t>ショウ</t>
    </rPh>
    <rPh sb="3" eb="5">
      <t>ホウモン</t>
    </rPh>
    <phoneticPr fontId="3"/>
  </si>
  <si>
    <t>合計</t>
    <rPh sb="0" eb="2">
      <t>ゴウケイ</t>
    </rPh>
    <phoneticPr fontId="3"/>
  </si>
  <si>
    <t>売上比率</t>
    <rPh sb="0" eb="2">
      <t>ウリアゲ</t>
    </rPh>
    <rPh sb="2" eb="3">
      <t>ヒ</t>
    </rPh>
    <rPh sb="3" eb="4">
      <t>リツ</t>
    </rPh>
    <phoneticPr fontId="3"/>
  </si>
  <si>
    <t>使用車両台数</t>
    <rPh sb="0" eb="2">
      <t>シヨウ</t>
    </rPh>
    <rPh sb="2" eb="4">
      <t>シャリョウ</t>
    </rPh>
    <rPh sb="4" eb="6">
      <t>ダイスウ</t>
    </rPh>
    <phoneticPr fontId="3"/>
  </si>
  <si>
    <t>職員数</t>
    <rPh sb="0" eb="3">
      <t>ショクインスウ</t>
    </rPh>
    <phoneticPr fontId="3"/>
  </si>
  <si>
    <t>職員比率</t>
    <rPh sb="0" eb="2">
      <t>ショクイン</t>
    </rPh>
    <rPh sb="2" eb="4">
      <t>ヒリツ</t>
    </rPh>
    <phoneticPr fontId="3"/>
  </si>
  <si>
    <t>常勤比率</t>
    <rPh sb="0" eb="2">
      <t>ジョウキン</t>
    </rPh>
    <rPh sb="2" eb="4">
      <t>ヒリツ</t>
    </rPh>
    <phoneticPr fontId="3"/>
  </si>
  <si>
    <t>常勤数</t>
    <rPh sb="0" eb="2">
      <t>ジョウキン</t>
    </rPh>
    <rPh sb="2" eb="3">
      <t>スウ</t>
    </rPh>
    <phoneticPr fontId="3"/>
  </si>
  <si>
    <t>本部拠点使用比率</t>
    <rPh sb="0" eb="2">
      <t>ホンブ</t>
    </rPh>
    <rPh sb="2" eb="4">
      <t>キョテン</t>
    </rPh>
    <rPh sb="4" eb="6">
      <t>シヨウ</t>
    </rPh>
    <rPh sb="6" eb="8">
      <t>ヒリツ</t>
    </rPh>
    <phoneticPr fontId="3"/>
  </si>
  <si>
    <t>事業売上比</t>
    <rPh sb="0" eb="2">
      <t>ジギョウ</t>
    </rPh>
    <rPh sb="2" eb="4">
      <t>ウリアゲ</t>
    </rPh>
    <rPh sb="4" eb="5">
      <t>ヒ</t>
    </rPh>
    <phoneticPr fontId="3"/>
  </si>
  <si>
    <t>調整</t>
    <rPh sb="0" eb="2">
      <t>チョウセイ</t>
    </rPh>
    <phoneticPr fontId="3"/>
  </si>
  <si>
    <t>計</t>
    <rPh sb="0" eb="1">
      <t>ケイ</t>
    </rPh>
    <phoneticPr fontId="3"/>
  </si>
  <si>
    <t>負担比率</t>
    <rPh sb="0" eb="2">
      <t>フタン</t>
    </rPh>
    <rPh sb="2" eb="4">
      <t>ヒリツ</t>
    </rPh>
    <phoneticPr fontId="3"/>
  </si>
  <si>
    <t>委託講師料</t>
    <rPh sb="0" eb="2">
      <t>イタク</t>
    </rPh>
    <rPh sb="2" eb="5">
      <t>コウシリョウ</t>
    </rPh>
    <phoneticPr fontId="3"/>
  </si>
  <si>
    <t xml:space="preserve">            </t>
  </si>
  <si>
    <t>年間</t>
    <rPh sb="0" eb="2">
      <t>ネンカン</t>
    </rPh>
    <phoneticPr fontId="13"/>
  </si>
  <si>
    <t xml:space="preserve">* ﾎﾝﾀﾞﾛｺﾞ             </t>
  </si>
  <si>
    <t>訪問</t>
    <rPh sb="0" eb="2">
      <t>ホウモン</t>
    </rPh>
    <phoneticPr fontId="13"/>
  </si>
  <si>
    <t xml:space="preserve">* ﾊｲｴｰｽ               </t>
  </si>
  <si>
    <t>奥立</t>
    <rPh sb="0" eb="1">
      <t>オク</t>
    </rPh>
    <rPh sb="1" eb="2">
      <t>リュウ</t>
    </rPh>
    <phoneticPr fontId="13"/>
  </si>
  <si>
    <t xml:space="preserve">* ﾀﾞｲﾊﾂﾑｰｳﾞ           </t>
  </si>
  <si>
    <t xml:space="preserve">* ﾀﾞｲﾊﾂｴｯｾ            </t>
  </si>
  <si>
    <t>給食</t>
    <rPh sb="0" eb="2">
      <t>キュウショク</t>
    </rPh>
    <phoneticPr fontId="13"/>
  </si>
  <si>
    <t xml:space="preserve">* ｽｽﾞｷｱﾙﾄ             </t>
  </si>
  <si>
    <t xml:space="preserve">* 給食配達            </t>
  </si>
  <si>
    <t xml:space="preserve">* ﾀﾞｲﾊﾂﾊｲｾﾞｯﾄｽﾛｰﾊﾟｰ   </t>
  </si>
  <si>
    <t xml:space="preserve">* 日産ｸﾘｯﾊﾟｰ          </t>
  </si>
  <si>
    <t>居宅</t>
    <rPh sb="0" eb="2">
      <t>キョタク</t>
    </rPh>
    <phoneticPr fontId="13"/>
  </si>
  <si>
    <t xml:space="preserve">* ﾏﾂﾀﾞAZﾜｺﾞﾝ          </t>
  </si>
  <si>
    <t>障がい就労</t>
    <rPh sb="0" eb="1">
      <t>ショウ</t>
    </rPh>
    <rPh sb="3" eb="5">
      <t>シュウロウ</t>
    </rPh>
    <phoneticPr fontId="13"/>
  </si>
  <si>
    <t xml:space="preserve">* その他              </t>
  </si>
  <si>
    <t xml:space="preserve">* 学童優先車          </t>
  </si>
  <si>
    <t xml:space="preserve">* ｳﾞｨｯﾂ               </t>
  </si>
  <si>
    <t xml:space="preserve">* ｽｽﾞｷｷｬﾘｨ            </t>
  </si>
  <si>
    <t xml:space="preserve">* ﾀﾞｲﾊﾂﾐﾗ             </t>
  </si>
  <si>
    <t>障がい訪問</t>
    <rPh sb="0" eb="1">
      <t>ショウ</t>
    </rPh>
    <rPh sb="3" eb="5">
      <t>ホウモン</t>
    </rPh>
    <phoneticPr fontId="13"/>
  </si>
  <si>
    <t xml:space="preserve">* ﾀﾞｲﾊﾂｱﾄﾚｰ           </t>
  </si>
  <si>
    <t>中尾</t>
    <rPh sb="0" eb="2">
      <t>ナカオ</t>
    </rPh>
    <phoneticPr fontId="13"/>
  </si>
  <si>
    <t xml:space="preserve">* ﾄﾖﾀｼｴﾝﾀ             </t>
  </si>
  <si>
    <t>合計</t>
    <rPh sb="0" eb="2">
      <t>ゴウケイ</t>
    </rPh>
    <phoneticPr fontId="13"/>
  </si>
  <si>
    <t>燃料費使用比率</t>
    <rPh sb="0" eb="3">
      <t>ネンリョウヒ</t>
    </rPh>
    <rPh sb="3" eb="5">
      <t>シヨウ</t>
    </rPh>
    <rPh sb="5" eb="6">
      <t>ヒ</t>
    </rPh>
    <rPh sb="6" eb="7">
      <t>リツ</t>
    </rPh>
    <phoneticPr fontId="3"/>
  </si>
  <si>
    <t>実績（4-12）</t>
    <rPh sb="0" eb="2">
      <t>ジッセキ</t>
    </rPh>
    <phoneticPr fontId="3"/>
  </si>
  <si>
    <t xml:space="preserve">  燃料費2013              </t>
    <phoneticPr fontId="3"/>
  </si>
  <si>
    <t xml:space="preserve">* ﾎﾝﾀﾞ ﾛｺﾞ            </t>
  </si>
  <si>
    <t xml:space="preserve">* 学童ﾊｲｴｰｽ           </t>
  </si>
  <si>
    <t xml:space="preserve">* ﾎﾝﾀﾞﾗｲﾌ             </t>
  </si>
  <si>
    <t xml:space="preserve">* ﾆｯｻﾝｸﾘｯﾊﾟｰ          </t>
  </si>
  <si>
    <t xml:space="preserve">* ｽｽﾞｷﾐﾗ              </t>
  </si>
  <si>
    <t xml:space="preserve">* ﾄﾖﾀｳﾞｨﾂ             </t>
  </si>
  <si>
    <t xml:space="preserve">* ｽｽﾞｷｱﾙﾄH25          </t>
  </si>
  <si>
    <t xml:space="preserve">* ｽｽﾞｷｱﾙﾄﾌﾞﾙｰ         </t>
  </si>
  <si>
    <t xml:space="preserve">  車両関連費2013          </t>
    <phoneticPr fontId="3"/>
  </si>
  <si>
    <t>本部</t>
    <rPh sb="0" eb="2">
      <t>ホンブ</t>
    </rPh>
    <phoneticPr fontId="13"/>
  </si>
  <si>
    <t>収益</t>
    <rPh sb="0" eb="2">
      <t>シュウエキ</t>
    </rPh>
    <phoneticPr fontId="3"/>
  </si>
  <si>
    <t>事業収入</t>
    <rPh sb="0" eb="2">
      <t>ジギョウ</t>
    </rPh>
    <rPh sb="2" eb="4">
      <t>シュウニュウ</t>
    </rPh>
    <phoneticPr fontId="3"/>
  </si>
  <si>
    <t>集計資料</t>
    <rPh sb="0" eb="2">
      <t>シュウケイ</t>
    </rPh>
    <rPh sb="2" eb="4">
      <t>シリョウ</t>
    </rPh>
    <phoneticPr fontId="3"/>
  </si>
  <si>
    <t>事業費按分</t>
    <rPh sb="0" eb="3">
      <t>ジギョウヒ</t>
    </rPh>
    <rPh sb="3" eb="5">
      <t>アンブン</t>
    </rPh>
    <phoneticPr fontId="3"/>
  </si>
  <si>
    <t>本部：財産収入</t>
    <rPh sb="0" eb="2">
      <t>ホンブ</t>
    </rPh>
    <rPh sb="3" eb="5">
      <t>ザイサン</t>
    </rPh>
    <rPh sb="5" eb="7">
      <t>シュウニュウ</t>
    </rPh>
    <phoneticPr fontId="3"/>
  </si>
  <si>
    <t>本部：会費収入</t>
    <rPh sb="0" eb="2">
      <t>ホンブ</t>
    </rPh>
    <rPh sb="3" eb="5">
      <t>カイヒ</t>
    </rPh>
    <rPh sb="5" eb="7">
      <t>シュウニュウ</t>
    </rPh>
    <phoneticPr fontId="3"/>
  </si>
  <si>
    <t>本部：寄付収入</t>
    <rPh sb="0" eb="2">
      <t>ホンブ</t>
    </rPh>
    <rPh sb="3" eb="5">
      <t>キフ</t>
    </rPh>
    <rPh sb="5" eb="7">
      <t>シュウニュウ</t>
    </rPh>
    <phoneticPr fontId="3"/>
  </si>
  <si>
    <t>本部：助成金収入</t>
    <rPh sb="0" eb="2">
      <t>ホンブ</t>
    </rPh>
    <rPh sb="3" eb="6">
      <t>ジョセイキン</t>
    </rPh>
    <rPh sb="6" eb="8">
      <t>シュウニュウ</t>
    </rPh>
    <phoneticPr fontId="3"/>
  </si>
  <si>
    <t>本部：雑収入</t>
    <rPh sb="0" eb="2">
      <t>ホンブ</t>
    </rPh>
    <rPh sb="3" eb="6">
      <t>ザツシュウニュウ</t>
    </rPh>
    <phoneticPr fontId="3"/>
  </si>
  <si>
    <t>基礎データ</t>
    <rPh sb="0" eb="2">
      <t>キソ</t>
    </rPh>
    <phoneticPr fontId="3"/>
  </si>
  <si>
    <t>法人</t>
    <rPh sb="0" eb="2">
      <t>ホウジン</t>
    </rPh>
    <phoneticPr fontId="3"/>
  </si>
  <si>
    <t>支出（事業費）計</t>
    <rPh sb="0" eb="2">
      <t>シシュツ</t>
    </rPh>
    <rPh sb="3" eb="6">
      <t>ジギョウヒ</t>
    </rPh>
    <rPh sb="7" eb="8">
      <t>ケイ</t>
    </rPh>
    <phoneticPr fontId="3"/>
  </si>
  <si>
    <t>収入合計</t>
    <rPh sb="0" eb="2">
      <t>シュウニュウ</t>
    </rPh>
    <rPh sb="2" eb="4">
      <t>ゴウケイ</t>
    </rPh>
    <phoneticPr fontId="3"/>
  </si>
  <si>
    <t>部門別収支グラフ</t>
    <rPh sb="0" eb="2">
      <t>ブモン</t>
    </rPh>
    <rPh sb="2" eb="3">
      <t>ベツ</t>
    </rPh>
    <rPh sb="3" eb="5">
      <t>シュウシ</t>
    </rPh>
    <phoneticPr fontId="3"/>
  </si>
  <si>
    <t>事業収入（A)</t>
    <rPh sb="0" eb="2">
      <t>ジギョウ</t>
    </rPh>
    <rPh sb="2" eb="4">
      <t>シュウニュウ</t>
    </rPh>
    <phoneticPr fontId="3"/>
  </si>
  <si>
    <t>事業費（B)</t>
    <rPh sb="0" eb="3">
      <t>ジギョウヒ</t>
    </rPh>
    <phoneticPr fontId="3"/>
  </si>
  <si>
    <t>収支差額（C)A-B</t>
    <rPh sb="0" eb="2">
      <t>シュウシ</t>
    </rPh>
    <rPh sb="2" eb="4">
      <t>サガク</t>
    </rPh>
    <phoneticPr fontId="3"/>
  </si>
  <si>
    <t>利益率（D)C/A</t>
    <rPh sb="0" eb="2">
      <t>リエキ</t>
    </rPh>
    <rPh sb="2" eb="3">
      <t>リツ</t>
    </rPh>
    <phoneticPr fontId="3"/>
  </si>
  <si>
    <t>総売上割合（E)A/A合計</t>
    <rPh sb="0" eb="1">
      <t>ソウ</t>
    </rPh>
    <rPh sb="1" eb="3">
      <t>ウリアゲ</t>
    </rPh>
    <rPh sb="3" eb="5">
      <t>ワリアイ</t>
    </rPh>
    <rPh sb="11" eb="13">
      <t>ゴウケイ</t>
    </rPh>
    <phoneticPr fontId="3"/>
  </si>
  <si>
    <t>本部</t>
    <rPh sb="0" eb="2">
      <t>ホンブ</t>
    </rPh>
    <phoneticPr fontId="3"/>
  </si>
  <si>
    <t>法人合計</t>
    <rPh sb="0" eb="2">
      <t>ホウジン</t>
    </rPh>
    <rPh sb="2" eb="4">
      <t>ゴウケイ</t>
    </rPh>
    <phoneticPr fontId="3"/>
  </si>
  <si>
    <t>共通管理費</t>
    <rPh sb="0" eb="2">
      <t>キョウツウ</t>
    </rPh>
    <rPh sb="2" eb="5">
      <t>カンリヒ</t>
    </rPh>
    <phoneticPr fontId="3"/>
  </si>
  <si>
    <t>支出</t>
    <rPh sb="0" eb="2">
      <t>シシュツ</t>
    </rPh>
    <phoneticPr fontId="3"/>
  </si>
  <si>
    <t>車両買換え</t>
    <rPh sb="0" eb="2">
      <t>シャリョウ</t>
    </rPh>
    <rPh sb="2" eb="4">
      <t>カイカ</t>
    </rPh>
    <phoneticPr fontId="3"/>
  </si>
  <si>
    <t>人件費</t>
    <phoneticPr fontId="3"/>
  </si>
  <si>
    <t>法定福利費</t>
    <phoneticPr fontId="3"/>
  </si>
  <si>
    <t>福利厚生費</t>
    <phoneticPr fontId="3"/>
  </si>
  <si>
    <t>広報費</t>
    <phoneticPr fontId="3"/>
  </si>
  <si>
    <t>水道光熱費</t>
    <phoneticPr fontId="3"/>
  </si>
  <si>
    <t>車両関連費</t>
    <phoneticPr fontId="3"/>
  </si>
  <si>
    <t>消耗器具備品費</t>
    <phoneticPr fontId="3"/>
  </si>
  <si>
    <t>賃借料</t>
    <phoneticPr fontId="3"/>
  </si>
  <si>
    <t>支払保険料</t>
    <phoneticPr fontId="3"/>
  </si>
  <si>
    <t>修繕費</t>
    <phoneticPr fontId="3"/>
  </si>
  <si>
    <t>租税公課</t>
    <phoneticPr fontId="3"/>
  </si>
  <si>
    <t>減価償却費</t>
    <phoneticPr fontId="3"/>
  </si>
  <si>
    <t>旅費交通費</t>
    <phoneticPr fontId="3"/>
  </si>
  <si>
    <t>通信費</t>
    <phoneticPr fontId="3"/>
  </si>
  <si>
    <t>支払手数料</t>
    <phoneticPr fontId="3"/>
  </si>
  <si>
    <t>会議費</t>
    <phoneticPr fontId="3"/>
  </si>
  <si>
    <t>諸会費</t>
    <phoneticPr fontId="3"/>
  </si>
  <si>
    <t>図書研修費</t>
    <phoneticPr fontId="3"/>
  </si>
  <si>
    <t>燃料費</t>
    <phoneticPr fontId="3"/>
  </si>
  <si>
    <t>慶弔費</t>
    <phoneticPr fontId="3"/>
  </si>
  <si>
    <t>謝金</t>
    <phoneticPr fontId="3"/>
  </si>
  <si>
    <t>地代家賃</t>
    <phoneticPr fontId="3"/>
  </si>
  <si>
    <t>雑費</t>
    <phoneticPr fontId="3"/>
  </si>
  <si>
    <t>予備費</t>
    <phoneticPr fontId="3"/>
  </si>
  <si>
    <t>会費収入</t>
    <rPh sb="0" eb="2">
      <t>カイヒ</t>
    </rPh>
    <rPh sb="2" eb="4">
      <t>シュウニュウ</t>
    </rPh>
    <phoneticPr fontId="3"/>
  </si>
  <si>
    <t>寄付金</t>
    <rPh sb="0" eb="3">
      <t>キフキン</t>
    </rPh>
    <phoneticPr fontId="3"/>
  </si>
  <si>
    <t>助成金</t>
    <rPh sb="0" eb="2">
      <t>ジョセイ</t>
    </rPh>
    <rPh sb="2" eb="3">
      <t>キン</t>
    </rPh>
    <phoneticPr fontId="3"/>
  </si>
  <si>
    <t>雑収入</t>
    <rPh sb="0" eb="3">
      <t>ザツシュウニュウ</t>
    </rPh>
    <phoneticPr fontId="3"/>
  </si>
  <si>
    <t>会費・寄付</t>
    <rPh sb="0" eb="2">
      <t>カイヒ</t>
    </rPh>
    <rPh sb="3" eb="5">
      <t>キフ</t>
    </rPh>
    <phoneticPr fontId="3"/>
  </si>
  <si>
    <t>補助・助成</t>
    <rPh sb="0" eb="2">
      <t>ホジョ</t>
    </rPh>
    <rPh sb="3" eb="5">
      <t>ジョセイ</t>
    </rPh>
    <phoneticPr fontId="3"/>
  </si>
  <si>
    <t>受託収入</t>
    <rPh sb="0" eb="2">
      <t>ジュタク</t>
    </rPh>
    <rPh sb="2" eb="4">
      <t>シュウニュウ</t>
    </rPh>
    <phoneticPr fontId="3"/>
  </si>
  <si>
    <t>受取利益</t>
    <rPh sb="0" eb="2">
      <t>ウケトリ</t>
    </rPh>
    <rPh sb="2" eb="4">
      <t>リエキ</t>
    </rPh>
    <phoneticPr fontId="3"/>
  </si>
  <si>
    <t>介護保険</t>
    <rPh sb="0" eb="2">
      <t>カイゴ</t>
    </rPh>
    <rPh sb="2" eb="4">
      <t>ホケン</t>
    </rPh>
    <phoneticPr fontId="3"/>
  </si>
  <si>
    <t>障がい福祉</t>
    <rPh sb="0" eb="1">
      <t>ショウ</t>
    </rPh>
    <rPh sb="3" eb="5">
      <t>フクシ</t>
    </rPh>
    <phoneticPr fontId="3"/>
  </si>
  <si>
    <t>独自事業</t>
    <rPh sb="0" eb="2">
      <t>ドクジ</t>
    </rPh>
    <rPh sb="2" eb="4">
      <t>ジギョウ</t>
    </rPh>
    <phoneticPr fontId="3"/>
  </si>
  <si>
    <t>訪問</t>
    <rPh sb="0" eb="2">
      <t>ホウモン</t>
    </rPh>
    <phoneticPr fontId="3"/>
  </si>
  <si>
    <t>奥立願寺</t>
    <rPh sb="0" eb="1">
      <t>オク</t>
    </rPh>
    <rPh sb="1" eb="2">
      <t>リュウ</t>
    </rPh>
    <rPh sb="2" eb="3">
      <t>ガン</t>
    </rPh>
    <rPh sb="3" eb="4">
      <t>ジ</t>
    </rPh>
    <phoneticPr fontId="3"/>
  </si>
  <si>
    <t>就労</t>
    <rPh sb="0" eb="2">
      <t>シュウロウ</t>
    </rPh>
    <phoneticPr fontId="3"/>
  </si>
  <si>
    <t>宅老所</t>
    <rPh sb="0" eb="1">
      <t>タク</t>
    </rPh>
    <rPh sb="1" eb="2">
      <t>ロウ</t>
    </rPh>
    <rPh sb="2" eb="3">
      <t>ショ</t>
    </rPh>
    <phoneticPr fontId="3"/>
  </si>
  <si>
    <t>たすけあい</t>
    <phoneticPr fontId="3"/>
  </si>
  <si>
    <t>学童</t>
    <rPh sb="0" eb="2">
      <t>ガクドウ</t>
    </rPh>
    <phoneticPr fontId="3"/>
  </si>
  <si>
    <t>給食</t>
    <rPh sb="0" eb="2">
      <t>キュウショク</t>
    </rPh>
    <phoneticPr fontId="3"/>
  </si>
  <si>
    <t>１号館2,500*30日*2名</t>
    <rPh sb="1" eb="2">
      <t>ゴウ</t>
    </rPh>
    <rPh sb="2" eb="3">
      <t>カン</t>
    </rPh>
    <rPh sb="11" eb="12">
      <t>ニチ</t>
    </rPh>
    <rPh sb="14" eb="15">
      <t>メイ</t>
    </rPh>
    <phoneticPr fontId="3"/>
  </si>
  <si>
    <t>福祉車両買替@450万</t>
    <rPh sb="0" eb="2">
      <t>フクシ</t>
    </rPh>
    <rPh sb="2" eb="4">
      <t>シャリョウ</t>
    </rPh>
    <rPh sb="4" eb="6">
      <t>カイカエ</t>
    </rPh>
    <rPh sb="10" eb="11">
      <t>マン</t>
    </rPh>
    <phoneticPr fontId="3"/>
  </si>
  <si>
    <t>自動車税、固定資産税</t>
    <rPh sb="0" eb="3">
      <t>ジドウシャ</t>
    </rPh>
    <rPh sb="3" eb="4">
      <t>ゼイ</t>
    </rPh>
    <rPh sb="5" eb="7">
      <t>コテイ</t>
    </rPh>
    <rPh sb="7" eb="10">
      <t>シサンゼイ</t>
    </rPh>
    <phoneticPr fontId="3"/>
  </si>
  <si>
    <t>全国幹事</t>
    <rPh sb="0" eb="2">
      <t>ゼンコク</t>
    </rPh>
    <rPh sb="2" eb="4">
      <t>カンジ</t>
    </rPh>
    <phoneticPr fontId="3"/>
  </si>
  <si>
    <t>　　　高齢訪問事業</t>
    <rPh sb="3" eb="5">
      <t>コウレイ</t>
    </rPh>
    <phoneticPr fontId="3"/>
  </si>
  <si>
    <t>　　　高齢通所事業（奥立願寺）</t>
    <rPh sb="3" eb="5">
      <t>コウレイ</t>
    </rPh>
    <phoneticPr fontId="3"/>
  </si>
  <si>
    <t>　　　高齢居宅介護支援事業</t>
    <rPh sb="3" eb="5">
      <t>コウレイ</t>
    </rPh>
    <phoneticPr fontId="3"/>
  </si>
  <si>
    <t>　　　障がい居宅介護等事業</t>
    <rPh sb="3" eb="4">
      <t>ショウ</t>
    </rPh>
    <phoneticPr fontId="3"/>
  </si>
  <si>
    <t>　　　障がい就労支援等事業</t>
    <rPh sb="3" eb="4">
      <t>ショウ</t>
    </rPh>
    <rPh sb="6" eb="8">
      <t>シュウロウ</t>
    </rPh>
    <rPh sb="8" eb="10">
      <t>シエン</t>
    </rPh>
    <rPh sb="10" eb="11">
      <t>トウ</t>
    </rPh>
    <rPh sb="11" eb="13">
      <t>ジギョウ</t>
    </rPh>
    <phoneticPr fontId="3"/>
  </si>
  <si>
    <t>　　　高齢通所事業（中尾）</t>
    <phoneticPr fontId="3"/>
  </si>
  <si>
    <t>たすけあい事業</t>
    <phoneticPr fontId="3"/>
  </si>
  <si>
    <t>宅配給食事業</t>
    <phoneticPr fontId="3"/>
  </si>
  <si>
    <t>学童保育事業</t>
    <phoneticPr fontId="3"/>
  </si>
  <si>
    <t>人材育成事業</t>
    <phoneticPr fontId="3"/>
  </si>
  <si>
    <t>高齢訪問事業</t>
    <rPh sb="0" eb="2">
      <t>コウレイ</t>
    </rPh>
    <phoneticPr fontId="3"/>
  </si>
  <si>
    <t>高齢通所事業（奥立願寺）</t>
    <rPh sb="0" eb="2">
      <t>コウレイ</t>
    </rPh>
    <phoneticPr fontId="3"/>
  </si>
  <si>
    <t>高齢通所事業（中尾）</t>
    <phoneticPr fontId="3"/>
  </si>
  <si>
    <t>高齢居宅介護支援事業</t>
    <rPh sb="0" eb="2">
      <t>コウレイ</t>
    </rPh>
    <phoneticPr fontId="3"/>
  </si>
  <si>
    <t>障がい居宅介護等事業</t>
    <rPh sb="0" eb="1">
      <t>ショウ</t>
    </rPh>
    <phoneticPr fontId="3"/>
  </si>
  <si>
    <t>障がい就労支援等事業</t>
    <rPh sb="0" eb="1">
      <t>ショウ</t>
    </rPh>
    <rPh sb="3" eb="5">
      <t>シュウロウ</t>
    </rPh>
    <rPh sb="5" eb="7">
      <t>シエン</t>
    </rPh>
    <rPh sb="7" eb="8">
      <t>トウ</t>
    </rPh>
    <rPh sb="8" eb="10">
      <t>ジギョウ</t>
    </rPh>
    <phoneticPr fontId="3"/>
  </si>
  <si>
    <t>③－②</t>
    <phoneticPr fontId="3"/>
  </si>
  <si>
    <t>決算額</t>
    <rPh sb="0" eb="2">
      <t>ケッサン</t>
    </rPh>
    <rPh sb="2" eb="3">
      <t>ガク</t>
    </rPh>
    <phoneticPr fontId="3"/>
  </si>
  <si>
    <t>修繕費</t>
    <phoneticPr fontId="3"/>
  </si>
  <si>
    <t>初任者研修</t>
    <rPh sb="0" eb="3">
      <t>ショニンシャ</t>
    </rPh>
    <rPh sb="3" eb="5">
      <t>ケンシュウ</t>
    </rPh>
    <phoneticPr fontId="3"/>
  </si>
  <si>
    <t>同行援護</t>
    <rPh sb="0" eb="2">
      <t>ドウコウ</t>
    </rPh>
    <rPh sb="2" eb="4">
      <t>エンゴ</t>
    </rPh>
    <phoneticPr fontId="3"/>
  </si>
  <si>
    <t>2013年度</t>
    <rPh sb="4" eb="5">
      <t>ネン</t>
    </rPh>
    <rPh sb="5" eb="6">
      <t>ド</t>
    </rPh>
    <phoneticPr fontId="3"/>
  </si>
  <si>
    <t>2014年度</t>
    <phoneticPr fontId="3"/>
  </si>
  <si>
    <t>2015年度　予算案　</t>
    <rPh sb="7" eb="9">
      <t>ヨサン</t>
    </rPh>
    <phoneticPr fontId="3"/>
  </si>
  <si>
    <t>2015年4月1日から2016年3月31日まで</t>
    <phoneticPr fontId="3"/>
  </si>
  <si>
    <t>2015年度</t>
    <phoneticPr fontId="3"/>
  </si>
  <si>
    <t>2014予算</t>
    <phoneticPr fontId="3"/>
  </si>
  <si>
    <t>2014決算</t>
    <phoneticPr fontId="3"/>
  </si>
  <si>
    <t>2015予算</t>
    <phoneticPr fontId="3"/>
  </si>
  <si>
    <t>予算額（A)</t>
    <phoneticPr fontId="3"/>
  </si>
  <si>
    <t>予算額（B)</t>
    <phoneticPr fontId="3"/>
  </si>
  <si>
    <t>A型訓練給付等</t>
    <rPh sb="1" eb="2">
      <t>ガタ</t>
    </rPh>
    <rPh sb="2" eb="4">
      <t>クンレン</t>
    </rPh>
    <rPh sb="4" eb="6">
      <t>キュウフ</t>
    </rPh>
    <rPh sb="6" eb="7">
      <t>トウ</t>
    </rPh>
    <phoneticPr fontId="3"/>
  </si>
  <si>
    <t>営業利益</t>
    <rPh sb="0" eb="2">
      <t>エイギョウ</t>
    </rPh>
    <rPh sb="2" eb="4">
      <t>リエキ</t>
    </rPh>
    <phoneticPr fontId="3"/>
  </si>
  <si>
    <t>人件費</t>
    <rPh sb="0" eb="3">
      <t>ジンケンヒ</t>
    </rPh>
    <phoneticPr fontId="3"/>
  </si>
  <si>
    <t>諸経費</t>
    <rPh sb="0" eb="3">
      <t>ショケイヒ</t>
    </rPh>
    <phoneticPr fontId="3"/>
  </si>
  <si>
    <t>内）給与・賞与</t>
    <rPh sb="0" eb="1">
      <t>ウチ</t>
    </rPh>
    <rPh sb="2" eb="4">
      <t>キュウヨ</t>
    </rPh>
    <rPh sb="5" eb="7">
      <t>ショウヨ</t>
    </rPh>
    <phoneticPr fontId="3"/>
  </si>
  <si>
    <t>内）社会保険等</t>
    <rPh sb="0" eb="1">
      <t>ウチ</t>
    </rPh>
    <rPh sb="2" eb="4">
      <t>シャカイ</t>
    </rPh>
    <rPh sb="4" eb="6">
      <t>ホケン</t>
    </rPh>
    <rPh sb="6" eb="7">
      <t>ナド</t>
    </rPh>
    <phoneticPr fontId="3"/>
  </si>
  <si>
    <t>仮決算</t>
    <rPh sb="0" eb="1">
      <t>カリ</t>
    </rPh>
    <rPh sb="1" eb="3">
      <t>ケッサン</t>
    </rPh>
    <phoneticPr fontId="3"/>
  </si>
  <si>
    <t>給与・賞与</t>
    <rPh sb="0" eb="2">
      <t>キュウヨ</t>
    </rPh>
    <rPh sb="3" eb="5">
      <t>ショウヨ</t>
    </rPh>
    <phoneticPr fontId="3"/>
  </si>
  <si>
    <t>管理費</t>
    <rPh sb="0" eb="3">
      <t>カンリヒ</t>
    </rPh>
    <phoneticPr fontId="3"/>
  </si>
  <si>
    <t>2015予算</t>
    <rPh sb="4" eb="6">
      <t>ヨサン</t>
    </rPh>
    <phoneticPr fontId="3"/>
  </si>
  <si>
    <t>2014実績</t>
    <rPh sb="4" eb="6">
      <t>ジッセキ</t>
    </rPh>
    <phoneticPr fontId="3"/>
  </si>
  <si>
    <t>通所</t>
    <rPh sb="0" eb="2">
      <t>ツウショ</t>
    </rPh>
    <phoneticPr fontId="3"/>
  </si>
  <si>
    <t>按分前</t>
    <rPh sb="0" eb="2">
      <t>アンブン</t>
    </rPh>
    <rPh sb="2" eb="3">
      <t>マエ</t>
    </rPh>
    <phoneticPr fontId="3"/>
  </si>
  <si>
    <t>按分額</t>
    <rPh sb="0" eb="2">
      <t>アンブン</t>
    </rPh>
    <rPh sb="2" eb="3">
      <t>ガク</t>
    </rPh>
    <phoneticPr fontId="3"/>
  </si>
  <si>
    <t>人件費（月額）</t>
    <rPh sb="0" eb="3">
      <t>ジンケンヒ</t>
    </rPh>
    <rPh sb="4" eb="6">
      <t>ゲツガク</t>
    </rPh>
    <phoneticPr fontId="3"/>
  </si>
  <si>
    <t>合計</t>
    <rPh sb="0" eb="2">
      <t>ゴウケイ</t>
    </rPh>
    <phoneticPr fontId="3"/>
  </si>
  <si>
    <t>常勤数</t>
    <rPh sb="0" eb="2">
      <t>ジョウキン</t>
    </rPh>
    <rPh sb="2" eb="3">
      <t>スウ</t>
    </rPh>
    <phoneticPr fontId="3"/>
  </si>
  <si>
    <t>常勤一人当たりの給与・賞与（月額）</t>
    <rPh sb="0" eb="2">
      <t>ジョウキン</t>
    </rPh>
    <rPh sb="2" eb="4">
      <t>ヒトリ</t>
    </rPh>
    <rPh sb="4" eb="5">
      <t>ア</t>
    </rPh>
    <rPh sb="8" eb="10">
      <t>キュウヨ</t>
    </rPh>
    <rPh sb="11" eb="13">
      <t>ショウヨ</t>
    </rPh>
    <rPh sb="14" eb="15">
      <t>ツキ</t>
    </rPh>
    <rPh sb="15" eb="16">
      <t>ガク</t>
    </rPh>
    <phoneticPr fontId="3"/>
  </si>
  <si>
    <t>非常勤数</t>
    <rPh sb="0" eb="3">
      <t>ヒジョウキン</t>
    </rPh>
    <rPh sb="3" eb="4">
      <t>スウ</t>
    </rPh>
    <phoneticPr fontId="3"/>
  </si>
  <si>
    <t>就労スタッフ/当直等</t>
    <rPh sb="0" eb="2">
      <t>シュウロウ</t>
    </rPh>
    <rPh sb="7" eb="9">
      <t>トウチョク</t>
    </rPh>
    <rPh sb="9" eb="10">
      <t>トウ</t>
    </rPh>
    <phoneticPr fontId="3"/>
  </si>
  <si>
    <t>材料費</t>
    <rPh sb="0" eb="3">
      <t>ザイリョウヒ</t>
    </rPh>
    <phoneticPr fontId="3"/>
  </si>
  <si>
    <t>（参考）前年度常勤一人当たり</t>
    <rPh sb="1" eb="3">
      <t>サンコウ</t>
    </rPh>
    <rPh sb="4" eb="7">
      <t>ゼンネンド</t>
    </rPh>
    <rPh sb="7" eb="9">
      <t>ジョウキン</t>
    </rPh>
    <rPh sb="9" eb="11">
      <t>ヒトリ</t>
    </rPh>
    <rPh sb="11" eb="12">
      <t>ア</t>
    </rPh>
    <phoneticPr fontId="3"/>
  </si>
  <si>
    <t>処遇改善ベースアップ額</t>
    <rPh sb="0" eb="2">
      <t>ショグウ</t>
    </rPh>
    <rPh sb="2" eb="4">
      <t>カイゼン</t>
    </rPh>
    <rPh sb="10" eb="11">
      <t>ガク</t>
    </rPh>
    <phoneticPr fontId="3"/>
  </si>
  <si>
    <t>土日祝日加算</t>
    <rPh sb="0" eb="2">
      <t>ドニチ</t>
    </rPh>
    <rPh sb="2" eb="4">
      <t>シュクジツ</t>
    </rPh>
    <rPh sb="4" eb="6">
      <t>カサン</t>
    </rPh>
    <phoneticPr fontId="3"/>
  </si>
  <si>
    <t>4.1％＝15日/363日</t>
    <rPh sb="7" eb="8">
      <t>ニチ</t>
    </rPh>
    <rPh sb="12" eb="13">
      <t>ニチ</t>
    </rPh>
    <phoneticPr fontId="3"/>
  </si>
  <si>
    <t>加算</t>
    <rPh sb="0" eb="2">
      <t>カサン</t>
    </rPh>
    <phoneticPr fontId="3"/>
  </si>
  <si>
    <t>職員数</t>
    <rPh sb="0" eb="3">
      <t>ショクインスウ</t>
    </rPh>
    <phoneticPr fontId="3"/>
  </si>
  <si>
    <t>常勤一人当たりの給与・賞与+加算（月額）</t>
    <rPh sb="0" eb="2">
      <t>ジョウキン</t>
    </rPh>
    <rPh sb="2" eb="4">
      <t>ヒトリ</t>
    </rPh>
    <rPh sb="4" eb="5">
      <t>ア</t>
    </rPh>
    <rPh sb="8" eb="10">
      <t>キュウヨ</t>
    </rPh>
    <rPh sb="11" eb="13">
      <t>ショウヨ</t>
    </rPh>
    <rPh sb="14" eb="16">
      <t>カサン</t>
    </rPh>
    <rPh sb="17" eb="18">
      <t>ツキ</t>
    </rPh>
    <rPh sb="18" eb="19">
      <t>ガク</t>
    </rPh>
    <phoneticPr fontId="3"/>
  </si>
  <si>
    <t>（参考）</t>
    <rPh sb="1" eb="3">
      <t>サンコウ</t>
    </rPh>
    <phoneticPr fontId="3"/>
  </si>
  <si>
    <t>常勤分　給与・賞与（月額）</t>
    <phoneticPr fontId="3"/>
  </si>
  <si>
    <t>非常勤分　給与（月額）</t>
    <phoneticPr fontId="3"/>
  </si>
  <si>
    <t>就労スタッフ/当直分　給与（月額）</t>
    <rPh sb="0" eb="2">
      <t>シュウロウ</t>
    </rPh>
    <rPh sb="7" eb="9">
      <t>トウチョク</t>
    </rPh>
    <phoneticPr fontId="3"/>
  </si>
  <si>
    <t>6÷12月</t>
    <rPh sb="4" eb="5">
      <t>ツキ</t>
    </rPh>
    <phoneticPr fontId="3"/>
  </si>
  <si>
    <t>12÷12月</t>
    <rPh sb="5" eb="6">
      <t>ツキ</t>
    </rPh>
    <phoneticPr fontId="3"/>
  </si>
  <si>
    <t>13-14</t>
    <phoneticPr fontId="3"/>
  </si>
  <si>
    <t>差</t>
    <rPh sb="0" eb="1">
      <t>サ</t>
    </rPh>
    <phoneticPr fontId="3"/>
  </si>
  <si>
    <t>13*16/16</t>
    <phoneticPr fontId="3"/>
  </si>
  <si>
    <t>19+21+22</t>
    <phoneticPr fontId="3"/>
  </si>
  <si>
    <t>決算（Ｂ）</t>
    <phoneticPr fontId="3"/>
  </si>
  <si>
    <t>貸倒引当金繰入</t>
    <rPh sb="0" eb="1">
      <t>カシ</t>
    </rPh>
    <rPh sb="1" eb="2">
      <t>ダオ</t>
    </rPh>
    <rPh sb="2" eb="4">
      <t>ヒキアテ</t>
    </rPh>
    <rPh sb="4" eb="5">
      <t>キン</t>
    </rPh>
    <rPh sb="5" eb="7">
      <t>クリイレ</t>
    </rPh>
    <phoneticPr fontId="3"/>
  </si>
  <si>
    <t>特別利益</t>
    <rPh sb="0" eb="2">
      <t>トクベツ</t>
    </rPh>
    <rPh sb="2" eb="4">
      <t>リエキ</t>
    </rPh>
    <phoneticPr fontId="3"/>
  </si>
  <si>
    <t>Ⅰ経常収益</t>
    <rPh sb="3" eb="5">
      <t>シュウエキ</t>
    </rPh>
    <phoneticPr fontId="3"/>
  </si>
  <si>
    <t>　１、受取会費</t>
    <rPh sb="3" eb="5">
      <t>ウケトリ</t>
    </rPh>
    <phoneticPr fontId="3"/>
  </si>
  <si>
    <t>　２、受取寄付金</t>
    <rPh sb="3" eb="5">
      <t>ウケトリ</t>
    </rPh>
    <rPh sb="7" eb="8">
      <t>キン</t>
    </rPh>
    <phoneticPr fontId="3"/>
  </si>
  <si>
    <t>　３、受取助成金等</t>
    <rPh sb="3" eb="5">
      <t>ウケトリ</t>
    </rPh>
    <rPh sb="8" eb="9">
      <t>トウ</t>
    </rPh>
    <phoneticPr fontId="3"/>
  </si>
  <si>
    <t>　４、事業収益</t>
    <rPh sb="5" eb="7">
      <t>シュウエキ</t>
    </rPh>
    <phoneticPr fontId="3"/>
  </si>
  <si>
    <t>　5、その他の収益</t>
    <rPh sb="5" eb="6">
      <t>タ</t>
    </rPh>
    <rPh sb="7" eb="9">
      <t>シュウエキ</t>
    </rPh>
    <phoneticPr fontId="3"/>
  </si>
  <si>
    <t>　　　雑収益</t>
    <rPh sb="4" eb="6">
      <t>シュウエキ</t>
    </rPh>
    <phoneticPr fontId="3"/>
  </si>
  <si>
    <t>　　　受取利息</t>
    <rPh sb="3" eb="5">
      <t>ウケトリ</t>
    </rPh>
    <rPh sb="5" eb="7">
      <t>リソク</t>
    </rPh>
    <phoneticPr fontId="3"/>
  </si>
  <si>
    <t>Ⅱ経常費用の部</t>
    <rPh sb="3" eb="5">
      <t>ヒヨウ</t>
    </rPh>
    <phoneticPr fontId="3"/>
  </si>
  <si>
    <t>　　　（１）人件費</t>
    <rPh sb="6" eb="9">
      <t>ジンケンヒ</t>
    </rPh>
    <phoneticPr fontId="3"/>
  </si>
  <si>
    <t>　　　　　　給与手当</t>
    <rPh sb="6" eb="8">
      <t>キュウヨ</t>
    </rPh>
    <rPh sb="8" eb="10">
      <t>テアテ</t>
    </rPh>
    <phoneticPr fontId="3"/>
  </si>
  <si>
    <t>　　　（２）その他の経費</t>
    <rPh sb="8" eb="9">
      <t>タ</t>
    </rPh>
    <rPh sb="10" eb="12">
      <t>ケイヒ</t>
    </rPh>
    <phoneticPr fontId="3"/>
  </si>
  <si>
    <t>高齢通所（奥立願）</t>
    <rPh sb="0" eb="2">
      <t>コウレイ</t>
    </rPh>
    <rPh sb="2" eb="3">
      <t>ツウ</t>
    </rPh>
    <rPh sb="3" eb="4">
      <t>ショ</t>
    </rPh>
    <rPh sb="5" eb="6">
      <t>オク</t>
    </rPh>
    <rPh sb="6" eb="7">
      <t>リュウ</t>
    </rPh>
    <rPh sb="7" eb="8">
      <t>ガン</t>
    </rPh>
    <phoneticPr fontId="3"/>
  </si>
  <si>
    <t>高齢通所(中尾）</t>
    <rPh sb="0" eb="2">
      <t>コウレイ</t>
    </rPh>
    <rPh sb="2" eb="3">
      <t>ツウ</t>
    </rPh>
    <rPh sb="3" eb="4">
      <t>ショ</t>
    </rPh>
    <rPh sb="5" eb="7">
      <t>ナカオ</t>
    </rPh>
    <phoneticPr fontId="3"/>
  </si>
  <si>
    <t>高齢居宅</t>
    <rPh sb="0" eb="2">
      <t>コウレイ</t>
    </rPh>
    <rPh sb="2" eb="4">
      <t>キョタク</t>
    </rPh>
    <phoneticPr fontId="3"/>
  </si>
  <si>
    <t>たすけあい活動</t>
    <rPh sb="5" eb="7">
      <t>カツドウ</t>
    </rPh>
    <phoneticPr fontId="3"/>
  </si>
  <si>
    <t>経常収益</t>
    <rPh sb="0" eb="2">
      <t>ケイジョウ</t>
    </rPh>
    <rPh sb="2" eb="4">
      <t>シュウエキ</t>
    </rPh>
    <phoneticPr fontId="3"/>
  </si>
  <si>
    <t>経常費用</t>
    <rPh sb="0" eb="2">
      <t>ケイジョウ</t>
    </rPh>
    <rPh sb="2" eb="4">
      <t>ヒヨウ</t>
    </rPh>
    <phoneticPr fontId="3"/>
  </si>
  <si>
    <t>小計</t>
    <rPh sb="0" eb="1">
      <t>ショウ</t>
    </rPh>
    <rPh sb="1" eb="2">
      <t>ケイ</t>
    </rPh>
    <phoneticPr fontId="3"/>
  </si>
  <si>
    <t>経常増減額</t>
    <rPh sb="0" eb="2">
      <t>ケイジョウ</t>
    </rPh>
    <rPh sb="2" eb="5">
      <t>ゾウゲンガク</t>
    </rPh>
    <phoneticPr fontId="3"/>
  </si>
  <si>
    <t>本部管理費</t>
    <rPh sb="0" eb="2">
      <t>ホンブ</t>
    </rPh>
    <rPh sb="2" eb="5">
      <t>カンリヒ</t>
    </rPh>
    <phoneticPr fontId="3"/>
  </si>
  <si>
    <t>A</t>
    <phoneticPr fontId="3"/>
  </si>
  <si>
    <t>B</t>
    <phoneticPr fontId="3"/>
  </si>
  <si>
    <t>C</t>
    <phoneticPr fontId="3"/>
  </si>
  <si>
    <t>A+B</t>
    <phoneticPr fontId="3"/>
  </si>
  <si>
    <t>小　計</t>
    <rPh sb="0" eb="1">
      <t>ショウ</t>
    </rPh>
    <rPh sb="2" eb="3">
      <t>ケイ</t>
    </rPh>
    <phoneticPr fontId="3"/>
  </si>
  <si>
    <t>合　計</t>
    <rPh sb="0" eb="1">
      <t>ゴウ</t>
    </rPh>
    <rPh sb="2" eb="3">
      <t>ケイ</t>
    </rPh>
    <phoneticPr fontId="3"/>
  </si>
  <si>
    <t>宅老所収益</t>
    <phoneticPr fontId="3"/>
  </si>
  <si>
    <t>関連収益</t>
    <rPh sb="0" eb="2">
      <t>カンレン</t>
    </rPh>
    <rPh sb="2" eb="4">
      <t>シュウエキ</t>
    </rPh>
    <phoneticPr fontId="3"/>
  </si>
  <si>
    <t>　　　　　　水道光熱費</t>
    <phoneticPr fontId="3"/>
  </si>
  <si>
    <t>　　　　　　車両関連費</t>
    <phoneticPr fontId="3"/>
  </si>
  <si>
    <t>　　　　　　消耗器具備品費</t>
    <phoneticPr fontId="3"/>
  </si>
  <si>
    <t>　　　　　　賃借料</t>
    <phoneticPr fontId="3"/>
  </si>
  <si>
    <t>　　　　　　支払保険料</t>
    <phoneticPr fontId="3"/>
  </si>
  <si>
    <t>　　　　　　修繕費</t>
    <phoneticPr fontId="3"/>
  </si>
  <si>
    <t>　　　　　　租税公課</t>
    <phoneticPr fontId="3"/>
  </si>
  <si>
    <t>　　　　　　旅費交通費</t>
    <phoneticPr fontId="3"/>
  </si>
  <si>
    <t>　　　　　　通信費</t>
    <phoneticPr fontId="3"/>
  </si>
  <si>
    <t xml:space="preserve">      　　　支払手数料</t>
    <phoneticPr fontId="3"/>
  </si>
  <si>
    <t>　　　　　　会議費</t>
    <phoneticPr fontId="3"/>
  </si>
  <si>
    <t>　　　　　　諸会費</t>
    <phoneticPr fontId="3"/>
  </si>
  <si>
    <t>　　　　　　図書研修費</t>
    <phoneticPr fontId="3"/>
  </si>
  <si>
    <t>　　　　　　委託講師料</t>
    <rPh sb="6" eb="8">
      <t>イタク</t>
    </rPh>
    <rPh sb="8" eb="11">
      <t>コウシリョウ</t>
    </rPh>
    <phoneticPr fontId="3"/>
  </si>
  <si>
    <t>　　　　　　燃料費</t>
    <phoneticPr fontId="3"/>
  </si>
  <si>
    <t>　　　　　　慶弔費</t>
    <phoneticPr fontId="3"/>
  </si>
  <si>
    <t>　　　　　　謝金</t>
    <phoneticPr fontId="3"/>
  </si>
  <si>
    <t>　　　　　　地代家賃</t>
    <phoneticPr fontId="3"/>
  </si>
  <si>
    <t>　　　　　　雑費</t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</si>
  <si>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</si>
  <si>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phoneticPr fontId="3"/>
  </si>
  <si>
    <t>給与・賞与</t>
    <rPh sb="0" eb="2">
      <t>キュウヨ</t>
    </rPh>
    <rPh sb="3" eb="5">
      <t>ショウヨ</t>
    </rPh>
    <phoneticPr fontId="3"/>
  </si>
  <si>
    <t>賃借料</t>
    <rPh sb="0" eb="3">
      <t>チンシャクリョウ</t>
    </rPh>
    <phoneticPr fontId="3"/>
  </si>
  <si>
    <t>　　　事業費合計</t>
    <rPh sb="3" eb="6">
      <t>ジギョウヒ</t>
    </rPh>
    <rPh sb="6" eb="8">
      <t>ゴウケイ</t>
    </rPh>
    <phoneticPr fontId="3"/>
  </si>
  <si>
    <t>　　　　　　材料費</t>
    <rPh sb="6" eb="9">
      <t>ザイリョウヒ</t>
    </rPh>
    <phoneticPr fontId="3"/>
  </si>
  <si>
    <t>　　　（１）人件費</t>
    <rPh sb="6" eb="9">
      <t>ジンケンヒ</t>
    </rPh>
    <phoneticPr fontId="3"/>
  </si>
  <si>
    <t>　　　（２）その他の経費</t>
    <rPh sb="8" eb="9">
      <t>タ</t>
    </rPh>
    <rPh sb="10" eb="12">
      <t>ケイヒ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</si>
  <si>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</si>
  <si>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　　管理費計</t>
    <rPh sb="2" eb="4">
      <t>カンリ</t>
    </rPh>
    <rPh sb="5" eb="6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</si>
  <si>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</si>
  <si>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　　　受取寄付金</t>
    <rPh sb="3" eb="5">
      <t>ウケトリ</t>
    </rPh>
    <rPh sb="5" eb="8">
      <t>キフキン</t>
    </rPh>
    <phoneticPr fontId="3"/>
  </si>
  <si>
    <t>　　　受取民間助成金</t>
    <rPh sb="3" eb="5">
      <t>ウケトリ</t>
    </rPh>
    <rPh sb="5" eb="7">
      <t>ミンカン</t>
    </rPh>
    <rPh sb="7" eb="10">
      <t>ジョセイキン</t>
    </rPh>
    <phoneticPr fontId="3"/>
  </si>
  <si>
    <t>　経常収益計</t>
    <rPh sb="3" eb="5">
      <t>シュウエキ</t>
    </rPh>
    <phoneticPr fontId="3"/>
  </si>
  <si>
    <t>　　法人税等</t>
    <rPh sb="2" eb="5">
      <t>ホウジンゼイ</t>
    </rPh>
    <rPh sb="5" eb="6">
      <t>トウ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</si>
  <si>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</si>
  <si>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</si>
  <si>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</si>
  <si>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金　　　額</t>
    <rPh sb="0" eb="1">
      <t>キン</t>
    </rPh>
    <rPh sb="4" eb="5">
      <t>ガク</t>
    </rPh>
    <phoneticPr fontId="3"/>
  </si>
  <si>
    <t>備　考</t>
    <rPh sb="0" eb="1">
      <t>ソナエ</t>
    </rPh>
    <rPh sb="2" eb="3">
      <t>コウ</t>
    </rPh>
    <phoneticPr fontId="3"/>
  </si>
  <si>
    <t>　　　　　　人件費</t>
    <phoneticPr fontId="3"/>
  </si>
  <si>
    <t>　　　　　　法定福利費</t>
    <phoneticPr fontId="3"/>
  </si>
  <si>
    <t>　　　　　　福利厚生費</t>
    <phoneticPr fontId="3"/>
  </si>
  <si>
    <t>　　　　　　租税公課</t>
    <phoneticPr fontId="3"/>
  </si>
  <si>
    <t>　　　　　　減価償却費</t>
    <phoneticPr fontId="3"/>
  </si>
  <si>
    <t>　　　　　　旅費交通費</t>
    <phoneticPr fontId="3"/>
  </si>
  <si>
    <t xml:space="preserve">      　　　支払手数料</t>
    <phoneticPr fontId="3"/>
  </si>
  <si>
    <t>　　　　　　諸会費</t>
    <phoneticPr fontId="3"/>
  </si>
  <si>
    <t>　　　　　　図書研修費</t>
    <phoneticPr fontId="3"/>
  </si>
  <si>
    <t>　　　　　　謝金</t>
    <phoneticPr fontId="3"/>
  </si>
  <si>
    <t>　　　　　　貸倒引当金繰入</t>
    <rPh sb="6" eb="8">
      <t>カシダオレ</t>
    </rPh>
    <rPh sb="8" eb="10">
      <t>ヒキアテ</t>
    </rPh>
    <rPh sb="10" eb="11">
      <t>キン</t>
    </rPh>
    <rPh sb="11" eb="13">
      <t>クリイレ</t>
    </rPh>
    <phoneticPr fontId="3"/>
  </si>
  <si>
    <t>　　　　　　雑費</t>
    <phoneticPr fontId="3"/>
  </si>
  <si>
    <t>企業・個人</t>
    <rPh sb="0" eb="2">
      <t>キギョウ</t>
    </rPh>
    <rPh sb="3" eb="5">
      <t>コジン</t>
    </rPh>
    <phoneticPr fontId="3"/>
  </si>
  <si>
    <t>通勤手当等</t>
    <rPh sb="0" eb="2">
      <t>ツウキン</t>
    </rPh>
    <rPh sb="2" eb="4">
      <t>テアテ</t>
    </rPh>
    <rPh sb="4" eb="5">
      <t>トウ</t>
    </rPh>
    <phoneticPr fontId="3"/>
  </si>
  <si>
    <t>会員懇親、健康診断等</t>
    <rPh sb="0" eb="2">
      <t>カイイン</t>
    </rPh>
    <rPh sb="2" eb="4">
      <t>コンシン</t>
    </rPh>
    <rPh sb="5" eb="7">
      <t>ケンコウ</t>
    </rPh>
    <rPh sb="7" eb="9">
      <t>シンダン</t>
    </rPh>
    <rPh sb="9" eb="10">
      <t>トウ</t>
    </rPh>
    <phoneticPr fontId="3"/>
  </si>
  <si>
    <t>車検・修理代等</t>
    <rPh sb="0" eb="2">
      <t>シャケン</t>
    </rPh>
    <rPh sb="3" eb="6">
      <t>シュウリダイ</t>
    </rPh>
    <rPh sb="6" eb="7">
      <t>トウ</t>
    </rPh>
    <phoneticPr fontId="3"/>
  </si>
  <si>
    <t>火災保険、従業員賠償保険等</t>
    <rPh sb="0" eb="2">
      <t>カサイ</t>
    </rPh>
    <rPh sb="2" eb="4">
      <t>ホケン</t>
    </rPh>
    <rPh sb="5" eb="8">
      <t>ジュウギョウイン</t>
    </rPh>
    <rPh sb="8" eb="10">
      <t>バイショウ</t>
    </rPh>
    <rPh sb="10" eb="12">
      <t>ホケン</t>
    </rPh>
    <rPh sb="12" eb="13">
      <t>トウ</t>
    </rPh>
    <phoneticPr fontId="3"/>
  </si>
  <si>
    <t>固定資産税、自動車税等</t>
    <rPh sb="0" eb="2">
      <t>コテイ</t>
    </rPh>
    <rPh sb="2" eb="5">
      <t>シサンゼイ</t>
    </rPh>
    <rPh sb="6" eb="9">
      <t>ジドウシャ</t>
    </rPh>
    <rPh sb="9" eb="10">
      <t>ゼイ</t>
    </rPh>
    <rPh sb="10" eb="11">
      <t>トウ</t>
    </rPh>
    <phoneticPr fontId="3"/>
  </si>
  <si>
    <t>電話・携帯代、郵送料等</t>
    <rPh sb="0" eb="2">
      <t>デンワ</t>
    </rPh>
    <rPh sb="3" eb="5">
      <t>ケイタイ</t>
    </rPh>
    <rPh sb="5" eb="6">
      <t>ダイ</t>
    </rPh>
    <rPh sb="7" eb="10">
      <t>ユウソウリョウ</t>
    </rPh>
    <rPh sb="10" eb="11">
      <t>トウ</t>
    </rPh>
    <phoneticPr fontId="3"/>
  </si>
  <si>
    <t>税理士、振込等</t>
    <rPh sb="0" eb="3">
      <t>ゼイリシ</t>
    </rPh>
    <rPh sb="4" eb="6">
      <t>フリコミ</t>
    </rPh>
    <rPh sb="6" eb="7">
      <t>トウ</t>
    </rPh>
    <phoneticPr fontId="3"/>
  </si>
  <si>
    <t>利用者・職員慶弔費等</t>
    <rPh sb="0" eb="3">
      <t>リヨウシャ</t>
    </rPh>
    <rPh sb="4" eb="6">
      <t>ショクイン</t>
    </rPh>
    <rPh sb="6" eb="8">
      <t>ケイチョウ</t>
    </rPh>
    <rPh sb="8" eb="9">
      <t>ヒ</t>
    </rPh>
    <rPh sb="9" eb="10">
      <t>トウ</t>
    </rPh>
    <phoneticPr fontId="3"/>
  </si>
  <si>
    <t>各拠点・駐車場代</t>
    <rPh sb="0" eb="3">
      <t>カクキョテン</t>
    </rPh>
    <rPh sb="4" eb="7">
      <t>チュウシャジョウ</t>
    </rPh>
    <rPh sb="7" eb="8">
      <t>ダイ</t>
    </rPh>
    <phoneticPr fontId="3"/>
  </si>
  <si>
    <t>活動謝金等</t>
    <rPh sb="0" eb="2">
      <t>カツドウ</t>
    </rPh>
    <rPh sb="2" eb="4">
      <t>シャキン</t>
    </rPh>
    <rPh sb="4" eb="5">
      <t>トウ</t>
    </rPh>
    <phoneticPr fontId="3"/>
  </si>
  <si>
    <t>材料費・テキスト代</t>
    <rPh sb="0" eb="3">
      <t>ザイリョウヒ</t>
    </rPh>
    <rPh sb="8" eb="9">
      <t>ダイ</t>
    </rPh>
    <phoneticPr fontId="3"/>
  </si>
  <si>
    <t>ガソリン代等</t>
    <rPh sb="4" eb="5">
      <t>ダイ</t>
    </rPh>
    <rPh sb="5" eb="6">
      <t>トウ</t>
    </rPh>
    <phoneticPr fontId="3"/>
  </si>
  <si>
    <t>単位：円　　</t>
    <rPh sb="0" eb="2">
      <t>タンイ</t>
    </rPh>
    <rPh sb="3" eb="4">
      <t>エン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</si>
  <si>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</si>
  <si>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　　　正会員等受取会費</t>
    <rPh sb="3" eb="4">
      <t>セイ</t>
    </rPh>
    <rPh sb="4" eb="6">
      <t>カイイン</t>
    </rPh>
    <rPh sb="6" eb="7">
      <t>トウ</t>
    </rPh>
    <rPh sb="7" eb="9">
      <t>ウケトリ</t>
    </rPh>
    <rPh sb="9" eb="11">
      <t>カイヒ</t>
    </rPh>
    <phoneticPr fontId="3"/>
  </si>
  <si>
    <t>口座利息</t>
    <rPh sb="0" eb="2">
      <t>コウザ</t>
    </rPh>
    <rPh sb="2" eb="4">
      <t>リソク</t>
    </rPh>
    <phoneticPr fontId="3"/>
  </si>
  <si>
    <t>　　　　　　地代家賃</t>
    <phoneticPr fontId="3"/>
  </si>
  <si>
    <t>障がい就労</t>
    <rPh sb="3" eb="5">
      <t>シュウロウ</t>
    </rPh>
    <phoneticPr fontId="3"/>
  </si>
  <si>
    <t>学童1</t>
  </si>
  <si>
    <t>学童1</t>
    <phoneticPr fontId="3"/>
  </si>
  <si>
    <t>学童2</t>
  </si>
  <si>
    <t>学童2</t>
    <phoneticPr fontId="3"/>
  </si>
  <si>
    <t>生活困窮等</t>
    <rPh sb="0" eb="2">
      <t>セイカツ</t>
    </rPh>
    <rPh sb="2" eb="4">
      <t>コンキュウ</t>
    </rPh>
    <rPh sb="4" eb="5">
      <t>トウ</t>
    </rPh>
    <phoneticPr fontId="3"/>
  </si>
  <si>
    <t>燃料費</t>
    <phoneticPr fontId="3"/>
  </si>
  <si>
    <t>玉名市委託費（生保）</t>
    <rPh sb="0" eb="2">
      <t>タマナ</t>
    </rPh>
    <rPh sb="2" eb="3">
      <t>シ</t>
    </rPh>
    <rPh sb="3" eb="5">
      <t>イタク</t>
    </rPh>
    <rPh sb="5" eb="6">
      <t>ヒ</t>
    </rPh>
    <rPh sb="7" eb="9">
      <t>セイホ</t>
    </rPh>
    <phoneticPr fontId="3"/>
  </si>
  <si>
    <t>玉名市委託費（困窮）</t>
    <rPh sb="0" eb="2">
      <t>タマナ</t>
    </rPh>
    <rPh sb="2" eb="3">
      <t>シ</t>
    </rPh>
    <rPh sb="3" eb="5">
      <t>イタク</t>
    </rPh>
    <rPh sb="5" eb="6">
      <t>ヒ</t>
    </rPh>
    <rPh sb="7" eb="9">
      <t>コンキュウ</t>
    </rPh>
    <phoneticPr fontId="3"/>
  </si>
  <si>
    <t>グッドシーズン</t>
    <phoneticPr fontId="3"/>
  </si>
  <si>
    <t>居室利用収益</t>
    <rPh sb="0" eb="2">
      <t>キョシツ</t>
    </rPh>
    <rPh sb="2" eb="4">
      <t>リヨウ</t>
    </rPh>
    <rPh sb="4" eb="6">
      <t>シュウエキ</t>
    </rPh>
    <phoneticPr fontId="3"/>
  </si>
  <si>
    <t>費用</t>
    <rPh sb="0" eb="2">
      <t>ヒヨウ</t>
    </rPh>
    <phoneticPr fontId="3"/>
  </si>
  <si>
    <t>増減</t>
    <rPh sb="0" eb="2">
      <t>ゾウゲン</t>
    </rPh>
    <phoneticPr fontId="3"/>
  </si>
  <si>
    <t>予算</t>
    <rPh sb="0" eb="2">
      <t>ヨサン</t>
    </rPh>
    <phoneticPr fontId="3"/>
  </si>
  <si>
    <t>実績</t>
    <rPh sb="0" eb="2">
      <t>ジッセキ</t>
    </rPh>
    <phoneticPr fontId="3"/>
  </si>
  <si>
    <t>学童合算</t>
    <rPh sb="0" eb="2">
      <t>ガクドウ</t>
    </rPh>
    <rPh sb="2" eb="4">
      <t>ガッサン</t>
    </rPh>
    <phoneticPr fontId="3"/>
  </si>
  <si>
    <t>第1クラブ</t>
    <rPh sb="0" eb="1">
      <t>ダイ</t>
    </rPh>
    <phoneticPr fontId="3"/>
  </si>
  <si>
    <t>第2クラブ</t>
    <rPh sb="0" eb="1">
      <t>ダイ</t>
    </rPh>
    <phoneticPr fontId="3"/>
  </si>
  <si>
    <t>中計</t>
    <rPh sb="0" eb="2">
      <t>チュウケイ</t>
    </rPh>
    <phoneticPr fontId="3"/>
  </si>
  <si>
    <t>※</t>
    <phoneticPr fontId="3"/>
  </si>
  <si>
    <t>賞与按分</t>
    <rPh sb="0" eb="2">
      <t>ショウヨ</t>
    </rPh>
    <rPh sb="2" eb="4">
      <t>アンブン</t>
    </rPh>
    <phoneticPr fontId="3"/>
  </si>
  <si>
    <t>配分額</t>
    <rPh sb="0" eb="2">
      <t>ハイブン</t>
    </rPh>
    <rPh sb="2" eb="3">
      <t>ガク</t>
    </rPh>
    <phoneticPr fontId="3"/>
  </si>
  <si>
    <t>北崎井上三次前田</t>
    <rPh sb="0" eb="2">
      <t>キタザキ</t>
    </rPh>
    <rPh sb="2" eb="4">
      <t>イノウエ</t>
    </rPh>
    <rPh sb="4" eb="6">
      <t>ミツギ</t>
    </rPh>
    <rPh sb="6" eb="8">
      <t>マエダ</t>
    </rPh>
    <phoneticPr fontId="3"/>
  </si>
  <si>
    <t>古賀白野</t>
    <rPh sb="0" eb="2">
      <t>コガ</t>
    </rPh>
    <rPh sb="2" eb="3">
      <t>シラ</t>
    </rPh>
    <rPh sb="3" eb="4">
      <t>ノ</t>
    </rPh>
    <phoneticPr fontId="3"/>
  </si>
  <si>
    <t>宮崎坂脇内尾</t>
    <rPh sb="0" eb="2">
      <t>ミヤザキ</t>
    </rPh>
    <rPh sb="2" eb="3">
      <t>サカ</t>
    </rPh>
    <rPh sb="3" eb="4">
      <t>ワキ</t>
    </rPh>
    <rPh sb="4" eb="6">
      <t>ウチオ</t>
    </rPh>
    <phoneticPr fontId="3"/>
  </si>
  <si>
    <t>本田前田山川</t>
    <rPh sb="0" eb="2">
      <t>ホンダ</t>
    </rPh>
    <rPh sb="2" eb="4">
      <t>マエダ</t>
    </rPh>
    <rPh sb="4" eb="6">
      <t>ヤマカワ</t>
    </rPh>
    <phoneticPr fontId="3"/>
  </si>
  <si>
    <t>鎌田西村小北</t>
    <rPh sb="0" eb="2">
      <t>カマタ</t>
    </rPh>
    <rPh sb="2" eb="4">
      <t>ニシムラ</t>
    </rPh>
    <rPh sb="4" eb="5">
      <t>オ</t>
    </rPh>
    <rPh sb="5" eb="6">
      <t>キタ</t>
    </rPh>
    <phoneticPr fontId="3"/>
  </si>
  <si>
    <t>河上他力</t>
    <rPh sb="0" eb="2">
      <t>カワカミ</t>
    </rPh>
    <rPh sb="2" eb="4">
      <t>タリキ</t>
    </rPh>
    <phoneticPr fontId="3"/>
  </si>
  <si>
    <t>北本木村田中山口鈴木宮原荒瀬</t>
    <rPh sb="0" eb="2">
      <t>キタモト</t>
    </rPh>
    <rPh sb="2" eb="4">
      <t>キムラ</t>
    </rPh>
    <rPh sb="4" eb="6">
      <t>タナカ</t>
    </rPh>
    <rPh sb="6" eb="8">
      <t>ヤマグチ</t>
    </rPh>
    <rPh sb="8" eb="10">
      <t>スズキ</t>
    </rPh>
    <rPh sb="10" eb="12">
      <t>ミヤハラ</t>
    </rPh>
    <rPh sb="12" eb="14">
      <t>アラセ</t>
    </rPh>
    <phoneticPr fontId="3"/>
  </si>
  <si>
    <t>対象者</t>
    <rPh sb="0" eb="3">
      <t>タイショウシャ</t>
    </rPh>
    <phoneticPr fontId="3"/>
  </si>
  <si>
    <t>参　考</t>
    <rPh sb="0" eb="1">
      <t>サン</t>
    </rPh>
    <rPh sb="2" eb="3">
      <t>コウ</t>
    </rPh>
    <phoneticPr fontId="3"/>
  </si>
  <si>
    <t>支給額上限
（基本給1/2）</t>
    <rPh sb="0" eb="2">
      <t>シキュウ</t>
    </rPh>
    <rPh sb="2" eb="3">
      <t>ガク</t>
    </rPh>
    <rPh sb="3" eb="5">
      <t>ジョウゲン</t>
    </rPh>
    <rPh sb="7" eb="10">
      <t>キホンキュウ</t>
    </rPh>
    <phoneticPr fontId="3"/>
  </si>
  <si>
    <t>対象数</t>
    <rPh sb="0" eb="2">
      <t>タイショウ</t>
    </rPh>
    <rPh sb="2" eb="3">
      <t>スウ</t>
    </rPh>
    <phoneticPr fontId="3"/>
  </si>
  <si>
    <t>一人
当たり</t>
    <rPh sb="0" eb="2">
      <t>ヒトリ</t>
    </rPh>
    <rPh sb="3" eb="4">
      <t>ア</t>
    </rPh>
    <phoneticPr fontId="3"/>
  </si>
  <si>
    <t>配分
比率</t>
    <rPh sb="0" eb="2">
      <t>ハイブン</t>
    </rPh>
    <rPh sb="3" eb="5">
      <t>ヒリツ</t>
    </rPh>
    <phoneticPr fontId="3"/>
  </si>
  <si>
    <t>久保高田大谷</t>
    <rPh sb="0" eb="2">
      <t>クボ</t>
    </rPh>
    <rPh sb="2" eb="4">
      <t>タカダ</t>
    </rPh>
    <rPh sb="4" eb="6">
      <t>オオタニ</t>
    </rPh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</si>
  <si>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</si>
  <si>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</si>
  <si>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</si>
  <si>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</si>
  <si>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</si>
  <si>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</si>
  <si>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</si>
  <si>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</si>
  <si>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</si>
  <si>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</si>
  <si>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</si>
  <si>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</si>
  <si>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収益増減</t>
    <rPh sb="0" eb="2">
      <t>シュウエキ</t>
    </rPh>
    <rPh sb="2" eb="4">
      <t>ゾウゲン</t>
    </rPh>
    <phoneticPr fontId="3"/>
  </si>
  <si>
    <t>２０１５年度実績</t>
    <rPh sb="4" eb="6">
      <t>ネンド</t>
    </rPh>
    <rPh sb="6" eb="8">
      <t>ジッセキ</t>
    </rPh>
    <phoneticPr fontId="3"/>
  </si>
  <si>
    <t>２０１５年度実績（累計）</t>
    <rPh sb="4" eb="6">
      <t>ネンド</t>
    </rPh>
    <rPh sb="6" eb="8">
      <t>ジッセキ</t>
    </rPh>
    <rPh sb="9" eb="11">
      <t>ルイケイ</t>
    </rPh>
    <phoneticPr fontId="3"/>
  </si>
  <si>
    <t>2014決算</t>
    <rPh sb="4" eb="6">
      <t>ケッサン</t>
    </rPh>
    <phoneticPr fontId="3"/>
  </si>
  <si>
    <t>予算収益ライン</t>
    <rPh sb="0" eb="2">
      <t>ヨサン</t>
    </rPh>
    <rPh sb="2" eb="4">
      <t>シュウエキ</t>
    </rPh>
    <phoneticPr fontId="3"/>
  </si>
  <si>
    <t>予算費用ライン</t>
    <rPh sb="0" eb="2">
      <t>ヨサン</t>
    </rPh>
    <rPh sb="2" eb="4">
      <t>ヒヨウ</t>
    </rPh>
    <phoneticPr fontId="3"/>
  </si>
  <si>
    <t>予算増減ライン</t>
    <rPh sb="0" eb="2">
      <t>ヨサン</t>
    </rPh>
    <rPh sb="2" eb="4">
      <t>ゾウゲン</t>
    </rPh>
    <phoneticPr fontId="3"/>
  </si>
  <si>
    <t>2016年予算案</t>
    <phoneticPr fontId="3"/>
  </si>
  <si>
    <t>2015年度　事業別損益表</t>
    <rPh sb="4" eb="6">
      <t>ネンド</t>
    </rPh>
    <rPh sb="7" eb="9">
      <t>ジギョウ</t>
    </rPh>
    <rPh sb="9" eb="10">
      <t>ベツ</t>
    </rPh>
    <rPh sb="10" eb="12">
      <t>ソンエキ</t>
    </rPh>
    <rPh sb="12" eb="13">
      <t>ヒョウ</t>
    </rPh>
    <phoneticPr fontId="3"/>
  </si>
  <si>
    <t>給与・賞与(職員）</t>
    <rPh sb="0" eb="2">
      <t>キュウヨ</t>
    </rPh>
    <rPh sb="3" eb="5">
      <t>ショウヨ</t>
    </rPh>
    <rPh sb="6" eb="8">
      <t>ショクイン</t>
    </rPh>
    <phoneticPr fontId="3"/>
  </si>
  <si>
    <t>給与・賞与(A型スタッフ）</t>
    <rPh sb="0" eb="2">
      <t>キュウヨ</t>
    </rPh>
    <rPh sb="3" eb="5">
      <t>ショウヨ</t>
    </rPh>
    <rPh sb="7" eb="8">
      <t>ガタ</t>
    </rPh>
    <phoneticPr fontId="3"/>
  </si>
  <si>
    <t>ｷｯﾁﾝみのり</t>
    <phoneticPr fontId="3"/>
  </si>
  <si>
    <t>中尾/高瀬</t>
    <rPh sb="3" eb="5">
      <t>タカセ</t>
    </rPh>
    <phoneticPr fontId="3"/>
  </si>
  <si>
    <t>高齢通所(中尾/髙瀬）</t>
    <rPh sb="0" eb="2">
      <t>コウレイ</t>
    </rPh>
    <rPh sb="2" eb="3">
      <t>ツウ</t>
    </rPh>
    <rPh sb="3" eb="4">
      <t>ショ</t>
    </rPh>
    <rPh sb="5" eb="7">
      <t>ナカオ</t>
    </rPh>
    <rPh sb="8" eb="9">
      <t>タカ</t>
    </rPh>
    <rPh sb="9" eb="10">
      <t>セ</t>
    </rPh>
    <phoneticPr fontId="3"/>
  </si>
  <si>
    <t>グッドシーズン</t>
    <phoneticPr fontId="3"/>
  </si>
  <si>
    <t>キッチンみのり</t>
    <phoneticPr fontId="3"/>
  </si>
  <si>
    <t>学童第1クラブ</t>
    <rPh sb="0" eb="2">
      <t>ガクドウ</t>
    </rPh>
    <rPh sb="2" eb="3">
      <t>ダイ</t>
    </rPh>
    <phoneticPr fontId="3"/>
  </si>
  <si>
    <t>学童第２クラブ</t>
    <rPh sb="0" eb="2">
      <t>ガクドウ</t>
    </rPh>
    <rPh sb="2" eb="3">
      <t>ダイ</t>
    </rPh>
    <phoneticPr fontId="3"/>
  </si>
  <si>
    <t>生活困窮自立支援</t>
    <rPh sb="0" eb="2">
      <t>セイカツ</t>
    </rPh>
    <rPh sb="2" eb="4">
      <t>コンキュウ</t>
    </rPh>
    <rPh sb="4" eb="6">
      <t>ジリツ</t>
    </rPh>
    <rPh sb="6" eb="8">
      <t>シエン</t>
    </rPh>
    <phoneticPr fontId="3"/>
  </si>
  <si>
    <t>アルトブルー、ブラウン計2台</t>
    <rPh sb="11" eb="12">
      <t>ケイ</t>
    </rPh>
    <rPh sb="13" eb="14">
      <t>ダイ</t>
    </rPh>
    <phoneticPr fontId="3"/>
  </si>
  <si>
    <t>ハイエース、ムーヴ、ハイゼット、アトレー系４台</t>
    <rPh sb="20" eb="21">
      <t>ケイ</t>
    </rPh>
    <rPh sb="22" eb="23">
      <t>ダイ</t>
    </rPh>
    <phoneticPr fontId="3"/>
  </si>
  <si>
    <t>シエンタ、ライフ計2台</t>
    <rPh sb="8" eb="9">
      <t>ケイ</t>
    </rPh>
    <rPh sb="10" eb="11">
      <t>ダイ</t>
    </rPh>
    <phoneticPr fontId="3"/>
  </si>
  <si>
    <t>キャリー計1台</t>
    <rPh sb="4" eb="5">
      <t>ケイ</t>
    </rPh>
    <rPh sb="6" eb="7">
      <t>ダイ</t>
    </rPh>
    <phoneticPr fontId="3"/>
  </si>
  <si>
    <t>ヴィッツ、ミラ計2台</t>
    <rPh sb="7" eb="8">
      <t>ケイ</t>
    </rPh>
    <rPh sb="9" eb="10">
      <t>ダイ</t>
    </rPh>
    <phoneticPr fontId="3"/>
  </si>
  <si>
    <t>軽トラ2台、ハイエース、</t>
    <rPh sb="0" eb="1">
      <t>ケイ</t>
    </rPh>
    <rPh sb="4" eb="5">
      <t>ダイ</t>
    </rPh>
    <phoneticPr fontId="3"/>
  </si>
  <si>
    <t>エッセ、アルト計2台</t>
    <rPh sb="7" eb="8">
      <t>ケイ</t>
    </rPh>
    <rPh sb="9" eb="10">
      <t>ダイ</t>
    </rPh>
    <phoneticPr fontId="3"/>
  </si>
  <si>
    <t>%</t>
    <phoneticPr fontId="3"/>
  </si>
  <si>
    <t>ささえあい訪問</t>
    <rPh sb="5" eb="7">
      <t>ホウモン</t>
    </rPh>
    <phoneticPr fontId="3"/>
  </si>
  <si>
    <t>ささえあいデイ奥立願寺</t>
    <rPh sb="7" eb="8">
      <t>オク</t>
    </rPh>
    <rPh sb="8" eb="9">
      <t>リュウ</t>
    </rPh>
    <rPh sb="9" eb="10">
      <t>ガン</t>
    </rPh>
    <rPh sb="10" eb="11">
      <t>ジ</t>
    </rPh>
    <phoneticPr fontId="3"/>
  </si>
  <si>
    <t>ささえあい居宅</t>
    <rPh sb="5" eb="7">
      <t>キョタク</t>
    </rPh>
    <phoneticPr fontId="3"/>
  </si>
  <si>
    <t>わかちあい訪問</t>
    <rPh sb="5" eb="7">
      <t>ホウモン</t>
    </rPh>
    <phoneticPr fontId="3"/>
  </si>
  <si>
    <t>わかちあい就労</t>
    <rPh sb="5" eb="7">
      <t>シュウロウ</t>
    </rPh>
    <phoneticPr fontId="3"/>
  </si>
  <si>
    <t>ふれあい給食</t>
    <rPh sb="4" eb="6">
      <t>キュウショク</t>
    </rPh>
    <phoneticPr fontId="3"/>
  </si>
  <si>
    <t>グッドシーズン
（入居・厨房・デイ）</t>
    <rPh sb="9" eb="11">
      <t>ニュウキョ</t>
    </rPh>
    <rPh sb="12" eb="14">
      <t>チュウボウ</t>
    </rPh>
    <phoneticPr fontId="3"/>
  </si>
  <si>
    <t>学童クラブ室そんごくう
（第1・第2）</t>
    <rPh sb="0" eb="2">
      <t>ガクドウ</t>
    </rPh>
    <rPh sb="5" eb="6">
      <t>シツ</t>
    </rPh>
    <rPh sb="13" eb="14">
      <t>ダイ</t>
    </rPh>
    <rPh sb="16" eb="17">
      <t>ダイ</t>
    </rPh>
    <phoneticPr fontId="3"/>
  </si>
  <si>
    <t>本部管轄事業
（生活困窮・人材・たすけあい他）</t>
    <rPh sb="0" eb="2">
      <t>ホンブ</t>
    </rPh>
    <rPh sb="2" eb="4">
      <t>カンカツ</t>
    </rPh>
    <rPh sb="4" eb="6">
      <t>ジギョウ</t>
    </rPh>
    <rPh sb="8" eb="10">
      <t>セイカツ</t>
    </rPh>
    <rPh sb="10" eb="12">
      <t>コンキュウ</t>
    </rPh>
    <rPh sb="13" eb="15">
      <t>ジンザイ</t>
    </rPh>
    <rPh sb="21" eb="22">
      <t>ホカ</t>
    </rPh>
    <phoneticPr fontId="3"/>
  </si>
  <si>
    <t>本部管理費
（法人共通経費・社会保険料等）</t>
    <rPh sb="0" eb="2">
      <t>ホンブ</t>
    </rPh>
    <rPh sb="2" eb="5">
      <t>カンリヒ</t>
    </rPh>
    <rPh sb="7" eb="9">
      <t>ホウジン</t>
    </rPh>
    <rPh sb="9" eb="11">
      <t>キョウツウ</t>
    </rPh>
    <rPh sb="11" eb="13">
      <t>ケイヒ</t>
    </rPh>
    <rPh sb="14" eb="16">
      <t>シャカイ</t>
    </rPh>
    <rPh sb="16" eb="19">
      <t>ホケンリョウ</t>
    </rPh>
    <rPh sb="19" eb="20">
      <t>トウ</t>
    </rPh>
    <phoneticPr fontId="3"/>
  </si>
  <si>
    <t>％</t>
    <phoneticPr fontId="3"/>
  </si>
  <si>
    <t>%</t>
    <phoneticPr fontId="3"/>
  </si>
  <si>
    <t>予算</t>
    <rPh sb="0" eb="2">
      <t>ヨサン</t>
    </rPh>
    <phoneticPr fontId="3"/>
  </si>
  <si>
    <t>→</t>
    <phoneticPr fontId="3"/>
  </si>
  <si>
    <t>仮決算</t>
    <rPh sb="0" eb="1">
      <t>カリ</t>
    </rPh>
    <rPh sb="1" eb="3">
      <t>ケッサン</t>
    </rPh>
    <phoneticPr fontId="3"/>
  </si>
  <si>
    <t>金額</t>
    <rPh sb="0" eb="1">
      <t>キン</t>
    </rPh>
    <rPh sb="1" eb="2">
      <t>ガク</t>
    </rPh>
    <phoneticPr fontId="3"/>
  </si>
  <si>
    <t>比率</t>
    <rPh sb="0" eb="2">
      <t>ヒリツ</t>
    </rPh>
    <phoneticPr fontId="3"/>
  </si>
  <si>
    <t>差（仮決算-予算）</t>
    <rPh sb="0" eb="1">
      <t>サ</t>
    </rPh>
    <rPh sb="2" eb="3">
      <t>カリ</t>
    </rPh>
    <rPh sb="3" eb="5">
      <t>ケッサン</t>
    </rPh>
    <rPh sb="6" eb="8">
      <t>ヨサン</t>
    </rPh>
    <phoneticPr fontId="3"/>
  </si>
  <si>
    <t>費用合計</t>
    <rPh sb="0" eb="2">
      <t>ヒヨウ</t>
    </rPh>
    <rPh sb="2" eb="4">
      <t>ゴウケイ</t>
    </rPh>
    <phoneticPr fontId="3"/>
  </si>
  <si>
    <t>生活困窮</t>
    <rPh sb="0" eb="2">
      <t>セイカツ</t>
    </rPh>
    <rPh sb="2" eb="4">
      <t>コンキュウ</t>
    </rPh>
    <phoneticPr fontId="3"/>
  </si>
  <si>
    <t>新拠点</t>
    <rPh sb="0" eb="3">
      <t>シンキョテン</t>
    </rPh>
    <phoneticPr fontId="3"/>
  </si>
  <si>
    <t>項目</t>
    <phoneticPr fontId="3"/>
  </si>
  <si>
    <t>職員1</t>
  </si>
  <si>
    <t>1(職員）</t>
    <rPh sb="2" eb="4">
      <t>ショクイン</t>
    </rPh>
    <phoneticPr fontId="3"/>
  </si>
  <si>
    <t>1(A型スタッフ）</t>
    <rPh sb="3" eb="4">
      <t>ガタ</t>
    </rPh>
    <phoneticPr fontId="3"/>
  </si>
  <si>
    <t>24費</t>
  </si>
  <si>
    <t>2015年度
仮決算</t>
    <rPh sb="4" eb="6">
      <t>ネンド</t>
    </rPh>
    <rPh sb="7" eb="8">
      <t>カリ</t>
    </rPh>
    <rPh sb="8" eb="10">
      <t>ケッサン</t>
    </rPh>
    <phoneticPr fontId="3"/>
  </si>
  <si>
    <t>2016年度
予算案</t>
    <rPh sb="4" eb="6">
      <t>ネンド</t>
    </rPh>
    <rPh sb="7" eb="9">
      <t>ヨサン</t>
    </rPh>
    <rPh sb="9" eb="10">
      <t>アン</t>
    </rPh>
    <phoneticPr fontId="3"/>
  </si>
  <si>
    <t>管理費</t>
    <rPh sb="0" eb="2">
      <t>カンリ</t>
    </rPh>
    <rPh sb="2" eb="3">
      <t>ヒ</t>
    </rPh>
    <phoneticPr fontId="3"/>
  </si>
  <si>
    <t>売上比</t>
    <rPh sb="0" eb="2">
      <t>ウリアゲ</t>
    </rPh>
    <rPh sb="2" eb="3">
      <t>ヒ</t>
    </rPh>
    <phoneticPr fontId="3"/>
  </si>
  <si>
    <t>事業収益</t>
    <rPh sb="0" eb="2">
      <t>ジギョウ</t>
    </rPh>
    <rPh sb="2" eb="4">
      <t>シュウエキ</t>
    </rPh>
    <phoneticPr fontId="3"/>
  </si>
  <si>
    <t>事業費用</t>
    <rPh sb="0" eb="2">
      <t>ジギョウ</t>
    </rPh>
    <rPh sb="2" eb="4">
      <t>ヒヨウ</t>
    </rPh>
    <phoneticPr fontId="3"/>
  </si>
  <si>
    <t>日中一時支援</t>
    <phoneticPr fontId="3"/>
  </si>
  <si>
    <t>給与(A型スタッフ）</t>
    <rPh sb="0" eb="2">
      <t>キュウヨ</t>
    </rPh>
    <rPh sb="4" eb="5">
      <t>ガタ</t>
    </rPh>
    <phoneticPr fontId="3"/>
  </si>
  <si>
    <t>給与(職員）</t>
    <rPh sb="0" eb="2">
      <t>キュウヨ</t>
    </rPh>
    <rPh sb="3" eb="5">
      <t>ショクイン</t>
    </rPh>
    <phoneticPr fontId="3"/>
  </si>
  <si>
    <t>人件費</t>
    <rPh sb="0" eb="3">
      <t>ジンケンヒ</t>
    </rPh>
    <phoneticPr fontId="3"/>
  </si>
  <si>
    <t>諸経費</t>
    <rPh sb="0" eb="3">
      <t>ショケイヒ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</si>
  <si>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</si>
  <si>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</si>
  <si>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％</t>
    <phoneticPr fontId="3"/>
  </si>
  <si>
    <t>職員</t>
    <rPh sb="0" eb="2">
      <t>ショクイン</t>
    </rPh>
    <phoneticPr fontId="3"/>
  </si>
  <si>
    <t>就労生</t>
    <rPh sb="0" eb="2">
      <t>シュウロウ</t>
    </rPh>
    <rPh sb="2" eb="3">
      <t>セイ</t>
    </rPh>
    <phoneticPr fontId="3"/>
  </si>
  <si>
    <t>12名*4H*5日*50週</t>
    <rPh sb="2" eb="3">
      <t>メイ</t>
    </rPh>
    <rPh sb="8" eb="9">
      <t>ニチ</t>
    </rPh>
    <rPh sb="12" eb="13">
      <t>シュウ</t>
    </rPh>
    <phoneticPr fontId="3"/>
  </si>
  <si>
    <t>800円*6H*2名*15日/月*12か月</t>
    <rPh sb="3" eb="4">
      <t>エン</t>
    </rPh>
    <rPh sb="9" eb="10">
      <t>メイ</t>
    </rPh>
    <rPh sb="13" eb="14">
      <t>ニチ</t>
    </rPh>
    <rPh sb="15" eb="16">
      <t>ツキ</t>
    </rPh>
    <rPh sb="20" eb="21">
      <t>ゲツ</t>
    </rPh>
    <phoneticPr fontId="3"/>
  </si>
  <si>
    <t>760000*12</t>
    <phoneticPr fontId="3"/>
  </si>
  <si>
    <t>1075000*12</t>
    <phoneticPr fontId="3"/>
  </si>
  <si>
    <t>借入金積立</t>
    <rPh sb="0" eb="2">
      <t>カリイレ</t>
    </rPh>
    <rPh sb="2" eb="3">
      <t>キン</t>
    </rPh>
    <rPh sb="3" eb="5">
      <t>ツミタテ</t>
    </rPh>
    <phoneticPr fontId="3"/>
  </si>
  <si>
    <t>(((60000*16)+(56000*2))+380000)*12</t>
    <phoneticPr fontId="3"/>
  </si>
  <si>
    <t>4-9月93万/月、10-3月84万/月</t>
    <rPh sb="3" eb="4">
      <t>ガツ</t>
    </rPh>
    <rPh sb="6" eb="7">
      <t>マン</t>
    </rPh>
    <rPh sb="8" eb="9">
      <t>ツキ</t>
    </rPh>
    <rPh sb="14" eb="15">
      <t>ガツ</t>
    </rPh>
    <rPh sb="17" eb="18">
      <t>マン</t>
    </rPh>
    <rPh sb="19" eb="20">
      <t>ツキ</t>
    </rPh>
    <phoneticPr fontId="3"/>
  </si>
  <si>
    <t>↑自治体委託収入含む</t>
    <rPh sb="1" eb="4">
      <t>ジチタイ</t>
    </rPh>
    <rPh sb="4" eb="6">
      <t>イタク</t>
    </rPh>
    <rPh sb="6" eb="8">
      <t>シュウニュウ</t>
    </rPh>
    <rPh sb="8" eb="9">
      <t>フク</t>
    </rPh>
    <phoneticPr fontId="3"/>
  </si>
  <si>
    <t>4月20名、8月20名</t>
    <rPh sb="1" eb="2">
      <t>ガツ</t>
    </rPh>
    <rPh sb="4" eb="5">
      <t>メイ</t>
    </rPh>
    <rPh sb="7" eb="8">
      <t>ガツ</t>
    </rPh>
    <rPh sb="10" eb="11">
      <t>メイ</t>
    </rPh>
    <phoneticPr fontId="3"/>
  </si>
  <si>
    <t>4月15名</t>
    <rPh sb="1" eb="2">
      <t>ガツ</t>
    </rPh>
    <rPh sb="4" eb="5">
      <t>メイ</t>
    </rPh>
    <phoneticPr fontId="3"/>
  </si>
  <si>
    <t>4,490円/時×32時間×2科目</t>
    <rPh sb="5" eb="6">
      <t>エン</t>
    </rPh>
    <rPh sb="7" eb="8">
      <t>ジ</t>
    </rPh>
    <rPh sb="11" eb="13">
      <t>ジカン</t>
    </rPh>
    <rPh sb="15" eb="17">
      <t>カモク</t>
    </rPh>
    <phoneticPr fontId="3"/>
  </si>
  <si>
    <t>学童第2と按分</t>
    <rPh sb="0" eb="2">
      <t>ガクドウ</t>
    </rPh>
    <rPh sb="2" eb="3">
      <t>ダイ</t>
    </rPh>
    <rPh sb="5" eb="7">
      <t>アンブン</t>
    </rPh>
    <phoneticPr fontId="3"/>
  </si>
  <si>
    <t>エレベータ保守・電気保安協会40,000円/月</t>
    <rPh sb="5" eb="7">
      <t>ホシュ</t>
    </rPh>
    <rPh sb="8" eb="10">
      <t>デンキ</t>
    </rPh>
    <rPh sb="10" eb="12">
      <t>ホアン</t>
    </rPh>
    <rPh sb="12" eb="14">
      <t>キョウカイ</t>
    </rPh>
    <rPh sb="20" eb="21">
      <t>エン</t>
    </rPh>
    <rPh sb="22" eb="23">
      <t>ツキ</t>
    </rPh>
    <phoneticPr fontId="3"/>
  </si>
  <si>
    <t>下半期平均15名/日 @9,500円/回</t>
    <rPh sb="0" eb="3">
      <t>シモハンキ</t>
    </rPh>
    <rPh sb="3" eb="5">
      <t>ヘイキン</t>
    </rPh>
    <rPh sb="7" eb="8">
      <t>メイ</t>
    </rPh>
    <rPh sb="9" eb="10">
      <t>ニチ</t>
    </rPh>
    <rPh sb="17" eb="18">
      <t>エン</t>
    </rPh>
    <rPh sb="19" eb="20">
      <t>カイ</t>
    </rPh>
    <phoneticPr fontId="3"/>
  </si>
  <si>
    <t>平均9名/日　@8,000円/回</t>
    <rPh sb="0" eb="2">
      <t>ヘイキン</t>
    </rPh>
    <rPh sb="3" eb="4">
      <t>メイ</t>
    </rPh>
    <rPh sb="5" eb="6">
      <t>ニチ</t>
    </rPh>
    <rPh sb="13" eb="14">
      <t>エン</t>
    </rPh>
    <rPh sb="15" eb="16">
      <t>カイ</t>
    </rPh>
    <phoneticPr fontId="3"/>
  </si>
  <si>
    <t>達成目標平均14名/日　@6,800円/回</t>
    <rPh sb="0" eb="2">
      <t>タッセイ</t>
    </rPh>
    <rPh sb="2" eb="4">
      <t>モクヒョウ</t>
    </rPh>
    <rPh sb="4" eb="6">
      <t>ヘイキン</t>
    </rPh>
    <rPh sb="8" eb="9">
      <t>メイ</t>
    </rPh>
    <rPh sb="10" eb="11">
      <t>ニチ</t>
    </rPh>
    <rPh sb="18" eb="19">
      <t>エン</t>
    </rPh>
    <rPh sb="20" eb="21">
      <t>カイ</t>
    </rPh>
    <phoneticPr fontId="3"/>
  </si>
  <si>
    <t>630000*12 情野作本</t>
    <rPh sb="10" eb="12">
      <t>セイノ</t>
    </rPh>
    <rPh sb="12" eb="14">
      <t>サクモト</t>
    </rPh>
    <phoneticPr fontId="3"/>
  </si>
  <si>
    <t>情野作本学童北本</t>
    <rPh sb="0" eb="2">
      <t>セイノ</t>
    </rPh>
    <rPh sb="2" eb="4">
      <t>サクモト</t>
    </rPh>
    <rPh sb="4" eb="6">
      <t>ガクドウ</t>
    </rPh>
    <rPh sb="6" eb="8">
      <t>キタモト</t>
    </rPh>
    <phoneticPr fontId="3"/>
  </si>
  <si>
    <t>拠点施設修繕費積立（学童・小田）各5万/月</t>
    <rPh sb="0" eb="2">
      <t>キョテン</t>
    </rPh>
    <rPh sb="2" eb="4">
      <t>シセツ</t>
    </rPh>
    <rPh sb="4" eb="7">
      <t>シュウゼンヒ</t>
    </rPh>
    <rPh sb="7" eb="9">
      <t>ツミタテ</t>
    </rPh>
    <rPh sb="10" eb="12">
      <t>ガクドウ</t>
    </rPh>
    <rPh sb="13" eb="15">
      <t>オダ</t>
    </rPh>
    <rPh sb="16" eb="17">
      <t>カク</t>
    </rPh>
    <rPh sb="18" eb="19">
      <t>マン</t>
    </rPh>
    <rPh sb="20" eb="21">
      <t>ツキ</t>
    </rPh>
    <phoneticPr fontId="3"/>
  </si>
  <si>
    <t>学童１</t>
    <rPh sb="0" eb="2">
      <t>ガクドウ</t>
    </rPh>
    <phoneticPr fontId="3"/>
  </si>
  <si>
    <t>学童２</t>
    <rPh sb="0" eb="2">
      <t>ガクドウ</t>
    </rPh>
    <phoneticPr fontId="3"/>
  </si>
  <si>
    <t>みのり</t>
    <phoneticPr fontId="3"/>
  </si>
  <si>
    <t>障がい福祉収益</t>
    <rPh sb="0" eb="1">
      <t>ショウ</t>
    </rPh>
    <rPh sb="3" eb="5">
      <t>フクシ</t>
    </rPh>
    <rPh sb="5" eb="7">
      <t>シュウエキ</t>
    </rPh>
    <phoneticPr fontId="3"/>
  </si>
  <si>
    <t>介護保険収益</t>
    <rPh sb="0" eb="2">
      <t>カイゴ</t>
    </rPh>
    <rPh sb="2" eb="4">
      <t>ホケン</t>
    </rPh>
    <rPh sb="4" eb="6">
      <t>シュウエキ</t>
    </rPh>
    <phoneticPr fontId="3"/>
  </si>
  <si>
    <t>委託・補助金収益</t>
    <rPh sb="0" eb="2">
      <t>イタク</t>
    </rPh>
    <rPh sb="3" eb="6">
      <t>ホジョキン</t>
    </rPh>
    <rPh sb="6" eb="8">
      <t>シュウエキ</t>
    </rPh>
    <phoneticPr fontId="3"/>
  </si>
  <si>
    <t>借入金積立・返済(高齢訪問+奥立願寺）各30万/月</t>
    <rPh sb="0" eb="2">
      <t>カリイレ</t>
    </rPh>
    <rPh sb="2" eb="3">
      <t>キン</t>
    </rPh>
    <rPh sb="3" eb="5">
      <t>ツミタテ</t>
    </rPh>
    <rPh sb="6" eb="8">
      <t>ヘンサイ</t>
    </rPh>
    <rPh sb="9" eb="11">
      <t>コウレイ</t>
    </rPh>
    <rPh sb="11" eb="13">
      <t>ホウモン</t>
    </rPh>
    <rPh sb="14" eb="15">
      <t>オク</t>
    </rPh>
    <rPh sb="15" eb="16">
      <t>リュウ</t>
    </rPh>
    <rPh sb="16" eb="17">
      <t>ガン</t>
    </rPh>
    <rPh sb="17" eb="18">
      <t>ジ</t>
    </rPh>
    <rPh sb="19" eb="20">
      <t>カク</t>
    </rPh>
    <rPh sb="22" eb="23">
      <t>マン</t>
    </rPh>
    <rPh sb="24" eb="25">
      <t>ツキ</t>
    </rPh>
    <phoneticPr fontId="3"/>
  </si>
  <si>
    <t>独自サービス収益</t>
    <rPh sb="0" eb="2">
      <t>ドクジ</t>
    </rPh>
    <rPh sb="6" eb="8">
      <t>シュウエキ</t>
    </rPh>
    <phoneticPr fontId="3"/>
  </si>
  <si>
    <t>ささえあい
訪問</t>
    <rPh sb="6" eb="8">
      <t>ホウモン</t>
    </rPh>
    <phoneticPr fontId="3"/>
  </si>
  <si>
    <t>ささえあい
居宅</t>
    <rPh sb="6" eb="8">
      <t>キョタク</t>
    </rPh>
    <phoneticPr fontId="3"/>
  </si>
  <si>
    <t>奥立願寺
デイ</t>
    <rPh sb="0" eb="1">
      <t>オク</t>
    </rPh>
    <rPh sb="1" eb="4">
      <t>リュウガンジ</t>
    </rPh>
    <phoneticPr fontId="3"/>
  </si>
  <si>
    <t>わかちあい
訪問</t>
    <rPh sb="6" eb="8">
      <t>ホウモン</t>
    </rPh>
    <phoneticPr fontId="3"/>
  </si>
  <si>
    <t>わかちあい
就労</t>
    <rPh sb="6" eb="8">
      <t>シュウロウ</t>
    </rPh>
    <phoneticPr fontId="3"/>
  </si>
  <si>
    <t>高瀬
デイ</t>
    <rPh sb="0" eb="2">
      <t>タカセ</t>
    </rPh>
    <phoneticPr fontId="3"/>
  </si>
  <si>
    <t>収　　益</t>
    <rPh sb="0" eb="1">
      <t>オサム</t>
    </rPh>
    <rPh sb="3" eb="4">
      <t>エキ</t>
    </rPh>
    <phoneticPr fontId="3"/>
  </si>
  <si>
    <t>費　　用</t>
    <rPh sb="0" eb="1">
      <t>ヒ</t>
    </rPh>
    <rPh sb="3" eb="4">
      <t>ヨウ</t>
    </rPh>
    <phoneticPr fontId="3"/>
  </si>
  <si>
    <t>差　　額</t>
    <rPh sb="0" eb="1">
      <t>サ</t>
    </rPh>
    <rPh sb="3" eb="4">
      <t>ガク</t>
    </rPh>
    <phoneticPr fontId="3"/>
  </si>
  <si>
    <t>材料費</t>
    <rPh sb="0" eb="3">
      <t>ザイリョウヒ</t>
    </rPh>
    <phoneticPr fontId="3"/>
  </si>
  <si>
    <t>雑費</t>
    <phoneticPr fontId="3"/>
  </si>
  <si>
    <t>人材</t>
    <rPh sb="0" eb="2">
      <t>ジンザイ</t>
    </rPh>
    <phoneticPr fontId="3"/>
  </si>
  <si>
    <t>生活困窮</t>
    <rPh sb="0" eb="2">
      <t>セイカツ</t>
    </rPh>
    <rPh sb="2" eb="4">
      <t>コンキュウ</t>
    </rPh>
    <phoneticPr fontId="3"/>
  </si>
  <si>
    <t>たすけあい</t>
    <phoneticPr fontId="3"/>
  </si>
  <si>
    <t>生活支援</t>
    <rPh sb="0" eb="2">
      <t>セイカツ</t>
    </rPh>
    <rPh sb="2" eb="4">
      <t>シエン</t>
    </rPh>
    <phoneticPr fontId="3"/>
  </si>
  <si>
    <t>グッドシーズン</t>
    <phoneticPr fontId="3"/>
  </si>
  <si>
    <t>本部統括</t>
    <rPh sb="0" eb="2">
      <t>ホンブ</t>
    </rPh>
    <rPh sb="2" eb="4">
      <t>トウカツ</t>
    </rPh>
    <phoneticPr fontId="3"/>
  </si>
  <si>
    <t>消耗品費</t>
    <phoneticPr fontId="3"/>
  </si>
  <si>
    <t>支払利息（長期借入利子）</t>
    <rPh sb="0" eb="2">
      <t>シハライ</t>
    </rPh>
    <rPh sb="2" eb="4">
      <t>リソク</t>
    </rPh>
    <rPh sb="5" eb="7">
      <t>チョウキ</t>
    </rPh>
    <rPh sb="7" eb="9">
      <t>カリイレ</t>
    </rPh>
    <rPh sb="9" eb="11">
      <t>リシ</t>
    </rPh>
    <phoneticPr fontId="3"/>
  </si>
  <si>
    <t>雑損失</t>
    <rPh sb="0" eb="1">
      <t>ザツ</t>
    </rPh>
    <rPh sb="1" eb="3">
      <t>ソンシツ</t>
    </rPh>
    <phoneticPr fontId="3"/>
  </si>
  <si>
    <t>給与・賞与(よかとこ）</t>
    <rPh sb="0" eb="2">
      <t>キュウヨ</t>
    </rPh>
    <rPh sb="3" eb="5">
      <t>ショウヨ</t>
    </rPh>
    <phoneticPr fontId="3"/>
  </si>
  <si>
    <t>宅老所</t>
    <rPh sb="0" eb="3">
      <t>タクロウショ</t>
    </rPh>
    <phoneticPr fontId="3"/>
  </si>
  <si>
    <t>事業費
合計</t>
    <rPh sb="0" eb="3">
      <t>ジギョウヒ</t>
    </rPh>
    <rPh sb="4" eb="6">
      <t>ゴウケイ</t>
    </rPh>
    <phoneticPr fontId="3"/>
  </si>
  <si>
    <t>本部
管理費</t>
    <rPh sb="0" eb="2">
      <t>ホンブ</t>
    </rPh>
    <rPh sb="3" eb="6">
      <t>カンリヒ</t>
    </rPh>
    <phoneticPr fontId="3"/>
  </si>
  <si>
    <t>法人
合計</t>
    <rPh sb="0" eb="2">
      <t>ホウジン</t>
    </rPh>
    <rPh sb="3" eb="5">
      <t>ゴウケイ</t>
    </rPh>
    <phoneticPr fontId="3"/>
  </si>
  <si>
    <t>材料費</t>
    <rPh sb="0" eb="3">
      <t>ザイリョウヒ</t>
    </rPh>
    <phoneticPr fontId="3"/>
  </si>
  <si>
    <t>人件費</t>
    <rPh sb="0" eb="3">
      <t>ジンケンヒ</t>
    </rPh>
    <phoneticPr fontId="3"/>
  </si>
  <si>
    <t>収　益</t>
    <rPh sb="0" eb="1">
      <t>オサム</t>
    </rPh>
    <rPh sb="2" eb="3">
      <t>エキ</t>
    </rPh>
    <phoneticPr fontId="3"/>
  </si>
  <si>
    <t>費　用</t>
    <rPh sb="0" eb="1">
      <t>ヒ</t>
    </rPh>
    <rPh sb="2" eb="3">
      <t>ヨウ</t>
    </rPh>
    <phoneticPr fontId="3"/>
  </si>
  <si>
    <t>　　　　　　借入金積立</t>
    <rPh sb="6" eb="8">
      <t>カリイレ</t>
    </rPh>
    <rPh sb="8" eb="9">
      <t>キン</t>
    </rPh>
    <rPh sb="9" eb="11">
      <t>ツミタテ</t>
    </rPh>
    <phoneticPr fontId="3"/>
  </si>
  <si>
    <t>　　　　　　予備費</t>
    <phoneticPr fontId="3"/>
  </si>
  <si>
    <t>社会保険料等</t>
    <rPh sb="0" eb="2">
      <t>シャカイ</t>
    </rPh>
    <rPh sb="2" eb="5">
      <t>ホケンリョウ</t>
    </rPh>
    <rPh sb="5" eb="6">
      <t>トウ</t>
    </rPh>
    <phoneticPr fontId="3"/>
  </si>
  <si>
    <t>３、その他の費用</t>
    <rPh sb="4" eb="5">
      <t>タ</t>
    </rPh>
    <rPh sb="6" eb="8">
      <t>ヒヨウ</t>
    </rPh>
    <phoneticPr fontId="3"/>
  </si>
  <si>
    <t>長期借入金利息</t>
    <rPh sb="0" eb="2">
      <t>チョウキ</t>
    </rPh>
    <rPh sb="2" eb="5">
      <t>シャクニュウキン</t>
    </rPh>
    <rPh sb="5" eb="7">
      <t>リソク</t>
    </rPh>
    <phoneticPr fontId="3"/>
  </si>
  <si>
    <t>　　支払利息</t>
    <rPh sb="2" eb="4">
      <t>シハライ</t>
    </rPh>
    <rPh sb="4" eb="6">
      <t>リソク</t>
    </rPh>
    <phoneticPr fontId="3"/>
  </si>
  <si>
    <t>　　　公的介護保険収益</t>
    <rPh sb="3" eb="5">
      <t>コウテキ</t>
    </rPh>
    <rPh sb="5" eb="7">
      <t>カイゴ</t>
    </rPh>
    <rPh sb="7" eb="9">
      <t>ホケン</t>
    </rPh>
    <rPh sb="9" eb="11">
      <t>シュウエキ</t>
    </rPh>
    <phoneticPr fontId="3"/>
  </si>
  <si>
    <t>　　　公的障害福祉サービス収益</t>
    <rPh sb="3" eb="5">
      <t>コウテキ</t>
    </rPh>
    <rPh sb="5" eb="7">
      <t>ショウガイ</t>
    </rPh>
    <rPh sb="7" eb="9">
      <t>フクシ</t>
    </rPh>
    <rPh sb="13" eb="15">
      <t>シュウエキ</t>
    </rPh>
    <phoneticPr fontId="3"/>
  </si>
  <si>
    <t>　　　公的委託・補助金収益</t>
    <rPh sb="3" eb="5">
      <t>コウテキ</t>
    </rPh>
    <rPh sb="5" eb="7">
      <t>イタク</t>
    </rPh>
    <rPh sb="8" eb="11">
      <t>ホジョキン</t>
    </rPh>
    <rPh sb="11" eb="13">
      <t>シュウエキ</t>
    </rPh>
    <phoneticPr fontId="3"/>
  </si>
  <si>
    <t>　　　独自サービス収益</t>
    <rPh sb="3" eb="5">
      <t>ドクジ</t>
    </rPh>
    <rPh sb="9" eb="11">
      <t>シュウエキ</t>
    </rPh>
    <phoneticPr fontId="3"/>
  </si>
  <si>
    <t>貸倒引当金戻入</t>
    <rPh sb="0" eb="1">
      <t>カシ</t>
    </rPh>
    <rPh sb="1" eb="2">
      <t>ダオ</t>
    </rPh>
    <rPh sb="2" eb="4">
      <t>ヒキアテ</t>
    </rPh>
    <rPh sb="4" eb="5">
      <t>キン</t>
    </rPh>
    <rPh sb="5" eb="7">
      <t>レイニュウ</t>
    </rPh>
    <phoneticPr fontId="3"/>
  </si>
  <si>
    <t>　　　貸倒引当金戻入</t>
    <rPh sb="3" eb="8">
      <t>カシダオレヒキアテキン</t>
    </rPh>
    <rPh sb="8" eb="10">
      <t>レイニュウ</t>
    </rPh>
    <phoneticPr fontId="3"/>
  </si>
  <si>
    <t>ささえあいデイ(中尾/髙瀬）</t>
    <rPh sb="8" eb="10">
      <t>ナカオ</t>
    </rPh>
    <rPh sb="11" eb="12">
      <t>タカ</t>
    </rPh>
    <rPh sb="12" eb="13">
      <t>セ</t>
    </rPh>
    <phoneticPr fontId="3"/>
  </si>
  <si>
    <t>新拠点</t>
    <rPh sb="0" eb="3">
      <t>シンキョテン</t>
    </rPh>
    <phoneticPr fontId="3"/>
  </si>
  <si>
    <t>2016年度　特定非営利活動法人　地域たすけあいの会　予算書</t>
    <rPh sb="27" eb="30">
      <t>ヨサンショ</t>
    </rPh>
    <phoneticPr fontId="3"/>
  </si>
  <si>
    <t>2016年度　特定非営利活動法人　地域たすけあいの会　予算案（事業別損益表）</t>
    <rPh sb="4" eb="6">
      <t>ネンド</t>
    </rPh>
    <rPh sb="7" eb="9">
      <t>トクテイ</t>
    </rPh>
    <rPh sb="9" eb="12">
      <t>ヒエイリ</t>
    </rPh>
    <rPh sb="12" eb="14">
      <t>カツドウ</t>
    </rPh>
    <rPh sb="14" eb="16">
      <t>ホウジン</t>
    </rPh>
    <rPh sb="17" eb="19">
      <t>チイキ</t>
    </rPh>
    <rPh sb="25" eb="26">
      <t>カイ</t>
    </rPh>
    <rPh sb="27" eb="29">
      <t>ヨサン</t>
    </rPh>
    <rPh sb="29" eb="30">
      <t>アン</t>
    </rPh>
    <rPh sb="31" eb="33">
      <t>ジギョウ</t>
    </rPh>
    <rPh sb="33" eb="34">
      <t>ベツ</t>
    </rPh>
    <rPh sb="34" eb="36">
      <t>ソンエキ</t>
    </rPh>
    <rPh sb="36" eb="37">
      <t>ヒョウ</t>
    </rPh>
    <phoneticPr fontId="3"/>
  </si>
  <si>
    <t>2016年度　活 動 計 算 書</t>
    <rPh sb="7" eb="8">
      <t>カツ</t>
    </rPh>
    <rPh sb="9" eb="10">
      <t>ドウ</t>
    </rPh>
    <rPh sb="11" eb="12">
      <t>ケイ</t>
    </rPh>
    <rPh sb="13" eb="14">
      <t>サン</t>
    </rPh>
    <rPh sb="15" eb="16">
      <t>ショ</t>
    </rPh>
    <phoneticPr fontId="3"/>
  </si>
  <si>
    <t>2016年4月1日から2017年3月31日まで</t>
    <phoneticPr fontId="3"/>
  </si>
  <si>
    <t>委員会活動費</t>
    <rPh sb="0" eb="3">
      <t>イインカイ</t>
    </rPh>
    <rPh sb="3" eb="5">
      <t>カツドウ</t>
    </rPh>
    <rPh sb="5" eb="6">
      <t>ヒ</t>
    </rPh>
    <phoneticPr fontId="3"/>
  </si>
  <si>
    <t>委員会活動費</t>
    <rPh sb="0" eb="3">
      <t>イインカイ</t>
    </rPh>
    <rPh sb="3" eb="5">
      <t>カツドウ</t>
    </rPh>
    <rPh sb="5" eb="6">
      <t>ヒ</t>
    </rPh>
    <phoneticPr fontId="3"/>
  </si>
  <si>
    <t>　　　　　　委員会活動費</t>
    <rPh sb="6" eb="9">
      <t>イインカイ</t>
    </rPh>
    <rPh sb="9" eb="11">
      <t>カツドウ</t>
    </rPh>
    <rPh sb="11" eb="12">
      <t>ヒ</t>
    </rPh>
    <phoneticPr fontId="3"/>
  </si>
  <si>
    <t>当期経常増減額約30％相当</t>
    <rPh sb="0" eb="2">
      <t>トウキ</t>
    </rPh>
    <rPh sb="2" eb="4">
      <t>ケイジョウ</t>
    </rPh>
    <rPh sb="4" eb="6">
      <t>ゾウゲン</t>
    </rPh>
    <rPh sb="6" eb="7">
      <t>ガク</t>
    </rPh>
    <rPh sb="7" eb="8">
      <t>ヤク</t>
    </rPh>
    <rPh sb="11" eb="13">
      <t>ソウトウ</t>
    </rPh>
    <phoneticPr fontId="3"/>
  </si>
  <si>
    <t>養成研修外部講師料等</t>
    <rPh sb="0" eb="2">
      <t>ヨウセイ</t>
    </rPh>
    <rPh sb="2" eb="4">
      <t>ケンシュウ</t>
    </rPh>
    <rPh sb="4" eb="6">
      <t>ガイブ</t>
    </rPh>
    <rPh sb="6" eb="8">
      <t>コウシ</t>
    </rPh>
    <rPh sb="8" eb="9">
      <t>リョウ</t>
    </rPh>
    <rPh sb="9" eb="1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</si>
</sst>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,"/>
    <numFmt numFmtId="177" formatCode="#,##0;&quot;△ &quot;#,##0"/>
    <numFmt numFmtId="178" formatCode="0.0%"/>
    <numFmt numFmtId="179" formatCode="#,##0_);[Red]\(#,##0\)"/>
    <numFmt numFmtId="180" formatCode="#,##0;&quot;▲ &quot;#,##0"/>
    <numFmt numFmtId="181" formatCode="#,##0_ "/>
    <numFmt numFmtId="182" formatCode="#,##0.000,"/>
    <numFmt numFmtId="183" formatCode="0;&quot;▲ &quot;0"/>
    <numFmt numFmtId="184" formatCode="General&quot;人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3"/>
      </patternFill>
    </fill>
    <fill>
      <patternFill patternType="solid">
        <fgColor theme="2"/>
        <bgColor indexed="41"/>
      </patternFill>
    </fill>
    <fill>
      <patternFill patternType="solid">
        <fgColor theme="2"/>
        <bgColor indexed="31"/>
      </patternFill>
    </fill>
    <fill>
      <patternFill patternType="solid">
        <fgColor rgb="FFFF0000"/>
        <bgColor indexed="64"/>
      </patternFill>
    </fill>
  </fills>
  <borders count="1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4" fillId="0" borderId="0" applyFill="0" applyBorder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2" fillId="0" borderId="0" applyFill="0" applyBorder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02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38" fontId="6" fillId="0" borderId="4" xfId="1" applyFont="1" applyFill="1" applyBorder="1" applyAlignment="1" applyProtection="1">
      <alignment vertical="center" shrinkToFit="1"/>
    </xf>
    <xf numFmtId="38" fontId="6" fillId="0" borderId="3" xfId="1" applyFont="1" applyFill="1" applyBorder="1" applyAlignment="1" applyProtection="1">
      <alignment vertical="center" shrinkToFit="1"/>
    </xf>
    <xf numFmtId="38" fontId="6" fillId="0" borderId="2" xfId="1" applyFont="1" applyFill="1" applyBorder="1" applyAlignment="1" applyProtection="1">
      <alignment vertical="center" shrinkToFit="1"/>
    </xf>
    <xf numFmtId="0" fontId="8" fillId="0" borderId="0" xfId="0" applyFont="1">
      <alignment vertical="center"/>
    </xf>
    <xf numFmtId="38" fontId="7" fillId="0" borderId="4" xfId="1" applyFont="1" applyFill="1" applyBorder="1" applyAlignment="1" applyProtection="1">
      <alignment vertical="center" shrinkToFit="1"/>
    </xf>
    <xf numFmtId="38" fontId="5" fillId="0" borderId="4" xfId="1" applyFont="1" applyFill="1" applyBorder="1" applyAlignment="1" applyProtection="1">
      <alignment vertical="center" shrinkToFit="1"/>
    </xf>
    <xf numFmtId="38" fontId="5" fillId="0" borderId="3" xfId="1" applyFont="1" applyFill="1" applyBorder="1" applyAlignment="1" applyProtection="1">
      <alignment vertical="center" shrinkToFit="1"/>
    </xf>
    <xf numFmtId="0" fontId="6" fillId="0" borderId="0" xfId="0" applyFont="1" applyAlignment="1">
      <alignment vertical="center" shrinkToFit="1"/>
    </xf>
    <xf numFmtId="176" fontId="6" fillId="0" borderId="0" xfId="0" applyNumberFormat="1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9" fontId="6" fillId="0" borderId="0" xfId="0" applyNumberFormat="1" applyFont="1">
      <alignment vertical="center"/>
    </xf>
    <xf numFmtId="9" fontId="6" fillId="0" borderId="0" xfId="0" applyNumberFormat="1" applyFont="1" applyBorder="1">
      <alignment vertical="center"/>
    </xf>
    <xf numFmtId="177" fontId="6" fillId="0" borderId="3" xfId="1" applyNumberFormat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38" fontId="5" fillId="0" borderId="5" xfId="1" applyFont="1" applyFill="1" applyBorder="1" applyAlignment="1" applyProtection="1">
      <alignment vertical="center" shrinkToFit="1"/>
    </xf>
    <xf numFmtId="38" fontId="6" fillId="0" borderId="5" xfId="1" applyFont="1" applyFill="1" applyBorder="1" applyAlignment="1" applyProtection="1">
      <alignment vertical="center" shrinkToFit="1"/>
    </xf>
    <xf numFmtId="38" fontId="6" fillId="0" borderId="5" xfId="1" applyFont="1" applyFill="1" applyBorder="1" applyAlignment="1" applyProtection="1">
      <alignment vertical="center"/>
    </xf>
    <xf numFmtId="177" fontId="6" fillId="0" borderId="5" xfId="1" applyNumberFormat="1" applyFont="1" applyFill="1" applyBorder="1" applyAlignment="1" applyProtection="1">
      <alignment vertical="center"/>
    </xf>
    <xf numFmtId="38" fontId="5" fillId="0" borderId="6" xfId="1" applyFont="1" applyFill="1" applyBorder="1" applyAlignment="1" applyProtection="1">
      <alignment vertical="center" shrinkToFit="1"/>
    </xf>
    <xf numFmtId="38" fontId="6" fillId="0" borderId="6" xfId="1" applyFont="1" applyFill="1" applyBorder="1" applyAlignment="1" applyProtection="1">
      <alignment vertical="center" shrinkToFit="1"/>
    </xf>
    <xf numFmtId="38" fontId="6" fillId="0" borderId="6" xfId="1" applyFont="1" applyFill="1" applyBorder="1" applyAlignment="1" applyProtection="1">
      <alignment vertical="center"/>
    </xf>
    <xf numFmtId="177" fontId="6" fillId="0" borderId="6" xfId="1" applyNumberFormat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</xf>
    <xf numFmtId="9" fontId="6" fillId="0" borderId="0" xfId="1" applyNumberFormat="1" applyFont="1" applyFill="1" applyBorder="1" applyAlignment="1" applyProtection="1">
      <alignment vertical="center" shrinkToFit="1"/>
    </xf>
    <xf numFmtId="38" fontId="5" fillId="0" borderId="2" xfId="1" applyFont="1" applyFill="1" applyBorder="1" applyAlignment="1" applyProtection="1">
      <alignment vertical="center" shrinkToFit="1"/>
    </xf>
    <xf numFmtId="38" fontId="6" fillId="0" borderId="2" xfId="1" applyFont="1" applyFill="1" applyBorder="1" applyAlignment="1" applyProtection="1">
      <alignment vertical="center"/>
    </xf>
    <xf numFmtId="177" fontId="6" fillId="0" borderId="2" xfId="1" applyNumberFormat="1" applyFont="1" applyFill="1" applyBorder="1" applyAlignment="1" applyProtection="1">
      <alignment vertical="center"/>
    </xf>
    <xf numFmtId="177" fontId="8" fillId="0" borderId="4" xfId="1" applyNumberFormat="1" applyFont="1" applyFill="1" applyBorder="1" applyAlignment="1" applyProtection="1">
      <alignment vertical="center"/>
    </xf>
    <xf numFmtId="9" fontId="5" fillId="0" borderId="0" xfId="1" applyNumberFormat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</xf>
    <xf numFmtId="38" fontId="6" fillId="0" borderId="0" xfId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 applyProtection="1">
      <alignment vertical="center"/>
    </xf>
    <xf numFmtId="0" fontId="6" fillId="0" borderId="0" xfId="0" applyFont="1" applyBorder="1">
      <alignment vertical="center"/>
    </xf>
    <xf numFmtId="38" fontId="5" fillId="0" borderId="1" xfId="1" applyFont="1" applyFill="1" applyBorder="1" applyAlignment="1" applyProtection="1">
      <alignment vertical="center" shrinkToFit="1"/>
    </xf>
    <xf numFmtId="9" fontId="8" fillId="0" borderId="0" xfId="0" applyNumberFormat="1" applyFont="1" applyBorder="1">
      <alignment vertical="center"/>
    </xf>
    <xf numFmtId="177" fontId="8" fillId="0" borderId="2" xfId="1" applyNumberFormat="1" applyFont="1" applyFill="1" applyBorder="1" applyAlignment="1" applyProtection="1">
      <alignment vertical="center"/>
    </xf>
    <xf numFmtId="9" fontId="8" fillId="0" borderId="0" xfId="0" applyNumberFormat="1" applyFont="1">
      <alignment vertical="center"/>
    </xf>
    <xf numFmtId="180" fontId="6" fillId="0" borderId="0" xfId="1" applyNumberFormat="1" applyFont="1" applyFill="1" applyBorder="1" applyAlignment="1" applyProtection="1">
      <alignment vertical="center"/>
    </xf>
    <xf numFmtId="0" fontId="6" fillId="0" borderId="11" xfId="0" applyFont="1" applyBorder="1" applyAlignment="1">
      <alignment horizontal="center" vertical="center"/>
    </xf>
    <xf numFmtId="9" fontId="6" fillId="0" borderId="4" xfId="0" applyNumberFormat="1" applyFont="1" applyBorder="1">
      <alignment vertical="center"/>
    </xf>
    <xf numFmtId="178" fontId="6" fillId="0" borderId="0" xfId="1" applyNumberFormat="1" applyFont="1" applyFill="1" applyBorder="1" applyAlignment="1" applyProtection="1">
      <alignment horizontal="center" vertical="center" shrinkToFit="1"/>
    </xf>
    <xf numFmtId="178" fontId="6" fillId="0" borderId="7" xfId="0" applyNumberFormat="1" applyFont="1" applyBorder="1">
      <alignment vertical="center"/>
    </xf>
    <xf numFmtId="0" fontId="6" fillId="0" borderId="7" xfId="0" applyFont="1" applyBorder="1">
      <alignment vertical="center"/>
    </xf>
    <xf numFmtId="9" fontId="6" fillId="0" borderId="0" xfId="0" applyNumberFormat="1" applyFont="1" applyBorder="1" applyAlignment="1">
      <alignment horizontal="center" vertical="center"/>
    </xf>
    <xf numFmtId="178" fontId="6" fillId="0" borderId="11" xfId="1" applyNumberFormat="1" applyFont="1" applyFill="1" applyBorder="1" applyAlignment="1" applyProtection="1">
      <alignment horizontal="center" vertical="center" shrinkToFit="1"/>
    </xf>
    <xf numFmtId="179" fontId="6" fillId="0" borderId="11" xfId="1" applyNumberFormat="1" applyFont="1" applyFill="1" applyBorder="1" applyAlignment="1" applyProtection="1">
      <alignment horizontal="center" vertical="center" shrinkToFit="1"/>
    </xf>
    <xf numFmtId="9" fontId="6" fillId="0" borderId="1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78" fontId="6" fillId="0" borderId="3" xfId="1" applyNumberFormat="1" applyFont="1" applyFill="1" applyBorder="1" applyAlignment="1" applyProtection="1">
      <alignment horizontal="center" vertical="center" shrinkToFit="1"/>
    </xf>
    <xf numFmtId="178" fontId="6" fillId="0" borderId="10" xfId="1" applyNumberFormat="1" applyFont="1" applyFill="1" applyBorder="1" applyAlignment="1" applyProtection="1">
      <alignment horizontal="center" vertical="center" shrinkToFit="1"/>
    </xf>
    <xf numFmtId="38" fontId="6" fillId="0" borderId="14" xfId="0" applyNumberFormat="1" applyFont="1" applyBorder="1" applyAlignment="1">
      <alignment horizontal="center" vertical="center"/>
    </xf>
    <xf numFmtId="179" fontId="6" fillId="0" borderId="4" xfId="1" applyNumberFormat="1" applyFont="1" applyFill="1" applyBorder="1" applyAlignment="1" applyProtection="1">
      <alignment horizontal="center" vertical="center" shrinkToFit="1"/>
    </xf>
    <xf numFmtId="9" fontId="6" fillId="0" borderId="3" xfId="1" applyNumberFormat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6" fillId="0" borderId="0" xfId="1" applyFont="1" applyFill="1" applyBorder="1" applyAlignment="1" applyProtection="1">
      <alignment horizontal="center" vertical="center" wrapText="1"/>
    </xf>
    <xf numFmtId="3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9" fontId="6" fillId="0" borderId="0" xfId="1" applyNumberFormat="1" applyFont="1" applyFill="1" applyBorder="1" applyAlignment="1" applyProtection="1">
      <alignment horizontal="center" vertical="center" shrinkToFit="1"/>
    </xf>
    <xf numFmtId="9" fontId="6" fillId="0" borderId="0" xfId="1" applyNumberFormat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vertical="center"/>
    </xf>
    <xf numFmtId="9" fontId="5" fillId="0" borderId="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right" vertical="center"/>
    </xf>
    <xf numFmtId="178" fontId="5" fillId="0" borderId="0" xfId="1" applyNumberFormat="1" applyFont="1" applyFill="1" applyBorder="1" applyAlignment="1" applyProtection="1">
      <alignment horizontal="right" vertical="center" shrinkToFit="1"/>
    </xf>
    <xf numFmtId="178" fontId="5" fillId="0" borderId="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right" vertical="center" shrinkToFit="1"/>
    </xf>
    <xf numFmtId="179" fontId="5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0" applyFont="1" applyFill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5" borderId="11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9" fontId="11" fillId="0" borderId="4" xfId="1" applyNumberFormat="1" applyFont="1" applyFill="1" applyBorder="1" applyAlignment="1" applyProtection="1">
      <alignment vertical="center"/>
    </xf>
    <xf numFmtId="38" fontId="11" fillId="0" borderId="3" xfId="1" applyFont="1" applyFill="1" applyBorder="1" applyAlignment="1" applyProtection="1">
      <alignment vertical="center"/>
    </xf>
    <xf numFmtId="38" fontId="11" fillId="0" borderId="3" xfId="1" applyFont="1" applyFill="1" applyBorder="1" applyAlignment="1" applyProtection="1">
      <alignment horizontal="right" vertical="center"/>
    </xf>
    <xf numFmtId="178" fontId="11" fillId="0" borderId="3" xfId="1" applyNumberFormat="1" applyFont="1" applyFill="1" applyBorder="1" applyAlignment="1" applyProtection="1">
      <alignment horizontal="right" vertical="center" shrinkToFit="1"/>
    </xf>
    <xf numFmtId="178" fontId="11" fillId="0" borderId="4" xfId="1" applyNumberFormat="1" applyFont="1" applyFill="1" applyBorder="1" applyAlignment="1" applyProtection="1">
      <alignment horizontal="right" vertical="center" shrinkToFit="1"/>
    </xf>
    <xf numFmtId="178" fontId="6" fillId="2" borderId="3" xfId="1" applyNumberFormat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14" xfId="1" applyFont="1" applyFill="1" applyBorder="1" applyAlignment="1" applyProtection="1">
      <alignment vertical="center"/>
    </xf>
    <xf numFmtId="38" fontId="6" fillId="6" borderId="3" xfId="1" applyFont="1" applyFill="1" applyBorder="1" applyAlignment="1" applyProtection="1">
      <alignment vertical="center"/>
    </xf>
    <xf numFmtId="178" fontId="11" fillId="0" borderId="11" xfId="1" applyNumberFormat="1" applyFont="1" applyFill="1" applyBorder="1" applyAlignment="1" applyProtection="1">
      <alignment horizontal="right" vertical="center" shrinkToFit="1"/>
    </xf>
    <xf numFmtId="38" fontId="11" fillId="0" borderId="3" xfId="1" applyFont="1" applyFill="1" applyBorder="1" applyAlignment="1" applyProtection="1">
      <alignment horizontal="right" vertical="center" shrinkToFit="1"/>
    </xf>
    <xf numFmtId="179" fontId="11" fillId="0" borderId="11" xfId="1" applyNumberFormat="1" applyFont="1" applyFill="1" applyBorder="1" applyAlignment="1" applyProtection="1">
      <alignment horizontal="right" vertical="center" shrinkToFit="1"/>
    </xf>
    <xf numFmtId="9" fontId="11" fillId="2" borderId="3" xfId="1" applyNumberFormat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0" fontId="6" fillId="0" borderId="0" xfId="0" applyFont="1" applyFill="1">
      <alignment vertical="center"/>
    </xf>
    <xf numFmtId="38" fontId="5" fillId="5" borderId="0" xfId="1" applyFont="1" applyFill="1" applyBorder="1" applyAlignment="1" applyProtection="1">
      <alignment vertical="center"/>
    </xf>
    <xf numFmtId="178" fontId="11" fillId="0" borderId="9" xfId="1" applyNumberFormat="1" applyFont="1" applyFill="1" applyBorder="1" applyAlignment="1" applyProtection="1">
      <alignment horizontal="right" vertical="center" shrinkToFit="1"/>
    </xf>
    <xf numFmtId="38" fontId="11" fillId="0" borderId="9" xfId="1" applyFont="1" applyFill="1" applyBorder="1" applyAlignment="1" applyProtection="1">
      <alignment vertical="center"/>
    </xf>
    <xf numFmtId="178" fontId="11" fillId="0" borderId="14" xfId="1" applyNumberFormat="1" applyFont="1" applyFill="1" applyBorder="1" applyAlignment="1" applyProtection="1">
      <alignment horizontal="right" vertical="center" shrinkToFit="1"/>
    </xf>
    <xf numFmtId="179" fontId="11" fillId="0" borderId="0" xfId="1" applyNumberFormat="1" applyFont="1" applyFill="1" applyBorder="1" applyAlignment="1" applyProtection="1">
      <alignment horizontal="right" vertical="center" shrinkToFit="1"/>
    </xf>
    <xf numFmtId="38" fontId="6" fillId="5" borderId="0" xfId="1" applyFont="1" applyFill="1" applyBorder="1" applyAlignment="1" applyProtection="1">
      <alignment vertical="center"/>
    </xf>
    <xf numFmtId="9" fontId="11" fillId="0" borderId="0" xfId="1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right" vertical="center"/>
    </xf>
    <xf numFmtId="178" fontId="11" fillId="0" borderId="0" xfId="1" applyNumberFormat="1" applyFont="1" applyFill="1" applyBorder="1" applyAlignment="1" applyProtection="1">
      <alignment horizontal="right" vertical="center" shrinkToFit="1"/>
    </xf>
    <xf numFmtId="38" fontId="11" fillId="0" borderId="0" xfId="1" applyFont="1" applyFill="1" applyBorder="1" applyAlignment="1" applyProtection="1">
      <alignment vertical="center"/>
    </xf>
    <xf numFmtId="178" fontId="6" fillId="0" borderId="0" xfId="1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right" vertical="center" shrinkToFit="1"/>
    </xf>
    <xf numFmtId="38" fontId="5" fillId="5" borderId="3" xfId="1" applyFont="1" applyFill="1" applyBorder="1" applyAlignment="1" applyProtection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9" fontId="5" fillId="5" borderId="0" xfId="1" applyNumberFormat="1" applyFont="1" applyFill="1" applyBorder="1" applyAlignment="1" applyProtection="1">
      <alignment vertical="center"/>
    </xf>
    <xf numFmtId="38" fontId="11" fillId="5" borderId="3" xfId="1" applyFont="1" applyFill="1" applyBorder="1" applyAlignment="1" applyProtection="1">
      <alignment vertical="center"/>
    </xf>
    <xf numFmtId="178" fontId="11" fillId="5" borderId="9" xfId="1" applyNumberFormat="1" applyFont="1" applyFill="1" applyBorder="1" applyAlignment="1" applyProtection="1">
      <alignment horizontal="right" vertical="center" shrinkToFit="1"/>
    </xf>
    <xf numFmtId="38" fontId="11" fillId="5" borderId="3" xfId="1" applyFont="1" applyFill="1" applyBorder="1" applyAlignment="1" applyProtection="1">
      <alignment vertical="center" shrinkToFit="1"/>
    </xf>
    <xf numFmtId="38" fontId="11" fillId="5" borderId="4" xfId="1" applyFont="1" applyFill="1" applyBorder="1" applyAlignment="1" applyProtection="1">
      <alignment vertical="center"/>
    </xf>
    <xf numFmtId="9" fontId="6" fillId="5" borderId="3" xfId="1" applyNumberFormat="1" applyFont="1" applyFill="1" applyBorder="1" applyAlignment="1" applyProtection="1">
      <alignment vertical="center"/>
    </xf>
    <xf numFmtId="38" fontId="6" fillId="5" borderId="3" xfId="1" applyFont="1" applyFill="1" applyBorder="1" applyAlignment="1" applyProtection="1">
      <alignment vertical="center"/>
    </xf>
    <xf numFmtId="38" fontId="11" fillId="5" borderId="14" xfId="1" applyFont="1" applyFill="1" applyBorder="1" applyAlignment="1" applyProtection="1">
      <alignment vertical="center"/>
    </xf>
    <xf numFmtId="38" fontId="11" fillId="5" borderId="11" xfId="1" applyFont="1" applyFill="1" applyBorder="1" applyAlignment="1" applyProtection="1">
      <alignment vertical="center"/>
    </xf>
    <xf numFmtId="9" fontId="11" fillId="5" borderId="3" xfId="1" applyNumberFormat="1" applyFont="1" applyFill="1" applyBorder="1" applyAlignment="1" applyProtection="1">
      <alignment horizontal="right" vertical="center" shrinkToFit="1"/>
    </xf>
    <xf numFmtId="178" fontId="11" fillId="5" borderId="11" xfId="1" applyNumberFormat="1" applyFont="1" applyFill="1" applyBorder="1" applyAlignment="1" applyProtection="1">
      <alignment horizontal="right" vertical="center" shrinkToFit="1"/>
    </xf>
    <xf numFmtId="9" fontId="11" fillId="5" borderId="14" xfId="1" applyNumberFormat="1" applyFont="1" applyFill="1" applyBorder="1" applyAlignment="1" applyProtection="1">
      <alignment vertical="center"/>
    </xf>
    <xf numFmtId="38" fontId="6" fillId="7" borderId="11" xfId="1" applyFont="1" applyFill="1" applyBorder="1" applyAlignment="1" applyProtection="1">
      <alignment vertical="center"/>
    </xf>
    <xf numFmtId="178" fontId="11" fillId="0" borderId="14" xfId="1" applyNumberFormat="1" applyFont="1" applyFill="1" applyBorder="1" applyAlignment="1" applyProtection="1">
      <alignment horizontal="center" vertical="center" shrinkToFit="1"/>
    </xf>
    <xf numFmtId="9" fontId="11" fillId="0" borderId="3" xfId="1" applyNumberFormat="1" applyFont="1" applyFill="1" applyBorder="1" applyAlignment="1" applyProtection="1">
      <alignment vertical="center"/>
    </xf>
    <xf numFmtId="38" fontId="6" fillId="7" borderId="0" xfId="1" applyFont="1" applyFill="1" applyBorder="1" applyAlignment="1" applyProtection="1">
      <alignment vertical="center"/>
    </xf>
    <xf numFmtId="178" fontId="11" fillId="0" borderId="0" xfId="1" applyNumberFormat="1" applyFont="1" applyFill="1" applyBorder="1" applyAlignment="1" applyProtection="1">
      <alignment horizontal="center" vertical="center" shrinkToFit="1"/>
    </xf>
    <xf numFmtId="38" fontId="11" fillId="0" borderId="3" xfId="1" applyNumberFormat="1" applyFont="1" applyFill="1" applyBorder="1" applyAlignment="1" applyProtection="1">
      <alignment vertical="center"/>
    </xf>
    <xf numFmtId="38" fontId="5" fillId="0" borderId="15" xfId="1" applyFont="1" applyFill="1" applyBorder="1" applyAlignment="1" applyProtection="1">
      <alignment vertical="center"/>
    </xf>
    <xf numFmtId="38" fontId="11" fillId="0" borderId="15" xfId="1" applyFont="1" applyFill="1" applyBorder="1" applyAlignment="1" applyProtection="1">
      <alignment vertical="center"/>
    </xf>
    <xf numFmtId="38" fontId="11" fillId="0" borderId="15" xfId="1" applyFont="1" applyFill="1" applyBorder="1" applyAlignment="1" applyProtection="1">
      <alignment horizontal="right" vertical="center"/>
    </xf>
    <xf numFmtId="178" fontId="11" fillId="0" borderId="15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>
      <alignment vertical="center"/>
    </xf>
    <xf numFmtId="38" fontId="5" fillId="7" borderId="0" xfId="1" applyFont="1" applyFill="1" applyBorder="1" applyAlignment="1" applyProtection="1">
      <alignment vertical="center"/>
    </xf>
    <xf numFmtId="38" fontId="5" fillId="7" borderId="3" xfId="1" applyFont="1" applyFill="1" applyBorder="1" applyAlignment="1" applyProtection="1">
      <alignment vertical="center"/>
    </xf>
    <xf numFmtId="9" fontId="5" fillId="7" borderId="0" xfId="1" applyNumberFormat="1" applyFont="1" applyFill="1" applyBorder="1" applyAlignment="1" applyProtection="1">
      <alignment vertical="center"/>
    </xf>
    <xf numFmtId="38" fontId="11" fillId="7" borderId="3" xfId="1" applyFont="1" applyFill="1" applyBorder="1" applyAlignment="1" applyProtection="1">
      <alignment vertical="center"/>
    </xf>
    <xf numFmtId="178" fontId="11" fillId="7" borderId="3" xfId="1" applyNumberFormat="1" applyFont="1" applyFill="1" applyBorder="1" applyAlignment="1" applyProtection="1">
      <alignment vertical="center" shrinkToFit="1"/>
    </xf>
    <xf numFmtId="9" fontId="11" fillId="7" borderId="4" xfId="1" applyNumberFormat="1" applyFont="1" applyFill="1" applyBorder="1" applyAlignment="1" applyProtection="1">
      <alignment vertical="center"/>
    </xf>
    <xf numFmtId="9" fontId="6" fillId="7" borderId="3" xfId="1" applyNumberFormat="1" applyFont="1" applyFill="1" applyBorder="1" applyAlignment="1" applyProtection="1">
      <alignment vertical="center"/>
    </xf>
    <xf numFmtId="38" fontId="11" fillId="7" borderId="14" xfId="1" applyFont="1" applyFill="1" applyBorder="1" applyAlignment="1" applyProtection="1">
      <alignment vertical="center"/>
    </xf>
    <xf numFmtId="38" fontId="11" fillId="7" borderId="11" xfId="1" applyFont="1" applyFill="1" applyBorder="1" applyAlignment="1" applyProtection="1">
      <alignment vertical="center"/>
    </xf>
    <xf numFmtId="9" fontId="11" fillId="7" borderId="14" xfId="1" applyNumberFormat="1" applyFont="1" applyFill="1" applyBorder="1" applyAlignment="1" applyProtection="1">
      <alignment horizontal="center" vertical="center"/>
    </xf>
    <xf numFmtId="9" fontId="11" fillId="7" borderId="11" xfId="1" applyNumberFormat="1" applyFont="1" applyFill="1" applyBorder="1" applyAlignment="1" applyProtection="1">
      <alignment vertical="center"/>
    </xf>
    <xf numFmtId="179" fontId="11" fillId="7" borderId="4" xfId="1" applyNumberFormat="1" applyFont="1" applyFill="1" applyBorder="1" applyAlignment="1" applyProtection="1">
      <alignment vertical="center"/>
    </xf>
    <xf numFmtId="9" fontId="11" fillId="7" borderId="14" xfId="1" applyNumberFormat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 applyProtection="1">
      <alignment horizontal="center" vertical="center" shrinkToFit="1"/>
    </xf>
    <xf numFmtId="38" fontId="5" fillId="0" borderId="3" xfId="1" applyFont="1" applyFill="1" applyBorder="1" applyAlignment="1" applyProtection="1">
      <alignment horizontal="right" vertical="center"/>
    </xf>
    <xf numFmtId="179" fontId="5" fillId="0" borderId="3" xfId="1" applyNumberFormat="1" applyFont="1" applyFill="1" applyBorder="1" applyAlignment="1" applyProtection="1">
      <alignment horizontal="right" vertical="center" shrinkToFit="1"/>
    </xf>
    <xf numFmtId="178" fontId="5" fillId="0" borderId="3" xfId="1" applyNumberFormat="1" applyFont="1" applyFill="1" applyBorder="1" applyAlignment="1" applyProtection="1">
      <alignment horizontal="right" vertical="center" shrinkToFit="1"/>
    </xf>
    <xf numFmtId="9" fontId="5" fillId="0" borderId="3" xfId="1" applyNumberFormat="1" applyFont="1" applyFill="1" applyBorder="1" applyAlignment="1" applyProtection="1">
      <alignment vertical="center"/>
    </xf>
    <xf numFmtId="178" fontId="5" fillId="0" borderId="14" xfId="1" applyNumberFormat="1" applyFont="1" applyFill="1" applyBorder="1" applyAlignment="1" applyProtection="1">
      <alignment horizontal="center" vertical="center" shrinkToFit="1"/>
    </xf>
    <xf numFmtId="38" fontId="5" fillId="0" borderId="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left" vertical="center"/>
    </xf>
    <xf numFmtId="38" fontId="5" fillId="0" borderId="11" xfId="1" applyFont="1" applyFill="1" applyBorder="1" applyAlignment="1" applyProtection="1">
      <alignment vertical="center"/>
    </xf>
    <xf numFmtId="38" fontId="5" fillId="0" borderId="10" xfId="1" applyFont="1" applyFill="1" applyBorder="1" applyAlignment="1" applyProtection="1">
      <alignment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right" vertical="center" shrinkToFit="1"/>
    </xf>
    <xf numFmtId="38" fontId="12" fillId="8" borderId="3" xfId="1" applyFont="1" applyFill="1" applyBorder="1" applyAlignment="1" applyProtection="1">
      <alignment vertical="center"/>
    </xf>
    <xf numFmtId="38" fontId="7" fillId="8" borderId="3" xfId="1" applyFont="1" applyFill="1" applyBorder="1" applyAlignment="1" applyProtection="1">
      <alignment vertical="center"/>
    </xf>
    <xf numFmtId="9" fontId="12" fillId="8" borderId="0" xfId="1" applyNumberFormat="1" applyFont="1" applyFill="1" applyBorder="1" applyAlignment="1" applyProtection="1">
      <alignment vertical="center"/>
    </xf>
    <xf numFmtId="38" fontId="12" fillId="8" borderId="9" xfId="1" applyFont="1" applyFill="1" applyBorder="1" applyAlignment="1" applyProtection="1">
      <alignment vertical="center"/>
    </xf>
    <xf numFmtId="178" fontId="11" fillId="8" borderId="3" xfId="1" applyNumberFormat="1" applyFont="1" applyFill="1" applyBorder="1" applyAlignment="1" applyProtection="1">
      <alignment vertical="center" shrinkToFit="1"/>
    </xf>
    <xf numFmtId="38" fontId="12" fillId="8" borderId="16" xfId="1" applyFont="1" applyFill="1" applyBorder="1" applyAlignment="1" applyProtection="1">
      <alignment vertical="center"/>
    </xf>
    <xf numFmtId="178" fontId="11" fillId="8" borderId="16" xfId="1" applyNumberFormat="1" applyFont="1" applyFill="1" applyBorder="1" applyAlignment="1" applyProtection="1">
      <alignment vertical="center" shrinkToFit="1"/>
    </xf>
    <xf numFmtId="38" fontId="11" fillId="0" borderId="17" xfId="1" applyFont="1" applyFill="1" applyBorder="1" applyAlignment="1" applyProtection="1">
      <alignment vertical="center"/>
    </xf>
    <xf numFmtId="38" fontId="11" fillId="0" borderId="16" xfId="1" applyFont="1" applyFill="1" applyBorder="1" applyAlignment="1" applyProtection="1">
      <alignment vertical="center"/>
    </xf>
    <xf numFmtId="9" fontId="6" fillId="0" borderId="0" xfId="1" applyNumberFormat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 shrinkToFit="1"/>
    </xf>
    <xf numFmtId="179" fontId="6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0" applyFont="1">
      <alignment vertical="center"/>
    </xf>
    <xf numFmtId="178" fontId="6" fillId="0" borderId="0" xfId="0" applyNumberFormat="1" applyFont="1" applyBorder="1">
      <alignment vertical="center"/>
    </xf>
    <xf numFmtId="38" fontId="6" fillId="0" borderId="0" xfId="0" applyNumberFormat="1" applyFont="1">
      <alignment vertical="center"/>
    </xf>
    <xf numFmtId="176" fontId="6" fillId="2" borderId="1" xfId="1" applyNumberFormat="1" applyFont="1" applyFill="1" applyBorder="1" applyAlignment="1" applyProtection="1">
      <alignment horizontal="center" vertical="center" shrinkToFit="1"/>
    </xf>
    <xf numFmtId="176" fontId="6" fillId="2" borderId="4" xfId="1" applyNumberFormat="1" applyFont="1" applyFill="1" applyBorder="1" applyAlignment="1" applyProtection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10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vertical="center" shrinkToFit="1"/>
    </xf>
    <xf numFmtId="176" fontId="6" fillId="2" borderId="2" xfId="1" applyNumberFormat="1" applyFont="1" applyFill="1" applyBorder="1" applyAlignment="1" applyProtection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176" fontId="6" fillId="2" borderId="2" xfId="1" applyNumberFormat="1" applyFont="1" applyFill="1" applyBorder="1" applyAlignment="1" applyProtection="1">
      <alignment vertical="center" shrinkToFit="1"/>
    </xf>
    <xf numFmtId="178" fontId="6" fillId="0" borderId="2" xfId="0" applyNumberFormat="1" applyFont="1" applyBorder="1" applyAlignment="1">
      <alignment vertical="center" shrinkToFit="1"/>
    </xf>
    <xf numFmtId="176" fontId="6" fillId="0" borderId="0" xfId="1" applyNumberFormat="1" applyFont="1" applyFill="1" applyBorder="1" applyAlignment="1" applyProtection="1">
      <alignment vertical="center" shrinkToFit="1"/>
    </xf>
    <xf numFmtId="178" fontId="6" fillId="0" borderId="11" xfId="0" applyNumberFormat="1" applyFont="1" applyBorder="1" applyAlignment="1">
      <alignment vertical="center" shrinkToFit="1"/>
    </xf>
    <xf numFmtId="179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176" fontId="6" fillId="2" borderId="3" xfId="1" applyNumberFormat="1" applyFont="1" applyFill="1" applyBorder="1" applyAlignment="1" applyProtection="1">
      <alignment vertical="center" shrinkToFit="1"/>
    </xf>
    <xf numFmtId="179" fontId="6" fillId="0" borderId="3" xfId="0" applyNumberFormat="1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178" fontId="6" fillId="3" borderId="9" xfId="0" applyNumberFormat="1" applyFont="1" applyFill="1" applyBorder="1" applyAlignment="1">
      <alignment vertical="center" shrinkToFit="1"/>
    </xf>
    <xf numFmtId="178" fontId="6" fillId="3" borderId="3" xfId="0" applyNumberFormat="1" applyFont="1" applyFill="1" applyBorder="1" applyAlignment="1">
      <alignment vertical="center" shrinkToFit="1"/>
    </xf>
    <xf numFmtId="178" fontId="6" fillId="4" borderId="3" xfId="0" applyNumberFormat="1" applyFont="1" applyFill="1" applyBorder="1" applyAlignment="1">
      <alignment vertical="center" shrinkToFit="1"/>
    </xf>
    <xf numFmtId="179" fontId="6" fillId="4" borderId="3" xfId="0" applyNumberFormat="1" applyFont="1" applyFill="1" applyBorder="1" applyAlignment="1">
      <alignment vertical="center" shrinkToFit="1"/>
    </xf>
    <xf numFmtId="0" fontId="6" fillId="4" borderId="3" xfId="0" applyFont="1" applyFill="1" applyBorder="1" applyAlignment="1">
      <alignment vertical="center" shrinkToFit="1"/>
    </xf>
    <xf numFmtId="9" fontId="6" fillId="0" borderId="3" xfId="0" applyNumberFormat="1" applyFont="1" applyBorder="1" applyAlignment="1">
      <alignment vertical="center" shrinkToFit="1"/>
    </xf>
    <xf numFmtId="38" fontId="6" fillId="0" borderId="3" xfId="1" applyFont="1" applyFill="1" applyBorder="1" applyAlignment="1" applyProtection="1">
      <alignment horizontal="left" vertical="center" shrinkToFit="1"/>
    </xf>
    <xf numFmtId="0" fontId="6" fillId="3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right" vertical="center" shrinkToFit="1"/>
    </xf>
    <xf numFmtId="176" fontId="6" fillId="2" borderId="1" xfId="1" applyNumberFormat="1" applyFont="1" applyFill="1" applyBorder="1" applyAlignment="1" applyProtection="1">
      <alignment vertical="center" shrinkToFit="1"/>
    </xf>
    <xf numFmtId="178" fontId="6" fillId="3" borderId="13" xfId="0" applyNumberFormat="1" applyFont="1" applyFill="1" applyBorder="1" applyAlignment="1">
      <alignment vertical="center" shrinkToFit="1"/>
    </xf>
    <xf numFmtId="38" fontId="6" fillId="0" borderId="1" xfId="1" applyFont="1" applyFill="1" applyBorder="1" applyAlignment="1" applyProtection="1">
      <alignment vertical="center" shrinkToFit="1"/>
    </xf>
    <xf numFmtId="0" fontId="6" fillId="0" borderId="1" xfId="0" applyFont="1" applyFill="1" applyBorder="1" applyAlignment="1">
      <alignment vertical="center" shrinkToFit="1"/>
    </xf>
    <xf numFmtId="178" fontId="6" fillId="0" borderId="1" xfId="0" applyNumberFormat="1" applyFont="1" applyBorder="1" applyAlignment="1">
      <alignment vertical="center" shrinkToFit="1"/>
    </xf>
    <xf numFmtId="38" fontId="5" fillId="3" borderId="9" xfId="0" applyNumberFormat="1" applyFont="1" applyFill="1" applyBorder="1" applyAlignment="1">
      <alignment vertical="center" shrinkToFit="1"/>
    </xf>
    <xf numFmtId="38" fontId="5" fillId="3" borderId="2" xfId="0" applyNumberFormat="1" applyFont="1" applyFill="1" applyBorder="1" applyAlignment="1">
      <alignment vertical="center" shrinkToFit="1"/>
    </xf>
    <xf numFmtId="178" fontId="6" fillId="4" borderId="2" xfId="0" applyNumberFormat="1" applyFont="1" applyFill="1" applyBorder="1" applyAlignment="1">
      <alignment vertical="center" shrinkToFit="1"/>
    </xf>
    <xf numFmtId="179" fontId="6" fillId="4" borderId="2" xfId="0" applyNumberFormat="1" applyFont="1" applyFill="1" applyBorder="1" applyAlignment="1">
      <alignment vertical="center" shrinkToFit="1"/>
    </xf>
    <xf numFmtId="0" fontId="6" fillId="4" borderId="2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178" fontId="6" fillId="0" borderId="0" xfId="0" applyNumberFormat="1" applyFont="1" applyAlignment="1">
      <alignment vertical="center" shrinkToFit="1"/>
    </xf>
    <xf numFmtId="179" fontId="6" fillId="0" borderId="0" xfId="0" applyNumberFormat="1" applyFont="1" applyAlignment="1">
      <alignment vertical="center" shrinkToFit="1"/>
    </xf>
    <xf numFmtId="178" fontId="6" fillId="0" borderId="3" xfId="0" applyNumberFormat="1" applyFont="1" applyFill="1" applyBorder="1" applyAlignment="1">
      <alignment vertical="center" shrinkToFit="1"/>
    </xf>
    <xf numFmtId="179" fontId="6" fillId="0" borderId="3" xfId="0" applyNumberFormat="1" applyFont="1" applyFill="1" applyBorder="1" applyAlignment="1">
      <alignment vertical="center" shrinkToFit="1"/>
    </xf>
    <xf numFmtId="38" fontId="6" fillId="0" borderId="21" xfId="1" applyFont="1" applyFill="1" applyBorder="1" applyAlignment="1" applyProtection="1">
      <alignment vertical="center" shrinkToFit="1"/>
    </xf>
    <xf numFmtId="38" fontId="6" fillId="0" borderId="22" xfId="1" applyFont="1" applyFill="1" applyBorder="1" applyAlignment="1" applyProtection="1">
      <alignment vertical="center" shrinkToFit="1"/>
    </xf>
    <xf numFmtId="176" fontId="0" fillId="0" borderId="0" xfId="0" applyNumberFormat="1">
      <alignment vertical="center"/>
    </xf>
    <xf numFmtId="176" fontId="6" fillId="0" borderId="0" xfId="0" applyNumberFormat="1" applyFont="1" applyAlignment="1">
      <alignment horizontal="center" vertical="center"/>
    </xf>
    <xf numFmtId="9" fontId="0" fillId="0" borderId="0" xfId="2" applyFont="1">
      <alignment vertical="center"/>
    </xf>
    <xf numFmtId="38" fontId="4" fillId="0" borderId="0" xfId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8" fontId="6" fillId="0" borderId="0" xfId="2" applyNumberFormat="1" applyFont="1">
      <alignment vertical="center"/>
    </xf>
    <xf numFmtId="181" fontId="6" fillId="0" borderId="0" xfId="0" applyNumberFormat="1" applyFont="1">
      <alignment vertical="center"/>
    </xf>
    <xf numFmtId="9" fontId="6" fillId="0" borderId="0" xfId="2" applyFont="1">
      <alignment vertical="center"/>
    </xf>
    <xf numFmtId="0" fontId="6" fillId="0" borderId="0" xfId="0" applyNumberFormat="1" applyFont="1">
      <alignment vertical="center"/>
    </xf>
    <xf numFmtId="9" fontId="8" fillId="0" borderId="0" xfId="2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19" xfId="0" applyNumberFormat="1" applyFont="1" applyBorder="1" applyAlignment="1">
      <alignment vertical="center" shrinkToFit="1"/>
    </xf>
    <xf numFmtId="176" fontId="8" fillId="13" borderId="19" xfId="0" applyNumberFormat="1" applyFont="1" applyFill="1" applyBorder="1" applyAlignment="1">
      <alignment vertical="center" shrinkToFit="1"/>
    </xf>
    <xf numFmtId="178" fontId="6" fillId="12" borderId="19" xfId="2" applyNumberFormat="1" applyFont="1" applyFill="1" applyBorder="1" applyAlignment="1">
      <alignment vertical="center" shrinkToFit="1"/>
    </xf>
    <xf numFmtId="181" fontId="6" fillId="12" borderId="19" xfId="0" applyNumberFormat="1" applyFont="1" applyFill="1" applyBorder="1" applyAlignment="1">
      <alignment vertical="center" shrinkToFit="1"/>
    </xf>
    <xf numFmtId="9" fontId="6" fillId="0" borderId="0" xfId="2" applyFont="1" applyAlignment="1">
      <alignment vertical="center" shrinkToFit="1"/>
    </xf>
    <xf numFmtId="9" fontId="6" fillId="12" borderId="19" xfId="2" applyFont="1" applyFill="1" applyBorder="1" applyAlignment="1">
      <alignment vertical="center" shrinkToFit="1"/>
    </xf>
    <xf numFmtId="0" fontId="6" fillId="12" borderId="19" xfId="0" applyNumberFormat="1" applyFont="1" applyFill="1" applyBorder="1" applyAlignment="1">
      <alignment vertical="center" shrinkToFit="1"/>
    </xf>
    <xf numFmtId="176" fontId="6" fillId="12" borderId="19" xfId="0" applyNumberFormat="1" applyFont="1" applyFill="1" applyBorder="1" applyAlignment="1">
      <alignment vertical="center" shrinkToFit="1"/>
    </xf>
    <xf numFmtId="176" fontId="6" fillId="10" borderId="19" xfId="0" applyNumberFormat="1" applyFont="1" applyFill="1" applyBorder="1" applyAlignment="1">
      <alignment vertical="center" shrinkToFit="1"/>
    </xf>
    <xf numFmtId="176" fontId="6" fillId="11" borderId="19" xfId="0" applyNumberFormat="1" applyFont="1" applyFill="1" applyBorder="1" applyAlignment="1">
      <alignment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6" fillId="13" borderId="19" xfId="0" applyNumberFormat="1" applyFont="1" applyFill="1" applyBorder="1" applyAlignment="1">
      <alignment vertical="center" shrinkToFit="1"/>
    </xf>
    <xf numFmtId="9" fontId="8" fillId="0" borderId="19" xfId="2" applyFont="1" applyBorder="1" applyAlignment="1">
      <alignment vertical="center" shrinkToFit="1"/>
    </xf>
    <xf numFmtId="176" fontId="8" fillId="0" borderId="19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176" fontId="5" fillId="0" borderId="25" xfId="0" applyNumberFormat="1" applyFont="1" applyBorder="1" applyAlignment="1">
      <alignment vertical="center" shrinkToFit="1"/>
    </xf>
    <xf numFmtId="9" fontId="5" fillId="0" borderId="19" xfId="2" applyFont="1" applyBorder="1" applyAlignment="1">
      <alignment vertical="center" shrinkToFit="1"/>
    </xf>
    <xf numFmtId="176" fontId="6" fillId="0" borderId="0" xfId="0" applyNumberFormat="1" applyFont="1" applyAlignment="1">
      <alignment horizontal="center" vertical="center" textRotation="255" shrinkToFit="1"/>
    </xf>
    <xf numFmtId="176" fontId="6" fillId="0" borderId="0" xfId="0" applyNumberFormat="1" applyFont="1" applyAlignment="1">
      <alignment vertical="center" textRotation="255" shrinkToFit="1"/>
    </xf>
    <xf numFmtId="9" fontId="6" fillId="0" borderId="0" xfId="2" applyFont="1" applyAlignment="1">
      <alignment vertical="center" textRotation="255" shrinkToFit="1"/>
    </xf>
    <xf numFmtId="176" fontId="5" fillId="0" borderId="0" xfId="0" applyNumberFormat="1" applyFont="1" applyAlignment="1">
      <alignment vertical="center" textRotation="255" shrinkToFit="1"/>
    </xf>
    <xf numFmtId="176" fontId="6" fillId="0" borderId="19" xfId="0" applyNumberFormat="1" applyFont="1" applyBorder="1" applyAlignment="1">
      <alignment horizontal="center" vertical="center" shrinkToFit="1"/>
    </xf>
    <xf numFmtId="38" fontId="6" fillId="12" borderId="19" xfId="1" applyFont="1" applyFill="1" applyBorder="1" applyAlignment="1">
      <alignment vertical="center" shrinkToFit="1"/>
    </xf>
    <xf numFmtId="0" fontId="6" fillId="12" borderId="19" xfId="2" applyNumberFormat="1" applyFont="1" applyFill="1" applyBorder="1" applyAlignment="1">
      <alignment vertical="center" shrinkToFit="1"/>
    </xf>
    <xf numFmtId="176" fontId="6" fillId="0" borderId="19" xfId="0" applyNumberFormat="1" applyFont="1" applyFill="1" applyBorder="1" applyAlignment="1">
      <alignment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textRotation="255"/>
    </xf>
    <xf numFmtId="176" fontId="6" fillId="9" borderId="3" xfId="0" applyNumberFormat="1" applyFont="1" applyFill="1" applyBorder="1">
      <alignment vertical="center"/>
    </xf>
    <xf numFmtId="38" fontId="6" fillId="9" borderId="4" xfId="1" applyFont="1" applyFill="1" applyBorder="1" applyAlignment="1" applyProtection="1">
      <alignment vertical="center" shrinkToFit="1"/>
    </xf>
    <xf numFmtId="38" fontId="6" fillId="9" borderId="2" xfId="1" applyFont="1" applyFill="1" applyBorder="1" applyAlignment="1" applyProtection="1">
      <alignment vertical="center" shrinkToFit="1"/>
    </xf>
    <xf numFmtId="38" fontId="5" fillId="9" borderId="4" xfId="1" applyFont="1" applyFill="1" applyBorder="1" applyAlignment="1" applyProtection="1">
      <alignment vertical="center" shrinkToFit="1"/>
    </xf>
    <xf numFmtId="176" fontId="6" fillId="14" borderId="1" xfId="0" applyNumberFormat="1" applyFont="1" applyFill="1" applyBorder="1" applyAlignment="1">
      <alignment horizontal="center" vertical="center"/>
    </xf>
    <xf numFmtId="176" fontId="6" fillId="14" borderId="3" xfId="0" applyNumberFormat="1" applyFont="1" applyFill="1" applyBorder="1">
      <alignment vertical="center"/>
    </xf>
    <xf numFmtId="0" fontId="6" fillId="14" borderId="3" xfId="0" applyFont="1" applyFill="1" applyBorder="1" applyAlignment="1" applyProtection="1">
      <alignment vertical="center" shrinkToFit="1"/>
      <protection locked="0"/>
    </xf>
    <xf numFmtId="176" fontId="6" fillId="0" borderId="28" xfId="0" applyNumberFormat="1" applyFont="1" applyBorder="1">
      <alignment vertical="center"/>
    </xf>
    <xf numFmtId="0" fontId="6" fillId="0" borderId="28" xfId="0" applyFont="1" applyBorder="1" applyAlignment="1" applyProtection="1">
      <alignment vertical="center" shrinkToFit="1"/>
      <protection locked="0"/>
    </xf>
    <xf numFmtId="176" fontId="6" fillId="0" borderId="6" xfId="0" applyNumberFormat="1" applyFont="1" applyBorder="1">
      <alignment vertical="center"/>
    </xf>
    <xf numFmtId="0" fontId="6" fillId="0" borderId="6" xfId="0" applyFont="1" applyBorder="1" applyAlignment="1" applyProtection="1">
      <alignment vertical="center" shrinkToFit="1"/>
      <protection locked="0"/>
    </xf>
    <xf numFmtId="176" fontId="6" fillId="0" borderId="21" xfId="0" applyNumberFormat="1" applyFont="1" applyBorder="1">
      <alignment vertical="center"/>
    </xf>
    <xf numFmtId="0" fontId="6" fillId="0" borderId="21" xfId="0" applyFont="1" applyBorder="1" applyAlignment="1" applyProtection="1">
      <alignment vertical="center" shrinkToFit="1"/>
      <protection locked="0"/>
    </xf>
    <xf numFmtId="38" fontId="6" fillId="0" borderId="28" xfId="1" applyFont="1" applyFill="1" applyBorder="1" applyAlignment="1" applyProtection="1">
      <alignment vertical="center" shrinkToFit="1"/>
    </xf>
    <xf numFmtId="178" fontId="0" fillId="0" borderId="0" xfId="2" applyNumberFormat="1" applyFont="1">
      <alignment vertical="center"/>
    </xf>
    <xf numFmtId="38" fontId="6" fillId="0" borderId="22" xfId="1" applyFont="1" applyFill="1" applyBorder="1" applyAlignment="1" applyProtection="1">
      <alignment vertical="center"/>
    </xf>
    <xf numFmtId="177" fontId="6" fillId="0" borderId="22" xfId="1" applyNumberFormat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horizontal="left" vertical="center" shrinkToFit="1"/>
    </xf>
    <xf numFmtId="176" fontId="6" fillId="0" borderId="5" xfId="0" applyNumberFormat="1" applyFont="1" applyBorder="1">
      <alignment vertical="center"/>
    </xf>
    <xf numFmtId="0" fontId="6" fillId="0" borderId="5" xfId="0" applyFont="1" applyBorder="1" applyAlignment="1" applyProtection="1">
      <alignment vertical="center" shrinkToFit="1"/>
      <protection locked="0"/>
    </xf>
    <xf numFmtId="38" fontId="6" fillId="0" borderId="29" xfId="1" applyFont="1" applyFill="1" applyBorder="1" applyAlignment="1" applyProtection="1">
      <alignment vertical="center" shrinkToFit="1"/>
    </xf>
    <xf numFmtId="177" fontId="6" fillId="0" borderId="3" xfId="1" applyNumberFormat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 shrinkToFit="1"/>
    </xf>
    <xf numFmtId="38" fontId="5" fillId="0" borderId="13" xfId="1" applyFont="1" applyFill="1" applyBorder="1" applyAlignment="1" applyProtection="1">
      <alignment vertical="center" shrinkToFit="1"/>
    </xf>
    <xf numFmtId="38" fontId="6" fillId="0" borderId="30" xfId="1" applyFont="1" applyFill="1" applyBorder="1" applyAlignment="1" applyProtection="1">
      <alignment vertical="center" shrinkToFit="1"/>
    </xf>
    <xf numFmtId="38" fontId="6" fillId="0" borderId="31" xfId="1" applyFont="1" applyFill="1" applyBorder="1" applyAlignment="1" applyProtection="1">
      <alignment vertical="center" shrinkToFit="1"/>
    </xf>
    <xf numFmtId="38" fontId="5" fillId="0" borderId="12" xfId="1" applyFont="1" applyFill="1" applyBorder="1" applyAlignment="1" applyProtection="1">
      <alignment vertical="center" shrinkToFit="1"/>
    </xf>
    <xf numFmtId="38" fontId="6" fillId="0" borderId="32" xfId="1" applyFont="1" applyFill="1" applyBorder="1" applyAlignment="1" applyProtection="1">
      <alignment vertical="center" shrinkToFit="1"/>
    </xf>
    <xf numFmtId="38" fontId="6" fillId="0" borderId="33" xfId="1" applyFont="1" applyFill="1" applyBorder="1" applyAlignment="1" applyProtection="1">
      <alignment vertical="center" shrinkToFit="1"/>
    </xf>
    <xf numFmtId="38" fontId="6" fillId="0" borderId="35" xfId="1" applyFont="1" applyFill="1" applyBorder="1" applyAlignment="1" applyProtection="1">
      <alignment vertical="center" shrinkToFit="1"/>
    </xf>
    <xf numFmtId="38" fontId="6" fillId="0" borderId="36" xfId="1" applyFont="1" applyFill="1" applyBorder="1" applyAlignment="1" applyProtection="1">
      <alignment vertical="center" shrinkToFit="1"/>
    </xf>
    <xf numFmtId="38" fontId="6" fillId="0" borderId="37" xfId="1" applyFont="1" applyFill="1" applyBorder="1" applyAlignment="1" applyProtection="1">
      <alignment vertical="center" shrinkToFit="1"/>
    </xf>
    <xf numFmtId="38" fontId="6" fillId="0" borderId="14" xfId="1" applyFont="1" applyFill="1" applyBorder="1" applyAlignment="1" applyProtection="1">
      <alignment vertical="center" shrinkToFit="1"/>
    </xf>
    <xf numFmtId="38" fontId="6" fillId="0" borderId="12" xfId="1" applyFont="1" applyFill="1" applyBorder="1" applyAlignment="1" applyProtection="1">
      <alignment vertical="center" shrinkToFit="1"/>
    </xf>
    <xf numFmtId="9" fontId="6" fillId="0" borderId="11" xfId="0" applyNumberFormat="1" applyFont="1" applyBorder="1">
      <alignment vertical="center"/>
    </xf>
    <xf numFmtId="38" fontId="6" fillId="0" borderId="13" xfId="1" applyFont="1" applyFill="1" applyBorder="1" applyAlignment="1" applyProtection="1">
      <alignment vertical="center" shrinkToFit="1"/>
    </xf>
    <xf numFmtId="182" fontId="6" fillId="0" borderId="0" xfId="1" applyNumberFormat="1" applyFont="1" applyFill="1" applyBorder="1" applyAlignment="1" applyProtection="1">
      <alignment vertical="center" shrinkToFit="1"/>
    </xf>
    <xf numFmtId="182" fontId="6" fillId="3" borderId="3" xfId="1" applyNumberFormat="1" applyFont="1" applyFill="1" applyBorder="1" applyAlignment="1" applyProtection="1">
      <alignment vertical="center" shrinkToFit="1"/>
    </xf>
    <xf numFmtId="182" fontId="5" fillId="3" borderId="2" xfId="1" applyNumberFormat="1" applyFont="1" applyFill="1" applyBorder="1" applyAlignment="1" applyProtection="1">
      <alignment vertical="center" shrinkToFit="1"/>
    </xf>
    <xf numFmtId="38" fontId="7" fillId="15" borderId="2" xfId="1" applyFont="1" applyFill="1" applyBorder="1" applyAlignment="1" applyProtection="1">
      <alignment vertical="center" shrinkToFit="1"/>
    </xf>
    <xf numFmtId="38" fontId="6" fillId="15" borderId="24" xfId="1" applyFont="1" applyFill="1" applyBorder="1" applyAlignment="1" applyProtection="1">
      <alignment vertical="center" shrinkToFit="1"/>
    </xf>
    <xf numFmtId="38" fontId="5" fillId="15" borderId="12" xfId="1" applyFont="1" applyFill="1" applyBorder="1" applyAlignment="1" applyProtection="1">
      <alignment vertical="center" shrinkToFit="1"/>
    </xf>
    <xf numFmtId="38" fontId="6" fillId="15" borderId="19" xfId="1" applyFont="1" applyFill="1" applyBorder="1" applyAlignment="1" applyProtection="1">
      <alignment vertical="center" shrinkToFit="1"/>
    </xf>
    <xf numFmtId="38" fontId="7" fillId="15" borderId="4" xfId="1" applyFont="1" applyFill="1" applyBorder="1" applyAlignment="1" applyProtection="1">
      <alignment vertical="center" shrinkToFit="1"/>
    </xf>
    <xf numFmtId="38" fontId="6" fillId="15" borderId="23" xfId="1" applyFont="1" applyFill="1" applyBorder="1" applyAlignment="1" applyProtection="1">
      <alignment vertical="center" shrinkToFit="1"/>
    </xf>
    <xf numFmtId="38" fontId="5" fillId="15" borderId="13" xfId="1" applyFont="1" applyFill="1" applyBorder="1" applyAlignment="1" applyProtection="1">
      <alignment vertical="center" shrinkToFit="1"/>
    </xf>
    <xf numFmtId="38" fontId="6" fillId="15" borderId="32" xfId="1" applyFont="1" applyFill="1" applyBorder="1" applyAlignment="1" applyProtection="1">
      <alignment vertical="center" shrinkToFit="1"/>
    </xf>
    <xf numFmtId="38" fontId="6" fillId="15" borderId="2" xfId="1" applyFont="1" applyFill="1" applyBorder="1" applyAlignment="1" applyProtection="1">
      <alignment vertical="center" shrinkToFit="1"/>
    </xf>
    <xf numFmtId="38" fontId="5" fillId="15" borderId="2" xfId="1" applyFont="1" applyFill="1" applyBorder="1" applyAlignment="1" applyProtection="1">
      <alignment vertical="center" shrinkToFit="1"/>
    </xf>
    <xf numFmtId="0" fontId="6" fillId="15" borderId="34" xfId="0" applyFont="1" applyFill="1" applyBorder="1">
      <alignment vertical="center"/>
    </xf>
    <xf numFmtId="38" fontId="8" fillId="15" borderId="2" xfId="1" applyFont="1" applyFill="1" applyBorder="1" applyAlignment="1" applyProtection="1">
      <alignment vertical="center"/>
    </xf>
    <xf numFmtId="38" fontId="8" fillId="15" borderId="4" xfId="1" applyFont="1" applyFill="1" applyBorder="1" applyAlignment="1" applyProtection="1">
      <alignment vertical="center"/>
    </xf>
    <xf numFmtId="38" fontId="6" fillId="15" borderId="2" xfId="1" applyFont="1" applyFill="1" applyBorder="1" applyAlignment="1" applyProtection="1">
      <alignment vertical="center"/>
    </xf>
    <xf numFmtId="38" fontId="5" fillId="15" borderId="14" xfId="1" applyFont="1" applyFill="1" applyBorder="1" applyAlignment="1" applyProtection="1">
      <alignment vertical="center" shrinkToFit="1"/>
    </xf>
    <xf numFmtId="38" fontId="6" fillId="15" borderId="33" xfId="1" applyFont="1" applyFill="1" applyBorder="1" applyAlignment="1" applyProtection="1">
      <alignment vertical="center" shrinkToFit="1"/>
    </xf>
    <xf numFmtId="38" fontId="6" fillId="15" borderId="34" xfId="1" applyFont="1" applyFill="1" applyBorder="1" applyAlignment="1" applyProtection="1">
      <alignment vertical="center" shrinkToFit="1"/>
    </xf>
    <xf numFmtId="38" fontId="5" fillId="15" borderId="1" xfId="1" applyFont="1" applyFill="1" applyBorder="1" applyAlignment="1" applyProtection="1">
      <alignment horizontal="center" vertical="center"/>
    </xf>
    <xf numFmtId="38" fontId="5" fillId="15" borderId="4" xfId="1" applyFont="1" applyFill="1" applyBorder="1" applyAlignment="1" applyProtection="1">
      <alignment horizontal="center" vertical="center"/>
    </xf>
    <xf numFmtId="38" fontId="5" fillId="15" borderId="20" xfId="1" applyFont="1" applyFill="1" applyBorder="1" applyAlignment="1" applyProtection="1">
      <alignment horizontal="center" vertical="center" shrinkToFit="1"/>
    </xf>
    <xf numFmtId="38" fontId="5" fillId="15" borderId="14" xfId="1" applyFont="1" applyFill="1" applyBorder="1" applyAlignment="1" applyProtection="1">
      <alignment horizontal="center" vertical="center" shrinkToFit="1"/>
    </xf>
    <xf numFmtId="38" fontId="5" fillId="15" borderId="33" xfId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38" fontId="6" fillId="0" borderId="41" xfId="1" applyFont="1" applyFill="1" applyBorder="1" applyAlignment="1" applyProtection="1">
      <alignment vertical="center" shrinkToFit="1"/>
    </xf>
    <xf numFmtId="9" fontId="6" fillId="0" borderId="42" xfId="0" applyNumberFormat="1" applyFont="1" applyBorder="1">
      <alignment vertical="center"/>
    </xf>
    <xf numFmtId="38" fontId="6" fillId="15" borderId="20" xfId="1" applyFont="1" applyFill="1" applyBorder="1" applyAlignment="1" applyProtection="1">
      <alignment vertical="center" shrinkToFit="1"/>
    </xf>
    <xf numFmtId="9" fontId="6" fillId="0" borderId="17" xfId="0" applyNumberFormat="1" applyFont="1" applyBorder="1">
      <alignment vertical="center"/>
    </xf>
    <xf numFmtId="0" fontId="5" fillId="0" borderId="0" xfId="0" applyNumberFormat="1" applyFont="1">
      <alignment vertical="center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43" xfId="0" applyNumberFormat="1" applyFont="1" applyBorder="1">
      <alignment vertical="center"/>
    </xf>
    <xf numFmtId="176" fontId="5" fillId="0" borderId="45" xfId="0" applyNumberFormat="1" applyFont="1" applyBorder="1">
      <alignment vertical="center"/>
    </xf>
    <xf numFmtId="176" fontId="5" fillId="0" borderId="34" xfId="0" applyNumberFormat="1" applyFont="1" applyBorder="1" applyAlignment="1">
      <alignment vertical="center" shrinkToFit="1"/>
    </xf>
    <xf numFmtId="176" fontId="5" fillId="0" borderId="46" xfId="0" applyNumberFormat="1" applyFont="1" applyBorder="1">
      <alignment vertical="center"/>
    </xf>
    <xf numFmtId="176" fontId="5" fillId="0" borderId="35" xfId="0" applyNumberFormat="1" applyFont="1" applyBorder="1" applyAlignment="1">
      <alignment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176" fontId="5" fillId="0" borderId="38" xfId="0" applyNumberFormat="1" applyFont="1" applyBorder="1" applyAlignment="1">
      <alignment vertical="center" shrinkToFit="1"/>
    </xf>
    <xf numFmtId="176" fontId="5" fillId="0" borderId="43" xfId="0" applyNumberFormat="1" applyFont="1" applyBorder="1" applyAlignment="1">
      <alignment vertical="center" shrinkToFit="1"/>
    </xf>
    <xf numFmtId="9" fontId="5" fillId="16" borderId="52" xfId="2" applyFont="1" applyFill="1" applyBorder="1" applyAlignment="1">
      <alignment vertical="center" shrinkToFit="1"/>
    </xf>
    <xf numFmtId="9" fontId="5" fillId="0" borderId="53" xfId="2" applyFont="1" applyBorder="1" applyAlignment="1">
      <alignment vertical="center" shrinkToFit="1"/>
    </xf>
    <xf numFmtId="9" fontId="5" fillId="0" borderId="54" xfId="2" applyFont="1" applyBorder="1" applyAlignment="1">
      <alignment vertical="center" shrinkToFit="1"/>
    </xf>
    <xf numFmtId="9" fontId="5" fillId="16" borderId="55" xfId="2" applyFont="1" applyFill="1" applyBorder="1" applyAlignment="1">
      <alignment vertical="center" shrinkToFit="1"/>
    </xf>
    <xf numFmtId="176" fontId="5" fillId="0" borderId="39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47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4" fillId="0" borderId="56" xfId="1" applyNumberFormat="1" applyBorder="1">
      <alignment vertical="center"/>
    </xf>
    <xf numFmtId="176" fontId="5" fillId="0" borderId="57" xfId="0" applyNumberFormat="1" applyFont="1" applyBorder="1" applyAlignment="1">
      <alignment vertical="center" shrinkToFit="1"/>
    </xf>
    <xf numFmtId="0" fontId="6" fillId="0" borderId="57" xfId="0" applyFont="1" applyBorder="1">
      <alignment vertical="center"/>
    </xf>
    <xf numFmtId="176" fontId="5" fillId="0" borderId="57" xfId="0" applyNumberFormat="1" applyFont="1" applyBorder="1">
      <alignment vertical="center"/>
    </xf>
    <xf numFmtId="176" fontId="4" fillId="0" borderId="58" xfId="1" applyNumberFormat="1" applyBorder="1">
      <alignment vertical="center"/>
    </xf>
    <xf numFmtId="0" fontId="6" fillId="0" borderId="4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44" xfId="0" applyFont="1" applyBorder="1">
      <alignment vertical="center"/>
    </xf>
    <xf numFmtId="0" fontId="6" fillId="0" borderId="17" xfId="0" applyFont="1" applyBorder="1">
      <alignment vertical="center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43" xfId="0" applyNumberFormat="1" applyFont="1" applyBorder="1" applyAlignment="1">
      <alignment horizontal="left" vertical="center" shrinkToFit="1"/>
    </xf>
    <xf numFmtId="176" fontId="5" fillId="0" borderId="17" xfId="0" applyNumberFormat="1" applyFont="1" applyBorder="1" applyAlignment="1">
      <alignment horizontal="left" vertical="center" shrinkToFit="1"/>
    </xf>
    <xf numFmtId="176" fontId="5" fillId="0" borderId="57" xfId="0" applyNumberFormat="1" applyFont="1" applyBorder="1" applyAlignment="1">
      <alignment horizontal="left" vertical="center" shrinkToFit="1"/>
    </xf>
    <xf numFmtId="176" fontId="5" fillId="0" borderId="0" xfId="0" applyNumberFormat="1" applyFont="1" applyBorder="1" applyAlignment="1">
      <alignment horizontal="left" vertical="center" shrinkToFit="1"/>
    </xf>
    <xf numFmtId="176" fontId="5" fillId="0" borderId="58" xfId="0" applyNumberFormat="1" applyFont="1" applyBorder="1">
      <alignment vertical="center"/>
    </xf>
    <xf numFmtId="176" fontId="5" fillId="0" borderId="59" xfId="0" applyNumberFormat="1" applyFont="1" applyBorder="1">
      <alignment vertical="center"/>
    </xf>
    <xf numFmtId="176" fontId="5" fillId="0" borderId="47" xfId="0" applyNumberFormat="1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vertical="center" shrinkToFit="1"/>
    </xf>
    <xf numFmtId="176" fontId="5" fillId="0" borderId="44" xfId="0" applyNumberFormat="1" applyFont="1" applyBorder="1" applyAlignment="1">
      <alignment vertical="center" shrinkToFit="1"/>
    </xf>
    <xf numFmtId="176" fontId="14" fillId="0" borderId="43" xfId="1" applyNumberFormat="1" applyFont="1" applyBorder="1">
      <alignment vertical="center"/>
    </xf>
    <xf numFmtId="176" fontId="5" fillId="9" borderId="48" xfId="0" applyNumberFormat="1" applyFont="1" applyFill="1" applyBorder="1" applyAlignment="1">
      <alignment horizontal="left" vertical="center" shrinkToFit="1"/>
    </xf>
    <xf numFmtId="176" fontId="5" fillId="9" borderId="48" xfId="0" applyNumberFormat="1" applyFont="1" applyFill="1" applyBorder="1">
      <alignment vertical="center"/>
    </xf>
    <xf numFmtId="176" fontId="5" fillId="9" borderId="19" xfId="0" applyNumberFormat="1" applyFont="1" applyFill="1" applyBorder="1" applyAlignment="1">
      <alignment vertical="center" shrinkToFit="1"/>
    </xf>
    <xf numFmtId="176" fontId="5" fillId="9" borderId="27" xfId="0" applyNumberFormat="1" applyFont="1" applyFill="1" applyBorder="1">
      <alignment vertical="center"/>
    </xf>
    <xf numFmtId="176" fontId="5" fillId="9" borderId="25" xfId="0" applyNumberFormat="1" applyFont="1" applyFill="1" applyBorder="1" applyAlignment="1">
      <alignment vertical="center" shrinkToFit="1"/>
    </xf>
    <xf numFmtId="176" fontId="5" fillId="9" borderId="48" xfId="0" applyNumberFormat="1" applyFont="1" applyFill="1" applyBorder="1" applyAlignment="1">
      <alignment horizontal="left" vertical="center"/>
    </xf>
    <xf numFmtId="176" fontId="5" fillId="9" borderId="57" xfId="0" applyNumberFormat="1" applyFont="1" applyFill="1" applyBorder="1" applyAlignment="1">
      <alignment vertical="center" shrinkToFit="1"/>
    </xf>
    <xf numFmtId="9" fontId="5" fillId="9" borderId="53" xfId="2" applyFont="1" applyFill="1" applyBorder="1" applyAlignment="1">
      <alignment vertical="center" shrinkToFit="1"/>
    </xf>
    <xf numFmtId="176" fontId="6" fillId="0" borderId="0" xfId="2" applyNumberFormat="1" applyFont="1">
      <alignment vertical="center"/>
    </xf>
    <xf numFmtId="9" fontId="5" fillId="16" borderId="54" xfId="2" applyFont="1" applyFill="1" applyBorder="1" applyAlignment="1">
      <alignment vertical="center" shrinkToFit="1"/>
    </xf>
    <xf numFmtId="176" fontId="5" fillId="0" borderId="58" xfId="0" applyNumberFormat="1" applyFont="1" applyBorder="1" applyAlignment="1">
      <alignment vertical="center" shrinkToFit="1"/>
    </xf>
    <xf numFmtId="0" fontId="6" fillId="0" borderId="38" xfId="0" applyFont="1" applyBorder="1">
      <alignment vertical="center"/>
    </xf>
    <xf numFmtId="9" fontId="6" fillId="0" borderId="17" xfId="2" applyFont="1" applyBorder="1">
      <alignment vertical="center"/>
    </xf>
    <xf numFmtId="0" fontId="6" fillId="0" borderId="44" xfId="0" applyFont="1" applyBorder="1">
      <alignment vertical="center"/>
    </xf>
    <xf numFmtId="176" fontId="6" fillId="0" borderId="17" xfId="0" applyNumberFormat="1" applyFont="1" applyBorder="1">
      <alignment vertical="center"/>
    </xf>
    <xf numFmtId="178" fontId="6" fillId="0" borderId="17" xfId="2" applyNumberFormat="1" applyFont="1" applyBorder="1">
      <alignment vertical="center"/>
    </xf>
    <xf numFmtId="9" fontId="5" fillId="0" borderId="63" xfId="2" applyFont="1" applyBorder="1" applyAlignment="1">
      <alignment vertical="center" shrinkToFit="1"/>
    </xf>
    <xf numFmtId="9" fontId="5" fillId="16" borderId="65" xfId="2" applyFont="1" applyFill="1" applyBorder="1" applyAlignment="1">
      <alignment vertical="center" shrinkToFit="1"/>
    </xf>
    <xf numFmtId="9" fontId="5" fillId="0" borderId="66" xfId="2" applyFont="1" applyBorder="1" applyAlignment="1">
      <alignment vertical="center" shrinkToFit="1"/>
    </xf>
    <xf numFmtId="9" fontId="5" fillId="16" borderId="63" xfId="2" applyFont="1" applyFill="1" applyBorder="1" applyAlignment="1">
      <alignment vertical="center" shrinkToFit="1"/>
    </xf>
    <xf numFmtId="9" fontId="5" fillId="16" borderId="67" xfId="2" applyFont="1" applyFill="1" applyBorder="1" applyAlignment="1">
      <alignment vertical="center" shrinkToFit="1"/>
    </xf>
    <xf numFmtId="9" fontId="5" fillId="9" borderId="66" xfId="2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176" fontId="5" fillId="0" borderId="17" xfId="0" applyNumberFormat="1" applyFont="1" applyBorder="1" applyAlignment="1">
      <alignment vertical="center" shrinkToFit="1"/>
    </xf>
    <xf numFmtId="176" fontId="5" fillId="9" borderId="0" xfId="0" applyNumberFormat="1" applyFont="1" applyFill="1" applyBorder="1" applyAlignment="1">
      <alignment vertical="center" shrinkToFit="1"/>
    </xf>
    <xf numFmtId="176" fontId="4" fillId="0" borderId="47" xfId="1" applyNumberFormat="1" applyBorder="1">
      <alignment vertical="center"/>
    </xf>
    <xf numFmtId="176" fontId="5" fillId="9" borderId="27" xfId="0" applyNumberFormat="1" applyFont="1" applyFill="1" applyBorder="1" applyAlignment="1">
      <alignment vertical="center" shrinkToFit="1"/>
    </xf>
    <xf numFmtId="176" fontId="5" fillId="0" borderId="59" xfId="0" applyNumberFormat="1" applyFont="1" applyBorder="1" applyAlignment="1">
      <alignment vertical="center" shrinkToFit="1"/>
    </xf>
    <xf numFmtId="176" fontId="5" fillId="0" borderId="40" xfId="0" applyNumberFormat="1" applyFont="1" applyBorder="1" applyAlignment="1">
      <alignment vertical="center" shrinkToFit="1"/>
    </xf>
    <xf numFmtId="176" fontId="5" fillId="0" borderId="46" xfId="0" applyNumberFormat="1" applyFont="1" applyBorder="1" applyAlignment="1">
      <alignment vertical="center" shrinkToFit="1"/>
    </xf>
    <xf numFmtId="176" fontId="5" fillId="9" borderId="44" xfId="0" applyNumberFormat="1" applyFont="1" applyFill="1" applyBorder="1" applyAlignment="1">
      <alignment vertical="center" shrinkToFit="1"/>
    </xf>
    <xf numFmtId="9" fontId="6" fillId="0" borderId="44" xfId="2" applyFont="1" applyBorder="1">
      <alignment vertical="center"/>
    </xf>
    <xf numFmtId="176" fontId="6" fillId="0" borderId="43" xfId="0" applyNumberFormat="1" applyFont="1" applyBorder="1">
      <alignment vertical="center"/>
    </xf>
    <xf numFmtId="178" fontId="6" fillId="0" borderId="44" xfId="2" applyNumberFormat="1" applyFont="1" applyBorder="1">
      <alignment vertical="center"/>
    </xf>
    <xf numFmtId="176" fontId="5" fillId="0" borderId="33" xfId="0" applyNumberFormat="1" applyFont="1" applyBorder="1" applyAlignment="1">
      <alignment vertical="center" shrinkToFit="1"/>
    </xf>
    <xf numFmtId="176" fontId="5" fillId="9" borderId="33" xfId="0" applyNumberFormat="1" applyFont="1" applyFill="1" applyBorder="1" applyAlignment="1">
      <alignment vertical="center" shrinkToFit="1"/>
    </xf>
    <xf numFmtId="0" fontId="6" fillId="0" borderId="47" xfId="0" applyFont="1" applyBorder="1">
      <alignment vertical="center"/>
    </xf>
    <xf numFmtId="0" fontId="5" fillId="0" borderId="47" xfId="0" applyFont="1" applyBorder="1" applyAlignment="1">
      <alignment horizontal="right" vertical="center"/>
    </xf>
    <xf numFmtId="176" fontId="14" fillId="0" borderId="58" xfId="1" applyNumberFormat="1" applyFont="1" applyBorder="1">
      <alignment vertical="center"/>
    </xf>
    <xf numFmtId="9" fontId="5" fillId="0" borderId="59" xfId="2" applyFont="1" applyBorder="1">
      <alignment vertical="center"/>
    </xf>
    <xf numFmtId="176" fontId="14" fillId="0" borderId="47" xfId="1" applyNumberFormat="1" applyFont="1" applyBorder="1">
      <alignment vertical="center"/>
    </xf>
    <xf numFmtId="9" fontId="5" fillId="0" borderId="47" xfId="2" applyFont="1" applyBorder="1">
      <alignment vertical="center"/>
    </xf>
    <xf numFmtId="0" fontId="5" fillId="0" borderId="47" xfId="0" applyFont="1" applyBorder="1">
      <alignment vertical="center"/>
    </xf>
    <xf numFmtId="0" fontId="5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50" xfId="0" applyFont="1" applyBorder="1">
      <alignment vertical="center"/>
    </xf>
    <xf numFmtId="9" fontId="6" fillId="0" borderId="61" xfId="2" applyFont="1" applyBorder="1">
      <alignment vertical="center"/>
    </xf>
    <xf numFmtId="9" fontId="6" fillId="0" borderId="60" xfId="2" applyFont="1" applyBorder="1">
      <alignment vertical="center"/>
    </xf>
    <xf numFmtId="0" fontId="6" fillId="0" borderId="61" xfId="0" applyFont="1" applyBorder="1">
      <alignment vertical="center"/>
    </xf>
    <xf numFmtId="0" fontId="6" fillId="0" borderId="58" xfId="0" applyFont="1" applyBorder="1">
      <alignment vertical="center"/>
    </xf>
    <xf numFmtId="9" fontId="6" fillId="0" borderId="59" xfId="2" applyFont="1" applyBorder="1">
      <alignment vertical="center"/>
    </xf>
    <xf numFmtId="9" fontId="6" fillId="0" borderId="47" xfId="2" applyFont="1" applyBorder="1">
      <alignment vertical="center"/>
    </xf>
    <xf numFmtId="0" fontId="6" fillId="0" borderId="59" xfId="0" applyFont="1" applyBorder="1">
      <alignment vertical="center"/>
    </xf>
    <xf numFmtId="176" fontId="6" fillId="0" borderId="50" xfId="0" applyNumberFormat="1" applyFont="1" applyBorder="1">
      <alignment vertical="center"/>
    </xf>
    <xf numFmtId="178" fontId="6" fillId="0" borderId="60" xfId="2" applyNumberFormat="1" applyFont="1" applyBorder="1">
      <alignment vertical="center"/>
    </xf>
    <xf numFmtId="0" fontId="6" fillId="9" borderId="26" xfId="0" applyFont="1" applyFill="1" applyBorder="1">
      <alignment vertical="center"/>
    </xf>
    <xf numFmtId="0" fontId="6" fillId="9" borderId="48" xfId="0" applyFont="1" applyFill="1" applyBorder="1">
      <alignment vertical="center"/>
    </xf>
    <xf numFmtId="0" fontId="6" fillId="9" borderId="27" xfId="0" applyFont="1" applyFill="1" applyBorder="1">
      <alignment vertical="center"/>
    </xf>
    <xf numFmtId="176" fontId="6" fillId="9" borderId="26" xfId="0" applyNumberFormat="1" applyFont="1" applyFill="1" applyBorder="1">
      <alignment vertical="center"/>
    </xf>
    <xf numFmtId="0" fontId="6" fillId="9" borderId="38" xfId="0" applyFont="1" applyFill="1" applyBorder="1">
      <alignment vertical="center"/>
    </xf>
    <xf numFmtId="0" fontId="6" fillId="9" borderId="60" xfId="0" applyFont="1" applyFill="1" applyBorder="1">
      <alignment vertical="center"/>
    </xf>
    <xf numFmtId="0" fontId="6" fillId="9" borderId="61" xfId="0" applyFont="1" applyFill="1" applyBorder="1">
      <alignment vertical="center"/>
    </xf>
    <xf numFmtId="176" fontId="4" fillId="9" borderId="50" xfId="1" applyNumberFormat="1" applyFill="1" applyBorder="1">
      <alignment vertical="center"/>
    </xf>
    <xf numFmtId="176" fontId="5" fillId="0" borderId="35" xfId="2" applyNumberFormat="1" applyFont="1" applyBorder="1" applyAlignment="1">
      <alignment vertical="center" shrinkToFit="1"/>
    </xf>
    <xf numFmtId="176" fontId="5" fillId="0" borderId="32" xfId="2" applyNumberFormat="1" applyFont="1" applyFill="1" applyBorder="1" applyAlignment="1">
      <alignment vertical="center" shrinkToFit="1"/>
    </xf>
    <xf numFmtId="176" fontId="5" fillId="0" borderId="33" xfId="2" applyNumberFormat="1" applyFont="1" applyFill="1" applyBorder="1" applyAlignment="1">
      <alignment vertical="center" shrinkToFit="1"/>
    </xf>
    <xf numFmtId="176" fontId="5" fillId="0" borderId="35" xfId="2" applyNumberFormat="1" applyFont="1" applyFill="1" applyBorder="1" applyAlignment="1">
      <alignment vertical="center" shrinkToFit="1"/>
    </xf>
    <xf numFmtId="176" fontId="5" fillId="0" borderId="34" xfId="2" applyNumberFormat="1" applyFont="1" applyFill="1" applyBorder="1" applyAlignment="1">
      <alignment vertical="center" shrinkToFit="1"/>
    </xf>
    <xf numFmtId="176" fontId="5" fillId="9" borderId="33" xfId="2" applyNumberFormat="1" applyFont="1" applyFill="1" applyBorder="1" applyAlignment="1">
      <alignment vertical="center" shrinkToFit="1"/>
    </xf>
    <xf numFmtId="176" fontId="5" fillId="0" borderId="35" xfId="2" applyNumberFormat="1" applyFont="1" applyBorder="1">
      <alignment vertical="center"/>
    </xf>
    <xf numFmtId="176" fontId="6" fillId="0" borderId="25" xfId="2" applyNumberFormat="1" applyFont="1" applyBorder="1">
      <alignment vertical="center"/>
    </xf>
    <xf numFmtId="176" fontId="6" fillId="0" borderId="35" xfId="2" applyNumberFormat="1" applyFont="1" applyBorder="1">
      <alignment vertical="center"/>
    </xf>
    <xf numFmtId="176" fontId="6" fillId="0" borderId="34" xfId="2" applyNumberFormat="1" applyFont="1" applyBorder="1">
      <alignment vertical="center"/>
    </xf>
    <xf numFmtId="9" fontId="11" fillId="9" borderId="48" xfId="2" applyFont="1" applyFill="1" applyBorder="1">
      <alignment vertical="center"/>
    </xf>
    <xf numFmtId="9" fontId="11" fillId="9" borderId="27" xfId="2" applyFont="1" applyFill="1" applyBorder="1">
      <alignment vertical="center"/>
    </xf>
    <xf numFmtId="9" fontId="11" fillId="9" borderId="60" xfId="2" applyFont="1" applyFill="1" applyBorder="1">
      <alignment vertical="center"/>
    </xf>
    <xf numFmtId="9" fontId="11" fillId="9" borderId="61" xfId="2" applyFont="1" applyFill="1" applyBorder="1">
      <alignment vertical="center"/>
    </xf>
    <xf numFmtId="9" fontId="11" fillId="9" borderId="62" xfId="2" applyFont="1" applyFill="1" applyBorder="1" applyAlignment="1">
      <alignment vertical="center" shrinkToFit="1"/>
    </xf>
    <xf numFmtId="9" fontId="11" fillId="9" borderId="49" xfId="2" applyFont="1" applyFill="1" applyBorder="1" applyAlignment="1">
      <alignment vertical="center" shrinkToFit="1"/>
    </xf>
    <xf numFmtId="9" fontId="11" fillId="9" borderId="64" xfId="2" applyFont="1" applyFill="1" applyBorder="1" applyAlignment="1">
      <alignment vertical="center" shrinkToFit="1"/>
    </xf>
    <xf numFmtId="9" fontId="11" fillId="9" borderId="51" xfId="2" applyFont="1" applyFill="1" applyBorder="1" applyAlignment="1">
      <alignment vertical="center" shrinkToFit="1"/>
    </xf>
    <xf numFmtId="176" fontId="12" fillId="9" borderId="26" xfId="0" applyNumberFormat="1" applyFont="1" applyFill="1" applyBorder="1">
      <alignment vertical="center"/>
    </xf>
    <xf numFmtId="176" fontId="12" fillId="9" borderId="50" xfId="0" applyNumberFormat="1" applyFont="1" applyFill="1" applyBorder="1" applyAlignment="1">
      <alignment vertical="center" shrinkToFit="1"/>
    </xf>
    <xf numFmtId="176" fontId="12" fillId="9" borderId="26" xfId="0" applyNumberFormat="1" applyFont="1" applyFill="1" applyBorder="1" applyAlignment="1">
      <alignment vertical="center" shrinkToFit="1"/>
    </xf>
    <xf numFmtId="176" fontId="15" fillId="9" borderId="50" xfId="1" applyNumberFormat="1" applyFont="1" applyFill="1" applyBorder="1">
      <alignment vertical="center"/>
    </xf>
    <xf numFmtId="176" fontId="12" fillId="9" borderId="48" xfId="0" applyNumberFormat="1" applyFont="1" applyFill="1" applyBorder="1">
      <alignment vertical="center"/>
    </xf>
    <xf numFmtId="176" fontId="12" fillId="9" borderId="60" xfId="0" applyNumberFormat="1" applyFont="1" applyFill="1" applyBorder="1" applyAlignment="1">
      <alignment vertical="center" shrinkToFit="1"/>
    </xf>
    <xf numFmtId="176" fontId="12" fillId="9" borderId="48" xfId="0" applyNumberFormat="1" applyFont="1" applyFill="1" applyBorder="1" applyAlignment="1">
      <alignment vertical="center" shrinkToFit="1"/>
    </xf>
    <xf numFmtId="176" fontId="15" fillId="9" borderId="60" xfId="1" applyNumberFormat="1" applyFont="1" applyFill="1" applyBorder="1">
      <alignment vertical="center"/>
    </xf>
    <xf numFmtId="176" fontId="12" fillId="9" borderId="19" xfId="2" applyNumberFormat="1" applyFont="1" applyFill="1" applyBorder="1" applyAlignment="1">
      <alignment vertical="center" shrinkToFit="1"/>
    </xf>
    <xf numFmtId="176" fontId="12" fillId="9" borderId="25" xfId="2" applyNumberFormat="1" applyFont="1" applyFill="1" applyBorder="1" applyAlignment="1">
      <alignment vertical="center" shrinkToFit="1"/>
    </xf>
    <xf numFmtId="176" fontId="12" fillId="9" borderId="25" xfId="2" applyNumberFormat="1" applyFont="1" applyFill="1" applyBorder="1">
      <alignment vertical="center"/>
    </xf>
    <xf numFmtId="176" fontId="12" fillId="9" borderId="19" xfId="2" applyNumberFormat="1" applyFont="1" applyFill="1" applyBorder="1">
      <alignment vertical="center"/>
    </xf>
    <xf numFmtId="0" fontId="6" fillId="0" borderId="46" xfId="0" applyFont="1" applyBorder="1">
      <alignment vertical="center"/>
    </xf>
    <xf numFmtId="9" fontId="6" fillId="0" borderId="0" xfId="2" applyFont="1" applyBorder="1">
      <alignment vertical="center"/>
    </xf>
    <xf numFmtId="0" fontId="6" fillId="9" borderId="57" xfId="0" applyFont="1" applyFill="1" applyBorder="1">
      <alignment vertical="center"/>
    </xf>
    <xf numFmtId="0" fontId="6" fillId="9" borderId="0" xfId="0" applyFont="1" applyFill="1" applyBorder="1">
      <alignment vertical="center"/>
    </xf>
    <xf numFmtId="0" fontId="6" fillId="9" borderId="46" xfId="0" applyFont="1" applyFill="1" applyBorder="1">
      <alignment vertical="center"/>
    </xf>
    <xf numFmtId="176" fontId="8" fillId="9" borderId="57" xfId="0" applyNumberFormat="1" applyFont="1" applyFill="1" applyBorder="1">
      <alignment vertical="center"/>
    </xf>
    <xf numFmtId="9" fontId="8" fillId="9" borderId="0" xfId="2" applyFont="1" applyFill="1" applyBorder="1">
      <alignment vertical="center"/>
    </xf>
    <xf numFmtId="9" fontId="8" fillId="9" borderId="46" xfId="2" applyFont="1" applyFill="1" applyBorder="1">
      <alignment vertical="center"/>
    </xf>
    <xf numFmtId="176" fontId="8" fillId="9" borderId="0" xfId="0" applyNumberFormat="1" applyFont="1" applyFill="1" applyBorder="1">
      <alignment vertical="center"/>
    </xf>
    <xf numFmtId="176" fontId="8" fillId="9" borderId="33" xfId="2" applyNumberFormat="1" applyFont="1" applyFill="1" applyBorder="1">
      <alignment vertical="center"/>
    </xf>
    <xf numFmtId="0" fontId="6" fillId="9" borderId="69" xfId="0" applyFont="1" applyFill="1" applyBorder="1">
      <alignment vertical="center"/>
    </xf>
    <xf numFmtId="0" fontId="6" fillId="9" borderId="68" xfId="0" applyFont="1" applyFill="1" applyBorder="1">
      <alignment vertical="center"/>
    </xf>
    <xf numFmtId="176" fontId="8" fillId="9" borderId="70" xfId="0" applyNumberFormat="1" applyFont="1" applyFill="1" applyBorder="1">
      <alignment vertical="center"/>
    </xf>
    <xf numFmtId="9" fontId="8" fillId="9" borderId="69" xfId="2" applyFont="1" applyFill="1" applyBorder="1">
      <alignment vertical="center"/>
    </xf>
    <xf numFmtId="9" fontId="8" fillId="9" borderId="68" xfId="2" applyFont="1" applyFill="1" applyBorder="1">
      <alignment vertical="center"/>
    </xf>
    <xf numFmtId="176" fontId="8" fillId="9" borderId="69" xfId="0" applyNumberFormat="1" applyFont="1" applyFill="1" applyBorder="1">
      <alignment vertical="center"/>
    </xf>
    <xf numFmtId="176" fontId="8" fillId="9" borderId="36" xfId="2" applyNumberFormat="1" applyFont="1" applyFill="1" applyBorder="1">
      <alignment vertical="center"/>
    </xf>
    <xf numFmtId="176" fontId="6" fillId="0" borderId="26" xfId="0" applyNumberFormat="1" applyFont="1" applyBorder="1">
      <alignment vertical="center"/>
    </xf>
    <xf numFmtId="176" fontId="6" fillId="0" borderId="48" xfId="0" applyNumberFormat="1" applyFont="1" applyBorder="1">
      <alignment vertical="center"/>
    </xf>
    <xf numFmtId="176" fontId="5" fillId="0" borderId="48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176" fontId="14" fillId="0" borderId="27" xfId="1" applyNumberFormat="1" applyFont="1" applyBorder="1">
      <alignment vertical="center"/>
    </xf>
    <xf numFmtId="176" fontId="14" fillId="0" borderId="48" xfId="1" applyNumberFormat="1" applyFont="1" applyBorder="1">
      <alignment vertical="center"/>
    </xf>
    <xf numFmtId="176" fontId="14" fillId="0" borderId="26" xfId="1" applyNumberFormat="1" applyFont="1" applyBorder="1">
      <alignment vertical="center"/>
    </xf>
    <xf numFmtId="176" fontId="5" fillId="0" borderId="27" xfId="2" applyNumberFormat="1" applyFont="1" applyBorder="1">
      <alignment vertical="center"/>
    </xf>
    <xf numFmtId="176" fontId="5" fillId="0" borderId="19" xfId="2" applyNumberFormat="1" applyFont="1" applyBorder="1">
      <alignment vertical="center"/>
    </xf>
    <xf numFmtId="176" fontId="14" fillId="0" borderId="57" xfId="1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9" fontId="5" fillId="0" borderId="17" xfId="2" applyFont="1" applyBorder="1">
      <alignment vertical="center"/>
    </xf>
    <xf numFmtId="9" fontId="5" fillId="0" borderId="44" xfId="2" applyFont="1" applyBorder="1">
      <alignment vertical="center"/>
    </xf>
    <xf numFmtId="176" fontId="14" fillId="0" borderId="17" xfId="1" applyNumberFormat="1" applyFont="1" applyBorder="1">
      <alignment vertical="center"/>
    </xf>
    <xf numFmtId="176" fontId="5" fillId="0" borderId="34" xfId="2" applyNumberFormat="1" applyFont="1" applyBorder="1">
      <alignment vertical="center"/>
    </xf>
    <xf numFmtId="0" fontId="6" fillId="0" borderId="26" xfId="0" applyFont="1" applyBorder="1">
      <alignment vertical="center"/>
    </xf>
    <xf numFmtId="0" fontId="6" fillId="0" borderId="48" xfId="0" applyFont="1" applyBorder="1">
      <alignment vertical="center"/>
    </xf>
    <xf numFmtId="0" fontId="5" fillId="0" borderId="48" xfId="0" applyFont="1" applyBorder="1" applyAlignment="1">
      <alignment horizontal="right" vertical="center"/>
    </xf>
    <xf numFmtId="9" fontId="5" fillId="0" borderId="48" xfId="2" applyFont="1" applyBorder="1">
      <alignment vertical="center"/>
    </xf>
    <xf numFmtId="9" fontId="5" fillId="0" borderId="27" xfId="2" applyFont="1" applyBorder="1">
      <alignment vertical="center"/>
    </xf>
    <xf numFmtId="176" fontId="5" fillId="0" borderId="56" xfId="0" applyNumberFormat="1" applyFont="1" applyBorder="1" applyAlignment="1">
      <alignment vertical="center" shrinkToFit="1"/>
    </xf>
    <xf numFmtId="38" fontId="6" fillId="0" borderId="0" xfId="1" applyFont="1" applyFill="1" applyBorder="1" applyAlignment="1" applyProtection="1">
      <alignment horizontal="center" vertical="center" shrinkToFit="1"/>
    </xf>
    <xf numFmtId="0" fontId="6" fillId="17" borderId="3" xfId="0" applyFont="1" applyFill="1" applyBorder="1" applyAlignment="1">
      <alignment vertical="center" shrinkToFit="1"/>
    </xf>
    <xf numFmtId="0" fontId="6" fillId="17" borderId="1" xfId="0" applyFont="1" applyFill="1" applyBorder="1" applyAlignment="1">
      <alignment vertical="center" shrinkToFit="1"/>
    </xf>
    <xf numFmtId="179" fontId="6" fillId="0" borderId="2" xfId="1" applyNumberFormat="1" applyFont="1" applyFill="1" applyBorder="1" applyAlignment="1" applyProtection="1">
      <alignment vertical="center" shrinkToFit="1"/>
    </xf>
    <xf numFmtId="179" fontId="6" fillId="0" borderId="3" xfId="1" applyNumberFormat="1" applyFont="1" applyFill="1" applyBorder="1" applyAlignment="1" applyProtection="1">
      <alignment vertical="center" shrinkToFit="1"/>
    </xf>
    <xf numFmtId="179" fontId="6" fillId="12" borderId="3" xfId="1" applyNumberFormat="1" applyFont="1" applyFill="1" applyBorder="1" applyAlignment="1" applyProtection="1">
      <alignment vertical="center" shrinkToFit="1"/>
    </xf>
    <xf numFmtId="179" fontId="6" fillId="3" borderId="3" xfId="1" applyNumberFormat="1" applyFont="1" applyFill="1" applyBorder="1" applyAlignment="1" applyProtection="1">
      <alignment vertical="center" shrinkToFit="1"/>
    </xf>
    <xf numFmtId="179" fontId="6" fillId="3" borderId="12" xfId="1" applyNumberFormat="1" applyFont="1" applyFill="1" applyBorder="1" applyAlignment="1" applyProtection="1">
      <alignment vertical="center" shrinkToFit="1"/>
    </xf>
    <xf numFmtId="179" fontId="6" fillId="3" borderId="1" xfId="1" applyNumberFormat="1" applyFont="1" applyFill="1" applyBorder="1" applyAlignment="1" applyProtection="1">
      <alignment vertical="center" shrinkToFit="1"/>
    </xf>
    <xf numFmtId="179" fontId="6" fillId="0" borderId="0" xfId="1" applyNumberFormat="1" applyFont="1" applyFill="1" applyBorder="1" applyAlignment="1" applyProtection="1">
      <alignment vertical="center" shrinkToFit="1"/>
    </xf>
    <xf numFmtId="179" fontId="6" fillId="0" borderId="1" xfId="1" applyNumberFormat="1" applyFont="1" applyFill="1" applyBorder="1" applyAlignment="1" applyProtection="1">
      <alignment vertical="center" shrinkToFit="1"/>
    </xf>
    <xf numFmtId="179" fontId="5" fillId="3" borderId="3" xfId="0" applyNumberFormat="1" applyFont="1" applyFill="1" applyBorder="1" applyAlignment="1">
      <alignment vertical="center" shrinkToFit="1"/>
    </xf>
    <xf numFmtId="179" fontId="6" fillId="4" borderId="3" xfId="1" applyNumberFormat="1" applyFont="1" applyFill="1" applyBorder="1" applyAlignment="1" applyProtection="1">
      <alignment vertical="center" shrinkToFit="1"/>
    </xf>
    <xf numFmtId="179" fontId="6" fillId="0" borderId="3" xfId="1" applyNumberFormat="1" applyFont="1" applyFill="1" applyBorder="1" applyAlignment="1" applyProtection="1">
      <alignment vertical="center"/>
    </xf>
    <xf numFmtId="179" fontId="6" fillId="4" borderId="2" xfId="1" applyNumberFormat="1" applyFont="1" applyFill="1" applyBorder="1" applyAlignment="1" applyProtection="1">
      <alignment vertical="center" shrinkToFit="1"/>
    </xf>
    <xf numFmtId="180" fontId="6" fillId="0" borderId="0" xfId="0" applyNumberFormat="1" applyFont="1" applyFill="1">
      <alignment vertical="center"/>
    </xf>
    <xf numFmtId="0" fontId="6" fillId="0" borderId="33" xfId="0" applyFont="1" applyFill="1" applyBorder="1" applyAlignment="1">
      <alignment vertical="center" shrinkToFit="1"/>
    </xf>
    <xf numFmtId="180" fontId="6" fillId="0" borderId="34" xfId="1" applyNumberFormat="1" applyFont="1" applyFill="1" applyBorder="1" applyAlignment="1" applyProtection="1">
      <alignment vertical="center" shrinkToFit="1"/>
    </xf>
    <xf numFmtId="180" fontId="6" fillId="0" borderId="33" xfId="1" applyNumberFormat="1" applyFont="1" applyFill="1" applyBorder="1" applyAlignment="1" applyProtection="1">
      <alignment vertical="center" shrinkToFit="1"/>
    </xf>
    <xf numFmtId="180" fontId="6" fillId="0" borderId="0" xfId="0" applyNumberFormat="1" applyFont="1" applyFill="1" applyAlignment="1">
      <alignment vertical="center" shrinkToFit="1"/>
    </xf>
    <xf numFmtId="180" fontId="6" fillId="0" borderId="0" xfId="1" applyNumberFormat="1" applyFont="1" applyFill="1" applyBorder="1" applyAlignment="1" applyProtection="1">
      <alignment vertical="center" shrinkToFit="1"/>
    </xf>
    <xf numFmtId="38" fontId="16" fillId="0" borderId="0" xfId="1" applyFont="1" applyFill="1" applyBorder="1" applyAlignment="1" applyProtection="1">
      <alignment horizontal="center" vertical="center" shrinkToFit="1"/>
    </xf>
    <xf numFmtId="38" fontId="16" fillId="0" borderId="19" xfId="1" applyFont="1" applyFill="1" applyBorder="1" applyAlignment="1" applyProtection="1">
      <alignment horizontal="center" vertical="center" shrinkToFit="1"/>
    </xf>
    <xf numFmtId="38" fontId="16" fillId="0" borderId="32" xfId="1" applyFont="1" applyFill="1" applyBorder="1" applyAlignment="1" applyProtection="1">
      <alignment vertical="center" shrinkToFit="1"/>
    </xf>
    <xf numFmtId="38" fontId="16" fillId="0" borderId="33" xfId="1" applyFont="1" applyFill="1" applyBorder="1" applyAlignment="1" applyProtection="1">
      <alignment vertical="center" shrinkToFit="1"/>
    </xf>
    <xf numFmtId="38" fontId="16" fillId="0" borderId="34" xfId="1" applyFont="1" applyFill="1" applyBorder="1" applyAlignment="1" applyProtection="1">
      <alignment vertical="center" shrinkToFit="1"/>
    </xf>
    <xf numFmtId="0" fontId="16" fillId="0" borderId="33" xfId="0" applyFont="1" applyFill="1" applyBorder="1" applyAlignment="1">
      <alignment vertical="center" shrinkToFit="1"/>
    </xf>
    <xf numFmtId="0" fontId="16" fillId="0" borderId="34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180" fontId="16" fillId="0" borderId="19" xfId="1" applyNumberFormat="1" applyFont="1" applyFill="1" applyBorder="1" applyAlignment="1" applyProtection="1">
      <alignment horizontal="center" vertical="center" shrinkToFit="1"/>
    </xf>
    <xf numFmtId="180" fontId="16" fillId="0" borderId="0" xfId="0" applyNumberFormat="1" applyFont="1" applyFill="1">
      <alignment vertical="center"/>
    </xf>
    <xf numFmtId="180" fontId="16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>
      <alignment vertical="center"/>
    </xf>
    <xf numFmtId="38" fontId="16" fillId="0" borderId="19" xfId="1" applyFont="1" applyFill="1" applyBorder="1" applyAlignment="1" applyProtection="1">
      <alignment vertical="center" shrinkToFit="1"/>
    </xf>
    <xf numFmtId="180" fontId="16" fillId="0" borderId="19" xfId="1" applyNumberFormat="1" applyFont="1" applyFill="1" applyBorder="1" applyAlignment="1" applyProtection="1">
      <alignment vertical="center" shrinkToFit="1"/>
    </xf>
    <xf numFmtId="180" fontId="16" fillId="0" borderId="32" xfId="1" applyNumberFormat="1" applyFont="1" applyFill="1" applyBorder="1" applyAlignment="1" applyProtection="1">
      <alignment vertical="center" shrinkToFit="1"/>
    </xf>
    <xf numFmtId="180" fontId="16" fillId="0" borderId="0" xfId="0" applyNumberFormat="1" applyFont="1" applyFill="1" applyBorder="1">
      <alignment vertical="center"/>
    </xf>
    <xf numFmtId="180" fontId="16" fillId="0" borderId="1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 shrinkToFit="1"/>
    </xf>
    <xf numFmtId="180" fontId="16" fillId="0" borderId="33" xfId="1" applyNumberFormat="1" applyFont="1" applyFill="1" applyBorder="1" applyAlignment="1" applyProtection="1">
      <alignment vertical="center" shrinkToFit="1"/>
    </xf>
    <xf numFmtId="180" fontId="16" fillId="0" borderId="6" xfId="1" applyNumberFormat="1" applyFont="1" applyFill="1" applyBorder="1" applyAlignment="1" applyProtection="1">
      <alignment vertical="center"/>
    </xf>
    <xf numFmtId="180" fontId="16" fillId="0" borderId="34" xfId="1" applyNumberFormat="1" applyFont="1" applyFill="1" applyBorder="1" applyAlignment="1" applyProtection="1">
      <alignment vertical="center" shrinkToFit="1"/>
    </xf>
    <xf numFmtId="180" fontId="16" fillId="0" borderId="5" xfId="1" applyNumberFormat="1" applyFont="1" applyFill="1" applyBorder="1" applyAlignment="1" applyProtection="1">
      <alignment vertical="center"/>
    </xf>
    <xf numFmtId="180" fontId="16" fillId="0" borderId="2" xfId="1" applyNumberFormat="1" applyFont="1" applyFill="1" applyBorder="1" applyAlignment="1" applyProtection="1">
      <alignment vertical="center"/>
    </xf>
    <xf numFmtId="180" fontId="16" fillId="0" borderId="4" xfId="1" applyNumberFormat="1" applyFont="1" applyFill="1" applyBorder="1" applyAlignment="1" applyProtection="1">
      <alignment vertical="center"/>
    </xf>
    <xf numFmtId="180" fontId="16" fillId="0" borderId="7" xfId="1" applyNumberFormat="1" applyFont="1" applyFill="1" applyBorder="1" applyAlignment="1" applyProtection="1">
      <alignment vertical="center"/>
    </xf>
    <xf numFmtId="180" fontId="16" fillId="0" borderId="0" xfId="1" applyNumberFormat="1" applyFont="1" applyFill="1" applyBorder="1" applyAlignment="1" applyProtection="1">
      <alignment vertical="center" shrinkToFit="1"/>
    </xf>
    <xf numFmtId="180" fontId="16" fillId="0" borderId="0" xfId="1" applyNumberFormat="1" applyFont="1" applyFill="1" applyBorder="1" applyAlignment="1" applyProtection="1">
      <alignment vertical="center"/>
    </xf>
    <xf numFmtId="0" fontId="16" fillId="0" borderId="19" xfId="0" applyFont="1" applyFill="1" applyBorder="1" applyAlignment="1">
      <alignment vertical="center" shrinkToFit="1"/>
    </xf>
    <xf numFmtId="180" fontId="16" fillId="0" borderId="19" xfId="0" applyNumberFormat="1" applyFont="1" applyFill="1" applyBorder="1" applyAlignment="1">
      <alignment vertical="center" shrinkToFit="1"/>
    </xf>
    <xf numFmtId="180" fontId="16" fillId="0" borderId="0" xfId="0" applyNumberFormat="1" applyFont="1" applyFill="1" applyAlignment="1">
      <alignment vertical="center" shrinkToFit="1"/>
    </xf>
    <xf numFmtId="180" fontId="6" fillId="0" borderId="75" xfId="1" applyNumberFormat="1" applyFont="1" applyFill="1" applyBorder="1" applyAlignment="1" applyProtection="1">
      <alignment vertical="center" shrinkToFit="1"/>
    </xf>
    <xf numFmtId="0" fontId="17" fillId="0" borderId="0" xfId="0" applyFont="1">
      <alignment vertical="center"/>
    </xf>
    <xf numFmtId="38" fontId="17" fillId="0" borderId="73" xfId="1" applyNumberFormat="1" applyFont="1" applyBorder="1" applyAlignment="1">
      <alignment horizontal="center" vertical="center"/>
    </xf>
    <xf numFmtId="38" fontId="17" fillId="0" borderId="74" xfId="1" applyNumberFormat="1" applyFont="1" applyBorder="1" applyAlignment="1">
      <alignment horizontal="center" vertical="center"/>
    </xf>
    <xf numFmtId="38" fontId="17" fillId="0" borderId="52" xfId="1" applyNumberFormat="1" applyFont="1" applyBorder="1" applyAlignment="1">
      <alignment horizontal="center" vertical="center"/>
    </xf>
    <xf numFmtId="0" fontId="17" fillId="0" borderId="26" xfId="0" applyFont="1" applyBorder="1">
      <alignment vertical="center"/>
    </xf>
    <xf numFmtId="0" fontId="17" fillId="0" borderId="48" xfId="0" applyFont="1" applyBorder="1">
      <alignment vertical="center"/>
    </xf>
    <xf numFmtId="0" fontId="17" fillId="0" borderId="27" xfId="0" applyFont="1" applyBorder="1">
      <alignment vertical="center"/>
    </xf>
    <xf numFmtId="0" fontId="17" fillId="9" borderId="48" xfId="0" applyFont="1" applyFill="1" applyBorder="1">
      <alignment vertical="center"/>
    </xf>
    <xf numFmtId="0" fontId="17" fillId="9" borderId="27" xfId="0" applyFont="1" applyFill="1" applyBorder="1">
      <alignment vertical="center"/>
    </xf>
    <xf numFmtId="38" fontId="17" fillId="0" borderId="0" xfId="1" applyFont="1">
      <alignment vertical="center"/>
    </xf>
    <xf numFmtId="38" fontId="17" fillId="0" borderId="0" xfId="1" applyNumberFormat="1" applyFont="1">
      <alignment vertical="center"/>
    </xf>
    <xf numFmtId="0" fontId="17" fillId="9" borderId="26" xfId="0" applyFont="1" applyFill="1" applyBorder="1" applyAlignment="1">
      <alignment horizontal="center" vertical="center"/>
    </xf>
    <xf numFmtId="180" fontId="6" fillId="0" borderId="76" xfId="1" applyNumberFormat="1" applyFont="1" applyFill="1" applyBorder="1" applyAlignment="1" applyProtection="1">
      <alignment vertical="center" shrinkToFit="1"/>
    </xf>
    <xf numFmtId="38" fontId="17" fillId="0" borderId="19" xfId="1" applyFont="1" applyBorder="1" applyAlignment="1">
      <alignment vertical="center" shrinkToFit="1"/>
    </xf>
    <xf numFmtId="38" fontId="17" fillId="0" borderId="71" xfId="1" applyNumberFormat="1" applyFont="1" applyBorder="1" applyAlignment="1">
      <alignment vertical="center" shrinkToFit="1"/>
    </xf>
    <xf numFmtId="38" fontId="17" fillId="0" borderId="72" xfId="1" applyNumberFormat="1" applyFont="1" applyBorder="1" applyAlignment="1">
      <alignment vertical="center" shrinkToFit="1"/>
    </xf>
    <xf numFmtId="38" fontId="17" fillId="0" borderId="72" xfId="2" applyNumberFormat="1" applyFont="1" applyBorder="1" applyAlignment="1">
      <alignment vertical="center" shrinkToFit="1"/>
    </xf>
    <xf numFmtId="38" fontId="17" fillId="0" borderId="49" xfId="1" applyNumberFormat="1" applyFont="1" applyBorder="1" applyAlignment="1">
      <alignment vertical="center" shrinkToFit="1"/>
    </xf>
    <xf numFmtId="38" fontId="18" fillId="9" borderId="19" xfId="1" applyFont="1" applyFill="1" applyBorder="1" applyAlignment="1">
      <alignment vertical="center" shrinkToFit="1"/>
    </xf>
    <xf numFmtId="38" fontId="18" fillId="9" borderId="71" xfId="1" applyNumberFormat="1" applyFont="1" applyFill="1" applyBorder="1" applyAlignment="1">
      <alignment vertical="center" shrinkToFit="1"/>
    </xf>
    <xf numFmtId="38" fontId="18" fillId="9" borderId="72" xfId="1" applyNumberFormat="1" applyFont="1" applyFill="1" applyBorder="1" applyAlignment="1">
      <alignment vertical="center" shrinkToFit="1"/>
    </xf>
    <xf numFmtId="38" fontId="18" fillId="9" borderId="49" xfId="1" applyNumberFormat="1" applyFont="1" applyFill="1" applyBorder="1" applyAlignment="1">
      <alignment vertical="center" shrinkToFit="1"/>
    </xf>
    <xf numFmtId="38" fontId="17" fillId="0" borderId="49" xfId="2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9" fontId="17" fillId="0" borderId="72" xfId="2" applyFont="1" applyBorder="1" applyAlignment="1">
      <alignment vertical="center" shrinkToFit="1"/>
    </xf>
    <xf numFmtId="9" fontId="18" fillId="9" borderId="72" xfId="2" applyFont="1" applyFill="1" applyBorder="1" applyAlignment="1">
      <alignment vertical="center" shrinkToFit="1"/>
    </xf>
    <xf numFmtId="183" fontId="17" fillId="0" borderId="0" xfId="1" applyNumberFormat="1" applyFont="1">
      <alignment vertical="center"/>
    </xf>
    <xf numFmtId="180" fontId="4" fillId="0" borderId="19" xfId="1" applyNumberFormat="1" applyBorder="1">
      <alignment vertical="center"/>
    </xf>
    <xf numFmtId="180" fontId="4" fillId="9" borderId="19" xfId="1" applyNumberFormat="1" applyFill="1" applyBorder="1">
      <alignment vertical="center"/>
    </xf>
    <xf numFmtId="9" fontId="17" fillId="0" borderId="0" xfId="2" applyFont="1">
      <alignment vertical="center"/>
    </xf>
    <xf numFmtId="0" fontId="6" fillId="0" borderId="77" xfId="0" applyFont="1" applyBorder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18" borderId="66" xfId="0" applyFont="1" applyFill="1" applyBorder="1" applyAlignment="1">
      <alignment horizontal="center" vertical="center"/>
    </xf>
    <xf numFmtId="0" fontId="6" fillId="18" borderId="79" xfId="0" applyFont="1" applyFill="1" applyBorder="1" applyAlignment="1">
      <alignment horizontal="center" vertical="center"/>
    </xf>
    <xf numFmtId="38" fontId="6" fillId="0" borderId="0" xfId="1" applyFont="1">
      <alignment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18" borderId="80" xfId="0" applyFont="1" applyFill="1" applyBorder="1" applyAlignment="1">
      <alignment horizontal="center" vertical="center"/>
    </xf>
    <xf numFmtId="0" fontId="6" fillId="18" borderId="81" xfId="0" applyFont="1" applyFill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wrapText="1"/>
    </xf>
    <xf numFmtId="38" fontId="6" fillId="0" borderId="77" xfId="1" applyFont="1" applyBorder="1" applyAlignment="1">
      <alignment horizontal="center" vertical="center" wrapText="1"/>
    </xf>
    <xf numFmtId="0" fontId="6" fillId="0" borderId="77" xfId="0" applyFont="1" applyBorder="1" applyAlignment="1"/>
    <xf numFmtId="38" fontId="6" fillId="0" borderId="80" xfId="0" applyNumberFormat="1" applyFont="1" applyBorder="1" applyAlignment="1"/>
    <xf numFmtId="38" fontId="6" fillId="0" borderId="81" xfId="0" applyNumberFormat="1" applyFont="1" applyBorder="1" applyAlignment="1"/>
    <xf numFmtId="38" fontId="6" fillId="0" borderId="77" xfId="0" applyNumberFormat="1" applyFont="1" applyBorder="1" applyAlignment="1"/>
    <xf numFmtId="38" fontId="6" fillId="18" borderId="80" xfId="0" applyNumberFormat="1" applyFont="1" applyFill="1" applyBorder="1" applyAlignment="1"/>
    <xf numFmtId="38" fontId="6" fillId="18" borderId="83" xfId="0" applyNumberFormat="1" applyFont="1" applyFill="1" applyBorder="1" applyAlignment="1"/>
    <xf numFmtId="0" fontId="6" fillId="0" borderId="78" xfId="0" applyFont="1" applyBorder="1">
      <alignment vertical="center"/>
    </xf>
    <xf numFmtId="9" fontId="6" fillId="0" borderId="78" xfId="2" applyFont="1" applyBorder="1" applyAlignment="1"/>
    <xf numFmtId="38" fontId="6" fillId="0" borderId="77" xfId="1" applyFont="1" applyBorder="1" applyAlignment="1"/>
    <xf numFmtId="0" fontId="6" fillId="0" borderId="0" xfId="0" applyFont="1" applyAlignment="1"/>
    <xf numFmtId="38" fontId="6" fillId="0" borderId="78" xfId="1" applyFont="1" applyBorder="1" applyAlignment="1"/>
    <xf numFmtId="184" fontId="6" fillId="0" borderId="78" xfId="0" applyNumberFormat="1" applyFont="1" applyBorder="1" applyAlignment="1"/>
    <xf numFmtId="0" fontId="6" fillId="0" borderId="78" xfId="0" applyFont="1" applyBorder="1" applyAlignment="1"/>
    <xf numFmtId="38" fontId="6" fillId="0" borderId="82" xfId="0" applyNumberFormat="1" applyFont="1" applyBorder="1" applyAlignment="1"/>
    <xf numFmtId="38" fontId="6" fillId="0" borderId="83" xfId="0" applyNumberFormat="1" applyFont="1" applyBorder="1" applyAlignment="1"/>
    <xf numFmtId="38" fontId="6" fillId="0" borderId="78" xfId="0" applyNumberFormat="1" applyFont="1" applyBorder="1" applyAlignment="1"/>
    <xf numFmtId="38" fontId="6" fillId="18" borderId="82" xfId="0" applyNumberFormat="1" applyFont="1" applyFill="1" applyBorder="1" applyAlignment="1"/>
    <xf numFmtId="9" fontId="6" fillId="0" borderId="78" xfId="2" applyFont="1" applyBorder="1" applyAlignment="1">
      <alignment horizontal="center"/>
    </xf>
    <xf numFmtId="38" fontId="6" fillId="0" borderId="66" xfId="0" applyNumberFormat="1" applyFont="1" applyBorder="1">
      <alignment vertical="center"/>
    </xf>
    <xf numFmtId="38" fontId="6" fillId="0" borderId="79" xfId="0" applyNumberFormat="1" applyFont="1" applyBorder="1">
      <alignment vertical="center"/>
    </xf>
    <xf numFmtId="38" fontId="6" fillId="0" borderId="0" xfId="0" applyNumberFormat="1" applyFont="1" applyAlignment="1">
      <alignment vertical="center"/>
    </xf>
    <xf numFmtId="38" fontId="6" fillId="0" borderId="0" xfId="1" applyFont="1" applyAlignment="1"/>
    <xf numFmtId="0" fontId="6" fillId="0" borderId="84" xfId="0" applyFont="1" applyBorder="1" applyAlignment="1"/>
    <xf numFmtId="38" fontId="6" fillId="0" borderId="84" xfId="1" applyFont="1" applyBorder="1" applyAlignment="1"/>
    <xf numFmtId="184" fontId="6" fillId="0" borderId="84" xfId="0" applyNumberFormat="1" applyFont="1" applyBorder="1" applyAlignment="1"/>
    <xf numFmtId="0" fontId="6" fillId="0" borderId="85" xfId="0" applyFont="1" applyBorder="1" applyAlignment="1">
      <alignment horizontal="center" vertical="center"/>
    </xf>
    <xf numFmtId="38" fontId="6" fillId="0" borderId="86" xfId="1" applyFont="1" applyBorder="1" applyAlignment="1"/>
    <xf numFmtId="38" fontId="6" fillId="0" borderId="86" xfId="1" applyFont="1" applyBorder="1" applyAlignment="1">
      <alignment horizontal="center"/>
    </xf>
    <xf numFmtId="0" fontId="6" fillId="0" borderId="87" xfId="0" applyFont="1" applyBorder="1" applyAlignment="1"/>
    <xf numFmtId="0" fontId="6" fillId="0" borderId="87" xfId="0" applyFont="1" applyBorder="1">
      <alignment vertical="center"/>
    </xf>
    <xf numFmtId="38" fontId="6" fillId="0" borderId="88" xfId="0" applyNumberFormat="1" applyFont="1" applyBorder="1">
      <alignment vertical="center"/>
    </xf>
    <xf numFmtId="38" fontId="6" fillId="0" borderId="84" xfId="0" applyNumberFormat="1" applyFont="1" applyBorder="1" applyAlignment="1"/>
    <xf numFmtId="0" fontId="6" fillId="0" borderId="66" xfId="0" applyFont="1" applyBorder="1">
      <alignment vertical="center"/>
    </xf>
    <xf numFmtId="38" fontId="6" fillId="0" borderId="0" xfId="1" applyFont="1" applyBorder="1">
      <alignment vertical="center"/>
    </xf>
    <xf numFmtId="0" fontId="6" fillId="0" borderId="79" xfId="0" applyFont="1" applyBorder="1">
      <alignment vertical="center"/>
    </xf>
    <xf numFmtId="0" fontId="6" fillId="0" borderId="80" xfId="0" applyFont="1" applyBorder="1" applyAlignment="1">
      <alignment horizontal="center" vertical="center" wrapText="1"/>
    </xf>
    <xf numFmtId="38" fontId="6" fillId="0" borderId="82" xfId="1" applyFont="1" applyBorder="1" applyAlignment="1"/>
    <xf numFmtId="0" fontId="6" fillId="0" borderId="83" xfId="0" applyFont="1" applyBorder="1" applyAlignment="1"/>
    <xf numFmtId="0" fontId="6" fillId="0" borderId="66" xfId="0" applyFont="1" applyBorder="1" applyAlignment="1"/>
    <xf numFmtId="184" fontId="6" fillId="0" borderId="0" xfId="0" applyNumberFormat="1" applyFont="1" applyBorder="1" applyAlignment="1"/>
    <xf numFmtId="38" fontId="6" fillId="0" borderId="0" xfId="1" applyFont="1" applyBorder="1" applyAlignment="1"/>
    <xf numFmtId="0" fontId="6" fillId="0" borderId="79" xfId="0" applyFont="1" applyBorder="1" applyAlignment="1"/>
    <xf numFmtId="38" fontId="6" fillId="0" borderId="67" xfId="1" applyFont="1" applyBorder="1" applyAlignment="1"/>
    <xf numFmtId="0" fontId="6" fillId="0" borderId="90" xfId="0" applyFont="1" applyBorder="1" applyAlignment="1"/>
    <xf numFmtId="38" fontId="6" fillId="0" borderId="77" xfId="0" applyNumberFormat="1" applyFont="1" applyBorder="1">
      <alignment vertical="center"/>
    </xf>
    <xf numFmtId="9" fontId="6" fillId="0" borderId="77" xfId="2" applyFont="1" applyBorder="1" applyAlignment="1"/>
    <xf numFmtId="0" fontId="6" fillId="0" borderId="80" xfId="0" applyFont="1" applyBorder="1" applyAlignment="1"/>
    <xf numFmtId="184" fontId="6" fillId="0" borderId="77" xfId="0" applyNumberFormat="1" applyFont="1" applyBorder="1" applyAlignment="1"/>
    <xf numFmtId="0" fontId="6" fillId="0" borderId="81" xfId="0" applyFont="1" applyBorder="1" applyAlignment="1"/>
    <xf numFmtId="0" fontId="6" fillId="0" borderId="89" xfId="0" applyFont="1" applyBorder="1">
      <alignment vertical="center"/>
    </xf>
    <xf numFmtId="38" fontId="6" fillId="0" borderId="91" xfId="1" applyFont="1" applyBorder="1" applyAlignment="1"/>
    <xf numFmtId="176" fontId="4" fillId="0" borderId="0" xfId="1" applyNumberFormat="1">
      <alignment vertical="center"/>
    </xf>
    <xf numFmtId="38" fontId="0" fillId="19" borderId="0" xfId="0" applyNumberFormat="1" applyFill="1">
      <alignment vertical="center"/>
    </xf>
    <xf numFmtId="38" fontId="4" fillId="19" borderId="0" xfId="1" applyFill="1">
      <alignment vertical="center"/>
    </xf>
    <xf numFmtId="38" fontId="4" fillId="0" borderId="0" xfId="1" applyFill="1">
      <alignment vertical="center"/>
    </xf>
    <xf numFmtId="176" fontId="4" fillId="0" borderId="0" xfId="1" applyNumberFormat="1" applyFill="1">
      <alignment vertical="center"/>
    </xf>
    <xf numFmtId="38" fontId="4" fillId="0" borderId="0" xfId="1" applyAlignment="1">
      <alignment horizontal="center" vertical="center"/>
    </xf>
    <xf numFmtId="38" fontId="4" fillId="0" borderId="0" xfId="1">
      <alignment vertical="center"/>
    </xf>
    <xf numFmtId="38" fontId="4" fillId="0" borderId="0" xfId="1" applyAlignment="1">
      <alignment horizontal="center" vertical="center"/>
    </xf>
    <xf numFmtId="38" fontId="4" fillId="0" borderId="0" xfId="1">
      <alignment vertical="center"/>
    </xf>
    <xf numFmtId="38" fontId="0" fillId="19" borderId="0" xfId="1" applyFont="1" applyFill="1">
      <alignment vertical="center"/>
    </xf>
    <xf numFmtId="0" fontId="0" fillId="19" borderId="0" xfId="0" applyFill="1">
      <alignment vertical="center"/>
    </xf>
    <xf numFmtId="38" fontId="4" fillId="0" borderId="0" xfId="1">
      <alignment vertical="center"/>
    </xf>
    <xf numFmtId="38" fontId="4" fillId="0" borderId="0" xfId="1">
      <alignment vertical="center"/>
    </xf>
    <xf numFmtId="38" fontId="4" fillId="0" borderId="0" xfId="1">
      <alignment vertical="center"/>
    </xf>
    <xf numFmtId="38" fontId="4" fillId="0" borderId="0" xfId="1" applyAlignment="1">
      <alignment horizontal="center" vertical="center"/>
    </xf>
    <xf numFmtId="0" fontId="6" fillId="0" borderId="92" xfId="0" applyFont="1" applyFill="1" applyBorder="1" applyAlignment="1">
      <alignment vertical="center" shrinkToFit="1"/>
    </xf>
    <xf numFmtId="9" fontId="17" fillId="0" borderId="74" xfId="2" applyFont="1" applyBorder="1" applyAlignment="1">
      <alignment horizontal="center" vertical="center"/>
    </xf>
    <xf numFmtId="179" fontId="6" fillId="12" borderId="2" xfId="1" applyNumberFormat="1" applyFont="1" applyFill="1" applyBorder="1" applyAlignment="1" applyProtection="1">
      <alignment vertical="center" shrinkToFit="1"/>
    </xf>
    <xf numFmtId="179" fontId="6" fillId="20" borderId="3" xfId="1" applyNumberFormat="1" applyFont="1" applyFill="1" applyBorder="1" applyAlignment="1" applyProtection="1">
      <alignment vertical="center" shrinkToFit="1"/>
    </xf>
    <xf numFmtId="9" fontId="17" fillId="0" borderId="74" xfId="2" applyFont="1" applyBorder="1" applyAlignment="1">
      <alignment horizontal="center" vertical="center" wrapText="1"/>
    </xf>
    <xf numFmtId="178" fontId="6" fillId="0" borderId="19" xfId="2" applyNumberFormat="1" applyFont="1" applyBorder="1">
      <alignment vertical="center"/>
    </xf>
    <xf numFmtId="38" fontId="6" fillId="0" borderId="19" xfId="1" applyFont="1" applyBorder="1">
      <alignment vertical="center"/>
    </xf>
    <xf numFmtId="178" fontId="6" fillId="0" borderId="19" xfId="0" applyNumberFormat="1" applyFont="1" applyBorder="1">
      <alignment vertical="center"/>
    </xf>
    <xf numFmtId="9" fontId="6" fillId="0" borderId="19" xfId="2" applyFont="1" applyBorder="1">
      <alignment vertical="center"/>
    </xf>
    <xf numFmtId="9" fontId="6" fillId="0" borderId="19" xfId="0" applyNumberFormat="1" applyFont="1" applyBorder="1">
      <alignment vertical="center"/>
    </xf>
    <xf numFmtId="178" fontId="6" fillId="0" borderId="34" xfId="2" applyNumberFormat="1" applyFont="1" applyBorder="1">
      <alignment vertical="center"/>
    </xf>
    <xf numFmtId="38" fontId="6" fillId="0" borderId="34" xfId="1" applyFont="1" applyBorder="1">
      <alignment vertical="center"/>
    </xf>
    <xf numFmtId="0" fontId="6" fillId="0" borderId="34" xfId="0" applyFont="1" applyBorder="1">
      <alignment vertical="center"/>
    </xf>
    <xf numFmtId="178" fontId="6" fillId="0" borderId="34" xfId="0" applyNumberFormat="1" applyFont="1" applyBorder="1">
      <alignment vertical="center"/>
    </xf>
    <xf numFmtId="0" fontId="6" fillId="0" borderId="93" xfId="0" applyFont="1" applyBorder="1" applyAlignment="1">
      <alignment horizontal="center" vertical="center"/>
    </xf>
    <xf numFmtId="0" fontId="6" fillId="0" borderId="93" xfId="0" applyFont="1" applyBorder="1">
      <alignment vertical="center"/>
    </xf>
    <xf numFmtId="38" fontId="6" fillId="0" borderId="19" xfId="1" applyFont="1" applyFill="1" applyBorder="1" applyAlignment="1">
      <alignment vertical="center" shrinkToFit="1"/>
    </xf>
    <xf numFmtId="38" fontId="6" fillId="0" borderId="71" xfId="1" applyNumberFormat="1" applyFont="1" applyFill="1" applyBorder="1" applyAlignment="1">
      <alignment vertical="center" shrinkToFit="1"/>
    </xf>
    <xf numFmtId="180" fontId="6" fillId="0" borderId="72" xfId="1" applyNumberFormat="1" applyFont="1" applyFill="1" applyBorder="1">
      <alignment vertical="center"/>
    </xf>
    <xf numFmtId="38" fontId="6" fillId="0" borderId="72" xfId="1" applyNumberFormat="1" applyFont="1" applyFill="1" applyBorder="1" applyAlignment="1">
      <alignment vertical="center" shrinkToFit="1"/>
    </xf>
    <xf numFmtId="38" fontId="6" fillId="0" borderId="49" xfId="1" applyNumberFormat="1" applyFont="1" applyFill="1" applyBorder="1" applyAlignment="1">
      <alignment vertical="center" shrinkToFit="1"/>
    </xf>
    <xf numFmtId="180" fontId="6" fillId="0" borderId="19" xfId="1" applyNumberFormat="1" applyFont="1" applyFill="1" applyBorder="1">
      <alignment vertical="center"/>
    </xf>
    <xf numFmtId="0" fontId="6" fillId="0" borderId="27" xfId="0" applyFont="1" applyBorder="1">
      <alignment vertical="center"/>
    </xf>
    <xf numFmtId="38" fontId="6" fillId="0" borderId="19" xfId="1" applyFont="1" applyBorder="1" applyAlignment="1">
      <alignment vertical="center" shrinkToFit="1"/>
    </xf>
    <xf numFmtId="38" fontId="6" fillId="0" borderId="71" xfId="1" applyNumberFormat="1" applyFont="1" applyBorder="1" applyAlignment="1">
      <alignment vertical="center" shrinkToFit="1"/>
    </xf>
    <xf numFmtId="180" fontId="6" fillId="0" borderId="72" xfId="1" applyNumberFormat="1" applyFont="1" applyBorder="1">
      <alignment vertical="center"/>
    </xf>
    <xf numFmtId="180" fontId="6" fillId="0" borderId="19" xfId="1" applyNumberFormat="1" applyFont="1" applyBorder="1">
      <alignment vertical="center"/>
    </xf>
    <xf numFmtId="38" fontId="5" fillId="9" borderId="19" xfId="1" applyFont="1" applyFill="1" applyBorder="1" applyAlignment="1">
      <alignment vertical="center" shrinkToFit="1"/>
    </xf>
    <xf numFmtId="38" fontId="5" fillId="9" borderId="71" xfId="1" applyNumberFormat="1" applyFont="1" applyFill="1" applyBorder="1" applyAlignment="1">
      <alignment vertical="center" shrinkToFit="1"/>
    </xf>
    <xf numFmtId="38" fontId="5" fillId="9" borderId="72" xfId="1" applyNumberFormat="1" applyFont="1" applyFill="1" applyBorder="1" applyAlignment="1">
      <alignment vertical="center" shrinkToFit="1"/>
    </xf>
    <xf numFmtId="38" fontId="5" fillId="9" borderId="49" xfId="1" applyNumberFormat="1" applyFont="1" applyFill="1" applyBorder="1" applyAlignment="1">
      <alignment vertical="center" shrinkToFit="1"/>
    </xf>
    <xf numFmtId="38" fontId="6" fillId="0" borderId="72" xfId="2" applyNumberFormat="1" applyFont="1" applyBorder="1" applyAlignment="1">
      <alignment vertical="center" shrinkToFit="1"/>
    </xf>
    <xf numFmtId="38" fontId="6" fillId="0" borderId="49" xfId="2" applyNumberFormat="1" applyFont="1" applyBorder="1" applyAlignment="1">
      <alignment vertical="center" shrinkToFit="1"/>
    </xf>
    <xf numFmtId="180" fontId="6" fillId="9" borderId="72" xfId="1" applyNumberFormat="1" applyFont="1" applyFill="1" applyBorder="1">
      <alignment vertical="center"/>
    </xf>
    <xf numFmtId="180" fontId="6" fillId="9" borderId="19" xfId="1" applyNumberFormat="1" applyFont="1" applyFill="1" applyBorder="1">
      <alignment vertical="center"/>
    </xf>
    <xf numFmtId="0" fontId="6" fillId="0" borderId="0" xfId="0" applyFont="1" applyAlignment="1">
      <alignment vertical="center" wrapText="1"/>
    </xf>
    <xf numFmtId="38" fontId="6" fillId="0" borderId="0" xfId="1" applyNumberFormat="1" applyFont="1">
      <alignment vertical="center"/>
    </xf>
    <xf numFmtId="180" fontId="6" fillId="0" borderId="0" xfId="1" applyNumberFormat="1" applyFont="1">
      <alignment vertical="center"/>
    </xf>
    <xf numFmtId="9" fontId="6" fillId="0" borderId="0" xfId="2" applyNumberFormat="1" applyFont="1" applyAlignment="1">
      <alignment horizontal="right" vertical="center"/>
    </xf>
    <xf numFmtId="38" fontId="6" fillId="0" borderId="19" xfId="1" applyNumberFormat="1" applyFont="1" applyBorder="1">
      <alignment vertical="center"/>
    </xf>
    <xf numFmtId="38" fontId="6" fillId="0" borderId="0" xfId="1" applyFont="1" applyFill="1" applyBorder="1">
      <alignment vertical="center"/>
    </xf>
    <xf numFmtId="9" fontId="6" fillId="0" borderId="38" xfId="2" applyNumberFormat="1" applyFont="1" applyFill="1" applyBorder="1" applyAlignment="1">
      <alignment horizontal="right" vertical="center"/>
    </xf>
    <xf numFmtId="9" fontId="6" fillId="0" borderId="26" xfId="2" applyNumberFormat="1" applyFont="1" applyBorder="1" applyAlignment="1">
      <alignment vertical="center" shrinkToFit="1"/>
    </xf>
    <xf numFmtId="9" fontId="6" fillId="0" borderId="0" xfId="2" applyNumberFormat="1" applyFont="1">
      <alignment vertical="center"/>
    </xf>
    <xf numFmtId="176" fontId="6" fillId="23" borderId="3" xfId="1" applyNumberFormat="1" applyFont="1" applyFill="1" applyBorder="1" applyAlignment="1" applyProtection="1">
      <alignment vertical="center" shrinkToFit="1"/>
    </xf>
    <xf numFmtId="179" fontId="6" fillId="22" borderId="3" xfId="1" applyNumberFormat="1" applyFont="1" applyFill="1" applyBorder="1" applyAlignment="1" applyProtection="1">
      <alignment vertical="center" shrinkToFit="1"/>
    </xf>
    <xf numFmtId="178" fontId="6" fillId="22" borderId="9" xfId="0" applyNumberFormat="1" applyFont="1" applyFill="1" applyBorder="1" applyAlignment="1">
      <alignment vertical="center" shrinkToFit="1"/>
    </xf>
    <xf numFmtId="182" fontId="6" fillId="22" borderId="3" xfId="1" applyNumberFormat="1" applyFont="1" applyFill="1" applyBorder="1" applyAlignment="1" applyProtection="1">
      <alignment vertical="center" shrinkToFit="1"/>
    </xf>
    <xf numFmtId="179" fontId="6" fillId="24" borderId="3" xfId="1" applyNumberFormat="1" applyFont="1" applyFill="1" applyBorder="1" applyAlignment="1" applyProtection="1">
      <alignment vertical="center" shrinkToFit="1"/>
    </xf>
    <xf numFmtId="178" fontId="6" fillId="24" borderId="3" xfId="0" applyNumberFormat="1" applyFont="1" applyFill="1" applyBorder="1" applyAlignment="1">
      <alignment vertical="center" shrinkToFit="1"/>
    </xf>
    <xf numFmtId="179" fontId="6" fillId="24" borderId="3" xfId="0" applyNumberFormat="1" applyFont="1" applyFill="1" applyBorder="1" applyAlignment="1">
      <alignment vertical="center" shrinkToFit="1"/>
    </xf>
    <xf numFmtId="38" fontId="6" fillId="0" borderId="92" xfId="1" applyFont="1" applyFill="1" applyBorder="1" applyAlignment="1" applyProtection="1">
      <alignment vertical="center" shrinkToFit="1"/>
    </xf>
    <xf numFmtId="176" fontId="6" fillId="2" borderId="92" xfId="1" applyNumberFormat="1" applyFont="1" applyFill="1" applyBorder="1" applyAlignment="1" applyProtection="1">
      <alignment vertical="center" shrinkToFit="1"/>
    </xf>
    <xf numFmtId="179" fontId="6" fillId="0" borderId="92" xfId="1" applyNumberFormat="1" applyFont="1" applyFill="1" applyBorder="1" applyAlignment="1" applyProtection="1">
      <alignment vertical="center" shrinkToFit="1"/>
    </xf>
    <xf numFmtId="178" fontId="6" fillId="0" borderId="92" xfId="0" applyNumberFormat="1" applyFont="1" applyBorder="1" applyAlignment="1">
      <alignment vertical="center" shrinkToFit="1"/>
    </xf>
    <xf numFmtId="179" fontId="6" fillId="0" borderId="92" xfId="0" applyNumberFormat="1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38" fontId="6" fillId="0" borderId="16" xfId="1" applyFont="1" applyFill="1" applyBorder="1" applyAlignment="1" applyProtection="1">
      <alignment horizontal="left" vertical="center" shrinkToFit="1"/>
    </xf>
    <xf numFmtId="176" fontId="6" fillId="2" borderId="16" xfId="1" applyNumberFormat="1" applyFont="1" applyFill="1" applyBorder="1" applyAlignment="1" applyProtection="1">
      <alignment vertical="center" shrinkToFit="1"/>
    </xf>
    <xf numFmtId="179" fontId="6" fillId="0" borderId="16" xfId="1" applyNumberFormat="1" applyFont="1" applyFill="1" applyBorder="1" applyAlignment="1" applyProtection="1">
      <alignment vertical="center" shrinkToFit="1"/>
    </xf>
    <xf numFmtId="178" fontId="6" fillId="0" borderId="16" xfId="0" applyNumberFormat="1" applyFont="1" applyBorder="1" applyAlignment="1">
      <alignment vertical="center" shrinkToFit="1"/>
    </xf>
    <xf numFmtId="182" fontId="6" fillId="0" borderId="93" xfId="1" applyNumberFormat="1" applyFont="1" applyFill="1" applyBorder="1" applyAlignment="1" applyProtection="1">
      <alignment vertical="center" shrinkToFit="1"/>
    </xf>
    <xf numFmtId="178" fontId="6" fillId="0" borderId="101" xfId="0" applyNumberFormat="1" applyFont="1" applyBorder="1" applyAlignment="1">
      <alignment vertical="center" shrinkToFit="1"/>
    </xf>
    <xf numFmtId="0" fontId="6" fillId="0" borderId="93" xfId="0" applyFont="1" applyBorder="1" applyAlignment="1">
      <alignment vertical="center" shrinkToFit="1"/>
    </xf>
    <xf numFmtId="179" fontId="6" fillId="0" borderId="16" xfId="0" applyNumberFormat="1" applyFont="1" applyBorder="1" applyAlignment="1">
      <alignment vertical="center" shrinkToFit="1"/>
    </xf>
    <xf numFmtId="38" fontId="11" fillId="0" borderId="0" xfId="1" applyFont="1">
      <alignment vertical="center"/>
    </xf>
    <xf numFmtId="0" fontId="6" fillId="0" borderId="19" xfId="0" applyFont="1" applyBorder="1">
      <alignment vertical="center"/>
    </xf>
    <xf numFmtId="38" fontId="11" fillId="0" borderId="19" xfId="1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9" fontId="6" fillId="0" borderId="40" xfId="2" applyFont="1" applyBorder="1" applyAlignment="1">
      <alignment horizontal="center" vertical="center" wrapText="1"/>
    </xf>
    <xf numFmtId="9" fontId="6" fillId="0" borderId="19" xfId="2" applyFont="1" applyBorder="1" applyAlignment="1">
      <alignment horizontal="center" vertical="center" wrapText="1"/>
    </xf>
    <xf numFmtId="9" fontId="6" fillId="0" borderId="40" xfId="2" applyFont="1" applyBorder="1">
      <alignment vertical="center"/>
    </xf>
    <xf numFmtId="0" fontId="6" fillId="21" borderId="19" xfId="0" applyFont="1" applyFill="1" applyBorder="1">
      <alignment vertical="center"/>
    </xf>
    <xf numFmtId="38" fontId="11" fillId="21" borderId="19" xfId="1" applyFont="1" applyFill="1" applyBorder="1">
      <alignment vertical="center"/>
    </xf>
    <xf numFmtId="9" fontId="6" fillId="21" borderId="19" xfId="2" applyFont="1" applyFill="1" applyBorder="1">
      <alignment vertical="center"/>
    </xf>
    <xf numFmtId="180" fontId="11" fillId="0" borderId="19" xfId="1" applyNumberFormat="1" applyFont="1" applyBorder="1">
      <alignment vertical="center"/>
    </xf>
    <xf numFmtId="38" fontId="6" fillId="0" borderId="102" xfId="1" applyNumberFormat="1" applyFont="1" applyBorder="1" applyAlignment="1">
      <alignment horizontal="center" vertical="center"/>
    </xf>
    <xf numFmtId="38" fontId="6" fillId="0" borderId="104" xfId="1" applyNumberFormat="1" applyFont="1" applyFill="1" applyBorder="1" applyAlignment="1">
      <alignment vertical="center" shrinkToFit="1"/>
    </xf>
    <xf numFmtId="38" fontId="5" fillId="9" borderId="104" xfId="1" applyNumberFormat="1" applyFont="1" applyFill="1" applyBorder="1" applyAlignment="1">
      <alignment vertical="center" shrinkToFit="1"/>
    </xf>
    <xf numFmtId="38" fontId="6" fillId="0" borderId="104" xfId="1" applyNumberFormat="1" applyFont="1" applyBorder="1" applyAlignment="1">
      <alignment vertical="center" shrinkToFit="1"/>
    </xf>
    <xf numFmtId="38" fontId="6" fillId="0" borderId="0" xfId="1" applyNumberFormat="1" applyFont="1" applyBorder="1">
      <alignment vertical="center"/>
    </xf>
    <xf numFmtId="38" fontId="6" fillId="0" borderId="110" xfId="1" applyNumberFormat="1" applyFont="1" applyBorder="1" applyAlignment="1">
      <alignment horizontal="center" vertical="center"/>
    </xf>
    <xf numFmtId="38" fontId="6" fillId="0" borderId="111" xfId="1" applyNumberFormat="1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0" fontId="6" fillId="9" borderId="39" xfId="0" applyFont="1" applyFill="1" applyBorder="1">
      <alignment vertical="center"/>
    </xf>
    <xf numFmtId="38" fontId="5" fillId="9" borderId="32" xfId="1" applyFont="1" applyFill="1" applyBorder="1" applyAlignment="1">
      <alignment vertical="center" shrinkToFit="1"/>
    </xf>
    <xf numFmtId="38" fontId="5" fillId="9" borderId="73" xfId="1" applyNumberFormat="1" applyFont="1" applyFill="1" applyBorder="1" applyAlignment="1">
      <alignment vertical="center" shrinkToFit="1"/>
    </xf>
    <xf numFmtId="38" fontId="5" fillId="9" borderId="103" xfId="1" applyNumberFormat="1" applyFont="1" applyFill="1" applyBorder="1" applyAlignment="1">
      <alignment vertical="center" shrinkToFit="1"/>
    </xf>
    <xf numFmtId="180" fontId="5" fillId="9" borderId="74" xfId="1" applyNumberFormat="1" applyFont="1" applyFill="1" applyBorder="1">
      <alignment vertical="center"/>
    </xf>
    <xf numFmtId="38" fontId="5" fillId="9" borderId="74" xfId="1" applyNumberFormat="1" applyFont="1" applyFill="1" applyBorder="1" applyAlignment="1">
      <alignment vertical="center" shrinkToFit="1"/>
    </xf>
    <xf numFmtId="38" fontId="5" fillId="9" borderId="52" xfId="1" applyNumberFormat="1" applyFont="1" applyFill="1" applyBorder="1" applyAlignment="1">
      <alignment vertical="center" shrinkToFit="1"/>
    </xf>
    <xf numFmtId="180" fontId="5" fillId="9" borderId="32" xfId="1" applyNumberFormat="1" applyFont="1" applyFill="1" applyBorder="1">
      <alignment vertical="center"/>
    </xf>
    <xf numFmtId="0" fontId="6" fillId="18" borderId="26" xfId="0" applyFont="1" applyFill="1" applyBorder="1" applyAlignment="1">
      <alignment vertical="center" wrapText="1"/>
    </xf>
    <xf numFmtId="0" fontId="6" fillId="18" borderId="27" xfId="0" applyFont="1" applyFill="1" applyBorder="1">
      <alignment vertical="center"/>
    </xf>
    <xf numFmtId="38" fontId="6" fillId="18" borderId="19" xfId="1" applyFont="1" applyFill="1" applyBorder="1" applyAlignment="1">
      <alignment vertical="center" shrinkToFit="1"/>
    </xf>
    <xf numFmtId="38" fontId="6" fillId="18" borderId="71" xfId="1" applyNumberFormat="1" applyFont="1" applyFill="1" applyBorder="1" applyAlignment="1">
      <alignment vertical="center" shrinkToFit="1"/>
    </xf>
    <xf numFmtId="38" fontId="6" fillId="18" borderId="104" xfId="1" applyNumberFormat="1" applyFont="1" applyFill="1" applyBorder="1" applyAlignment="1">
      <alignment vertical="center" shrinkToFit="1"/>
    </xf>
    <xf numFmtId="180" fontId="6" fillId="18" borderId="72" xfId="1" applyNumberFormat="1" applyFont="1" applyFill="1" applyBorder="1">
      <alignment vertical="center"/>
    </xf>
    <xf numFmtId="38" fontId="6" fillId="18" borderId="72" xfId="1" applyNumberFormat="1" applyFont="1" applyFill="1" applyBorder="1" applyAlignment="1">
      <alignment vertical="center" shrinkToFit="1"/>
    </xf>
    <xf numFmtId="38" fontId="6" fillId="18" borderId="49" xfId="1" applyNumberFormat="1" applyFont="1" applyFill="1" applyBorder="1" applyAlignment="1">
      <alignment vertical="center" shrinkToFit="1"/>
    </xf>
    <xf numFmtId="180" fontId="6" fillId="18" borderId="19" xfId="1" applyNumberFormat="1" applyFont="1" applyFill="1" applyBorder="1">
      <alignment vertical="center"/>
    </xf>
    <xf numFmtId="0" fontId="6" fillId="18" borderId="0" xfId="0" applyFont="1" applyFill="1">
      <alignment vertical="center"/>
    </xf>
    <xf numFmtId="178" fontId="6" fillId="18" borderId="34" xfId="2" applyNumberFormat="1" applyFont="1" applyFill="1" applyBorder="1">
      <alignment vertical="center"/>
    </xf>
    <xf numFmtId="38" fontId="6" fillId="18" borderId="34" xfId="1" applyFont="1" applyFill="1" applyBorder="1">
      <alignment vertical="center"/>
    </xf>
    <xf numFmtId="0" fontId="6" fillId="18" borderId="0" xfId="0" applyFont="1" applyFill="1" applyAlignment="1">
      <alignment horizontal="center" vertical="center"/>
    </xf>
    <xf numFmtId="178" fontId="6" fillId="18" borderId="34" xfId="0" applyNumberFormat="1" applyFont="1" applyFill="1" applyBorder="1">
      <alignment vertical="center"/>
    </xf>
    <xf numFmtId="178" fontId="6" fillId="18" borderId="19" xfId="2" applyNumberFormat="1" applyFont="1" applyFill="1" applyBorder="1">
      <alignment vertical="center"/>
    </xf>
    <xf numFmtId="38" fontId="6" fillId="18" borderId="19" xfId="1" applyFont="1" applyFill="1" applyBorder="1">
      <alignment vertical="center"/>
    </xf>
    <xf numFmtId="178" fontId="6" fillId="18" borderId="19" xfId="0" applyNumberFormat="1" applyFont="1" applyFill="1" applyBorder="1">
      <alignment vertical="center"/>
    </xf>
    <xf numFmtId="0" fontId="6" fillId="18" borderId="48" xfId="0" applyFont="1" applyFill="1" applyBorder="1" applyAlignment="1">
      <alignment horizontal="left" vertical="center" wrapText="1"/>
    </xf>
    <xf numFmtId="0" fontId="6" fillId="18" borderId="27" xfId="0" applyFont="1" applyFill="1" applyBorder="1" applyAlignment="1">
      <alignment horizontal="left" vertical="center" wrapText="1"/>
    </xf>
    <xf numFmtId="0" fontId="6" fillId="18" borderId="93" xfId="0" applyFont="1" applyFill="1" applyBorder="1" applyAlignment="1">
      <alignment horizontal="center" vertical="center"/>
    </xf>
    <xf numFmtId="0" fontId="6" fillId="18" borderId="93" xfId="0" applyFont="1" applyFill="1" applyBorder="1">
      <alignment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38" fontId="6" fillId="0" borderId="27" xfId="1" applyFont="1" applyBorder="1">
      <alignment vertical="center"/>
    </xf>
    <xf numFmtId="38" fontId="4" fillId="0" borderId="0" xfId="1" applyFill="1" applyBorder="1">
      <alignment vertical="center"/>
    </xf>
    <xf numFmtId="38" fontId="6" fillId="21" borderId="27" xfId="1" applyFont="1" applyFill="1" applyBorder="1" applyAlignment="1">
      <alignment vertical="center" shrinkToFit="1"/>
    </xf>
    <xf numFmtId="38" fontId="6" fillId="21" borderId="19" xfId="1" applyFont="1" applyFill="1" applyBorder="1" applyAlignment="1">
      <alignment vertical="center" shrinkToFit="1"/>
    </xf>
    <xf numFmtId="38" fontId="6" fillId="0" borderId="0" xfId="1" applyFont="1" applyAlignment="1">
      <alignment vertical="center" shrinkToFit="1"/>
    </xf>
    <xf numFmtId="38" fontId="6" fillId="21" borderId="33" xfId="1" applyFont="1" applyFill="1" applyBorder="1" applyAlignment="1">
      <alignment vertical="center" shrinkToFit="1"/>
    </xf>
    <xf numFmtId="38" fontId="6" fillId="0" borderId="25" xfId="1" applyFont="1" applyBorder="1" applyAlignment="1">
      <alignment vertical="center" shrinkToFit="1"/>
    </xf>
    <xf numFmtId="38" fontId="6" fillId="0" borderId="36" xfId="1" applyFont="1" applyBorder="1" applyAlignment="1">
      <alignment vertical="center" shrinkToFit="1"/>
    </xf>
    <xf numFmtId="38" fontId="6" fillId="21" borderId="34" xfId="1" applyFont="1" applyFill="1" applyBorder="1" applyAlignment="1">
      <alignment vertical="center" shrinkToFit="1"/>
    </xf>
    <xf numFmtId="38" fontId="6" fillId="0" borderId="37" xfId="1" applyFont="1" applyBorder="1" applyAlignment="1">
      <alignment vertical="center" shrinkToFit="1"/>
    </xf>
    <xf numFmtId="38" fontId="6" fillId="0" borderId="38" xfId="1" applyFont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38" fontId="6" fillId="0" borderId="35" xfId="1" applyFont="1" applyBorder="1" applyAlignment="1">
      <alignment vertical="center" shrinkToFit="1"/>
    </xf>
    <xf numFmtId="38" fontId="6" fillId="0" borderId="34" xfId="1" applyFont="1" applyBorder="1" applyAlignment="1">
      <alignment vertical="center" shrinkToFit="1"/>
    </xf>
    <xf numFmtId="38" fontId="6" fillId="21" borderId="38" xfId="1" applyFont="1" applyFill="1" applyBorder="1" applyAlignment="1">
      <alignment vertical="center"/>
    </xf>
    <xf numFmtId="38" fontId="6" fillId="21" borderId="26" xfId="1" applyFont="1" applyFill="1" applyBorder="1" applyAlignment="1">
      <alignment vertical="center"/>
    </xf>
    <xf numFmtId="179" fontId="6" fillId="25" borderId="3" xfId="1" applyNumberFormat="1" applyFont="1" applyFill="1" applyBorder="1" applyAlignment="1" applyProtection="1">
      <alignment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38" fontId="6" fillId="0" borderId="25" xfId="1" applyFont="1" applyFill="1" applyBorder="1" applyAlignment="1">
      <alignment vertical="center" shrinkToFit="1"/>
    </xf>
    <xf numFmtId="38" fontId="6" fillId="0" borderId="36" xfId="1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right" vertical="center" shrinkToFit="1"/>
    </xf>
    <xf numFmtId="176" fontId="6" fillId="0" borderId="1" xfId="1" applyNumberFormat="1" applyFont="1" applyFill="1" applyBorder="1" applyAlignment="1" applyProtection="1">
      <alignment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9" fontId="6" fillId="0" borderId="78" xfId="2" applyFont="1" applyBorder="1" applyAlignment="1">
      <alignment horizontal="center" vertical="center"/>
    </xf>
    <xf numFmtId="9" fontId="6" fillId="0" borderId="96" xfId="2" applyFont="1" applyBorder="1" applyAlignment="1">
      <alignment horizontal="center" vertical="center"/>
    </xf>
    <xf numFmtId="9" fontId="6" fillId="18" borderId="104" xfId="2" applyFont="1" applyFill="1" applyBorder="1" applyAlignment="1">
      <alignment vertical="center" shrinkToFit="1"/>
    </xf>
    <xf numFmtId="9" fontId="6" fillId="0" borderId="104" xfId="2" applyFont="1" applyFill="1" applyBorder="1" applyAlignment="1">
      <alignment vertical="center" shrinkToFit="1"/>
    </xf>
    <xf numFmtId="9" fontId="5" fillId="9" borderId="103" xfId="2" applyFont="1" applyFill="1" applyBorder="1" applyAlignment="1">
      <alignment vertical="center" shrinkToFit="1"/>
    </xf>
    <xf numFmtId="9" fontId="6" fillId="0" borderId="104" xfId="2" applyFont="1" applyBorder="1" applyAlignment="1">
      <alignment vertical="center" shrinkToFit="1"/>
    </xf>
    <xf numFmtId="9" fontId="5" fillId="9" borderId="104" xfId="2" applyFont="1" applyFill="1" applyBorder="1" applyAlignment="1">
      <alignment vertical="center" shrinkToFit="1"/>
    </xf>
    <xf numFmtId="0" fontId="6" fillId="0" borderId="27" xfId="0" applyFont="1" applyFill="1" applyBorder="1">
      <alignment vertical="center"/>
    </xf>
    <xf numFmtId="178" fontId="6" fillId="0" borderId="34" xfId="2" applyNumberFormat="1" applyFont="1" applyFill="1" applyBorder="1">
      <alignment vertical="center"/>
    </xf>
    <xf numFmtId="38" fontId="6" fillId="0" borderId="34" xfId="1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34" xfId="0" applyFont="1" applyFill="1" applyBorder="1">
      <alignment vertical="center"/>
    </xf>
    <xf numFmtId="178" fontId="6" fillId="0" borderId="34" xfId="0" applyNumberFormat="1" applyFont="1" applyFill="1" applyBorder="1">
      <alignment vertical="center"/>
    </xf>
    <xf numFmtId="9" fontId="6" fillId="0" borderId="27" xfId="2" applyNumberFormat="1" applyFont="1" applyBorder="1" applyAlignment="1">
      <alignment horizontal="center" vertical="center"/>
    </xf>
    <xf numFmtId="9" fontId="6" fillId="18" borderId="38" xfId="2" applyNumberFormat="1" applyFont="1" applyFill="1" applyBorder="1" applyAlignment="1">
      <alignment horizontal="right" vertical="center"/>
    </xf>
    <xf numFmtId="9" fontId="6" fillId="18" borderId="26" xfId="2" applyNumberFormat="1" applyFont="1" applyFill="1" applyBorder="1" applyAlignment="1">
      <alignment vertical="center" shrinkToFit="1"/>
    </xf>
    <xf numFmtId="9" fontId="5" fillId="9" borderId="38" xfId="2" applyNumberFormat="1" applyFont="1" applyFill="1" applyBorder="1" applyAlignment="1">
      <alignment vertical="center" shrinkToFit="1"/>
    </xf>
    <xf numFmtId="9" fontId="5" fillId="9" borderId="26" xfId="2" applyNumberFormat="1" applyFont="1" applyFill="1" applyBorder="1" applyAlignment="1">
      <alignment vertical="center" shrinkToFit="1"/>
    </xf>
    <xf numFmtId="38" fontId="6" fillId="21" borderId="26" xfId="1" applyFont="1" applyFill="1" applyBorder="1" applyAlignment="1">
      <alignment vertical="center" shrinkToFit="1"/>
    </xf>
    <xf numFmtId="38" fontId="6" fillId="0" borderId="50" xfId="1" applyFont="1" applyBorder="1" applyAlignment="1">
      <alignment vertical="center" shrinkToFit="1"/>
    </xf>
    <xf numFmtId="38" fontId="6" fillId="0" borderId="70" xfId="1" applyFont="1" applyBorder="1" applyAlignment="1">
      <alignment vertical="center" shrinkToFit="1"/>
    </xf>
    <xf numFmtId="38" fontId="6" fillId="0" borderId="99" xfId="1" applyFont="1" applyBorder="1" applyAlignment="1">
      <alignment vertical="center" shrinkToFit="1"/>
    </xf>
    <xf numFmtId="38" fontId="6" fillId="0" borderId="26" xfId="1" applyFont="1" applyBorder="1" applyAlignment="1">
      <alignment vertical="center" shrinkToFit="1"/>
    </xf>
    <xf numFmtId="38" fontId="6" fillId="0" borderId="113" xfId="1" applyFont="1" applyFill="1" applyBorder="1" applyAlignment="1">
      <alignment vertical="center" shrinkToFit="1"/>
    </xf>
    <xf numFmtId="38" fontId="6" fillId="0" borderId="113" xfId="1" applyFont="1" applyBorder="1" applyAlignment="1">
      <alignment vertical="center" shrinkToFit="1"/>
    </xf>
    <xf numFmtId="38" fontId="6" fillId="0" borderId="114" xfId="1" applyFont="1" applyBorder="1" applyAlignment="1">
      <alignment vertical="center" shrinkToFit="1"/>
    </xf>
    <xf numFmtId="38" fontId="6" fillId="0" borderId="25" xfId="1" applyFont="1" applyFill="1" applyBorder="1" applyAlignment="1" applyProtection="1">
      <alignment vertical="center" shrinkToFit="1"/>
    </xf>
    <xf numFmtId="38" fontId="6" fillId="0" borderId="58" xfId="1" applyFont="1" applyBorder="1" applyAlignment="1">
      <alignment vertical="center" shrinkToFit="1"/>
    </xf>
    <xf numFmtId="38" fontId="6" fillId="0" borderId="115" xfId="1" applyFont="1" applyFill="1" applyBorder="1" applyAlignment="1" applyProtection="1">
      <alignment vertical="center" shrinkToFit="1"/>
    </xf>
    <xf numFmtId="38" fontId="4" fillId="0" borderId="0" xfId="1">
      <alignment vertical="center"/>
    </xf>
    <xf numFmtId="38" fontId="6" fillId="18" borderId="116" xfId="1" applyNumberFormat="1" applyFont="1" applyFill="1" applyBorder="1" applyAlignment="1">
      <alignment vertical="center" shrinkToFit="1"/>
    </xf>
    <xf numFmtId="180" fontId="6" fillId="18" borderId="117" xfId="1" applyNumberFormat="1" applyFont="1" applyFill="1" applyBorder="1">
      <alignment vertical="center"/>
    </xf>
    <xf numFmtId="0" fontId="16" fillId="0" borderId="33" xfId="0" applyFont="1" applyFill="1" applyBorder="1">
      <alignment vertical="center"/>
    </xf>
    <xf numFmtId="180" fontId="6" fillId="0" borderId="32" xfId="1" applyNumberFormat="1" applyFont="1" applyFill="1" applyBorder="1" applyAlignment="1" applyProtection="1">
      <alignment vertical="center" shrinkToFit="1"/>
    </xf>
    <xf numFmtId="38" fontId="16" fillId="0" borderId="35" xfId="1" applyFont="1" applyFill="1" applyBorder="1" applyAlignment="1" applyProtection="1">
      <alignment vertical="center" shrinkToFit="1"/>
    </xf>
    <xf numFmtId="38" fontId="16" fillId="0" borderId="25" xfId="1" applyFont="1" applyFill="1" applyBorder="1" applyAlignment="1" applyProtection="1">
      <alignment vertical="center" shrinkToFit="1"/>
    </xf>
    <xf numFmtId="180" fontId="16" fillId="0" borderId="25" xfId="1" applyNumberFormat="1" applyFont="1" applyFill="1" applyBorder="1" applyAlignment="1" applyProtection="1">
      <alignment vertical="center" shrinkToFit="1"/>
    </xf>
    <xf numFmtId="180" fontId="6" fillId="0" borderId="35" xfId="1" applyNumberFormat="1" applyFont="1" applyFill="1" applyBorder="1" applyAlignment="1" applyProtection="1">
      <alignment vertical="center" shrinkToFit="1"/>
    </xf>
    <xf numFmtId="180" fontId="16" fillId="0" borderId="35" xfId="1" applyNumberFormat="1" applyFont="1" applyFill="1" applyBorder="1" applyAlignment="1" applyProtection="1">
      <alignment vertical="center" shrinkToFit="1"/>
    </xf>
    <xf numFmtId="179" fontId="6" fillId="0" borderId="92" xfId="3" applyNumberFormat="1" applyFont="1" applyFill="1" applyBorder="1" applyAlignment="1" applyProtection="1">
      <alignment vertical="center" shrinkToFit="1"/>
    </xf>
    <xf numFmtId="179" fontId="6" fillId="0" borderId="3" xfId="3" applyNumberFormat="1" applyFont="1" applyFill="1" applyBorder="1" applyAlignment="1" applyProtection="1">
      <alignment vertical="center" shrinkToFit="1"/>
    </xf>
    <xf numFmtId="179" fontId="6" fillId="0" borderId="3" xfId="3" applyNumberFormat="1" applyFont="1" applyFill="1" applyBorder="1" applyAlignment="1" applyProtection="1">
      <alignment vertical="center" shrinkToFit="1"/>
    </xf>
    <xf numFmtId="179" fontId="6" fillId="0" borderId="3" xfId="3" applyNumberFormat="1" applyFont="1" applyFill="1" applyBorder="1" applyAlignment="1" applyProtection="1">
      <alignment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1" fillId="0" borderId="0" xfId="1" applyFont="1">
      <alignment vertical="center"/>
    </xf>
    <xf numFmtId="0" fontId="6" fillId="18" borderId="38" xfId="0" applyFont="1" applyFill="1" applyBorder="1" applyAlignment="1">
      <alignment vertical="center" wrapText="1"/>
    </xf>
    <xf numFmtId="0" fontId="6" fillId="18" borderId="40" xfId="0" applyFont="1" applyFill="1" applyBorder="1">
      <alignment vertical="center"/>
    </xf>
    <xf numFmtId="178" fontId="6" fillId="0" borderId="19" xfId="2" applyNumberFormat="1" applyFont="1" applyFill="1" applyBorder="1">
      <alignment vertical="center"/>
    </xf>
    <xf numFmtId="38" fontId="6" fillId="0" borderId="19" xfId="1" applyFont="1" applyFill="1" applyBorder="1">
      <alignment vertical="center"/>
    </xf>
    <xf numFmtId="178" fontId="6" fillId="0" borderId="19" xfId="0" applyNumberFormat="1" applyFont="1" applyFill="1" applyBorder="1">
      <alignment vertical="center"/>
    </xf>
    <xf numFmtId="0" fontId="20" fillId="0" borderId="0" xfId="0" applyFont="1" applyBorder="1" applyAlignment="1">
      <alignment horizontal="center" vertical="center"/>
    </xf>
    <xf numFmtId="9" fontId="6" fillId="0" borderId="98" xfId="2" applyNumberFormat="1" applyFont="1" applyBorder="1" applyAlignment="1">
      <alignment vertical="center"/>
    </xf>
    <xf numFmtId="9" fontId="6" fillId="0" borderId="72" xfId="2" applyNumberFormat="1" applyFont="1" applyFill="1" applyBorder="1" applyAlignment="1">
      <alignment horizontal="right" vertical="center" shrinkToFit="1"/>
    </xf>
    <xf numFmtId="9" fontId="6" fillId="18" borderId="72" xfId="2" applyNumberFormat="1" applyFont="1" applyFill="1" applyBorder="1" applyAlignment="1">
      <alignment horizontal="right" vertical="center" shrinkToFit="1"/>
    </xf>
    <xf numFmtId="9" fontId="5" fillId="9" borderId="74" xfId="2" applyNumberFormat="1" applyFont="1" applyFill="1" applyBorder="1" applyAlignment="1">
      <alignment horizontal="right" vertical="center" shrinkToFit="1"/>
    </xf>
    <xf numFmtId="9" fontId="6" fillId="0" borderId="72" xfId="2" applyNumberFormat="1" applyFont="1" applyBorder="1" applyAlignment="1">
      <alignment horizontal="right" vertical="center" shrinkToFit="1"/>
    </xf>
    <xf numFmtId="9" fontId="5" fillId="9" borderId="72" xfId="2" applyNumberFormat="1" applyFont="1" applyFill="1" applyBorder="1" applyAlignment="1">
      <alignment horizontal="right" vertical="center" shrinkToFit="1"/>
    </xf>
    <xf numFmtId="38" fontId="4" fillId="0" borderId="0" xfId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38" fontId="6" fillId="0" borderId="3" xfId="1" applyFont="1" applyFill="1" applyBorder="1" applyAlignment="1" applyProtection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9" fontId="6" fillId="0" borderId="2" xfId="1" applyNumberFormat="1" applyFont="1" applyFill="1" applyBorder="1" applyAlignment="1" applyProtection="1">
      <alignment horizontal="center" vertical="center" shrinkToFit="1"/>
    </xf>
    <xf numFmtId="179" fontId="6" fillId="0" borderId="12" xfId="1" applyNumberFormat="1" applyFont="1" applyFill="1" applyBorder="1" applyAlignment="1" applyProtection="1">
      <alignment horizontal="center" vertical="center" shrinkToFit="1"/>
    </xf>
    <xf numFmtId="182" fontId="6" fillId="0" borderId="9" xfId="1" applyNumberFormat="1" applyFont="1" applyFill="1" applyBorder="1" applyAlignment="1" applyProtection="1">
      <alignment horizontal="center" vertical="center" shrinkToFit="1"/>
    </xf>
    <xf numFmtId="179" fontId="6" fillId="0" borderId="3" xfId="1" applyNumberFormat="1" applyFont="1" applyFill="1" applyBorder="1" applyAlignment="1" applyProtection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83" fontId="17" fillId="0" borderId="19" xfId="1" applyNumberFormat="1" applyFont="1" applyBorder="1" applyAlignment="1">
      <alignment horizontal="center" vertical="center"/>
    </xf>
    <xf numFmtId="183" fontId="17" fillId="0" borderId="32" xfId="1" applyNumberFormat="1" applyFont="1" applyBorder="1" applyAlignment="1">
      <alignment horizontal="center" vertical="center"/>
    </xf>
    <xf numFmtId="38" fontId="17" fillId="0" borderId="19" xfId="1" applyFont="1" applyBorder="1" applyAlignment="1">
      <alignment horizontal="center" vertical="center"/>
    </xf>
    <xf numFmtId="38" fontId="17" fillId="0" borderId="32" xfId="1" applyFont="1" applyBorder="1" applyAlignment="1">
      <alignment horizontal="center" vertical="center"/>
    </xf>
    <xf numFmtId="38" fontId="17" fillId="0" borderId="19" xfId="1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17" xfId="0" applyFont="1" applyBorder="1" applyAlignment="1">
      <alignment horizontal="right" vertical="center"/>
    </xf>
    <xf numFmtId="38" fontId="9" fillId="0" borderId="0" xfId="1" applyFont="1" applyFill="1" applyBorder="1" applyAlignment="1" applyProtection="1">
      <alignment horizontal="center" vertical="center" shrinkToFit="1"/>
    </xf>
    <xf numFmtId="38" fontId="6" fillId="0" borderId="0" xfId="1" applyFont="1" applyFill="1" applyBorder="1" applyAlignment="1" applyProtection="1">
      <alignment horizontal="center" vertical="center" shrinkToFit="1"/>
    </xf>
    <xf numFmtId="180" fontId="16" fillId="0" borderId="19" xfId="1" applyNumberFormat="1" applyFont="1" applyFill="1" applyBorder="1" applyAlignment="1" applyProtection="1">
      <alignment horizontal="center" vertical="center" shrinkToFit="1"/>
    </xf>
    <xf numFmtId="180" fontId="16" fillId="0" borderId="26" xfId="1" applyNumberFormat="1" applyFont="1" applyFill="1" applyBorder="1" applyAlignment="1" applyProtection="1">
      <alignment horizontal="center" vertical="center" shrinkToFit="1"/>
    </xf>
    <xf numFmtId="180" fontId="16" fillId="0" borderId="48" xfId="1" applyNumberFormat="1" applyFont="1" applyFill="1" applyBorder="1" applyAlignment="1" applyProtection="1">
      <alignment horizontal="center" vertical="center" shrinkToFit="1"/>
    </xf>
    <xf numFmtId="180" fontId="16" fillId="0" borderId="27" xfId="1" applyNumberFormat="1" applyFont="1" applyFill="1" applyBorder="1" applyAlignment="1" applyProtection="1">
      <alignment horizontal="center" vertical="center" shrinkToFit="1"/>
    </xf>
    <xf numFmtId="9" fontId="6" fillId="0" borderId="19" xfId="2" applyNumberFormat="1" applyFont="1" applyBorder="1" applyAlignment="1">
      <alignment horizontal="center" vertical="center"/>
    </xf>
    <xf numFmtId="178" fontId="6" fillId="0" borderId="19" xfId="2" applyNumberFormat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9" borderId="38" xfId="0" applyFont="1" applyFill="1" applyBorder="1" applyAlignment="1">
      <alignment horizontal="right" vertical="center" wrapText="1"/>
    </xf>
    <xf numFmtId="0" fontId="6" fillId="9" borderId="39" xfId="0" applyFont="1" applyFill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9" borderId="26" xfId="0" applyFont="1" applyFill="1" applyBorder="1" applyAlignment="1">
      <alignment horizontal="right" vertical="center" wrapText="1"/>
    </xf>
    <xf numFmtId="0" fontId="6" fillId="9" borderId="48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6" fillId="0" borderId="93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6" xfId="1" applyNumberFormat="1" applyFont="1" applyBorder="1" applyAlignment="1">
      <alignment horizontal="center" vertical="center"/>
    </xf>
    <xf numFmtId="38" fontId="6" fillId="0" borderId="48" xfId="1" applyNumberFormat="1" applyFont="1" applyBorder="1" applyAlignment="1">
      <alignment horizontal="center" vertical="center"/>
    </xf>
    <xf numFmtId="38" fontId="6" fillId="0" borderId="27" xfId="1" applyNumberFormat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51" xfId="1" applyNumberFormat="1" applyFont="1" applyBorder="1" applyAlignment="1">
      <alignment horizontal="center" vertical="center"/>
    </xf>
    <xf numFmtId="38" fontId="6" fillId="0" borderId="53" xfId="1" applyNumberFormat="1" applyFont="1" applyBorder="1" applyAlignment="1">
      <alignment horizontal="center" vertical="center"/>
    </xf>
    <xf numFmtId="38" fontId="6" fillId="0" borderId="97" xfId="1" applyNumberFormat="1" applyFont="1" applyBorder="1" applyAlignment="1">
      <alignment horizontal="center" vertical="center"/>
    </xf>
    <xf numFmtId="38" fontId="6" fillId="0" borderId="50" xfId="1" applyNumberFormat="1" applyFont="1" applyBorder="1" applyAlignment="1">
      <alignment horizontal="center" vertical="center"/>
    </xf>
    <xf numFmtId="38" fontId="6" fillId="0" borderId="105" xfId="1" applyNumberFormat="1" applyFont="1" applyBorder="1" applyAlignment="1">
      <alignment horizontal="center" vertical="center"/>
    </xf>
    <xf numFmtId="38" fontId="6" fillId="0" borderId="95" xfId="1" applyNumberFormat="1" applyFont="1" applyBorder="1" applyAlignment="1">
      <alignment horizontal="center" vertical="center"/>
    </xf>
    <xf numFmtId="180" fontId="6" fillId="0" borderId="94" xfId="1" applyNumberFormat="1" applyFont="1" applyBorder="1" applyAlignment="1">
      <alignment horizontal="center" vertical="center"/>
    </xf>
    <xf numFmtId="180" fontId="6" fillId="0" borderId="106" xfId="1" applyNumberFormat="1" applyFont="1" applyBorder="1" applyAlignment="1">
      <alignment horizontal="center" vertical="center"/>
    </xf>
    <xf numFmtId="180" fontId="6" fillId="0" borderId="96" xfId="1" applyNumberFormat="1" applyFont="1" applyBorder="1" applyAlignment="1">
      <alignment horizontal="center" vertical="center"/>
    </xf>
    <xf numFmtId="9" fontId="6" fillId="0" borderId="32" xfId="2" applyNumberFormat="1" applyFont="1" applyBorder="1" applyAlignment="1">
      <alignment horizontal="center" vertical="center"/>
    </xf>
    <xf numFmtId="9" fontId="6" fillId="0" borderId="33" xfId="2" applyNumberFormat="1" applyFont="1" applyBorder="1" applyAlignment="1">
      <alignment horizontal="center" vertical="center"/>
    </xf>
    <xf numFmtId="9" fontId="6" fillId="0" borderId="34" xfId="2" applyNumberFormat="1" applyFont="1" applyBorder="1" applyAlignment="1">
      <alignment horizontal="center" vertical="center"/>
    </xf>
    <xf numFmtId="38" fontId="6" fillId="0" borderId="64" xfId="1" applyNumberFormat="1" applyFont="1" applyBorder="1" applyAlignment="1">
      <alignment horizontal="center" vertical="center"/>
    </xf>
    <xf numFmtId="38" fontId="6" fillId="0" borderId="66" xfId="1" applyNumberFormat="1" applyFont="1" applyBorder="1" applyAlignment="1">
      <alignment horizontal="center" vertical="center"/>
    </xf>
    <xf numFmtId="38" fontId="6" fillId="0" borderId="112" xfId="1" applyNumberFormat="1" applyFont="1" applyBorder="1" applyAlignment="1">
      <alignment horizontal="center" vertical="center"/>
    </xf>
    <xf numFmtId="38" fontId="6" fillId="0" borderId="107" xfId="1" applyNumberFormat="1" applyFont="1" applyBorder="1" applyAlignment="1">
      <alignment horizontal="center" vertical="center"/>
    </xf>
    <xf numFmtId="38" fontId="6" fillId="0" borderId="108" xfId="1" applyNumberFormat="1" applyFont="1" applyBorder="1" applyAlignment="1">
      <alignment horizontal="center" vertical="center"/>
    </xf>
    <xf numFmtId="38" fontId="6" fillId="0" borderId="109" xfId="1" applyNumberFormat="1" applyFont="1" applyBorder="1" applyAlignment="1">
      <alignment horizontal="center" vertical="center"/>
    </xf>
    <xf numFmtId="38" fontId="6" fillId="0" borderId="60" xfId="1" applyNumberFormat="1" applyFont="1" applyBorder="1" applyAlignment="1">
      <alignment horizontal="center" vertical="center"/>
    </xf>
    <xf numFmtId="38" fontId="6" fillId="0" borderId="98" xfId="1" applyNumberFormat="1" applyFont="1" applyBorder="1" applyAlignment="1">
      <alignment horizontal="center" vertical="center"/>
    </xf>
    <xf numFmtId="9" fontId="6" fillId="0" borderId="107" xfId="2" applyNumberFormat="1" applyFont="1" applyBorder="1" applyAlignment="1">
      <alignment horizontal="center" vertical="center" wrapText="1"/>
    </xf>
    <xf numFmtId="9" fontId="6" fillId="0" borderId="108" xfId="2" applyNumberFormat="1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18" borderId="80" xfId="0" applyFont="1" applyFill="1" applyBorder="1" applyAlignment="1">
      <alignment horizontal="center" vertical="center"/>
    </xf>
    <xf numFmtId="0" fontId="6" fillId="18" borderId="81" xfId="0" applyFont="1" applyFill="1" applyBorder="1" applyAlignment="1">
      <alignment horizontal="center" vertical="center"/>
    </xf>
    <xf numFmtId="38" fontId="5" fillId="15" borderId="9" xfId="1" applyFont="1" applyFill="1" applyBorder="1" applyAlignment="1" applyProtection="1">
      <alignment horizontal="center" vertical="center" shrinkToFit="1"/>
    </xf>
    <xf numFmtId="38" fontId="5" fillId="15" borderId="3" xfId="1" applyFont="1" applyFill="1" applyBorder="1" applyAlignment="1" applyProtection="1">
      <alignment horizontal="center" vertical="center" shrinkToFit="1"/>
    </xf>
    <xf numFmtId="38" fontId="5" fillId="15" borderId="38" xfId="1" applyFont="1" applyFill="1" applyBorder="1" applyAlignment="1" applyProtection="1">
      <alignment horizontal="center" vertical="center" shrinkToFit="1"/>
    </xf>
    <xf numFmtId="38" fontId="5" fillId="15" borderId="39" xfId="1" applyFont="1" applyFill="1" applyBorder="1" applyAlignment="1" applyProtection="1">
      <alignment horizontal="center" vertical="center" shrinkToFit="1"/>
    </xf>
    <xf numFmtId="38" fontId="5" fillId="15" borderId="40" xfId="1" applyFont="1" applyFill="1" applyBorder="1" applyAlignment="1" applyProtection="1">
      <alignment horizontal="center" vertical="center" shrinkToFit="1"/>
    </xf>
    <xf numFmtId="38" fontId="5" fillId="14" borderId="3" xfId="1" applyFont="1" applyFill="1" applyBorder="1" applyAlignment="1" applyProtection="1">
      <alignment horizontal="left" vertical="center" shrinkToFit="1"/>
    </xf>
    <xf numFmtId="38" fontId="5" fillId="0" borderId="3" xfId="1" applyFont="1" applyFill="1" applyBorder="1" applyAlignment="1" applyProtection="1">
      <alignment horizontal="left" vertical="center" shrinkToFit="1"/>
    </xf>
    <xf numFmtId="38" fontId="5" fillId="14" borderId="1" xfId="1" applyFont="1" applyFill="1" applyBorder="1" applyAlignment="1" applyProtection="1">
      <alignment horizontal="left" vertical="center" shrinkToFit="1"/>
    </xf>
    <xf numFmtId="38" fontId="5" fillId="0" borderId="3" xfId="1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Border="1" applyAlignment="1">
      <alignment horizontal="left" vertical="center" shrinkToFit="1"/>
    </xf>
    <xf numFmtId="176" fontId="5" fillId="0" borderId="27" xfId="0" applyNumberFormat="1" applyFont="1" applyBorder="1" applyAlignment="1">
      <alignment horizontal="left" vertical="center" shrinkToFit="1"/>
    </xf>
    <xf numFmtId="176" fontId="6" fillId="0" borderId="19" xfId="0" applyNumberFormat="1" applyFont="1" applyBorder="1" applyAlignment="1">
      <alignment horizontal="center" vertical="center" textRotation="255" shrinkToFit="1"/>
    </xf>
    <xf numFmtId="178" fontId="6" fillId="0" borderId="19" xfId="2" applyNumberFormat="1" applyFont="1" applyBorder="1" applyAlignment="1">
      <alignment horizontal="center" vertical="center" textRotation="255" shrinkToFit="1"/>
    </xf>
    <xf numFmtId="176" fontId="5" fillId="0" borderId="38" xfId="0" applyNumberFormat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6" fontId="5" fillId="0" borderId="43" xfId="0" applyNumberFormat="1" applyFont="1" applyBorder="1" applyAlignment="1">
      <alignment horizontal="center" vertical="center" shrinkToFit="1"/>
    </xf>
    <xf numFmtId="176" fontId="5" fillId="0" borderId="44" xfId="0" applyNumberFormat="1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9" borderId="26" xfId="0" applyNumberFormat="1" applyFont="1" applyFill="1" applyBorder="1" applyAlignment="1">
      <alignment horizontal="left" vertical="center" shrinkToFit="1"/>
    </xf>
    <xf numFmtId="176" fontId="5" fillId="9" borderId="48" xfId="0" applyNumberFormat="1" applyFont="1" applyFill="1" applyBorder="1" applyAlignment="1">
      <alignment horizontal="left" vertical="center" shrinkToFit="1"/>
    </xf>
    <xf numFmtId="176" fontId="5" fillId="9" borderId="26" xfId="0" applyNumberFormat="1" applyFont="1" applyFill="1" applyBorder="1" applyAlignment="1">
      <alignment horizontal="left" vertical="center"/>
    </xf>
    <xf numFmtId="176" fontId="5" fillId="9" borderId="48" xfId="0" applyNumberFormat="1" applyFont="1" applyFill="1" applyBorder="1" applyAlignment="1">
      <alignment horizontal="left" vertical="center"/>
    </xf>
    <xf numFmtId="176" fontId="5" fillId="0" borderId="48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9" borderId="38" xfId="0" applyNumberFormat="1" applyFont="1" applyFill="1" applyBorder="1" applyAlignment="1">
      <alignment horizontal="left" vertical="center" shrinkToFit="1"/>
    </xf>
    <xf numFmtId="176" fontId="5" fillId="9" borderId="39" xfId="0" applyNumberFormat="1" applyFont="1" applyFill="1" applyBorder="1" applyAlignment="1">
      <alignment horizontal="left" vertical="center" shrinkToFit="1"/>
    </xf>
    <xf numFmtId="0" fontId="0" fillId="0" borderId="19" xfId="0" applyBorder="1" applyAlignment="1">
      <alignment horizontal="center" vertical="center" textRotation="255"/>
    </xf>
    <xf numFmtId="176" fontId="5" fillId="0" borderId="19" xfId="0" applyNumberFormat="1" applyFont="1" applyBorder="1" applyAlignment="1">
      <alignment horizontal="center" vertical="center" shrinkToFit="1"/>
    </xf>
    <xf numFmtId="38" fontId="6" fillId="0" borderId="3" xfId="1" applyFont="1" applyFill="1" applyBorder="1" applyAlignment="1" applyProtection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shrinkToFit="1"/>
    </xf>
    <xf numFmtId="9" fontId="6" fillId="0" borderId="2" xfId="0" applyNumberFormat="1" applyFont="1" applyBorder="1" applyAlignment="1">
      <alignment horizontal="center" vertical="center" shrinkToFit="1"/>
    </xf>
    <xf numFmtId="38" fontId="6" fillId="0" borderId="2" xfId="0" applyNumberFormat="1" applyFont="1" applyBorder="1" applyAlignment="1">
      <alignment horizontal="center" vertical="center"/>
    </xf>
    <xf numFmtId="38" fontId="11" fillId="0" borderId="3" xfId="1" applyFont="1" applyFill="1" applyBorder="1" applyAlignment="1" applyProtection="1">
      <alignment horizontal="center" vertical="center"/>
    </xf>
    <xf numFmtId="9" fontId="11" fillId="0" borderId="17" xfId="1" applyNumberFormat="1" applyFont="1" applyFill="1" applyBorder="1" applyAlignment="1" applyProtection="1">
      <alignment horizontal="center" vertical="center"/>
    </xf>
    <xf numFmtId="9" fontId="11" fillId="0" borderId="18" xfId="1" applyNumberFormat="1" applyFont="1" applyFill="1" applyBorder="1" applyAlignment="1" applyProtection="1">
      <alignment horizontal="center" vertical="center"/>
    </xf>
    <xf numFmtId="178" fontId="6" fillId="0" borderId="10" xfId="1" applyNumberFormat="1" applyFont="1" applyFill="1" applyBorder="1" applyAlignment="1" applyProtection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38" fontId="6" fillId="0" borderId="3" xfId="1" applyFont="1" applyFill="1" applyBorder="1" applyAlignment="1" applyProtection="1">
      <alignment horizontal="center" vertical="center" wrapText="1"/>
    </xf>
    <xf numFmtId="38" fontId="6" fillId="0" borderId="9" xfId="1" applyFont="1" applyFill="1" applyBorder="1" applyAlignment="1" applyProtection="1">
      <alignment horizontal="center" vertical="center"/>
    </xf>
    <xf numFmtId="9" fontId="6" fillId="0" borderId="1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 wrapText="1"/>
    </xf>
    <xf numFmtId="38" fontId="6" fillId="0" borderId="43" xfId="1" applyFont="1" applyBorder="1" applyAlignment="1">
      <alignment horizontal="center" vertical="center" wrapText="1"/>
    </xf>
    <xf numFmtId="0" fontId="6" fillId="21" borderId="19" xfId="0" applyFont="1" applyFill="1" applyBorder="1" applyAlignment="1">
      <alignment horizontal="left" vertical="center"/>
    </xf>
    <xf numFmtId="0" fontId="6" fillId="21" borderId="26" xfId="0" applyFont="1" applyFill="1" applyBorder="1" applyAlignment="1">
      <alignment horizontal="left" vertical="center"/>
    </xf>
    <xf numFmtId="0" fontId="6" fillId="21" borderId="27" xfId="0" applyFont="1" applyFill="1" applyBorder="1" applyAlignment="1">
      <alignment horizontal="left" vertical="center"/>
    </xf>
  </cellXfs>
  <cellStyles count="5">
    <cellStyle name="パーセント" xfId="2" builtinId="5"/>
    <cellStyle name="パーセント 2" xfId="4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ふれあい給食!$C$2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15-4291-9EC7-582176E60C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15-4291-9EC7-582176E60CE0}"/>
              </c:ext>
            </c:extLst>
          </c:dPt>
          <c:cat>
            <c:strRef>
              <c:f>ふれあい給食!$B$3:$B$5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ふれあい給食!$C$3:$C$5</c:f>
              <c:numCache>
                <c:formatCode>#,##0_);[Red]\(#,##0\)</c:formatCode>
                <c:ptCount val="3"/>
                <c:pt idx="0">
                  <c:v>11160000</c:v>
                </c:pt>
                <c:pt idx="1">
                  <c:v>11114934.17886363</c:v>
                </c:pt>
                <c:pt idx="2">
                  <c:v>45065.821136370301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15-4291-9EC7-582176E60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78688"/>
        <c:axId val="123384576"/>
      </c:barChart>
      <c:catAx>
        <c:axId val="12337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84576"/>
        <c:crosses val="autoZero"/>
        <c:auto val="1"/>
        <c:lblAlgn val="ctr"/>
        <c:lblOffset val="100"/>
        <c:noMultiLvlLbl val="0"/>
      </c:catAx>
      <c:valAx>
        <c:axId val="123384576"/>
        <c:scaling>
          <c:orientation val="minMax"/>
          <c:max val="12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337868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障がい就労!$E$11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障がい就労!$I$11:$T$11</c:f>
              <c:numCache>
                <c:formatCode>#,##0,</c:formatCode>
                <c:ptCount val="12"/>
                <c:pt idx="0">
                  <c:v>14692000</c:v>
                </c:pt>
                <c:pt idx="1">
                  <c:v>15823000</c:v>
                </c:pt>
                <c:pt idx="2">
                  <c:v>16998000</c:v>
                </c:pt>
                <c:pt idx="3">
                  <c:v>18315000</c:v>
                </c:pt>
                <c:pt idx="4">
                  <c:v>1624000</c:v>
                </c:pt>
                <c:pt idx="5">
                  <c:v>2888000</c:v>
                </c:pt>
                <c:pt idx="6">
                  <c:v>4197000</c:v>
                </c:pt>
                <c:pt idx="7">
                  <c:v>5616000</c:v>
                </c:pt>
                <c:pt idx="8">
                  <c:v>6895000</c:v>
                </c:pt>
                <c:pt idx="9">
                  <c:v>8145000</c:v>
                </c:pt>
                <c:pt idx="10">
                  <c:v>9669000</c:v>
                </c:pt>
                <c:pt idx="11">
                  <c:v>11211000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8-4B2D-93A9-6B41366DC15A}"/>
            </c:ext>
          </c:extLst>
        </c:ser>
        <c:ser>
          <c:idx val="1"/>
          <c:order val="1"/>
          <c:tx>
            <c:strRef>
              <c:f>障がい就労!$E$12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障がい就労!$I$12:$T$12</c:f>
              <c:numCache>
                <c:formatCode>#,##0,</c:formatCode>
                <c:ptCount val="12"/>
                <c:pt idx="0">
                  <c:v>16777000</c:v>
                </c:pt>
                <c:pt idx="1">
                  <c:v>18212000</c:v>
                </c:pt>
                <c:pt idx="2">
                  <c:v>19983000</c:v>
                </c:pt>
                <c:pt idx="3">
                  <c:v>22368000</c:v>
                </c:pt>
                <c:pt idx="4">
                  <c:v>1774000</c:v>
                </c:pt>
                <c:pt idx="5">
                  <c:v>3680000</c:v>
                </c:pt>
                <c:pt idx="6">
                  <c:v>5732000</c:v>
                </c:pt>
                <c:pt idx="7">
                  <c:v>8110000</c:v>
                </c:pt>
                <c:pt idx="8">
                  <c:v>10514000</c:v>
                </c:pt>
                <c:pt idx="9">
                  <c:v>12869000</c:v>
                </c:pt>
                <c:pt idx="10">
                  <c:v>14818000</c:v>
                </c:pt>
                <c:pt idx="11">
                  <c:v>16753000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48-4B2D-93A9-6B41366DC15A}"/>
            </c:ext>
          </c:extLst>
        </c:ser>
        <c:ser>
          <c:idx val="2"/>
          <c:order val="2"/>
          <c:tx>
            <c:strRef>
              <c:f>障がい就労!$E$13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障がい就労!$I$13:$T$13</c:f>
              <c:numCache>
                <c:formatCode>#,##0,</c:formatCode>
                <c:ptCount val="12"/>
                <c:pt idx="0">
                  <c:v>-2085000</c:v>
                </c:pt>
                <c:pt idx="1">
                  <c:v>-2389000</c:v>
                </c:pt>
                <c:pt idx="2">
                  <c:v>-2985000</c:v>
                </c:pt>
                <c:pt idx="3">
                  <c:v>-4053000</c:v>
                </c:pt>
                <c:pt idx="4">
                  <c:v>-150000</c:v>
                </c:pt>
                <c:pt idx="5">
                  <c:v>-792000</c:v>
                </c:pt>
                <c:pt idx="6">
                  <c:v>-1535000</c:v>
                </c:pt>
                <c:pt idx="7">
                  <c:v>-2494000</c:v>
                </c:pt>
                <c:pt idx="8">
                  <c:v>-3619000</c:v>
                </c:pt>
                <c:pt idx="9">
                  <c:v>-4724000</c:v>
                </c:pt>
                <c:pt idx="10">
                  <c:v>-5149000</c:v>
                </c:pt>
                <c:pt idx="11">
                  <c:v>-5542000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48-4B2D-93A9-6B41366DC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84672"/>
        <c:axId val="127894656"/>
      </c:barChart>
      <c:lineChart>
        <c:grouping val="standard"/>
        <c:varyColors val="0"/>
        <c:ser>
          <c:idx val="3"/>
          <c:order val="3"/>
          <c:tx>
            <c:strRef>
              <c:f>障がい就労!$E$14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障がい就労!$I$14:$T$14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48-4B2D-93A9-6B41366DC15A}"/>
            </c:ext>
          </c:extLst>
        </c:ser>
        <c:ser>
          <c:idx val="4"/>
          <c:order val="4"/>
          <c:tx>
            <c:strRef>
              <c:f>障がい就労!$E$15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障がい就労!$I$15:$T$15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248-4B2D-93A9-6B41366DC15A}"/>
            </c:ext>
          </c:extLst>
        </c:ser>
        <c:ser>
          <c:idx val="5"/>
          <c:order val="5"/>
          <c:tx>
            <c:strRef>
              <c:f>障がい就労!$E$16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障がい就労!$I$10:$T$10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障がい就労!$I$16:$T$16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248-4B2D-93A9-6B41366DC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84672"/>
        <c:axId val="127894656"/>
      </c:lineChart>
      <c:catAx>
        <c:axId val="12788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894656"/>
        <c:crosses val="autoZero"/>
        <c:auto val="1"/>
        <c:lblAlgn val="ctr"/>
        <c:lblOffset val="100"/>
        <c:noMultiLvlLbl val="0"/>
      </c:catAx>
      <c:valAx>
        <c:axId val="127894656"/>
        <c:scaling>
          <c:orientation val="minMax"/>
          <c:max val="25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788467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障がい就労!$C$2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FE-4B9C-BDEF-89C29A0692E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FE-4B9C-BDEF-89C29A0692E8}"/>
              </c:ext>
            </c:extLst>
          </c:dPt>
          <c:cat>
            <c:strRef>
              <c:f>障がい就労!$B$11:$B$13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障がい就労!$C$11:$C$13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FE-4B9C-BDEF-89C29A069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25632"/>
        <c:axId val="127804544"/>
      </c:barChart>
      <c:catAx>
        <c:axId val="12792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804544"/>
        <c:crosses val="autoZero"/>
        <c:auto val="1"/>
        <c:lblAlgn val="ctr"/>
        <c:lblOffset val="100"/>
        <c:noMultiLvlLbl val="0"/>
      </c:catAx>
      <c:valAx>
        <c:axId val="127804544"/>
        <c:scaling>
          <c:orientation val="minMax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7925632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障がい就労!$E$3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障がい就労!$I$2:$T$2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障がい就労!$I$3:$T$3</c:f>
              <c:numCache>
                <c:formatCode>#,##0_);[Red]\(#,##0\)</c:formatCode>
                <c:ptCount val="12"/>
                <c:pt idx="0">
                  <c:v>1425000</c:v>
                </c:pt>
                <c:pt idx="1">
                  <c:v>1131000</c:v>
                </c:pt>
                <c:pt idx="2">
                  <c:v>1175000</c:v>
                </c:pt>
                <c:pt idx="3">
                  <c:v>1317000</c:v>
                </c:pt>
                <c:pt idx="4">
                  <c:v>1624000</c:v>
                </c:pt>
                <c:pt idx="5">
                  <c:v>1264000</c:v>
                </c:pt>
                <c:pt idx="6">
                  <c:v>1309000</c:v>
                </c:pt>
                <c:pt idx="7">
                  <c:v>1419000</c:v>
                </c:pt>
                <c:pt idx="8">
                  <c:v>1279000</c:v>
                </c:pt>
                <c:pt idx="9">
                  <c:v>1250000</c:v>
                </c:pt>
                <c:pt idx="10">
                  <c:v>1524000</c:v>
                </c:pt>
                <c:pt idx="11">
                  <c:v>1542000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9-4A50-9087-112AA8C341F3}"/>
            </c:ext>
          </c:extLst>
        </c:ser>
        <c:ser>
          <c:idx val="1"/>
          <c:order val="1"/>
          <c:tx>
            <c:strRef>
              <c:f>障がい就労!$E$4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障がい就労!$I$2:$T$2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障がい就労!$I$4:$T$4</c:f>
              <c:numCache>
                <c:formatCode>#,##0_);[Red]\(#,##0\)</c:formatCode>
                <c:ptCount val="12"/>
                <c:pt idx="0">
                  <c:v>2144000</c:v>
                </c:pt>
                <c:pt idx="1">
                  <c:v>1435000</c:v>
                </c:pt>
                <c:pt idx="2">
                  <c:v>1771000</c:v>
                </c:pt>
                <c:pt idx="3">
                  <c:v>2385000</c:v>
                </c:pt>
                <c:pt idx="4">
                  <c:v>1774000</c:v>
                </c:pt>
                <c:pt idx="5">
                  <c:v>1906000</c:v>
                </c:pt>
                <c:pt idx="6">
                  <c:v>2052000</c:v>
                </c:pt>
                <c:pt idx="7">
                  <c:v>2378000</c:v>
                </c:pt>
                <c:pt idx="8">
                  <c:v>2404000</c:v>
                </c:pt>
                <c:pt idx="9">
                  <c:v>2355000</c:v>
                </c:pt>
                <c:pt idx="10">
                  <c:v>1949000</c:v>
                </c:pt>
                <c:pt idx="11">
                  <c:v>1935000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9-4A50-9087-112AA8C341F3}"/>
            </c:ext>
          </c:extLst>
        </c:ser>
        <c:ser>
          <c:idx val="2"/>
          <c:order val="2"/>
          <c:tx>
            <c:strRef>
              <c:f>障がい就労!$E$5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障がい就労!$I$2:$T$2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障がい就労!$I$5:$T$5</c:f>
              <c:numCache>
                <c:formatCode>#,##0_);[Red]\(#,##0\)</c:formatCode>
                <c:ptCount val="12"/>
                <c:pt idx="0">
                  <c:v>-719000</c:v>
                </c:pt>
                <c:pt idx="1">
                  <c:v>-304000</c:v>
                </c:pt>
                <c:pt idx="2">
                  <c:v>-596000</c:v>
                </c:pt>
                <c:pt idx="3">
                  <c:v>-1068000</c:v>
                </c:pt>
                <c:pt idx="4">
                  <c:v>-150000</c:v>
                </c:pt>
                <c:pt idx="5">
                  <c:v>-642000</c:v>
                </c:pt>
                <c:pt idx="6">
                  <c:v>-743000</c:v>
                </c:pt>
                <c:pt idx="7">
                  <c:v>-959000</c:v>
                </c:pt>
                <c:pt idx="8">
                  <c:v>-1125000</c:v>
                </c:pt>
                <c:pt idx="9">
                  <c:v>-1105000</c:v>
                </c:pt>
                <c:pt idx="10">
                  <c:v>-425000</c:v>
                </c:pt>
                <c:pt idx="11">
                  <c:v>-393000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9-4A50-9087-112AA8C3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58560"/>
        <c:axId val="127860096"/>
      </c:barChart>
      <c:lineChart>
        <c:grouping val="standard"/>
        <c:varyColors val="0"/>
        <c:ser>
          <c:idx val="3"/>
          <c:order val="3"/>
          <c:tx>
            <c:strRef>
              <c:f>障がい就労!$E$6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障がい就労!$G$2:$R$2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障がい就労!$G$6:$R$6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89-4A50-9087-112AA8C341F3}"/>
            </c:ext>
          </c:extLst>
        </c:ser>
        <c:ser>
          <c:idx val="4"/>
          <c:order val="4"/>
          <c:tx>
            <c:strRef>
              <c:f>障がい就労!$E$7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障がい就労!$G$2:$R$2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障がい就労!$G$7:$R$7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89-4A50-9087-112AA8C341F3}"/>
            </c:ext>
          </c:extLst>
        </c:ser>
        <c:ser>
          <c:idx val="5"/>
          <c:order val="5"/>
          <c:tx>
            <c:strRef>
              <c:f>障がい就労!$E$8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障がい就労!$G$2:$R$2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障がい就労!$G$8:$R$8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89-4A50-9087-112AA8C3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8560"/>
        <c:axId val="127860096"/>
      </c:lineChart>
      <c:catAx>
        <c:axId val="12785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860096"/>
        <c:crosses val="autoZero"/>
        <c:auto val="1"/>
        <c:lblAlgn val="ctr"/>
        <c:lblOffset val="100"/>
        <c:noMultiLvlLbl val="0"/>
      </c:catAx>
      <c:valAx>
        <c:axId val="127860096"/>
        <c:scaling>
          <c:orientation val="minMax"/>
          <c:max val="25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785856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グッドシーズン!$C$2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5A-459F-A86E-131B545F79C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5A-459F-A86E-131B545F79C9}"/>
              </c:ext>
            </c:extLst>
          </c:dPt>
          <c:cat>
            <c:strRef>
              <c:f>グッドシーズン!$B$3:$B$5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グッドシーズン!$C$3:$C$5</c:f>
              <c:numCache>
                <c:formatCode>#,##0_);[Red]\(#,##0\)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5A-459F-A86E-131B545F7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24608"/>
        <c:axId val="129130496"/>
      </c:barChart>
      <c:catAx>
        <c:axId val="12912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130496"/>
        <c:crosses val="autoZero"/>
        <c:auto val="1"/>
        <c:lblAlgn val="ctr"/>
        <c:lblOffset val="100"/>
        <c:noMultiLvlLbl val="0"/>
      </c:catAx>
      <c:valAx>
        <c:axId val="129130496"/>
        <c:scaling>
          <c:orientation val="minMax"/>
          <c:max val="20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912460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グッドシーズン!$E$11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グッドシーズン!$F$11:$Q$11</c:f>
              <c:numCache>
                <c:formatCode>#,##0,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299000</c:v>
                </c:pt>
                <c:pt idx="5">
                  <c:v>1621000</c:v>
                </c:pt>
                <c:pt idx="6">
                  <c:v>5291000</c:v>
                </c:pt>
                <c:pt idx="7">
                  <c:v>7681000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2C-42F5-A368-E2F57BCA85DE}"/>
            </c:ext>
          </c:extLst>
        </c:ser>
        <c:ser>
          <c:idx val="1"/>
          <c:order val="1"/>
          <c:tx>
            <c:strRef>
              <c:f>グッドシーズン!$E$12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グッドシーズン!$F$12:$Q$12</c:f>
              <c:numCache>
                <c:formatCode>#,##0,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279000</c:v>
                </c:pt>
                <c:pt idx="4">
                  <c:v>860000</c:v>
                </c:pt>
                <c:pt idx="5">
                  <c:v>3406000</c:v>
                </c:pt>
                <c:pt idx="6">
                  <c:v>5365000</c:v>
                </c:pt>
                <c:pt idx="7">
                  <c:v>7681000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2C-42F5-A368-E2F57BCA85DE}"/>
            </c:ext>
          </c:extLst>
        </c:ser>
        <c:ser>
          <c:idx val="2"/>
          <c:order val="2"/>
          <c:tx>
            <c:strRef>
              <c:f>グッドシーズン!$E$13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グッドシーズン!$F$13:$Q$13</c:f>
              <c:numCache>
                <c:formatCode>#,##0,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-279000</c:v>
                </c:pt>
                <c:pt idx="4">
                  <c:v>-561000</c:v>
                </c:pt>
                <c:pt idx="5">
                  <c:v>-1785000</c:v>
                </c:pt>
                <c:pt idx="6">
                  <c:v>-74000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2C-42F5-A368-E2F57BCA8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33088"/>
        <c:axId val="130234624"/>
      </c:barChart>
      <c:lineChart>
        <c:grouping val="standard"/>
        <c:varyColors val="0"/>
        <c:ser>
          <c:idx val="3"/>
          <c:order val="3"/>
          <c:tx>
            <c:strRef>
              <c:f>グッドシーズン!$E$14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グッドシーズン!$F$14:$Q$14</c:f>
              <c:numCache>
                <c:formatCode>#,##0,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2C-42F5-A368-E2F57BCA85DE}"/>
            </c:ext>
          </c:extLst>
        </c:ser>
        <c:ser>
          <c:idx val="4"/>
          <c:order val="4"/>
          <c:tx>
            <c:strRef>
              <c:f>グッドシーズン!$E$15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グッドシーズン!$F$15:$Q$15</c:f>
              <c:numCache>
                <c:formatCode>#,##0,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2C-42F5-A368-E2F57BCA85DE}"/>
            </c:ext>
          </c:extLst>
        </c:ser>
        <c:ser>
          <c:idx val="5"/>
          <c:order val="5"/>
          <c:tx>
            <c:strRef>
              <c:f>グッドシーズン!$E$16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グッドシーズン!$F$10:$Q$10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グッドシーズン!$F$16:$Q$16</c:f>
              <c:numCache>
                <c:formatCode>#,##0,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B2C-42F5-A368-E2F57BCA8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33088"/>
        <c:axId val="130234624"/>
      </c:lineChart>
      <c:catAx>
        <c:axId val="13023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34624"/>
        <c:crosses val="autoZero"/>
        <c:auto val="1"/>
        <c:lblAlgn val="ctr"/>
        <c:lblOffset val="100"/>
        <c:noMultiLvlLbl val="0"/>
      </c:catAx>
      <c:valAx>
        <c:axId val="130234624"/>
        <c:scaling>
          <c:orientation val="minMax"/>
          <c:max val="9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3023308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グッドシーズン!$C$2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0A-4FAE-8282-838A13FF254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0A-4FAE-8282-838A13FF2546}"/>
              </c:ext>
            </c:extLst>
          </c:dPt>
          <c:cat>
            <c:strRef>
              <c:f>グッドシーズン!$B$11:$B$13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グッドシーズン!$C$11:$C$13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A-4FAE-8282-838A13FF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74048"/>
        <c:axId val="130275584"/>
      </c:barChart>
      <c:catAx>
        <c:axId val="13027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75584"/>
        <c:crosses val="autoZero"/>
        <c:auto val="1"/>
        <c:lblAlgn val="ctr"/>
        <c:lblOffset val="100"/>
        <c:noMultiLvlLbl val="0"/>
      </c:catAx>
      <c:valAx>
        <c:axId val="130275584"/>
        <c:scaling>
          <c:orientation val="minMax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3027404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グッドシーズン!$E$3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グッドシーズン!$F$3:$Q$3</c:f>
              <c:numCache>
                <c:formatCode>#,##0_);[Red]\(#,##0\)</c:formatCode>
                <c:ptCount val="12"/>
                <c:pt idx="4">
                  <c:v>299000</c:v>
                </c:pt>
                <c:pt idx="5">
                  <c:v>1322000</c:v>
                </c:pt>
                <c:pt idx="6">
                  <c:v>3670000</c:v>
                </c:pt>
                <c:pt idx="7">
                  <c:v>2390000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54-41B1-8C32-AF76FEB72B25}"/>
            </c:ext>
          </c:extLst>
        </c:ser>
        <c:ser>
          <c:idx val="1"/>
          <c:order val="1"/>
          <c:tx>
            <c:strRef>
              <c:f>グッドシーズン!$E$4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グッドシーズン!$F$4:$Q$4</c:f>
              <c:numCache>
                <c:formatCode>#,##0_);[Red]\(#,##0\)</c:formatCode>
                <c:ptCount val="12"/>
                <c:pt idx="3">
                  <c:v>279000</c:v>
                </c:pt>
                <c:pt idx="4">
                  <c:v>581000</c:v>
                </c:pt>
                <c:pt idx="5">
                  <c:v>2546000</c:v>
                </c:pt>
                <c:pt idx="6">
                  <c:v>1959000</c:v>
                </c:pt>
                <c:pt idx="7">
                  <c:v>2316000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54-41B1-8C32-AF76FEB72B25}"/>
            </c:ext>
          </c:extLst>
        </c:ser>
        <c:ser>
          <c:idx val="2"/>
          <c:order val="2"/>
          <c:tx>
            <c:strRef>
              <c:f>グッドシーズン!$E$5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グッドシーズン!$F$5:$Q$5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-279000</c:v>
                </c:pt>
                <c:pt idx="4">
                  <c:v>-282000</c:v>
                </c:pt>
                <c:pt idx="5">
                  <c:v>-1224000</c:v>
                </c:pt>
                <c:pt idx="6">
                  <c:v>1711000</c:v>
                </c:pt>
                <c:pt idx="7">
                  <c:v>74000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54-41B1-8C32-AF76FEB7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57984"/>
        <c:axId val="130863872"/>
      </c:barChart>
      <c:lineChart>
        <c:grouping val="standard"/>
        <c:varyColors val="0"/>
        <c:ser>
          <c:idx val="3"/>
          <c:order val="3"/>
          <c:tx>
            <c:strRef>
              <c:f>グッドシーズン!$E$6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グッドシーズン!$G$6:$Q$6</c:f>
              <c:numCache>
                <c:formatCode>#,##0_);[Red]\(#,##0\)</c:formatCode>
                <c:ptCount val="11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54-41B1-8C32-AF76FEB72B25}"/>
            </c:ext>
          </c:extLst>
        </c:ser>
        <c:ser>
          <c:idx val="4"/>
          <c:order val="4"/>
          <c:tx>
            <c:strRef>
              <c:f>グッドシーズン!$E$7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グッドシーズン!$G$7:$Q$7</c:f>
              <c:numCache>
                <c:formatCode>#,##0_);[Red]\(#,##0\)</c:formatCode>
                <c:ptCount val="11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54-41B1-8C32-AF76FEB72B25}"/>
            </c:ext>
          </c:extLst>
        </c:ser>
        <c:ser>
          <c:idx val="5"/>
          <c:order val="5"/>
          <c:tx>
            <c:strRef>
              <c:f>グッドシーズン!$E$8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グッドシーズン!$F$2:$Q$2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グッドシーズン!$F$8:$Q$8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A54-41B1-8C32-AF76FEB7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7984"/>
        <c:axId val="130863872"/>
      </c:lineChart>
      <c:catAx>
        <c:axId val="13085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63872"/>
        <c:crosses val="autoZero"/>
        <c:auto val="1"/>
        <c:lblAlgn val="ctr"/>
        <c:lblOffset val="100"/>
        <c:noMultiLvlLbl val="0"/>
      </c:catAx>
      <c:valAx>
        <c:axId val="130863872"/>
        <c:scaling>
          <c:orientation val="minMax"/>
          <c:max val="35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3085798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法人全体!$C$2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ED-4D32-8016-B2DCA929D04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ED-4D32-8016-B2DCA929D046}"/>
              </c:ext>
            </c:extLst>
          </c:dPt>
          <c:cat>
            <c:strRef>
              <c:f>法人全体!$B$3:$B$5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法人全体!$C$3:$C$5</c:f>
              <c:numCache>
                <c:formatCode>#,##0_);[Red]\(#,##0\)</c:formatCode>
                <c:ptCount val="3"/>
                <c:pt idx="0">
                  <c:v>240617000</c:v>
                </c:pt>
                <c:pt idx="1">
                  <c:v>235092000</c:v>
                </c:pt>
                <c:pt idx="2">
                  <c:v>5525000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ED-4D32-8016-B2DCA929D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53568"/>
        <c:axId val="130655360"/>
      </c:barChart>
      <c:catAx>
        <c:axId val="13065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55360"/>
        <c:crosses val="autoZero"/>
        <c:auto val="1"/>
        <c:lblAlgn val="ctr"/>
        <c:lblOffset val="100"/>
        <c:noMultiLvlLbl val="0"/>
      </c:catAx>
      <c:valAx>
        <c:axId val="130655360"/>
        <c:scaling>
          <c:orientation val="minMax"/>
          <c:max val="229999999.99999997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3065356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法人全体!$E$11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法人全体!$I$10:$T$10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法人全体!$I$11:$T$11</c:f>
              <c:numCache>
                <c:formatCode>#,##0,</c:formatCode>
                <c:ptCount val="12"/>
                <c:pt idx="0">
                  <c:v>137316000</c:v>
                </c:pt>
                <c:pt idx="1">
                  <c:v>150097000</c:v>
                </c:pt>
                <c:pt idx="2">
                  <c:v>163528000</c:v>
                </c:pt>
                <c:pt idx="3">
                  <c:v>180740000</c:v>
                </c:pt>
                <c:pt idx="4">
                  <c:v>14546000</c:v>
                </c:pt>
                <c:pt idx="5">
                  <c:v>29697000</c:v>
                </c:pt>
                <c:pt idx="6">
                  <c:v>43037000</c:v>
                </c:pt>
                <c:pt idx="7">
                  <c:v>60755000</c:v>
                </c:pt>
                <c:pt idx="8">
                  <c:v>75084000</c:v>
                </c:pt>
                <c:pt idx="9">
                  <c:v>91909000</c:v>
                </c:pt>
                <c:pt idx="10">
                  <c:v>113492000</c:v>
                </c:pt>
                <c:pt idx="11">
                  <c:v>129848000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9-42CF-8FF7-E02952ACB112}"/>
            </c:ext>
          </c:extLst>
        </c:ser>
        <c:ser>
          <c:idx val="1"/>
          <c:order val="1"/>
          <c:tx>
            <c:strRef>
              <c:f>法人全体!$E$12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法人全体!$I$10:$T$10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法人全体!$I$12:$T$12</c:f>
              <c:numCache>
                <c:formatCode>#,##0,</c:formatCode>
                <c:ptCount val="12"/>
                <c:pt idx="0">
                  <c:v>118953000</c:v>
                </c:pt>
                <c:pt idx="1">
                  <c:v>130665000</c:v>
                </c:pt>
                <c:pt idx="2">
                  <c:v>143748000</c:v>
                </c:pt>
                <c:pt idx="3">
                  <c:v>159625000</c:v>
                </c:pt>
                <c:pt idx="4">
                  <c:v>12828000</c:v>
                </c:pt>
                <c:pt idx="5">
                  <c:v>26060000</c:v>
                </c:pt>
                <c:pt idx="6">
                  <c:v>40541000</c:v>
                </c:pt>
                <c:pt idx="7">
                  <c:v>54728000</c:v>
                </c:pt>
                <c:pt idx="8">
                  <c:v>70325000</c:v>
                </c:pt>
                <c:pt idx="9">
                  <c:v>86076000</c:v>
                </c:pt>
                <c:pt idx="10">
                  <c:v>102432000</c:v>
                </c:pt>
                <c:pt idx="11">
                  <c:v>117293000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09-42CF-8FF7-E02952ACB112}"/>
            </c:ext>
          </c:extLst>
        </c:ser>
        <c:ser>
          <c:idx val="2"/>
          <c:order val="2"/>
          <c:tx>
            <c:strRef>
              <c:f>法人全体!$E$13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法人全体!$I$10:$T$10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法人全体!$G$13:$R$13</c:f>
              <c:numCache>
                <c:formatCode>#,##0,</c:formatCode>
                <c:ptCount val="12"/>
                <c:pt idx="0">
                  <c:v>17055000</c:v>
                </c:pt>
                <c:pt idx="1">
                  <c:v>19562000</c:v>
                </c:pt>
                <c:pt idx="2">
                  <c:v>18363000</c:v>
                </c:pt>
                <c:pt idx="3">
                  <c:v>19432000</c:v>
                </c:pt>
                <c:pt idx="4">
                  <c:v>19780000</c:v>
                </c:pt>
                <c:pt idx="5">
                  <c:v>21115000</c:v>
                </c:pt>
                <c:pt idx="6">
                  <c:v>1718000</c:v>
                </c:pt>
                <c:pt idx="7">
                  <c:v>3637000</c:v>
                </c:pt>
                <c:pt idx="8">
                  <c:v>2496000</c:v>
                </c:pt>
                <c:pt idx="9">
                  <c:v>6027000</c:v>
                </c:pt>
                <c:pt idx="10">
                  <c:v>4759000</c:v>
                </c:pt>
                <c:pt idx="11">
                  <c:v>5833000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09-42CF-8FF7-E02952ACB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70816"/>
        <c:axId val="130772352"/>
      </c:barChart>
      <c:lineChart>
        <c:grouping val="standard"/>
        <c:varyColors val="0"/>
        <c:ser>
          <c:idx val="3"/>
          <c:order val="3"/>
          <c:tx>
            <c:strRef>
              <c:f>法人全体!$E$14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法人全体!$G$10:$R$10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法人全体!$G$14:$R$14</c:f>
              <c:numCache>
                <c:formatCode>#,##0_);[Red]\(#,##0\)</c:formatCode>
                <c:ptCount val="12"/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B09-42CF-8FF7-E02952ACB112}"/>
            </c:ext>
          </c:extLst>
        </c:ser>
        <c:ser>
          <c:idx val="4"/>
          <c:order val="4"/>
          <c:tx>
            <c:strRef>
              <c:f>法人全体!$E$15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法人全体!$G$10:$R$10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法人全体!$G$15:$R$15</c:f>
              <c:numCache>
                <c:formatCode>#,##0_);[Red]\(#,##0\)</c:formatCode>
                <c:ptCount val="12"/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B09-42CF-8FF7-E02952ACB112}"/>
            </c:ext>
          </c:extLst>
        </c:ser>
        <c:ser>
          <c:idx val="5"/>
          <c:order val="5"/>
          <c:tx>
            <c:strRef>
              <c:f>法人全体!$E$16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法人全体!$G$10:$R$10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法人全体!$G$16:$R$16</c:f>
              <c:numCache>
                <c:formatCode>#,##0_);[Red]\(#,##0\)</c:formatCode>
                <c:ptCount val="12"/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B09-42CF-8FF7-E02952ACB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70816"/>
        <c:axId val="130772352"/>
      </c:lineChart>
      <c:catAx>
        <c:axId val="13077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72352"/>
        <c:crosses val="autoZero"/>
        <c:auto val="1"/>
        <c:lblAlgn val="ctr"/>
        <c:lblOffset val="100"/>
        <c:noMultiLvlLbl val="0"/>
      </c:catAx>
      <c:valAx>
        <c:axId val="130772352"/>
        <c:scaling>
          <c:orientation val="minMax"/>
          <c:max val="220000000.00000003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3077081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法人全体!$C$2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8C-4A55-B4B8-5DCBF84E44C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8C-4A55-B4B8-5DCBF84E44C1}"/>
              </c:ext>
            </c:extLst>
          </c:dPt>
          <c:cat>
            <c:strRef>
              <c:f>法人全体!$B$11:$B$13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法人全体!$C$11:$C$13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8C-4A55-B4B8-5DCBF84E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42848"/>
        <c:axId val="130944384"/>
      </c:barChart>
      <c:catAx>
        <c:axId val="13094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944384"/>
        <c:crosses val="autoZero"/>
        <c:auto val="1"/>
        <c:lblAlgn val="ctr"/>
        <c:lblOffset val="100"/>
        <c:noMultiLvlLbl val="0"/>
      </c:catAx>
      <c:valAx>
        <c:axId val="130944384"/>
        <c:scaling>
          <c:orientation val="minMax"/>
          <c:max val="229999999.99999997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30942848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ふれあい給食!$E$11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ふれあい給食!$I$11:$T$11</c:f>
              <c:numCache>
                <c:formatCode>#,##0,</c:formatCode>
                <c:ptCount val="12"/>
                <c:pt idx="0">
                  <c:v>8382000</c:v>
                </c:pt>
                <c:pt idx="1">
                  <c:v>9274000</c:v>
                </c:pt>
                <c:pt idx="2">
                  <c:v>10159000</c:v>
                </c:pt>
                <c:pt idx="3">
                  <c:v>11057000</c:v>
                </c:pt>
                <c:pt idx="4">
                  <c:v>993000</c:v>
                </c:pt>
                <c:pt idx="5">
                  <c:v>1866000</c:v>
                </c:pt>
                <c:pt idx="6">
                  <c:v>2772000</c:v>
                </c:pt>
                <c:pt idx="7">
                  <c:v>3806000</c:v>
                </c:pt>
                <c:pt idx="8">
                  <c:v>4773000</c:v>
                </c:pt>
                <c:pt idx="9">
                  <c:v>5661000</c:v>
                </c:pt>
                <c:pt idx="10">
                  <c:v>6590000</c:v>
                </c:pt>
                <c:pt idx="11">
                  <c:v>7529000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BB-4EF7-BB3D-6E85E8C34B27}"/>
            </c:ext>
          </c:extLst>
        </c:ser>
        <c:ser>
          <c:idx val="1"/>
          <c:order val="1"/>
          <c:tx>
            <c:strRef>
              <c:f>ふれあい給食!$E$12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ふれあい給食!$I$12:$T$12</c:f>
              <c:numCache>
                <c:formatCode>#,##0,</c:formatCode>
                <c:ptCount val="12"/>
                <c:pt idx="0">
                  <c:v>7279000</c:v>
                </c:pt>
                <c:pt idx="1">
                  <c:v>7990000</c:v>
                </c:pt>
                <c:pt idx="2">
                  <c:v>8628000</c:v>
                </c:pt>
                <c:pt idx="3">
                  <c:v>9457000</c:v>
                </c:pt>
                <c:pt idx="4">
                  <c:v>752000</c:v>
                </c:pt>
                <c:pt idx="5">
                  <c:v>1494000</c:v>
                </c:pt>
                <c:pt idx="6">
                  <c:v>2411000</c:v>
                </c:pt>
                <c:pt idx="7">
                  <c:v>3260000</c:v>
                </c:pt>
                <c:pt idx="8">
                  <c:v>4069000</c:v>
                </c:pt>
                <c:pt idx="9">
                  <c:v>4867000</c:v>
                </c:pt>
                <c:pt idx="10">
                  <c:v>5421000</c:v>
                </c:pt>
                <c:pt idx="11">
                  <c:v>5924000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BB-4EF7-BB3D-6E85E8C34B27}"/>
            </c:ext>
          </c:extLst>
        </c:ser>
        <c:ser>
          <c:idx val="2"/>
          <c:order val="2"/>
          <c:tx>
            <c:strRef>
              <c:f>ふれあい給食!$E$13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ふれあい給食!$I$13:$T$13</c:f>
              <c:numCache>
                <c:formatCode>#,##0,</c:formatCode>
                <c:ptCount val="12"/>
                <c:pt idx="0">
                  <c:v>1103000</c:v>
                </c:pt>
                <c:pt idx="1">
                  <c:v>1284000</c:v>
                </c:pt>
                <c:pt idx="2">
                  <c:v>1531000</c:v>
                </c:pt>
                <c:pt idx="3">
                  <c:v>1600000</c:v>
                </c:pt>
                <c:pt idx="4">
                  <c:v>241000</c:v>
                </c:pt>
                <c:pt idx="5">
                  <c:v>372000</c:v>
                </c:pt>
                <c:pt idx="6">
                  <c:v>361000</c:v>
                </c:pt>
                <c:pt idx="7">
                  <c:v>546000</c:v>
                </c:pt>
                <c:pt idx="8">
                  <c:v>704000</c:v>
                </c:pt>
                <c:pt idx="9">
                  <c:v>794000</c:v>
                </c:pt>
                <c:pt idx="10">
                  <c:v>1169000</c:v>
                </c:pt>
                <c:pt idx="11">
                  <c:v>1605000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BB-4EF7-BB3D-6E85E8C3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18240"/>
        <c:axId val="124619776"/>
      </c:barChart>
      <c:lineChart>
        <c:grouping val="standard"/>
        <c:varyColors val="0"/>
        <c:ser>
          <c:idx val="3"/>
          <c:order val="3"/>
          <c:tx>
            <c:strRef>
              <c:f>ふれあい給食!$E$14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ふれあい給食!$I$14:$T$14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4BB-4EF7-BB3D-6E85E8C34B27}"/>
            </c:ext>
          </c:extLst>
        </c:ser>
        <c:ser>
          <c:idx val="4"/>
          <c:order val="4"/>
          <c:tx>
            <c:strRef>
              <c:f>ふれあい給食!$E$15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ふれあい給食!$I$15:$T$15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4BB-4EF7-BB3D-6E85E8C34B27}"/>
            </c:ext>
          </c:extLst>
        </c:ser>
        <c:ser>
          <c:idx val="5"/>
          <c:order val="5"/>
          <c:tx>
            <c:strRef>
              <c:f>ふれあい給食!$E$16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ふれあい給食!$I$10:$T$10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ふれあい給食!$I$16:$T$16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4BB-4EF7-BB3D-6E85E8C3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18240"/>
        <c:axId val="124619776"/>
      </c:lineChart>
      <c:catAx>
        <c:axId val="12461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19776"/>
        <c:crosses val="autoZero"/>
        <c:auto val="1"/>
        <c:lblAlgn val="ctr"/>
        <c:lblOffset val="100"/>
        <c:noMultiLvlLbl val="0"/>
      </c:catAx>
      <c:valAx>
        <c:axId val="124619776"/>
        <c:scaling>
          <c:orientation val="minMax"/>
          <c:max val="12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461824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法人全体!$E$3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法人全体!$I$2:$T$2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法人全体!$I$3:$T$3</c:f>
              <c:numCache>
                <c:formatCode>#,##0_);[Red]\(#,##0\)</c:formatCode>
                <c:ptCount val="12"/>
                <c:pt idx="0">
                  <c:v>14332000</c:v>
                </c:pt>
                <c:pt idx="1">
                  <c:v>12781000</c:v>
                </c:pt>
                <c:pt idx="2">
                  <c:v>13431000</c:v>
                </c:pt>
                <c:pt idx="3">
                  <c:v>17212000</c:v>
                </c:pt>
                <c:pt idx="4">
                  <c:v>14546000</c:v>
                </c:pt>
                <c:pt idx="5">
                  <c:v>15151000</c:v>
                </c:pt>
                <c:pt idx="6">
                  <c:v>13340000</c:v>
                </c:pt>
                <c:pt idx="7">
                  <c:v>17718000</c:v>
                </c:pt>
                <c:pt idx="8">
                  <c:v>14329000</c:v>
                </c:pt>
                <c:pt idx="9">
                  <c:v>16825000</c:v>
                </c:pt>
                <c:pt idx="10">
                  <c:v>21583000</c:v>
                </c:pt>
                <c:pt idx="11">
                  <c:v>16356000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DD-4D76-8D22-A56BEFE041BD}"/>
            </c:ext>
          </c:extLst>
        </c:ser>
        <c:ser>
          <c:idx val="1"/>
          <c:order val="1"/>
          <c:tx>
            <c:strRef>
              <c:f>法人全体!$E$4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法人全体!$I$2:$T$2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法人全体!$G$4:$R$4</c:f>
              <c:numCache>
                <c:formatCode>#,##0_);[Red]\(#,##0\)</c:formatCode>
                <c:ptCount val="12"/>
                <c:pt idx="0">
                  <c:v>13969000</c:v>
                </c:pt>
                <c:pt idx="1">
                  <c:v>11991000</c:v>
                </c:pt>
                <c:pt idx="2">
                  <c:v>15531000</c:v>
                </c:pt>
                <c:pt idx="3">
                  <c:v>11712000</c:v>
                </c:pt>
                <c:pt idx="4">
                  <c:v>13083000</c:v>
                </c:pt>
                <c:pt idx="5">
                  <c:v>15877000</c:v>
                </c:pt>
                <c:pt idx="6">
                  <c:v>12828000</c:v>
                </c:pt>
                <c:pt idx="7">
                  <c:v>13232000</c:v>
                </c:pt>
                <c:pt idx="8">
                  <c:v>14481000</c:v>
                </c:pt>
                <c:pt idx="9">
                  <c:v>14187000</c:v>
                </c:pt>
                <c:pt idx="10">
                  <c:v>15597000</c:v>
                </c:pt>
                <c:pt idx="11">
                  <c:v>15751000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DD-4D76-8D22-A56BEFE041BD}"/>
            </c:ext>
          </c:extLst>
        </c:ser>
        <c:ser>
          <c:idx val="2"/>
          <c:order val="2"/>
          <c:tx>
            <c:strRef>
              <c:f>法人全体!$E$5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法人全体!$I$2:$T$2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法人全体!$G$5:$R$5</c:f>
              <c:numCache>
                <c:formatCode>#,##0_);[Red]\(#,##0\)</c:formatCode>
                <c:ptCount val="12"/>
                <c:pt idx="0">
                  <c:v>3831000</c:v>
                </c:pt>
                <c:pt idx="1">
                  <c:v>2507000</c:v>
                </c:pt>
                <c:pt idx="2">
                  <c:v>-1199000</c:v>
                </c:pt>
                <c:pt idx="3">
                  <c:v>1069000</c:v>
                </c:pt>
                <c:pt idx="4">
                  <c:v>348000</c:v>
                </c:pt>
                <c:pt idx="5">
                  <c:v>1335000</c:v>
                </c:pt>
                <c:pt idx="6">
                  <c:v>1718000</c:v>
                </c:pt>
                <c:pt idx="7">
                  <c:v>1919000</c:v>
                </c:pt>
                <c:pt idx="8">
                  <c:v>-1141000</c:v>
                </c:pt>
                <c:pt idx="9">
                  <c:v>3531000</c:v>
                </c:pt>
                <c:pt idx="10">
                  <c:v>-1268000</c:v>
                </c:pt>
                <c:pt idx="11">
                  <c:v>1074000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DD-4D76-8D22-A56BEFE04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6368"/>
        <c:axId val="130987904"/>
      </c:barChart>
      <c:lineChart>
        <c:grouping val="standard"/>
        <c:varyColors val="0"/>
        <c:ser>
          <c:idx val="3"/>
          <c:order val="3"/>
          <c:tx>
            <c:strRef>
              <c:f>法人全体!$E$6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法人全体!$G$2:$R$2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法人全体!$G$6:$R$6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DD-4D76-8D22-A56BEFE041BD}"/>
            </c:ext>
          </c:extLst>
        </c:ser>
        <c:ser>
          <c:idx val="4"/>
          <c:order val="4"/>
          <c:tx>
            <c:strRef>
              <c:f>法人全体!$E$7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法人全体!$G$2:$R$2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法人全体!$G$7:$R$7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DD-4D76-8D22-A56BEFE041BD}"/>
            </c:ext>
          </c:extLst>
        </c:ser>
        <c:ser>
          <c:idx val="5"/>
          <c:order val="5"/>
          <c:tx>
            <c:strRef>
              <c:f>法人全体!$E$8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法人全体!$G$2:$R$2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法人全体!$G$8:$R$8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9DD-4D76-8D22-A56BEFE04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86368"/>
        <c:axId val="130987904"/>
      </c:lineChart>
      <c:catAx>
        <c:axId val="13098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987904"/>
        <c:crosses val="autoZero"/>
        <c:auto val="1"/>
        <c:lblAlgn val="ctr"/>
        <c:lblOffset val="100"/>
        <c:noMultiLvlLbl val="0"/>
      </c:catAx>
      <c:valAx>
        <c:axId val="130987904"/>
        <c:scaling>
          <c:orientation val="minMax"/>
          <c:max val="185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3098636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16973170999654E-2"/>
          <c:y val="1.2738461963276699E-2"/>
          <c:w val="0.88802801141353982"/>
          <c:h val="0.74335570752194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グラフデータ!$B$3</c:f>
              <c:strCache>
                <c:ptCount val="1"/>
                <c:pt idx="0">
                  <c:v>事業収入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グラフデータ!$C$1:$AF$2</c:f>
              <c:multiLvlStrCache>
                <c:ptCount val="30"/>
                <c:lvl>
                  <c:pt idx="0">
                    <c:v>収入</c:v>
                  </c:pt>
                  <c:pt idx="1">
                    <c:v>支出</c:v>
                  </c:pt>
                  <c:pt idx="2">
                    <c:v>収入</c:v>
                  </c:pt>
                  <c:pt idx="3">
                    <c:v>支出</c:v>
                  </c:pt>
                  <c:pt idx="5">
                    <c:v>収入</c:v>
                  </c:pt>
                  <c:pt idx="6">
                    <c:v>支出</c:v>
                  </c:pt>
                  <c:pt idx="8">
                    <c:v>収入</c:v>
                  </c:pt>
                  <c:pt idx="9">
                    <c:v>支出</c:v>
                  </c:pt>
                  <c:pt idx="10">
                    <c:v>収入</c:v>
                  </c:pt>
                  <c:pt idx="11">
                    <c:v>支出</c:v>
                  </c:pt>
                  <c:pt idx="13">
                    <c:v>収入</c:v>
                  </c:pt>
                  <c:pt idx="14">
                    <c:v>支出</c:v>
                  </c:pt>
                  <c:pt idx="16">
                    <c:v>収入</c:v>
                  </c:pt>
                  <c:pt idx="17">
                    <c:v>支出</c:v>
                  </c:pt>
                  <c:pt idx="19">
                    <c:v>収入</c:v>
                  </c:pt>
                  <c:pt idx="20">
                    <c:v>支出</c:v>
                  </c:pt>
                  <c:pt idx="22">
                    <c:v>収入</c:v>
                  </c:pt>
                  <c:pt idx="23">
                    <c:v>支出</c:v>
                  </c:pt>
                  <c:pt idx="25">
                    <c:v>収入</c:v>
                  </c:pt>
                  <c:pt idx="26">
                    <c:v>支出</c:v>
                  </c:pt>
                  <c:pt idx="28">
                    <c:v>収入</c:v>
                  </c:pt>
                  <c:pt idx="29">
                    <c:v>支出</c:v>
                  </c:pt>
                </c:lvl>
                <c:lvl>
                  <c:pt idx="0">
                    <c:v>本部</c:v>
                  </c:pt>
                  <c:pt idx="2">
                    <c:v>宅老所</c:v>
                  </c:pt>
                  <c:pt idx="5">
                    <c:v>宅配給食</c:v>
                  </c:pt>
                  <c:pt idx="8">
                    <c:v>学童保育</c:v>
                  </c:pt>
                  <c:pt idx="10">
                    <c:v>人材育成</c:v>
                  </c:pt>
                  <c:pt idx="13">
                    <c:v>高齢訪問</c:v>
                  </c:pt>
                  <c:pt idx="16">
                    <c:v>奥立願寺</c:v>
                  </c:pt>
                  <c:pt idx="19">
                    <c:v>中尾</c:v>
                  </c:pt>
                  <c:pt idx="22">
                    <c:v>居宅</c:v>
                  </c:pt>
                  <c:pt idx="25">
                    <c:v>障害訪問</c:v>
                  </c:pt>
                  <c:pt idx="28">
                    <c:v>障害就労</c:v>
                  </c:pt>
                </c:lvl>
              </c:multiLvlStrCache>
            </c:multiLvlStrRef>
          </c:cat>
          <c:val>
            <c:numRef>
              <c:f>グラフデータ!$C$3:$AF$3</c:f>
              <c:numCache>
                <c:formatCode>#,##0,</c:formatCode>
                <c:ptCount val="30"/>
                <c:pt idx="0">
                  <c:v>3803000</c:v>
                </c:pt>
                <c:pt idx="2">
                  <c:v>0</c:v>
                </c:pt>
                <c:pt idx="5">
                  <c:v>0</c:v>
                </c:pt>
                <c:pt idx="8">
                  <c:v>0</c:v>
                </c:pt>
                <c:pt idx="10">
                  <c:v>0</c:v>
                </c:pt>
                <c:pt idx="13">
                  <c:v>129641850</c:v>
                </c:pt>
                <c:pt idx="16">
                  <c:v>38230440</c:v>
                </c:pt>
                <c:pt idx="19">
                  <c:v>64328000</c:v>
                </c:pt>
                <c:pt idx="22">
                  <c:v>0</c:v>
                </c:pt>
                <c:pt idx="25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31-4CEF-8CB0-54F81F2F2537}"/>
            </c:ext>
          </c:extLst>
        </c:ser>
        <c:ser>
          <c:idx val="1"/>
          <c:order val="1"/>
          <c:tx>
            <c:strRef>
              <c:f>グラフデータ!$B$4</c:f>
              <c:strCache>
                <c:ptCount val="1"/>
                <c:pt idx="0">
                  <c:v>事業費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グラフデータ!$C$1:$AF$2</c:f>
              <c:multiLvlStrCache>
                <c:ptCount val="30"/>
                <c:lvl>
                  <c:pt idx="0">
                    <c:v>収入</c:v>
                  </c:pt>
                  <c:pt idx="1">
                    <c:v>支出</c:v>
                  </c:pt>
                  <c:pt idx="2">
                    <c:v>収入</c:v>
                  </c:pt>
                  <c:pt idx="3">
                    <c:v>支出</c:v>
                  </c:pt>
                  <c:pt idx="5">
                    <c:v>収入</c:v>
                  </c:pt>
                  <c:pt idx="6">
                    <c:v>支出</c:v>
                  </c:pt>
                  <c:pt idx="8">
                    <c:v>収入</c:v>
                  </c:pt>
                  <c:pt idx="9">
                    <c:v>支出</c:v>
                  </c:pt>
                  <c:pt idx="10">
                    <c:v>収入</c:v>
                  </c:pt>
                  <c:pt idx="11">
                    <c:v>支出</c:v>
                  </c:pt>
                  <c:pt idx="13">
                    <c:v>収入</c:v>
                  </c:pt>
                  <c:pt idx="14">
                    <c:v>支出</c:v>
                  </c:pt>
                  <c:pt idx="16">
                    <c:v>収入</c:v>
                  </c:pt>
                  <c:pt idx="17">
                    <c:v>支出</c:v>
                  </c:pt>
                  <c:pt idx="19">
                    <c:v>収入</c:v>
                  </c:pt>
                  <c:pt idx="20">
                    <c:v>支出</c:v>
                  </c:pt>
                  <c:pt idx="22">
                    <c:v>収入</c:v>
                  </c:pt>
                  <c:pt idx="23">
                    <c:v>支出</c:v>
                  </c:pt>
                  <c:pt idx="25">
                    <c:v>収入</c:v>
                  </c:pt>
                  <c:pt idx="26">
                    <c:v>支出</c:v>
                  </c:pt>
                  <c:pt idx="28">
                    <c:v>収入</c:v>
                  </c:pt>
                  <c:pt idx="29">
                    <c:v>支出</c:v>
                  </c:pt>
                </c:lvl>
                <c:lvl>
                  <c:pt idx="0">
                    <c:v>本部</c:v>
                  </c:pt>
                  <c:pt idx="2">
                    <c:v>宅老所</c:v>
                  </c:pt>
                  <c:pt idx="5">
                    <c:v>宅配給食</c:v>
                  </c:pt>
                  <c:pt idx="8">
                    <c:v>学童保育</c:v>
                  </c:pt>
                  <c:pt idx="10">
                    <c:v>人材育成</c:v>
                  </c:pt>
                  <c:pt idx="13">
                    <c:v>高齢訪問</c:v>
                  </c:pt>
                  <c:pt idx="16">
                    <c:v>奥立願寺</c:v>
                  </c:pt>
                  <c:pt idx="19">
                    <c:v>中尾</c:v>
                  </c:pt>
                  <c:pt idx="22">
                    <c:v>居宅</c:v>
                  </c:pt>
                  <c:pt idx="25">
                    <c:v>障害訪問</c:v>
                  </c:pt>
                  <c:pt idx="28">
                    <c:v>障害就労</c:v>
                  </c:pt>
                </c:lvl>
              </c:multiLvlStrCache>
            </c:multiLvlStrRef>
          </c:cat>
          <c:val>
            <c:numRef>
              <c:f>グラフデータ!$C$4:$AF$4</c:f>
              <c:numCache>
                <c:formatCode>#,##0,</c:formatCode>
                <c:ptCount val="30"/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1">
                  <c:v>0</c:v>
                </c:pt>
                <c:pt idx="14">
                  <c:v>0</c:v>
                </c:pt>
                <c:pt idx="17">
                  <c:v>0</c:v>
                </c:pt>
                <c:pt idx="20">
                  <c:v>0</c:v>
                </c:pt>
                <c:pt idx="23">
                  <c:v>0</c:v>
                </c:pt>
                <c:pt idx="26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31-4CEF-8CB0-54F81F2F2537}"/>
            </c:ext>
          </c:extLst>
        </c:ser>
        <c:ser>
          <c:idx val="2"/>
          <c:order val="2"/>
          <c:tx>
            <c:strRef>
              <c:f>グラフデータ!$B$5</c:f>
              <c:strCache>
                <c:ptCount val="1"/>
                <c:pt idx="0">
                  <c:v>管理費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グラフデータ!$C$1:$AF$2</c:f>
              <c:multiLvlStrCache>
                <c:ptCount val="30"/>
                <c:lvl>
                  <c:pt idx="0">
                    <c:v>収入</c:v>
                  </c:pt>
                  <c:pt idx="1">
                    <c:v>支出</c:v>
                  </c:pt>
                  <c:pt idx="2">
                    <c:v>収入</c:v>
                  </c:pt>
                  <c:pt idx="3">
                    <c:v>支出</c:v>
                  </c:pt>
                  <c:pt idx="5">
                    <c:v>収入</c:v>
                  </c:pt>
                  <c:pt idx="6">
                    <c:v>支出</c:v>
                  </c:pt>
                  <c:pt idx="8">
                    <c:v>収入</c:v>
                  </c:pt>
                  <c:pt idx="9">
                    <c:v>支出</c:v>
                  </c:pt>
                  <c:pt idx="10">
                    <c:v>収入</c:v>
                  </c:pt>
                  <c:pt idx="11">
                    <c:v>支出</c:v>
                  </c:pt>
                  <c:pt idx="13">
                    <c:v>収入</c:v>
                  </c:pt>
                  <c:pt idx="14">
                    <c:v>支出</c:v>
                  </c:pt>
                  <c:pt idx="16">
                    <c:v>収入</c:v>
                  </c:pt>
                  <c:pt idx="17">
                    <c:v>支出</c:v>
                  </c:pt>
                  <c:pt idx="19">
                    <c:v>収入</c:v>
                  </c:pt>
                  <c:pt idx="20">
                    <c:v>支出</c:v>
                  </c:pt>
                  <c:pt idx="22">
                    <c:v>収入</c:v>
                  </c:pt>
                  <c:pt idx="23">
                    <c:v>支出</c:v>
                  </c:pt>
                  <c:pt idx="25">
                    <c:v>収入</c:v>
                  </c:pt>
                  <c:pt idx="26">
                    <c:v>支出</c:v>
                  </c:pt>
                  <c:pt idx="28">
                    <c:v>収入</c:v>
                  </c:pt>
                  <c:pt idx="29">
                    <c:v>支出</c:v>
                  </c:pt>
                </c:lvl>
                <c:lvl>
                  <c:pt idx="0">
                    <c:v>本部</c:v>
                  </c:pt>
                  <c:pt idx="2">
                    <c:v>宅老所</c:v>
                  </c:pt>
                  <c:pt idx="5">
                    <c:v>宅配給食</c:v>
                  </c:pt>
                  <c:pt idx="8">
                    <c:v>学童保育</c:v>
                  </c:pt>
                  <c:pt idx="10">
                    <c:v>人材育成</c:v>
                  </c:pt>
                  <c:pt idx="13">
                    <c:v>高齢訪問</c:v>
                  </c:pt>
                  <c:pt idx="16">
                    <c:v>奥立願寺</c:v>
                  </c:pt>
                  <c:pt idx="19">
                    <c:v>中尾</c:v>
                  </c:pt>
                  <c:pt idx="22">
                    <c:v>居宅</c:v>
                  </c:pt>
                  <c:pt idx="25">
                    <c:v>障害訪問</c:v>
                  </c:pt>
                  <c:pt idx="28">
                    <c:v>障害就労</c:v>
                  </c:pt>
                </c:lvl>
              </c:multiLvlStrCache>
            </c:multiLvlStrRef>
          </c:cat>
          <c:val>
            <c:numRef>
              <c:f>グラフデータ!$C$5:$AF$5</c:f>
              <c:numCache>
                <c:formatCode>#,##0,</c:formatCode>
                <c:ptCount val="30"/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1">
                  <c:v>0</c:v>
                </c:pt>
                <c:pt idx="14">
                  <c:v>0</c:v>
                </c:pt>
                <c:pt idx="17">
                  <c:v>0</c:v>
                </c:pt>
                <c:pt idx="20">
                  <c:v>0</c:v>
                </c:pt>
                <c:pt idx="23">
                  <c:v>0</c:v>
                </c:pt>
                <c:pt idx="26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31-4CEF-8CB0-54F81F2F2537}"/>
            </c:ext>
          </c:extLst>
        </c:ser>
        <c:ser>
          <c:idx val="3"/>
          <c:order val="3"/>
          <c:tx>
            <c:strRef>
              <c:f>グラフデータ!$B$6</c:f>
              <c:strCache>
                <c:ptCount val="1"/>
                <c:pt idx="0">
                  <c:v>収益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グラフデータ!$C$1:$AF$2</c:f>
              <c:multiLvlStrCache>
                <c:ptCount val="30"/>
                <c:lvl>
                  <c:pt idx="0">
                    <c:v>収入</c:v>
                  </c:pt>
                  <c:pt idx="1">
                    <c:v>支出</c:v>
                  </c:pt>
                  <c:pt idx="2">
                    <c:v>収入</c:v>
                  </c:pt>
                  <c:pt idx="3">
                    <c:v>支出</c:v>
                  </c:pt>
                  <c:pt idx="5">
                    <c:v>収入</c:v>
                  </c:pt>
                  <c:pt idx="6">
                    <c:v>支出</c:v>
                  </c:pt>
                  <c:pt idx="8">
                    <c:v>収入</c:v>
                  </c:pt>
                  <c:pt idx="9">
                    <c:v>支出</c:v>
                  </c:pt>
                  <c:pt idx="10">
                    <c:v>収入</c:v>
                  </c:pt>
                  <c:pt idx="11">
                    <c:v>支出</c:v>
                  </c:pt>
                  <c:pt idx="13">
                    <c:v>収入</c:v>
                  </c:pt>
                  <c:pt idx="14">
                    <c:v>支出</c:v>
                  </c:pt>
                  <c:pt idx="16">
                    <c:v>収入</c:v>
                  </c:pt>
                  <c:pt idx="17">
                    <c:v>支出</c:v>
                  </c:pt>
                  <c:pt idx="19">
                    <c:v>収入</c:v>
                  </c:pt>
                  <c:pt idx="20">
                    <c:v>支出</c:v>
                  </c:pt>
                  <c:pt idx="22">
                    <c:v>収入</c:v>
                  </c:pt>
                  <c:pt idx="23">
                    <c:v>支出</c:v>
                  </c:pt>
                  <c:pt idx="25">
                    <c:v>収入</c:v>
                  </c:pt>
                  <c:pt idx="26">
                    <c:v>支出</c:v>
                  </c:pt>
                  <c:pt idx="28">
                    <c:v>収入</c:v>
                  </c:pt>
                  <c:pt idx="29">
                    <c:v>支出</c:v>
                  </c:pt>
                </c:lvl>
                <c:lvl>
                  <c:pt idx="0">
                    <c:v>本部</c:v>
                  </c:pt>
                  <c:pt idx="2">
                    <c:v>宅老所</c:v>
                  </c:pt>
                  <c:pt idx="5">
                    <c:v>宅配給食</c:v>
                  </c:pt>
                  <c:pt idx="8">
                    <c:v>学童保育</c:v>
                  </c:pt>
                  <c:pt idx="10">
                    <c:v>人材育成</c:v>
                  </c:pt>
                  <c:pt idx="13">
                    <c:v>高齢訪問</c:v>
                  </c:pt>
                  <c:pt idx="16">
                    <c:v>奥立願寺</c:v>
                  </c:pt>
                  <c:pt idx="19">
                    <c:v>中尾</c:v>
                  </c:pt>
                  <c:pt idx="22">
                    <c:v>居宅</c:v>
                  </c:pt>
                  <c:pt idx="25">
                    <c:v>障害訪問</c:v>
                  </c:pt>
                  <c:pt idx="28">
                    <c:v>障害就労</c:v>
                  </c:pt>
                </c:lvl>
              </c:multiLvlStrCache>
            </c:multiLvlStrRef>
          </c:cat>
          <c:val>
            <c:numRef>
              <c:f>グラフデータ!$C$6:$AF$6</c:f>
              <c:numCache>
                <c:formatCode>#,##0,</c:formatCode>
                <c:ptCount val="30"/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1">
                  <c:v>0</c:v>
                </c:pt>
                <c:pt idx="14">
                  <c:v>0</c:v>
                </c:pt>
                <c:pt idx="17">
                  <c:v>0</c:v>
                </c:pt>
                <c:pt idx="20">
                  <c:v>0</c:v>
                </c:pt>
                <c:pt idx="23">
                  <c:v>0</c:v>
                </c:pt>
                <c:pt idx="26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31-4CEF-8CB0-54F81F2F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55888512"/>
        <c:axId val="55906688"/>
      </c:barChart>
      <c:catAx>
        <c:axId val="5588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906688"/>
        <c:crosses val="autoZero"/>
        <c:auto val="1"/>
        <c:lblAlgn val="ctr"/>
        <c:lblOffset val="100"/>
        <c:noMultiLvlLbl val="0"/>
      </c:catAx>
      <c:valAx>
        <c:axId val="55906688"/>
        <c:scaling>
          <c:orientation val="minMax"/>
        </c:scaling>
        <c:delete val="0"/>
        <c:axPos val="l"/>
        <c:majorGridlines/>
        <c:numFmt formatCode="#,##0," sourceLinked="1"/>
        <c:majorTickMark val="out"/>
        <c:minorTickMark val="none"/>
        <c:tickLblPos val="nextTo"/>
        <c:crossAx val="55888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グラフデータ!$E$10:$M$10</c:f>
              <c:strCache>
                <c:ptCount val="9"/>
                <c:pt idx="0">
                  <c:v>宅老所</c:v>
                </c:pt>
                <c:pt idx="1">
                  <c:v>宅配給食</c:v>
                </c:pt>
                <c:pt idx="2">
                  <c:v>学童保育</c:v>
                </c:pt>
                <c:pt idx="3">
                  <c:v>高齢訪問</c:v>
                </c:pt>
                <c:pt idx="4">
                  <c:v>奥立願寺</c:v>
                </c:pt>
                <c:pt idx="5">
                  <c:v>中尾</c:v>
                </c:pt>
                <c:pt idx="6">
                  <c:v>居宅</c:v>
                </c:pt>
                <c:pt idx="7">
                  <c:v>障害訪問</c:v>
                </c:pt>
                <c:pt idx="8">
                  <c:v>障害就労</c:v>
                </c:pt>
              </c:strCache>
            </c:strRef>
          </c:cat>
          <c:val>
            <c:numRef>
              <c:f>グラフデータ!$E$19:$M$19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9A-4AAC-A4A7-248C83E41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281674017271727"/>
          <c:y val="9.0088680418152614E-2"/>
          <c:w val="0.21850208107922992"/>
          <c:h val="0.79894837259253471"/>
        </c:manualLayout>
      </c:layout>
      <c:overlay val="0"/>
      <c:txPr>
        <a:bodyPr/>
        <a:lstStyle/>
        <a:p>
          <a:pPr rtl="0">
            <a:defRPr sz="2000"/>
          </a:pPr>
          <a:endParaRPr lang="ja-JP"/>
        </a:p>
      </c:txPr>
    </c:legend>
    <c:plotVisOnly val="1"/>
    <c:dispBlanksAs val="zero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ふれあい給食!$C$2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A6-436D-B30F-4252590FC32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A6-436D-B30F-4252590FC32D}"/>
              </c:ext>
            </c:extLst>
          </c:dPt>
          <c:cat>
            <c:strRef>
              <c:f>ふれあい給食!$B$11:$B$13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ふれあい給食!$C$11:$C$13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A6-436D-B30F-4252590FC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74016"/>
        <c:axId val="125975552"/>
      </c:barChart>
      <c:catAx>
        <c:axId val="12597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975552"/>
        <c:crosses val="autoZero"/>
        <c:auto val="1"/>
        <c:lblAlgn val="ctr"/>
        <c:lblOffset val="100"/>
        <c:noMultiLvlLbl val="0"/>
      </c:catAx>
      <c:valAx>
        <c:axId val="125975552"/>
        <c:scaling>
          <c:orientation val="minMax"/>
          <c:max val="12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5974016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ふれあい給食!$E$3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ふれあい給食!$I$2:$T$2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ふれあい給食!$I$3:$T$3</c:f>
              <c:numCache>
                <c:formatCode>#,##0_);[Red]\(#,##0\)</c:formatCode>
                <c:ptCount val="12"/>
                <c:pt idx="0">
                  <c:v>887000</c:v>
                </c:pt>
                <c:pt idx="1">
                  <c:v>892000</c:v>
                </c:pt>
                <c:pt idx="2">
                  <c:v>885000</c:v>
                </c:pt>
                <c:pt idx="3">
                  <c:v>898000</c:v>
                </c:pt>
                <c:pt idx="4">
                  <c:v>993000</c:v>
                </c:pt>
                <c:pt idx="5">
                  <c:v>873000</c:v>
                </c:pt>
                <c:pt idx="6">
                  <c:v>906000</c:v>
                </c:pt>
                <c:pt idx="7">
                  <c:v>1034000</c:v>
                </c:pt>
                <c:pt idx="8">
                  <c:v>967000</c:v>
                </c:pt>
                <c:pt idx="9">
                  <c:v>888000</c:v>
                </c:pt>
                <c:pt idx="10">
                  <c:v>929000</c:v>
                </c:pt>
                <c:pt idx="11">
                  <c:v>939000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F-4733-9400-94D745CC6F21}"/>
            </c:ext>
          </c:extLst>
        </c:ser>
        <c:ser>
          <c:idx val="1"/>
          <c:order val="1"/>
          <c:tx>
            <c:strRef>
              <c:f>ふれあい給食!$E$4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ふれあい給食!$I$2:$T$2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ふれあい給食!$I$4:$T$4</c:f>
              <c:numCache>
                <c:formatCode>#,##0_);[Red]\(#,##0\)</c:formatCode>
                <c:ptCount val="12"/>
                <c:pt idx="0">
                  <c:v>894000</c:v>
                </c:pt>
                <c:pt idx="1">
                  <c:v>711000</c:v>
                </c:pt>
                <c:pt idx="2">
                  <c:v>638000</c:v>
                </c:pt>
                <c:pt idx="3">
                  <c:v>829000</c:v>
                </c:pt>
                <c:pt idx="4">
                  <c:v>752000</c:v>
                </c:pt>
                <c:pt idx="5">
                  <c:v>742000</c:v>
                </c:pt>
                <c:pt idx="6">
                  <c:v>917000</c:v>
                </c:pt>
                <c:pt idx="7">
                  <c:v>849000</c:v>
                </c:pt>
                <c:pt idx="8">
                  <c:v>809000</c:v>
                </c:pt>
                <c:pt idx="9">
                  <c:v>798000</c:v>
                </c:pt>
                <c:pt idx="10">
                  <c:v>554000</c:v>
                </c:pt>
                <c:pt idx="11">
                  <c:v>503000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2F-4733-9400-94D745CC6F21}"/>
            </c:ext>
          </c:extLst>
        </c:ser>
        <c:ser>
          <c:idx val="2"/>
          <c:order val="2"/>
          <c:tx>
            <c:strRef>
              <c:f>ふれあい給食!$E$5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ふれあい給食!$I$2:$T$2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ふれあい給食!$I$5:$T$5</c:f>
              <c:numCache>
                <c:formatCode>#,##0_);[Red]\(#,##0\)</c:formatCode>
                <c:ptCount val="12"/>
                <c:pt idx="0">
                  <c:v>-7000</c:v>
                </c:pt>
                <c:pt idx="1">
                  <c:v>181000</c:v>
                </c:pt>
                <c:pt idx="2">
                  <c:v>247000</c:v>
                </c:pt>
                <c:pt idx="3">
                  <c:v>69000</c:v>
                </c:pt>
                <c:pt idx="4">
                  <c:v>241000</c:v>
                </c:pt>
                <c:pt idx="5">
                  <c:v>131000</c:v>
                </c:pt>
                <c:pt idx="6">
                  <c:v>-11000</c:v>
                </c:pt>
                <c:pt idx="7">
                  <c:v>185000</c:v>
                </c:pt>
                <c:pt idx="8">
                  <c:v>158000</c:v>
                </c:pt>
                <c:pt idx="9">
                  <c:v>90000</c:v>
                </c:pt>
                <c:pt idx="10">
                  <c:v>375000</c:v>
                </c:pt>
                <c:pt idx="11">
                  <c:v>436000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2F-4733-9400-94D745CC6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33920"/>
        <c:axId val="126035456"/>
      </c:barChart>
      <c:lineChart>
        <c:grouping val="standard"/>
        <c:varyColors val="0"/>
        <c:ser>
          <c:idx val="3"/>
          <c:order val="3"/>
          <c:tx>
            <c:strRef>
              <c:f>ふれあい給食!$E$6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ふれあい給食!$G$2:$R$2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ふれあい給食!$G$6:$R$6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2F-4733-9400-94D745CC6F21}"/>
            </c:ext>
          </c:extLst>
        </c:ser>
        <c:ser>
          <c:idx val="4"/>
          <c:order val="4"/>
          <c:tx>
            <c:strRef>
              <c:f>ふれあい給食!$E$7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ふれあい給食!$G$2:$R$2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ふれあい給食!$G$7:$R$7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2F-4733-9400-94D745CC6F21}"/>
            </c:ext>
          </c:extLst>
        </c:ser>
        <c:ser>
          <c:idx val="5"/>
          <c:order val="5"/>
          <c:tx>
            <c:strRef>
              <c:f>ふれあい給食!$E$8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ふれあい給食!$G$2:$R$2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ふれあい給食!$G$8:$R$8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2F-4733-9400-94D745CC6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33920"/>
        <c:axId val="126035456"/>
      </c:lineChart>
      <c:catAx>
        <c:axId val="12603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035456"/>
        <c:crosses val="autoZero"/>
        <c:auto val="1"/>
        <c:lblAlgn val="ctr"/>
        <c:lblOffset val="100"/>
        <c:noMultiLvlLbl val="0"/>
      </c:catAx>
      <c:valAx>
        <c:axId val="126035456"/>
        <c:scaling>
          <c:orientation val="minMax"/>
          <c:max val="11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603392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障がい訪問!$C$2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00-4095-9AC3-050646AD796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00-4095-9AC3-050646AD796A}"/>
              </c:ext>
            </c:extLst>
          </c:dPt>
          <c:cat>
            <c:strRef>
              <c:f>障がい訪問!$B$3:$B$5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障がい訪問!$C$3:$C$5</c:f>
              <c:numCache>
                <c:formatCode>#,##0_);[Red]\(#,##0\)</c:formatCode>
                <c:ptCount val="3"/>
                <c:pt idx="0">
                  <c:v>20808000</c:v>
                </c:pt>
                <c:pt idx="1">
                  <c:v>20544679.359057836</c:v>
                </c:pt>
                <c:pt idx="2">
                  <c:v>263320.64094216377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00-4095-9AC3-050646AD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28480"/>
        <c:axId val="123830272"/>
      </c:barChart>
      <c:catAx>
        <c:axId val="12382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830272"/>
        <c:crosses val="autoZero"/>
        <c:auto val="1"/>
        <c:lblAlgn val="ctr"/>
        <c:lblOffset val="100"/>
        <c:noMultiLvlLbl val="0"/>
      </c:catAx>
      <c:valAx>
        <c:axId val="123830272"/>
        <c:scaling>
          <c:orientation val="minMax"/>
          <c:max val="20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3828480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実績（累計）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障がい訪問!$E$11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障がい訪問!$I$11:$T$11</c:f>
              <c:numCache>
                <c:formatCode>#,##0,</c:formatCode>
                <c:ptCount val="12"/>
                <c:pt idx="0">
                  <c:v>12100000</c:v>
                </c:pt>
                <c:pt idx="1">
                  <c:v>13202000</c:v>
                </c:pt>
                <c:pt idx="2">
                  <c:v>14464000</c:v>
                </c:pt>
                <c:pt idx="3">
                  <c:v>15799000</c:v>
                </c:pt>
                <c:pt idx="4">
                  <c:v>1610000</c:v>
                </c:pt>
                <c:pt idx="5">
                  <c:v>3024000</c:v>
                </c:pt>
                <c:pt idx="6">
                  <c:v>4506000</c:v>
                </c:pt>
                <c:pt idx="7">
                  <c:v>5982000</c:v>
                </c:pt>
                <c:pt idx="8">
                  <c:v>7572000</c:v>
                </c:pt>
                <c:pt idx="9">
                  <c:v>9476000</c:v>
                </c:pt>
                <c:pt idx="10">
                  <c:v>11088000</c:v>
                </c:pt>
                <c:pt idx="11">
                  <c:v>12699000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C0-4A76-B680-4CB5342A1629}"/>
            </c:ext>
          </c:extLst>
        </c:ser>
        <c:ser>
          <c:idx val="1"/>
          <c:order val="1"/>
          <c:tx>
            <c:strRef>
              <c:f>障がい訪問!$E$12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障がい訪問!$I$12:$T$12</c:f>
              <c:numCache>
                <c:formatCode>#,##0,</c:formatCode>
                <c:ptCount val="12"/>
                <c:pt idx="0">
                  <c:v>11218000</c:v>
                </c:pt>
                <c:pt idx="1">
                  <c:v>12340000</c:v>
                </c:pt>
                <c:pt idx="2">
                  <c:v>13584000</c:v>
                </c:pt>
                <c:pt idx="3">
                  <c:v>14888000</c:v>
                </c:pt>
                <c:pt idx="4">
                  <c:v>1321000</c:v>
                </c:pt>
                <c:pt idx="5">
                  <c:v>2703000</c:v>
                </c:pt>
                <c:pt idx="6">
                  <c:v>4110000</c:v>
                </c:pt>
                <c:pt idx="7">
                  <c:v>5567000</c:v>
                </c:pt>
                <c:pt idx="8">
                  <c:v>7067000</c:v>
                </c:pt>
                <c:pt idx="9">
                  <c:v>8406000</c:v>
                </c:pt>
                <c:pt idx="10">
                  <c:v>9838000</c:v>
                </c:pt>
                <c:pt idx="11">
                  <c:v>11088000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C0-4A76-B680-4CB5342A1629}"/>
            </c:ext>
          </c:extLst>
        </c:ser>
        <c:ser>
          <c:idx val="2"/>
          <c:order val="2"/>
          <c:tx>
            <c:strRef>
              <c:f>障がい訪問!$E$13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障がい訪問!$I$13:$T$13</c:f>
              <c:numCache>
                <c:formatCode>#,##0,</c:formatCode>
                <c:ptCount val="12"/>
                <c:pt idx="0">
                  <c:v>882000</c:v>
                </c:pt>
                <c:pt idx="1">
                  <c:v>862000</c:v>
                </c:pt>
                <c:pt idx="2">
                  <c:v>880000</c:v>
                </c:pt>
                <c:pt idx="3">
                  <c:v>911000</c:v>
                </c:pt>
                <c:pt idx="4">
                  <c:v>289000</c:v>
                </c:pt>
                <c:pt idx="5">
                  <c:v>321000</c:v>
                </c:pt>
                <c:pt idx="6">
                  <c:v>396000</c:v>
                </c:pt>
                <c:pt idx="7">
                  <c:v>415000</c:v>
                </c:pt>
                <c:pt idx="8">
                  <c:v>505000</c:v>
                </c:pt>
                <c:pt idx="9">
                  <c:v>1070000</c:v>
                </c:pt>
                <c:pt idx="10">
                  <c:v>1250000</c:v>
                </c:pt>
                <c:pt idx="11">
                  <c:v>1611000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C0-4A76-B680-4CB5342A1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86592"/>
        <c:axId val="123896576"/>
      </c:barChart>
      <c:lineChart>
        <c:grouping val="standard"/>
        <c:varyColors val="0"/>
        <c:ser>
          <c:idx val="3"/>
          <c:order val="3"/>
          <c:tx>
            <c:strRef>
              <c:f>障がい訪問!$E$14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障がい訪問!$I$14:$T$14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C0-4A76-B680-4CB5342A1629}"/>
            </c:ext>
          </c:extLst>
        </c:ser>
        <c:ser>
          <c:idx val="4"/>
          <c:order val="4"/>
          <c:tx>
            <c:strRef>
              <c:f>障がい訪問!$E$15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障がい訪問!$I$15:$T$15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C0-4A76-B680-4CB5342A1629}"/>
            </c:ext>
          </c:extLst>
        </c:ser>
        <c:ser>
          <c:idx val="5"/>
          <c:order val="5"/>
          <c:tx>
            <c:strRef>
              <c:f>障がい訪問!$E$16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solidFill>
                <a:srgbClr val="FFC000"/>
              </a:solidFill>
              <a:prstDash val="dashDot"/>
            </a:ln>
          </c:spPr>
          <c:marker>
            <c:symbol val="none"/>
          </c:marker>
          <c:cat>
            <c:strRef>
              <c:f>障がい訪問!$I$10:$T$10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障がい訪問!$I$16:$T$16</c:f>
              <c:numCache>
                <c:formatCode>#,##0_);[Red]\(#,##0\)</c:formatCode>
                <c:ptCount val="12"/>
                <c:pt idx="4" formatCode="#,##0,">
                  <c:v>0</c:v>
                </c:pt>
                <c:pt idx="5" formatCode="#,##0,">
                  <c:v>0</c:v>
                </c:pt>
                <c:pt idx="6" formatCode="#,##0,">
                  <c:v>0</c:v>
                </c:pt>
                <c:pt idx="7" formatCode="#,##0,">
                  <c:v>0</c:v>
                </c:pt>
                <c:pt idx="8" formatCode="#,##0,">
                  <c:v>0</c:v>
                </c:pt>
                <c:pt idx="9" formatCode="#,##0,">
                  <c:v>0</c:v>
                </c:pt>
                <c:pt idx="10" formatCode="#,##0,">
                  <c:v>0</c:v>
                </c:pt>
                <c:pt idx="11" formatCode="#,##0,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BC0-4A76-B680-4CB5342A1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86592"/>
        <c:axId val="123896576"/>
      </c:lineChart>
      <c:catAx>
        <c:axId val="1238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896576"/>
        <c:crosses val="autoZero"/>
        <c:auto val="1"/>
        <c:lblAlgn val="ctr"/>
        <c:lblOffset val="100"/>
        <c:noMultiLvlLbl val="0"/>
      </c:catAx>
      <c:valAx>
        <c:axId val="123896576"/>
        <c:scaling>
          <c:orientation val="minMax"/>
          <c:max val="18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388659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/>
              <a:t>2015</a:t>
            </a:r>
            <a:r>
              <a:rPr lang="ja-JP" altLang="en-US"/>
              <a:t>予算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障がい訪問!$C$2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BE-4296-9714-2C190D1EC04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BE-4296-9714-2C190D1EC04D}"/>
              </c:ext>
            </c:extLst>
          </c:dPt>
          <c:cat>
            <c:strRef>
              <c:f>障がい訪問!$B$11:$B$13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障がい訪問!$C$11:$C$13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BE-4296-9714-2C190D1E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9360"/>
        <c:axId val="123925248"/>
      </c:barChart>
      <c:catAx>
        <c:axId val="12391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925248"/>
        <c:crosses val="autoZero"/>
        <c:auto val="1"/>
        <c:lblAlgn val="ctr"/>
        <c:lblOffset val="100"/>
        <c:noMultiLvlLbl val="0"/>
      </c:catAx>
      <c:valAx>
        <c:axId val="123925248"/>
        <c:scaling>
          <c:orientation val="minMax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3919360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2015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実績（単月収支）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障がい訪問!$E$3</c:f>
              <c:strCache>
                <c:ptCount val="1"/>
                <c:pt idx="0">
                  <c:v>収益</c:v>
                </c:pt>
              </c:strCache>
            </c:strRef>
          </c:tx>
          <c:invertIfNegative val="0"/>
          <c:cat>
            <c:strRef>
              <c:f>障がい訪問!$I$2:$T$2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障がい訪問!$I$3:$T$3</c:f>
              <c:numCache>
                <c:formatCode>#,##0_);[Red]\(#,##0\)</c:formatCode>
                <c:ptCount val="12"/>
                <c:pt idx="0">
                  <c:v>1368000</c:v>
                </c:pt>
                <c:pt idx="1">
                  <c:v>1102000</c:v>
                </c:pt>
                <c:pt idx="2">
                  <c:v>1262000</c:v>
                </c:pt>
                <c:pt idx="3">
                  <c:v>1335000</c:v>
                </c:pt>
                <c:pt idx="4">
                  <c:v>1610000</c:v>
                </c:pt>
                <c:pt idx="5">
                  <c:v>1414000</c:v>
                </c:pt>
                <c:pt idx="6">
                  <c:v>1482000</c:v>
                </c:pt>
                <c:pt idx="7">
                  <c:v>1476000</c:v>
                </c:pt>
                <c:pt idx="8">
                  <c:v>1590000</c:v>
                </c:pt>
                <c:pt idx="9">
                  <c:v>1904000</c:v>
                </c:pt>
                <c:pt idx="10">
                  <c:v>1612000</c:v>
                </c:pt>
                <c:pt idx="11">
                  <c:v>1611000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9-437D-91BC-60A8AE08F6CB}"/>
            </c:ext>
          </c:extLst>
        </c:ser>
        <c:ser>
          <c:idx val="1"/>
          <c:order val="1"/>
          <c:tx>
            <c:strRef>
              <c:f>障がい訪問!$E$4</c:f>
              <c:strCache>
                <c:ptCount val="1"/>
                <c:pt idx="0">
                  <c:v>費用</c:v>
                </c:pt>
              </c:strCache>
            </c:strRef>
          </c:tx>
          <c:invertIfNegative val="0"/>
          <c:cat>
            <c:strRef>
              <c:f>障がい訪問!$I$2:$T$2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障がい訪問!$I$4:$T$4</c:f>
              <c:numCache>
                <c:formatCode>#,##0_);[Red]\(#,##0\)</c:formatCode>
                <c:ptCount val="12"/>
                <c:pt idx="0">
                  <c:v>1437000</c:v>
                </c:pt>
                <c:pt idx="1">
                  <c:v>1122000</c:v>
                </c:pt>
                <c:pt idx="2">
                  <c:v>1244000</c:v>
                </c:pt>
                <c:pt idx="3">
                  <c:v>1304000</c:v>
                </c:pt>
                <c:pt idx="4">
                  <c:v>1321000</c:v>
                </c:pt>
                <c:pt idx="5">
                  <c:v>1382000</c:v>
                </c:pt>
                <c:pt idx="6">
                  <c:v>1407000</c:v>
                </c:pt>
                <c:pt idx="7">
                  <c:v>1457000</c:v>
                </c:pt>
                <c:pt idx="8">
                  <c:v>1500000</c:v>
                </c:pt>
                <c:pt idx="9">
                  <c:v>1339000</c:v>
                </c:pt>
                <c:pt idx="10">
                  <c:v>1432000</c:v>
                </c:pt>
                <c:pt idx="11">
                  <c:v>1250000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49-437D-91BC-60A8AE08F6CB}"/>
            </c:ext>
          </c:extLst>
        </c:ser>
        <c:ser>
          <c:idx val="2"/>
          <c:order val="2"/>
          <c:tx>
            <c:strRef>
              <c:f>障がい訪問!$E$5</c:f>
              <c:strCache>
                <c:ptCount val="1"/>
                <c:pt idx="0">
                  <c:v>収益増減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障がい訪問!$I$2:$T$2</c:f>
              <c:strCache>
                <c:ptCount val="12"/>
                <c:pt idx="0">
                  <c:v>１２月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</c:strCache>
            </c:strRef>
          </c:cat>
          <c:val>
            <c:numRef>
              <c:f>障がい訪問!$I$5:$T$5</c:f>
              <c:numCache>
                <c:formatCode>#,##0_);[Red]\(#,##0\)</c:formatCode>
                <c:ptCount val="12"/>
                <c:pt idx="0">
                  <c:v>-69000</c:v>
                </c:pt>
                <c:pt idx="1">
                  <c:v>-20000</c:v>
                </c:pt>
                <c:pt idx="2">
                  <c:v>18000</c:v>
                </c:pt>
                <c:pt idx="3">
                  <c:v>31000</c:v>
                </c:pt>
                <c:pt idx="4">
                  <c:v>289000</c:v>
                </c:pt>
                <c:pt idx="5">
                  <c:v>32000</c:v>
                </c:pt>
                <c:pt idx="6">
                  <c:v>75000</c:v>
                </c:pt>
                <c:pt idx="7">
                  <c:v>19000</c:v>
                </c:pt>
                <c:pt idx="8">
                  <c:v>90000</c:v>
                </c:pt>
                <c:pt idx="9">
                  <c:v>565000</c:v>
                </c:pt>
                <c:pt idx="10">
                  <c:v>180000</c:v>
                </c:pt>
                <c:pt idx="11">
                  <c:v>361000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49-437D-91BC-60A8AE08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82976"/>
        <c:axId val="123984512"/>
      </c:barChart>
      <c:lineChart>
        <c:grouping val="standard"/>
        <c:varyColors val="0"/>
        <c:ser>
          <c:idx val="3"/>
          <c:order val="3"/>
          <c:tx>
            <c:strRef>
              <c:f>障がい訪問!$E$6</c:f>
              <c:strCache>
                <c:ptCount val="1"/>
                <c:pt idx="0">
                  <c:v>予算収益ライン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障がい訪問!$G$2:$R$2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障がい訪問!$G$6:$R$6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E49-437D-91BC-60A8AE08F6CB}"/>
            </c:ext>
          </c:extLst>
        </c:ser>
        <c:ser>
          <c:idx val="4"/>
          <c:order val="4"/>
          <c:tx>
            <c:strRef>
              <c:f>障がい訪問!$E$7</c:f>
              <c:strCache>
                <c:ptCount val="1"/>
                <c:pt idx="0">
                  <c:v>予算費用ライン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障がい訪問!$G$2:$R$2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障がい訪問!$G$7:$R$7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E49-437D-91BC-60A8AE08F6CB}"/>
            </c:ext>
          </c:extLst>
        </c:ser>
        <c:ser>
          <c:idx val="5"/>
          <c:order val="5"/>
          <c:tx>
            <c:strRef>
              <c:f>障がい訪問!$E$8</c:f>
              <c:strCache>
                <c:ptCount val="1"/>
                <c:pt idx="0">
                  <c:v>予算増減ライン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strRef>
              <c:f>障がい訪問!$G$2:$R$2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障がい訪問!$G$8:$R$8</c:f>
              <c:numCache>
                <c:formatCode>#,##0_);[Red]\(#,##0\)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E49-437D-91BC-60A8AE08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82976"/>
        <c:axId val="123984512"/>
      </c:lineChart>
      <c:catAx>
        <c:axId val="12398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984512"/>
        <c:crosses val="autoZero"/>
        <c:auto val="1"/>
        <c:lblAlgn val="ctr"/>
        <c:lblOffset val="100"/>
        <c:noMultiLvlLbl val="0"/>
      </c:catAx>
      <c:valAx>
        <c:axId val="123984512"/>
        <c:scaling>
          <c:orientation val="minMax"/>
          <c:max val="18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398297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障がい就労!$C$2</c:f>
              <c:strCache>
                <c:ptCount val="1"/>
                <c:pt idx="0">
                  <c:v>2014決算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8F-4CDF-9243-CF94609768F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8F-4CDF-9243-CF94609768FC}"/>
              </c:ext>
            </c:extLst>
          </c:dPt>
          <c:cat>
            <c:strRef>
              <c:f>障がい就労!$B$3:$B$5</c:f>
              <c:strCache>
                <c:ptCount val="3"/>
                <c:pt idx="0">
                  <c:v>収益</c:v>
                </c:pt>
                <c:pt idx="1">
                  <c:v>費用</c:v>
                </c:pt>
                <c:pt idx="2">
                  <c:v>収益増減</c:v>
                </c:pt>
              </c:strCache>
            </c:strRef>
          </c:cat>
          <c:val>
            <c:numRef>
              <c:f>障がい就労!$C$3:$C$5</c:f>
              <c:numCache>
                <c:formatCode>#,##0_);[Red]\(#,##0\)</c:formatCode>
                <c:ptCount val="3"/>
                <c:pt idx="0">
                  <c:v>33260000</c:v>
                </c:pt>
                <c:pt idx="1">
                  <c:v>30664000</c:v>
                </c:pt>
                <c:pt idx="2">
                  <c:v>2596000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8F-4CDF-9243-CF9460976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01824"/>
        <c:axId val="127503360"/>
      </c:barChart>
      <c:catAx>
        <c:axId val="12750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503360"/>
        <c:crosses val="autoZero"/>
        <c:auto val="1"/>
        <c:lblAlgn val="ctr"/>
        <c:lblOffset val="100"/>
        <c:noMultiLvlLbl val="0"/>
      </c:catAx>
      <c:valAx>
        <c:axId val="127503360"/>
        <c:scaling>
          <c:orientation val="minMax"/>
          <c:max val="25000000"/>
        </c:scaling>
        <c:delete val="0"/>
        <c:axPos val="l"/>
        <c:majorGridlines/>
        <c:numFmt formatCode="#,##0;&quot;▲ &quot;#,##0" sourceLinked="0"/>
        <c:majorTickMark val="out"/>
        <c:minorTickMark val="none"/>
        <c:tickLblPos val="nextTo"/>
        <c:crossAx val="127501824"/>
        <c:crosses val="autoZero"/>
        <c:crossBetween val="between"/>
        <c:dispUnits>
          <c:builtInUnit val="thousands"/>
          <c:dispUnitsLbl/>
        </c:dispUnits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6</xdr:col>
      <xdr:colOff>392206</xdr:colOff>
      <xdr:row>33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18</xdr:col>
      <xdr:colOff>638175</xdr:colOff>
      <xdr:row>76</xdr:row>
      <xdr:rowOff>56030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694767</xdr:colOff>
      <xdr:row>16</xdr:row>
      <xdr:rowOff>156884</xdr:rowOff>
    </xdr:from>
    <xdr:to>
      <xdr:col>12</xdr:col>
      <xdr:colOff>257737</xdr:colOff>
      <xdr:row>33</xdr:row>
      <xdr:rowOff>45946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18</xdr:col>
      <xdr:colOff>676276</xdr:colOff>
      <xdr:row>55</xdr:row>
      <xdr:rowOff>44824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6</xdr:col>
      <xdr:colOff>392206</xdr:colOff>
      <xdr:row>33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18</xdr:col>
      <xdr:colOff>638175</xdr:colOff>
      <xdr:row>76</xdr:row>
      <xdr:rowOff>56030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694767</xdr:colOff>
      <xdr:row>16</xdr:row>
      <xdr:rowOff>156884</xdr:rowOff>
    </xdr:from>
    <xdr:to>
      <xdr:col>12</xdr:col>
      <xdr:colOff>257737</xdr:colOff>
      <xdr:row>33</xdr:row>
      <xdr:rowOff>45946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18</xdr:col>
      <xdr:colOff>676276</xdr:colOff>
      <xdr:row>55</xdr:row>
      <xdr:rowOff>44824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6</xdr:col>
      <xdr:colOff>392206</xdr:colOff>
      <xdr:row>33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18</xdr:col>
      <xdr:colOff>638175</xdr:colOff>
      <xdr:row>76</xdr:row>
      <xdr:rowOff>56030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694767</xdr:colOff>
      <xdr:row>16</xdr:row>
      <xdr:rowOff>156884</xdr:rowOff>
    </xdr:from>
    <xdr:to>
      <xdr:col>12</xdr:col>
      <xdr:colOff>257737</xdr:colOff>
      <xdr:row>33</xdr:row>
      <xdr:rowOff>45946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18</xdr:col>
      <xdr:colOff>676276</xdr:colOff>
      <xdr:row>55</xdr:row>
      <xdr:rowOff>44824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5</xdr:col>
      <xdr:colOff>392206</xdr:colOff>
      <xdr:row>33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17</xdr:col>
      <xdr:colOff>638175</xdr:colOff>
      <xdr:row>76</xdr:row>
      <xdr:rowOff>56030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694767</xdr:colOff>
      <xdr:row>16</xdr:row>
      <xdr:rowOff>156884</xdr:rowOff>
    </xdr:from>
    <xdr:to>
      <xdr:col>11</xdr:col>
      <xdr:colOff>257737</xdr:colOff>
      <xdr:row>33</xdr:row>
      <xdr:rowOff>45946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17</xdr:col>
      <xdr:colOff>676276</xdr:colOff>
      <xdr:row>55</xdr:row>
      <xdr:rowOff>44824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152399</xdr:rowOff>
    </xdr:from>
    <xdr:to>
      <xdr:col>6</xdr:col>
      <xdr:colOff>392206</xdr:colOff>
      <xdr:row>33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56</xdr:row>
      <xdr:rowOff>15687</xdr:rowOff>
    </xdr:from>
    <xdr:to>
      <xdr:col>20</xdr:col>
      <xdr:colOff>638175</xdr:colOff>
      <xdr:row>76</xdr:row>
      <xdr:rowOff>56030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694767</xdr:colOff>
      <xdr:row>16</xdr:row>
      <xdr:rowOff>156884</xdr:rowOff>
    </xdr:from>
    <xdr:to>
      <xdr:col>12</xdr:col>
      <xdr:colOff>257737</xdr:colOff>
      <xdr:row>33</xdr:row>
      <xdr:rowOff>45946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78441</xdr:colOff>
      <xdr:row>34</xdr:row>
      <xdr:rowOff>166407</xdr:rowOff>
    </xdr:from>
    <xdr:to>
      <xdr:col>20</xdr:col>
      <xdr:colOff>676276</xdr:colOff>
      <xdr:row>55</xdr:row>
      <xdr:rowOff>44824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9149" cy="607832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0.3011</cdr:x>
      <cdr:y>0.30884</cdr:y>
    </cdr:from>
    <cdr:to>
      <cdr:x>0.54525</cdr:x>
      <cdr:y>0.47198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799894" y="1879006"/>
          <a:ext cx="2270237" cy="9925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総収入</a:t>
          </a:r>
        </a:p>
      </cdr:txBody>
    </cdr:sp>
  </cdr:relSizeAnchor>
  <cdr:relSizeAnchor xmlns:cdr="http://schemas.openxmlformats.org/drawingml/2006/chartDrawing">
    <cdr:from>
      <cdr:x>0.25002</cdr:x>
      <cdr:y>0.45453</cdr:y>
    </cdr:from>
    <cdr:to>
      <cdr:x>0.62733</cdr:x>
      <cdr:y>0.61768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324874" y="2765426"/>
          <a:ext cx="3508525" cy="9925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1</a:t>
          </a:r>
          <a:r>
            <a:rPr lang="ja-JP" alt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億</a:t>
          </a:r>
          <a:r>
            <a:rPr lang="en-US" altLang="ja-JP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5,455</a:t>
          </a:r>
          <a:r>
            <a:rPr lang="ja-JP" alt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万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29</xdr:row>
      <xdr:rowOff>276225</xdr:rowOff>
    </xdr:from>
    <xdr:to>
      <xdr:col>10</xdr:col>
      <xdr:colOff>409575</xdr:colOff>
      <xdr:row>32</xdr:row>
      <xdr:rowOff>171450</xdr:rowOff>
    </xdr:to>
    <xdr:sp macro="" textlink="">
      <xdr:nvSpPr>
        <xdr:cNvPr id="2" name="線 22"/>
        <xdr:cNvSpPr>
          <a:spLocks noChangeShapeType="1"/>
        </xdr:cNvSpPr>
      </xdr:nvSpPr>
      <xdr:spPr bwMode="auto">
        <a:xfrm>
          <a:off x="5162550" y="5962650"/>
          <a:ext cx="657225" cy="704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40" zoomScaleNormal="40" workbookViewId="0">
      <selection activeCell="W31" sqref="W31"/>
    </sheetView>
  </sheetViews>
  <sheetFormatPr defaultRowHeight="13.5"/>
  <cols>
    <col min="3" max="3" width="11.125" bestFit="1" customWidth="1"/>
    <col min="5" max="5" width="13.875" bestFit="1" customWidth="1"/>
    <col min="6" max="6" width="13.875" hidden="1" customWidth="1"/>
    <col min="7" max="8" width="10" style="660" bestFit="1" customWidth="1"/>
    <col min="9" max="18" width="10.25" style="660" bestFit="1" customWidth="1"/>
    <col min="19" max="20" width="10.25" style="665" customWidth="1"/>
  </cols>
  <sheetData>
    <row r="1" spans="2:21">
      <c r="G1" s="870" t="s">
        <v>535</v>
      </c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</row>
    <row r="2" spans="2:21">
      <c r="C2" t="s">
        <v>537</v>
      </c>
      <c r="G2" s="659" t="s">
        <v>528</v>
      </c>
      <c r="H2" s="659" t="s">
        <v>529</v>
      </c>
      <c r="I2" s="659" t="s">
        <v>530</v>
      </c>
      <c r="J2" s="659" t="s">
        <v>531</v>
      </c>
      <c r="K2" s="659" t="s">
        <v>532</v>
      </c>
      <c r="L2" s="659" t="s">
        <v>533</v>
      </c>
      <c r="M2" s="659" t="s">
        <v>522</v>
      </c>
      <c r="N2" s="659" t="s">
        <v>523</v>
      </c>
      <c r="O2" s="659" t="s">
        <v>524</v>
      </c>
      <c r="P2" s="659" t="s">
        <v>525</v>
      </c>
      <c r="Q2" s="659" t="s">
        <v>526</v>
      </c>
      <c r="R2" s="659" t="s">
        <v>527</v>
      </c>
      <c r="S2" s="666" t="s">
        <v>528</v>
      </c>
      <c r="T2" s="666" t="s">
        <v>529</v>
      </c>
    </row>
    <row r="3" spans="2:21">
      <c r="B3" t="s">
        <v>246</v>
      </c>
      <c r="C3" s="653">
        <f>'事業別損益表（決算）'!D15</f>
        <v>11160000</v>
      </c>
      <c r="E3" t="s">
        <v>246</v>
      </c>
      <c r="G3" s="654">
        <v>943000</v>
      </c>
      <c r="H3" s="654">
        <v>935000</v>
      </c>
      <c r="I3" s="654">
        <v>887000</v>
      </c>
      <c r="J3" s="654">
        <v>892000</v>
      </c>
      <c r="K3" s="654">
        <v>885000</v>
      </c>
      <c r="L3" s="654">
        <v>898000</v>
      </c>
      <c r="M3" s="654">
        <v>993000</v>
      </c>
      <c r="N3" s="654">
        <v>873000</v>
      </c>
      <c r="O3" s="654">
        <v>906000</v>
      </c>
      <c r="P3" s="654">
        <v>1034000</v>
      </c>
      <c r="Q3" s="654">
        <v>967000</v>
      </c>
      <c r="R3" s="654">
        <v>888000</v>
      </c>
      <c r="S3" s="654">
        <v>929000</v>
      </c>
      <c r="T3" s="654">
        <v>939000</v>
      </c>
      <c r="U3" s="225">
        <f>SUM(M3:T3)</f>
        <v>7529000</v>
      </c>
    </row>
    <row r="4" spans="2:21">
      <c r="B4" t="s">
        <v>497</v>
      </c>
      <c r="C4" s="653">
        <f>'事業別損益表（決算）'!K15</f>
        <v>11114934.17886363</v>
      </c>
      <c r="E4" t="s">
        <v>497</v>
      </c>
      <c r="G4" s="654">
        <f>264000+610000</f>
        <v>874000</v>
      </c>
      <c r="H4" s="654">
        <f>634000+228000</f>
        <v>862000</v>
      </c>
      <c r="I4" s="654">
        <f>235000+659000</f>
        <v>894000</v>
      </c>
      <c r="J4" s="654">
        <f>497000+214000</f>
        <v>711000</v>
      </c>
      <c r="K4" s="654">
        <f>140000+498000</f>
        <v>638000</v>
      </c>
      <c r="L4" s="654">
        <f>253000+576000</f>
        <v>829000</v>
      </c>
      <c r="M4" s="654">
        <f>275000+477000</f>
        <v>752000</v>
      </c>
      <c r="N4" s="654">
        <f>498000+244000</f>
        <v>742000</v>
      </c>
      <c r="O4" s="654">
        <f>256000+661000</f>
        <v>917000</v>
      </c>
      <c r="P4" s="654">
        <f>566000+283000</f>
        <v>849000</v>
      </c>
      <c r="Q4" s="654">
        <f>532000+277000</f>
        <v>809000</v>
      </c>
      <c r="R4" s="654">
        <f>264000+534000</f>
        <v>798000</v>
      </c>
      <c r="S4" s="654">
        <v>554000</v>
      </c>
      <c r="T4" s="654">
        <v>503000</v>
      </c>
      <c r="U4" s="225">
        <f>SUM(M4:T4)</f>
        <v>5924000</v>
      </c>
    </row>
    <row r="5" spans="2:21">
      <c r="B5" t="s">
        <v>534</v>
      </c>
      <c r="C5" s="225">
        <f>C3-C4</f>
        <v>45065.821136370301</v>
      </c>
      <c r="E5" t="s">
        <v>534</v>
      </c>
      <c r="G5" s="660">
        <f>G3-G4</f>
        <v>69000</v>
      </c>
      <c r="H5" s="660">
        <f t="shared" ref="H5:L5" si="0">H3-H4</f>
        <v>73000</v>
      </c>
      <c r="I5" s="660">
        <f t="shared" si="0"/>
        <v>-7000</v>
      </c>
      <c r="J5" s="660">
        <f t="shared" si="0"/>
        <v>181000</v>
      </c>
      <c r="K5" s="660">
        <f t="shared" si="0"/>
        <v>247000</v>
      </c>
      <c r="L5" s="660">
        <f t="shared" si="0"/>
        <v>69000</v>
      </c>
      <c r="M5" s="660">
        <f>M3-M4</f>
        <v>241000</v>
      </c>
      <c r="N5" s="660">
        <f t="shared" ref="N5:R5" si="1">N3-N4</f>
        <v>131000</v>
      </c>
      <c r="O5" s="660">
        <f t="shared" si="1"/>
        <v>-11000</v>
      </c>
      <c r="P5" s="660">
        <f t="shared" si="1"/>
        <v>185000</v>
      </c>
      <c r="Q5" s="663">
        <f t="shared" si="1"/>
        <v>158000</v>
      </c>
      <c r="R5" s="664">
        <f t="shared" si="1"/>
        <v>90000</v>
      </c>
      <c r="S5" s="665">
        <f t="shared" ref="S5:T5" si="2">S3-S4</f>
        <v>375000</v>
      </c>
      <c r="T5" s="665">
        <f t="shared" si="2"/>
        <v>436000</v>
      </c>
    </row>
    <row r="6" spans="2:21">
      <c r="C6" s="225"/>
      <c r="E6" t="s">
        <v>538</v>
      </c>
      <c r="M6" s="654" t="e">
        <f>#REF!</f>
        <v>#REF!</v>
      </c>
      <c r="N6" s="660" t="e">
        <f>$M$6</f>
        <v>#REF!</v>
      </c>
      <c r="O6" s="660" t="e">
        <f>$M$6</f>
        <v>#REF!</v>
      </c>
      <c r="P6" s="660" t="e">
        <f>$M$6</f>
        <v>#REF!</v>
      </c>
      <c r="Q6" s="660" t="e">
        <f>$M$6</f>
        <v>#REF!</v>
      </c>
      <c r="R6" s="660" t="e">
        <f>$M$6</f>
        <v>#REF!</v>
      </c>
      <c r="S6" s="665" t="e">
        <f t="shared" ref="S6:T6" si="3">$M$6</f>
        <v>#REF!</v>
      </c>
      <c r="T6" s="665" t="e">
        <f t="shared" si="3"/>
        <v>#REF!</v>
      </c>
    </row>
    <row r="7" spans="2:21">
      <c r="C7" s="225"/>
      <c r="E7" t="s">
        <v>539</v>
      </c>
      <c r="M7" s="654" t="e">
        <f>#REF!</f>
        <v>#REF!</v>
      </c>
      <c r="N7" s="660" t="e">
        <f>$M$7</f>
        <v>#REF!</v>
      </c>
      <c r="O7" s="660" t="e">
        <f>$M$7</f>
        <v>#REF!</v>
      </c>
      <c r="P7" s="660" t="e">
        <f>$M$7</f>
        <v>#REF!</v>
      </c>
      <c r="Q7" s="660" t="e">
        <f>$M$7</f>
        <v>#REF!</v>
      </c>
      <c r="R7" s="660" t="e">
        <f>$M$7</f>
        <v>#REF!</v>
      </c>
      <c r="S7" s="665" t="e">
        <f t="shared" ref="S7:T7" si="4">$M$7</f>
        <v>#REF!</v>
      </c>
      <c r="T7" s="665" t="e">
        <f t="shared" si="4"/>
        <v>#REF!</v>
      </c>
    </row>
    <row r="8" spans="2:21">
      <c r="C8" s="225"/>
      <c r="E8" t="s">
        <v>540</v>
      </c>
      <c r="M8" s="655" t="e">
        <f>M6-M7</f>
        <v>#REF!</v>
      </c>
      <c r="N8" s="660" t="e">
        <f>$M$8</f>
        <v>#REF!</v>
      </c>
      <c r="O8" s="660" t="e">
        <f>$M$8</f>
        <v>#REF!</v>
      </c>
      <c r="P8" s="660" t="e">
        <f>$M$8</f>
        <v>#REF!</v>
      </c>
      <c r="Q8" s="660" t="e">
        <f>$M$8</f>
        <v>#REF!</v>
      </c>
      <c r="R8" s="660" t="e">
        <f>$M$8</f>
        <v>#REF!</v>
      </c>
      <c r="S8" s="665" t="e">
        <f t="shared" ref="S8:T8" si="5">$M$8</f>
        <v>#REF!</v>
      </c>
      <c r="T8" s="665" t="e">
        <f t="shared" si="5"/>
        <v>#REF!</v>
      </c>
    </row>
    <row r="9" spans="2:21">
      <c r="C9" s="225"/>
      <c r="G9" s="870" t="s">
        <v>536</v>
      </c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</row>
    <row r="10" spans="2:21">
      <c r="C10" t="s">
        <v>356</v>
      </c>
      <c r="G10" s="660" t="s">
        <v>528</v>
      </c>
      <c r="H10" s="660" t="s">
        <v>529</v>
      </c>
      <c r="I10" s="660" t="s">
        <v>530</v>
      </c>
      <c r="J10" s="660" t="s">
        <v>531</v>
      </c>
      <c r="K10" s="660" t="s">
        <v>532</v>
      </c>
      <c r="L10" s="660" t="s">
        <v>533</v>
      </c>
      <c r="M10" s="660" t="s">
        <v>522</v>
      </c>
      <c r="N10" s="660" t="s">
        <v>523</v>
      </c>
      <c r="O10" s="660" t="s">
        <v>524</v>
      </c>
      <c r="P10" s="660" t="s">
        <v>525</v>
      </c>
      <c r="Q10" s="660" t="s">
        <v>526</v>
      </c>
      <c r="R10" s="660" t="s">
        <v>527</v>
      </c>
      <c r="S10" s="665" t="s">
        <v>528</v>
      </c>
      <c r="T10" s="665" t="s">
        <v>529</v>
      </c>
    </row>
    <row r="11" spans="2:21">
      <c r="B11" t="s">
        <v>246</v>
      </c>
      <c r="C11" s="653" t="e">
        <f>#REF!</f>
        <v>#REF!</v>
      </c>
      <c r="E11" t="s">
        <v>246</v>
      </c>
      <c r="F11" s="653">
        <f>972000+912000+877000+923000+1010000+923000</f>
        <v>5617000</v>
      </c>
      <c r="G11" s="652">
        <f t="shared" ref="G11:L13" si="6">G3+F11</f>
        <v>6560000</v>
      </c>
      <c r="H11" s="652">
        <f t="shared" si="6"/>
        <v>7495000</v>
      </c>
      <c r="I11" s="652">
        <f t="shared" si="6"/>
        <v>8382000</v>
      </c>
      <c r="J11" s="652">
        <f t="shared" si="6"/>
        <v>9274000</v>
      </c>
      <c r="K11" s="652">
        <f t="shared" si="6"/>
        <v>10159000</v>
      </c>
      <c r="L11" s="652">
        <f t="shared" si="6"/>
        <v>11057000</v>
      </c>
      <c r="M11" s="652">
        <f>M3</f>
        <v>993000</v>
      </c>
      <c r="N11" s="652">
        <f t="shared" ref="N11:R16" si="7">M11+N3</f>
        <v>1866000</v>
      </c>
      <c r="O11" s="652">
        <f t="shared" si="7"/>
        <v>2772000</v>
      </c>
      <c r="P11" s="652">
        <f t="shared" si="7"/>
        <v>3806000</v>
      </c>
      <c r="Q11" s="652">
        <f t="shared" si="7"/>
        <v>4773000</v>
      </c>
      <c r="R11" s="652">
        <f t="shared" si="7"/>
        <v>5661000</v>
      </c>
      <c r="S11" s="652">
        <f t="shared" ref="S11:S16" si="8">R11+S3</f>
        <v>6590000</v>
      </c>
      <c r="T11" s="652">
        <f t="shared" ref="T11:T16" si="9">S11+T3</f>
        <v>7529000</v>
      </c>
    </row>
    <row r="12" spans="2:21">
      <c r="B12" t="s">
        <v>497</v>
      </c>
      <c r="C12" s="653" t="e">
        <f>#REF!</f>
        <v>#REF!</v>
      </c>
      <c r="E12" t="s">
        <v>497</v>
      </c>
      <c r="F12" s="654">
        <f>231000+242000+265000+214000+235000+235000+557000+485000+547000+564000+556000+518000</f>
        <v>4649000</v>
      </c>
      <c r="G12" s="652">
        <f t="shared" si="6"/>
        <v>5523000</v>
      </c>
      <c r="H12" s="652">
        <f t="shared" si="6"/>
        <v>6385000</v>
      </c>
      <c r="I12" s="652">
        <f t="shared" si="6"/>
        <v>7279000</v>
      </c>
      <c r="J12" s="652">
        <f t="shared" si="6"/>
        <v>7990000</v>
      </c>
      <c r="K12" s="652">
        <f t="shared" si="6"/>
        <v>8628000</v>
      </c>
      <c r="L12" s="652">
        <f t="shared" si="6"/>
        <v>9457000</v>
      </c>
      <c r="M12" s="652">
        <f>M4</f>
        <v>752000</v>
      </c>
      <c r="N12" s="652">
        <f t="shared" si="7"/>
        <v>1494000</v>
      </c>
      <c r="O12" s="652">
        <f t="shared" si="7"/>
        <v>2411000</v>
      </c>
      <c r="P12" s="652">
        <f t="shared" si="7"/>
        <v>3260000</v>
      </c>
      <c r="Q12" s="652">
        <f t="shared" si="7"/>
        <v>4069000</v>
      </c>
      <c r="R12" s="652">
        <f t="shared" si="7"/>
        <v>4867000</v>
      </c>
      <c r="S12" s="652">
        <f t="shared" si="8"/>
        <v>5421000</v>
      </c>
      <c r="T12" s="652">
        <f t="shared" si="9"/>
        <v>5924000</v>
      </c>
    </row>
    <row r="13" spans="2:21">
      <c r="B13" t="s">
        <v>534</v>
      </c>
      <c r="C13" s="225" t="e">
        <f>C11-C12</f>
        <v>#REF!</v>
      </c>
      <c r="E13" t="s">
        <v>534</v>
      </c>
      <c r="F13">
        <f>F11-F12</f>
        <v>968000</v>
      </c>
      <c r="G13" s="652">
        <f t="shared" si="6"/>
        <v>1037000</v>
      </c>
      <c r="H13" s="652">
        <f t="shared" si="6"/>
        <v>1110000</v>
      </c>
      <c r="I13" s="652">
        <f t="shared" si="6"/>
        <v>1103000</v>
      </c>
      <c r="J13" s="652">
        <f t="shared" si="6"/>
        <v>1284000</v>
      </c>
      <c r="K13" s="652">
        <f t="shared" si="6"/>
        <v>1531000</v>
      </c>
      <c r="L13" s="652">
        <f t="shared" si="6"/>
        <v>1600000</v>
      </c>
      <c r="M13" s="652">
        <f>M5</f>
        <v>241000</v>
      </c>
      <c r="N13" s="652">
        <f t="shared" si="7"/>
        <v>372000</v>
      </c>
      <c r="O13" s="652">
        <f t="shared" si="7"/>
        <v>361000</v>
      </c>
      <c r="P13" s="652">
        <f t="shared" si="7"/>
        <v>546000</v>
      </c>
      <c r="Q13" s="652">
        <f t="shared" si="7"/>
        <v>704000</v>
      </c>
      <c r="R13" s="652">
        <f t="shared" si="7"/>
        <v>794000</v>
      </c>
      <c r="S13" s="652">
        <f t="shared" si="8"/>
        <v>1169000</v>
      </c>
      <c r="T13" s="652">
        <f t="shared" si="9"/>
        <v>1605000</v>
      </c>
    </row>
    <row r="14" spans="2:21">
      <c r="E14" t="s">
        <v>538</v>
      </c>
      <c r="M14" s="656" t="e">
        <f>M6</f>
        <v>#REF!</v>
      </c>
      <c r="N14" s="652" t="e">
        <f t="shared" si="7"/>
        <v>#REF!</v>
      </c>
      <c r="O14" s="652" t="e">
        <f t="shared" si="7"/>
        <v>#REF!</v>
      </c>
      <c r="P14" s="652" t="e">
        <f t="shared" si="7"/>
        <v>#REF!</v>
      </c>
      <c r="Q14" s="652" t="e">
        <f t="shared" si="7"/>
        <v>#REF!</v>
      </c>
      <c r="R14" s="652" t="e">
        <f t="shared" si="7"/>
        <v>#REF!</v>
      </c>
      <c r="S14" s="652" t="e">
        <f t="shared" si="8"/>
        <v>#REF!</v>
      </c>
      <c r="T14" s="652" t="e">
        <f t="shared" si="9"/>
        <v>#REF!</v>
      </c>
    </row>
    <row r="15" spans="2:21">
      <c r="E15" t="s">
        <v>539</v>
      </c>
      <c r="M15" s="656" t="e">
        <f>M7</f>
        <v>#REF!</v>
      </c>
      <c r="N15" s="652" t="e">
        <f t="shared" si="7"/>
        <v>#REF!</v>
      </c>
      <c r="O15" s="652" t="e">
        <f t="shared" si="7"/>
        <v>#REF!</v>
      </c>
      <c r="P15" s="652" t="e">
        <f t="shared" si="7"/>
        <v>#REF!</v>
      </c>
      <c r="Q15" s="652" t="e">
        <f t="shared" si="7"/>
        <v>#REF!</v>
      </c>
      <c r="R15" s="652" t="e">
        <f t="shared" si="7"/>
        <v>#REF!</v>
      </c>
      <c r="S15" s="652" t="e">
        <f t="shared" si="8"/>
        <v>#REF!</v>
      </c>
      <c r="T15" s="652" t="e">
        <f t="shared" si="9"/>
        <v>#REF!</v>
      </c>
    </row>
    <row r="16" spans="2:21">
      <c r="E16" t="s">
        <v>540</v>
      </c>
      <c r="M16" s="656" t="e">
        <f>M14-M15</f>
        <v>#REF!</v>
      </c>
      <c r="N16" s="652" t="e">
        <f t="shared" si="7"/>
        <v>#REF!</v>
      </c>
      <c r="O16" s="652" t="e">
        <f t="shared" si="7"/>
        <v>#REF!</v>
      </c>
      <c r="P16" s="652" t="e">
        <f t="shared" si="7"/>
        <v>#REF!</v>
      </c>
      <c r="Q16" s="652" t="e">
        <f t="shared" si="7"/>
        <v>#REF!</v>
      </c>
      <c r="R16" s="652" t="e">
        <f t="shared" si="7"/>
        <v>#REF!</v>
      </c>
      <c r="S16" s="652" t="e">
        <f t="shared" si="8"/>
        <v>#REF!</v>
      </c>
      <c r="T16" s="652" t="e">
        <f t="shared" si="9"/>
        <v>#REF!</v>
      </c>
    </row>
  </sheetData>
  <mergeCells count="2">
    <mergeCell ref="G1:R1"/>
    <mergeCell ref="G9:R9"/>
  </mergeCells>
  <phoneticPr fontId="3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70" zoomScaleNormal="70" workbookViewId="0">
      <pane xSplit="3" ySplit="6" topLeftCell="D10" activePane="bottomRight" state="frozen"/>
      <selection activeCell="B19" sqref="B19"/>
      <selection pane="topRight" activeCell="B19" sqref="B19"/>
      <selection pane="bottomLeft" activeCell="B19" sqref="B19"/>
      <selection pane="bottomRight" activeCell="AD21" sqref="AD21"/>
    </sheetView>
  </sheetViews>
  <sheetFormatPr defaultColWidth="9" defaultRowHeight="13.5"/>
  <cols>
    <col min="1" max="1" width="4" style="702" customWidth="1"/>
    <col min="2" max="2" width="26.5" style="5" customWidth="1"/>
    <col min="3" max="3" width="5.25" style="5" bestFit="1" customWidth="1"/>
    <col min="4" max="4" width="14.875" style="592" customWidth="1"/>
    <col min="5" max="5" width="6.375" style="710" hidden="1" customWidth="1"/>
    <col min="6" max="6" width="14.875" style="703" customWidth="1"/>
    <col min="7" max="7" width="12.875" style="703" hidden="1" customWidth="1"/>
    <col min="8" max="8" width="5.25" style="230" hidden="1" customWidth="1"/>
    <col min="9" max="10" width="11.625" style="703" hidden="1" customWidth="1"/>
    <col min="11" max="11" width="13.75" style="703" hidden="1" customWidth="1"/>
    <col min="12" max="12" width="15" style="704" hidden="1" customWidth="1"/>
    <col min="13" max="13" width="12.5" style="703" customWidth="1"/>
    <col min="14" max="14" width="6.375" style="705" hidden="1" customWidth="1"/>
    <col min="15" max="15" width="13.75" style="703" customWidth="1"/>
    <col min="16" max="16" width="14.625" style="592" bestFit="1" customWidth="1"/>
    <col min="17" max="17" width="9" style="96" hidden="1" customWidth="1"/>
    <col min="18" max="18" width="6.625" style="228" hidden="1" customWidth="1"/>
    <col min="19" max="19" width="11.625" style="228" hidden="1" customWidth="1"/>
    <col min="20" max="20" width="3.625" style="1" hidden="1" customWidth="1"/>
    <col min="21" max="21" width="7.75" style="5" hidden="1" customWidth="1"/>
    <col min="22" max="22" width="11.625" style="5" hidden="1" customWidth="1"/>
    <col min="23" max="23" width="4.125" style="5" hidden="1" customWidth="1"/>
    <col min="24" max="24" width="7.75" style="5" hidden="1" customWidth="1"/>
    <col min="25" max="25" width="11.625" style="592" hidden="1" customWidth="1"/>
    <col min="26" max="26" width="9" style="5" hidden="1" customWidth="1"/>
    <col min="27" max="27" width="9" style="5" customWidth="1"/>
    <col min="28" max="16384" width="9" style="5"/>
  </cols>
  <sheetData>
    <row r="1" spans="1:25" ht="18.75">
      <c r="A1" s="926" t="s">
        <v>674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</row>
    <row r="2" spans="1:25">
      <c r="A2" s="927" t="s">
        <v>481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</row>
    <row r="3" spans="1:25" ht="27" customHeight="1">
      <c r="A3" s="928" t="s">
        <v>482</v>
      </c>
      <c r="B3" s="929"/>
      <c r="C3" s="930"/>
      <c r="D3" s="937" t="s">
        <v>404</v>
      </c>
      <c r="E3" s="824"/>
      <c r="F3" s="939" t="s">
        <v>405</v>
      </c>
      <c r="G3" s="940"/>
      <c r="H3" s="940"/>
      <c r="I3" s="940"/>
      <c r="J3" s="940"/>
      <c r="K3" s="940"/>
      <c r="L3" s="940"/>
      <c r="M3" s="940"/>
      <c r="N3" s="940"/>
      <c r="O3" s="941"/>
      <c r="P3" s="938" t="s">
        <v>407</v>
      </c>
      <c r="R3" s="914" t="s">
        <v>573</v>
      </c>
      <c r="S3" s="914"/>
      <c r="U3" s="882" t="s">
        <v>575</v>
      </c>
      <c r="V3" s="882"/>
      <c r="X3" s="882" t="s">
        <v>578</v>
      </c>
      <c r="Y3" s="882"/>
    </row>
    <row r="4" spans="1:25" ht="18" customHeight="1">
      <c r="A4" s="931"/>
      <c r="B4" s="932"/>
      <c r="C4" s="933"/>
      <c r="D4" s="938"/>
      <c r="E4" s="953" t="s">
        <v>572</v>
      </c>
      <c r="F4" s="947" t="s">
        <v>190</v>
      </c>
      <c r="G4" s="962"/>
      <c r="H4" s="962"/>
      <c r="I4" s="962"/>
      <c r="J4" s="962"/>
      <c r="K4" s="963"/>
      <c r="L4" s="950" t="s">
        <v>172</v>
      </c>
      <c r="M4" s="956" t="s">
        <v>179</v>
      </c>
      <c r="N4" s="864"/>
      <c r="O4" s="944" t="s">
        <v>579</v>
      </c>
      <c r="P4" s="942"/>
      <c r="R4" s="915" t="s">
        <v>577</v>
      </c>
      <c r="S4" s="881" t="s">
        <v>576</v>
      </c>
      <c r="U4" s="915" t="s">
        <v>577</v>
      </c>
      <c r="V4" s="881" t="s">
        <v>576</v>
      </c>
      <c r="X4" s="915" t="s">
        <v>577</v>
      </c>
      <c r="Y4" s="916" t="s">
        <v>576</v>
      </c>
    </row>
    <row r="5" spans="1:25" ht="18" customHeight="1">
      <c r="A5" s="931"/>
      <c r="B5" s="932"/>
      <c r="C5" s="933"/>
      <c r="D5" s="938"/>
      <c r="E5" s="954"/>
      <c r="F5" s="948"/>
      <c r="G5" s="961" t="s">
        <v>596</v>
      </c>
      <c r="H5" s="811"/>
      <c r="I5" s="751"/>
      <c r="J5" s="752"/>
      <c r="K5" s="959" t="s">
        <v>597</v>
      </c>
      <c r="L5" s="951"/>
      <c r="M5" s="957"/>
      <c r="N5" s="964" t="s">
        <v>571</v>
      </c>
      <c r="O5" s="945"/>
      <c r="P5" s="942"/>
      <c r="R5" s="915"/>
      <c r="S5" s="881"/>
      <c r="U5" s="915"/>
      <c r="V5" s="881"/>
      <c r="X5" s="915"/>
      <c r="Y5" s="916"/>
    </row>
    <row r="6" spans="1:25">
      <c r="A6" s="934"/>
      <c r="B6" s="935"/>
      <c r="C6" s="936"/>
      <c r="D6" s="938"/>
      <c r="E6" s="955"/>
      <c r="F6" s="949"/>
      <c r="G6" s="960"/>
      <c r="H6" s="812" t="s">
        <v>600</v>
      </c>
      <c r="I6" s="746" t="s">
        <v>598</v>
      </c>
      <c r="J6" s="746" t="s">
        <v>599</v>
      </c>
      <c r="K6" s="960"/>
      <c r="L6" s="952"/>
      <c r="M6" s="958"/>
      <c r="N6" s="965"/>
      <c r="O6" s="946"/>
      <c r="P6" s="943"/>
      <c r="R6" s="915"/>
      <c r="S6" s="881"/>
      <c r="U6" s="915"/>
      <c r="V6" s="881"/>
      <c r="X6" s="915"/>
      <c r="Y6" s="916"/>
    </row>
    <row r="7" spans="1:25" s="96" customFormat="1" ht="39.950000000000003" customHeight="1">
      <c r="A7" s="919" t="s">
        <v>561</v>
      </c>
      <c r="B7" s="918"/>
      <c r="C7" s="818"/>
      <c r="D7" s="683">
        <f>①ベース事業別内訳!F30</f>
        <v>44850000</v>
      </c>
      <c r="E7" s="708">
        <f>ROUND(D7/$D$28,2)+1%</f>
        <v>0.19</v>
      </c>
      <c r="F7" s="684">
        <f>①ベース事業別内訳!G30</f>
        <v>36938000</v>
      </c>
      <c r="G7" s="747">
        <f>①ベース事業別内訳!G6+①ベース事業別内訳!G5</f>
        <v>29497000</v>
      </c>
      <c r="H7" s="814">
        <f>G7/D7</f>
        <v>0.65768115942028982</v>
      </c>
      <c r="I7" s="747">
        <v>11839000</v>
      </c>
      <c r="J7" s="747">
        <f>G7-I7</f>
        <v>17658000</v>
      </c>
      <c r="K7" s="747">
        <f>F7-G7</f>
        <v>7441000</v>
      </c>
      <c r="L7" s="685">
        <f>D7-F7</f>
        <v>7912000</v>
      </c>
      <c r="M7" s="686">
        <f>-$L$29*N7</f>
        <v>6125220</v>
      </c>
      <c r="N7" s="865">
        <f>E7</f>
        <v>0.19</v>
      </c>
      <c r="O7" s="687">
        <f>F7+M7</f>
        <v>43063220</v>
      </c>
      <c r="P7" s="688">
        <f t="shared" ref="P7:P11" si="0">D7-O7</f>
        <v>1786780</v>
      </c>
      <c r="R7" s="819"/>
      <c r="S7" s="820">
        <f>-$L$29*R7</f>
        <v>0</v>
      </c>
      <c r="T7" s="821"/>
      <c r="U7" s="822">
        <f t="shared" ref="U7:U27" si="1">N7</f>
        <v>0.19</v>
      </c>
      <c r="V7" s="820">
        <f t="shared" ref="V7:V27" si="2">M7</f>
        <v>6125220</v>
      </c>
      <c r="X7" s="823">
        <f t="shared" ref="X7:X27" si="3">U7-R7</f>
        <v>0.19</v>
      </c>
      <c r="Y7" s="820">
        <f t="shared" ref="Y7:Y27" si="4">V7-S7</f>
        <v>6125220</v>
      </c>
    </row>
    <row r="8" spans="1:25" ht="30" customHeight="1">
      <c r="A8" s="917" t="s">
        <v>562</v>
      </c>
      <c r="B8" s="918"/>
      <c r="C8" s="753"/>
      <c r="D8" s="683">
        <f>①ベース事業別内訳!F57</f>
        <v>38000000</v>
      </c>
      <c r="E8" s="708">
        <f>ROUND(D8/$D$28,2)+5.5%</f>
        <v>0.20499999999999999</v>
      </c>
      <c r="F8" s="684">
        <f>①ベース事業別内訳!G57</f>
        <v>29752000</v>
      </c>
      <c r="G8" s="747">
        <f>①ベース事業別内訳!G33</f>
        <v>21034000</v>
      </c>
      <c r="H8" s="814">
        <f t="shared" ref="H8:H13" si="5">G8/D8</f>
        <v>0.55352631578947364</v>
      </c>
      <c r="I8" s="747">
        <v>12295000</v>
      </c>
      <c r="J8" s="747">
        <f t="shared" ref="J8:J27" si="6">G8-I8</f>
        <v>8739000</v>
      </c>
      <c r="K8" s="747">
        <f t="shared" ref="K8:K10" si="7">F8-G8</f>
        <v>8718000</v>
      </c>
      <c r="L8" s="685">
        <f t="shared" ref="L8:L27" si="8">D8-F8</f>
        <v>8248000</v>
      </c>
      <c r="M8" s="686">
        <f>-$L$29*N8</f>
        <v>6608790</v>
      </c>
      <c r="N8" s="865">
        <f>E8</f>
        <v>0.20499999999999999</v>
      </c>
      <c r="O8" s="687">
        <f t="shared" ref="O8:O10" si="9">F8+M8</f>
        <v>36360790</v>
      </c>
      <c r="P8" s="688">
        <f t="shared" si="0"/>
        <v>1639210</v>
      </c>
      <c r="R8" s="672">
        <v>0.17100000000000001</v>
      </c>
      <c r="S8" s="673">
        <f>-$L$29*R8</f>
        <v>5512698</v>
      </c>
      <c r="T8" s="681" t="s">
        <v>574</v>
      </c>
      <c r="U8" s="674">
        <f>E8</f>
        <v>0.20499999999999999</v>
      </c>
      <c r="V8" s="673">
        <f>-$L$29*U8</f>
        <v>6608790</v>
      </c>
      <c r="W8" s="682"/>
      <c r="X8" s="674">
        <f t="shared" si="3"/>
        <v>3.3999999999999975E-2</v>
      </c>
      <c r="Y8" s="673">
        <f t="shared" si="4"/>
        <v>1096092</v>
      </c>
    </row>
    <row r="9" spans="1:25" ht="30" customHeight="1">
      <c r="A9" s="917" t="s">
        <v>563</v>
      </c>
      <c r="B9" s="918"/>
      <c r="C9" s="753"/>
      <c r="D9" s="683">
        <f>①ベース事業別内訳!F109</f>
        <v>17616000</v>
      </c>
      <c r="E9" s="708">
        <f>ROUND(D9/$D$28,2)</f>
        <v>7.0000000000000007E-2</v>
      </c>
      <c r="F9" s="684">
        <f>①ベース事業別内訳!G109</f>
        <v>13796000</v>
      </c>
      <c r="G9" s="747">
        <f>①ベース事業別内訳!G85</f>
        <v>12602000</v>
      </c>
      <c r="H9" s="814">
        <f t="shared" si="5"/>
        <v>0.7153723887375113</v>
      </c>
      <c r="I9" s="747">
        <v>9206000</v>
      </c>
      <c r="J9" s="747">
        <f t="shared" si="6"/>
        <v>3396000</v>
      </c>
      <c r="K9" s="747">
        <f t="shared" si="7"/>
        <v>1194000</v>
      </c>
      <c r="L9" s="685">
        <f t="shared" si="8"/>
        <v>3820000</v>
      </c>
      <c r="M9" s="686">
        <f>-$L$29*N9</f>
        <v>2256660</v>
      </c>
      <c r="N9" s="865">
        <f>E9</f>
        <v>7.0000000000000007E-2</v>
      </c>
      <c r="O9" s="687">
        <f t="shared" si="9"/>
        <v>16052660</v>
      </c>
      <c r="P9" s="688">
        <f t="shared" si="0"/>
        <v>1563340</v>
      </c>
      <c r="R9" s="677">
        <v>8.4000000000000005E-2</v>
      </c>
      <c r="S9" s="678">
        <f>-$L$29*R9</f>
        <v>2707992</v>
      </c>
      <c r="T9" s="681" t="s">
        <v>574</v>
      </c>
      <c r="U9" s="680">
        <f>E9</f>
        <v>7.0000000000000007E-2</v>
      </c>
      <c r="V9" s="678">
        <f>-$L$29*U9</f>
        <v>2256660</v>
      </c>
      <c r="W9" s="682"/>
      <c r="X9" s="680">
        <f t="shared" si="3"/>
        <v>-1.3999999999999999E-2</v>
      </c>
      <c r="Y9" s="678">
        <f t="shared" si="4"/>
        <v>-451332</v>
      </c>
    </row>
    <row r="10" spans="1:25" ht="30" customHeight="1">
      <c r="A10" s="917" t="s">
        <v>564</v>
      </c>
      <c r="B10" s="918"/>
      <c r="C10" s="753"/>
      <c r="D10" s="683">
        <f>①ベース事業別内訳!F135</f>
        <v>20808000</v>
      </c>
      <c r="E10" s="708">
        <f>ROUND(D10/$D$28,2)</f>
        <v>0.08</v>
      </c>
      <c r="F10" s="684">
        <f>①ベース事業別内訳!G135</f>
        <v>17793000</v>
      </c>
      <c r="G10" s="747">
        <f>①ベース事業別内訳!G111</f>
        <v>16501000</v>
      </c>
      <c r="H10" s="814">
        <f t="shared" si="5"/>
        <v>0.79301230296039982</v>
      </c>
      <c r="I10" s="747">
        <v>6810000</v>
      </c>
      <c r="J10" s="747">
        <f t="shared" si="6"/>
        <v>9691000</v>
      </c>
      <c r="K10" s="747">
        <f t="shared" si="7"/>
        <v>1292000</v>
      </c>
      <c r="L10" s="685">
        <f>D10-F10</f>
        <v>3015000</v>
      </c>
      <c r="M10" s="686">
        <f>-$L$29*N10</f>
        <v>2579040</v>
      </c>
      <c r="N10" s="865">
        <f>E10</f>
        <v>0.08</v>
      </c>
      <c r="O10" s="687">
        <f t="shared" si="9"/>
        <v>20372040</v>
      </c>
      <c r="P10" s="688">
        <f t="shared" si="0"/>
        <v>435960</v>
      </c>
      <c r="R10" s="677">
        <v>7.6999999999999999E-2</v>
      </c>
      <c r="S10" s="678">
        <f>-$L$29*R10</f>
        <v>2482326</v>
      </c>
      <c r="T10" s="681" t="s">
        <v>574</v>
      </c>
      <c r="U10" s="680">
        <f>E10</f>
        <v>0.08</v>
      </c>
      <c r="V10" s="678">
        <f>-$L$29*U10</f>
        <v>2579040</v>
      </c>
      <c r="W10" s="682"/>
      <c r="X10" s="680">
        <f t="shared" si="3"/>
        <v>3.0000000000000027E-3</v>
      </c>
      <c r="Y10" s="678">
        <f t="shared" si="4"/>
        <v>96714</v>
      </c>
    </row>
    <row r="11" spans="1:25" ht="30" customHeight="1">
      <c r="A11" s="919" t="s">
        <v>565</v>
      </c>
      <c r="B11" s="918"/>
      <c r="C11" s="753"/>
      <c r="D11" s="683">
        <f>①ベース事業別内訳!F164</f>
        <v>33260000</v>
      </c>
      <c r="E11" s="708">
        <f>ROUND(D11/$D$28,2)-5%</f>
        <v>0.08</v>
      </c>
      <c r="F11" s="684">
        <f>①ベース事業別内訳!G164</f>
        <v>30664000</v>
      </c>
      <c r="G11" s="747">
        <f>G12+G13</f>
        <v>27179000</v>
      </c>
      <c r="H11" s="814">
        <f t="shared" si="5"/>
        <v>0.81716776909200239</v>
      </c>
      <c r="I11" s="747">
        <f>I12+I13</f>
        <v>8006000</v>
      </c>
      <c r="J11" s="747">
        <f>J12+J13</f>
        <v>19173000</v>
      </c>
      <c r="K11" s="747">
        <f>F11-G11</f>
        <v>3485000</v>
      </c>
      <c r="L11" s="685">
        <f>D11-F11</f>
        <v>2596000</v>
      </c>
      <c r="M11" s="686">
        <f>-$L$29*N11</f>
        <v>2579040</v>
      </c>
      <c r="N11" s="865">
        <f>E11</f>
        <v>0.08</v>
      </c>
      <c r="O11" s="687">
        <f>F11+M11</f>
        <v>33243040</v>
      </c>
      <c r="P11" s="688">
        <f t="shared" si="0"/>
        <v>16960</v>
      </c>
      <c r="R11" s="677">
        <v>0.107</v>
      </c>
      <c r="S11" s="678">
        <f>-$L$29*R11</f>
        <v>3449466</v>
      </c>
      <c r="T11" s="681" t="s">
        <v>574</v>
      </c>
      <c r="U11" s="680">
        <f>E11</f>
        <v>0.08</v>
      </c>
      <c r="V11" s="678">
        <f>-$L$29*U11</f>
        <v>2579040</v>
      </c>
      <c r="W11" s="682"/>
      <c r="X11" s="680">
        <f t="shared" si="3"/>
        <v>-2.6999999999999996E-2</v>
      </c>
      <c r="Y11" s="678">
        <f t="shared" si="4"/>
        <v>-870426</v>
      </c>
    </row>
    <row r="12" spans="1:25" ht="20.100000000000001" hidden="1" customHeight="1">
      <c r="A12" s="783"/>
      <c r="B12" s="779" t="s">
        <v>601</v>
      </c>
      <c r="C12" s="780"/>
      <c r="D12" s="764">
        <f>①ベース事業別内訳!F136+①ベース事業別内訳!F138</f>
        <v>20300000</v>
      </c>
      <c r="E12" s="825"/>
      <c r="F12" s="765"/>
      <c r="G12" s="766">
        <f>①ベース事業別内訳!G139</f>
        <v>15419000</v>
      </c>
      <c r="H12" s="813">
        <f t="shared" si="5"/>
        <v>0.75955665024630536</v>
      </c>
      <c r="I12" s="766">
        <v>8006000</v>
      </c>
      <c r="J12" s="766">
        <f t="shared" si="6"/>
        <v>7413000</v>
      </c>
      <c r="K12" s="766"/>
      <c r="L12" s="767"/>
      <c r="M12" s="768"/>
      <c r="N12" s="866"/>
      <c r="O12" s="769"/>
      <c r="P12" s="770"/>
      <c r="R12" s="772"/>
      <c r="S12" s="773"/>
      <c r="T12" s="781"/>
      <c r="U12" s="775"/>
      <c r="V12" s="773"/>
      <c r="W12" s="782"/>
      <c r="X12" s="775"/>
      <c r="Y12" s="773"/>
    </row>
    <row r="13" spans="1:25" ht="20.100000000000001" hidden="1" customHeight="1">
      <c r="A13" s="784"/>
      <c r="B13" s="779" t="s">
        <v>602</v>
      </c>
      <c r="C13" s="780"/>
      <c r="D13" s="764">
        <f>①ベース事業別内訳!F137</f>
        <v>12960000</v>
      </c>
      <c r="E13" s="825"/>
      <c r="F13" s="765"/>
      <c r="G13" s="766">
        <f>①ベース事業別内訳!G140</f>
        <v>11760000</v>
      </c>
      <c r="H13" s="813">
        <f t="shared" si="5"/>
        <v>0.90740740740740744</v>
      </c>
      <c r="I13" s="766"/>
      <c r="J13" s="766">
        <f t="shared" si="6"/>
        <v>11760000</v>
      </c>
      <c r="K13" s="766"/>
      <c r="L13" s="767"/>
      <c r="M13" s="768"/>
      <c r="N13" s="866"/>
      <c r="O13" s="769"/>
      <c r="P13" s="770"/>
      <c r="R13" s="772"/>
      <c r="S13" s="773"/>
      <c r="T13" s="781"/>
      <c r="U13" s="775"/>
      <c r="V13" s="773"/>
      <c r="W13" s="782"/>
      <c r="X13" s="775"/>
      <c r="Y13" s="773"/>
    </row>
    <row r="14" spans="1:25" ht="30" customHeight="1">
      <c r="A14" s="919" t="s">
        <v>567</v>
      </c>
      <c r="B14" s="918"/>
      <c r="C14" s="753"/>
      <c r="D14" s="683">
        <f>D15+D16+D17</f>
        <v>51124000</v>
      </c>
      <c r="E14" s="708">
        <f>ROUND(D14/$D$28,2)</f>
        <v>0.21</v>
      </c>
      <c r="F14" s="684">
        <f>F15+F16+F17</f>
        <v>42840000</v>
      </c>
      <c r="G14" s="747">
        <f>G15+G16+G17</f>
        <v>20533000</v>
      </c>
      <c r="H14" s="814">
        <f>G14/D14</f>
        <v>0.40163132775213206</v>
      </c>
      <c r="I14" s="747">
        <f t="shared" ref="I14" si="10">I15+I16+I17</f>
        <v>7960000</v>
      </c>
      <c r="J14" s="747">
        <f>J15+J16+J17</f>
        <v>12573000</v>
      </c>
      <c r="K14" s="747">
        <f>K15+K16+K17</f>
        <v>22307000</v>
      </c>
      <c r="L14" s="685">
        <f>L15+L16+L17</f>
        <v>8284000</v>
      </c>
      <c r="M14" s="686">
        <f>-$L$29*N14</f>
        <v>6769980</v>
      </c>
      <c r="N14" s="865">
        <f t="shared" ref="N14:N23" si="11">E14</f>
        <v>0.21</v>
      </c>
      <c r="O14" s="687">
        <f>F14+M14</f>
        <v>49609980</v>
      </c>
      <c r="P14" s="688">
        <f>D14-O14</f>
        <v>1514020</v>
      </c>
      <c r="R14" s="677">
        <f>SUM(R15:R17)</f>
        <v>0.152</v>
      </c>
      <c r="S14" s="678">
        <f t="shared" ref="S14:S27" si="12">-$L$29*R14</f>
        <v>4900176</v>
      </c>
      <c r="T14" s="681" t="s">
        <v>574</v>
      </c>
      <c r="U14" s="680">
        <f t="shared" ref="U14:U23" si="13">E14</f>
        <v>0.21</v>
      </c>
      <c r="V14" s="678">
        <f t="shared" ref="V14:V23" si="14">-$L$29*U14</f>
        <v>6769980</v>
      </c>
      <c r="W14" s="682"/>
      <c r="X14" s="680">
        <f t="shared" si="3"/>
        <v>5.7999999999999996E-2</v>
      </c>
      <c r="Y14" s="678">
        <f t="shared" si="4"/>
        <v>1869804</v>
      </c>
    </row>
    <row r="15" spans="1:25" ht="20.100000000000001" customHeight="1">
      <c r="A15" s="736"/>
      <c r="B15" s="762" t="s">
        <v>495</v>
      </c>
      <c r="C15" s="763"/>
      <c r="D15" s="764">
        <f>①ベース事業別内訳!F191</f>
        <v>17424000</v>
      </c>
      <c r="E15" s="825">
        <f>ROUND(D15/$D$28,2)</f>
        <v>7.0000000000000007E-2</v>
      </c>
      <c r="F15" s="765">
        <f>①ベース事業別内訳!G191</f>
        <v>18926000</v>
      </c>
      <c r="G15" s="766">
        <f>①ベース事業別内訳!G167</f>
        <v>5446000</v>
      </c>
      <c r="H15" s="813">
        <f t="shared" ref="H15:H17" si="15">G15/D15</f>
        <v>0.31255739210284667</v>
      </c>
      <c r="I15" s="766">
        <v>3103000</v>
      </c>
      <c r="J15" s="766">
        <f t="shared" si="6"/>
        <v>2343000</v>
      </c>
      <c r="K15" s="766">
        <f t="shared" ref="K15:K17" si="16">F15-G15</f>
        <v>13480000</v>
      </c>
      <c r="L15" s="767">
        <f t="shared" ref="L15:L16" si="17">D15-F15</f>
        <v>-1502000</v>
      </c>
      <c r="M15" s="841"/>
      <c r="N15" s="866"/>
      <c r="O15" s="769">
        <f>F15+M15</f>
        <v>18926000</v>
      </c>
      <c r="P15" s="842"/>
      <c r="R15" s="772">
        <v>5.6000000000000001E-2</v>
      </c>
      <c r="S15" s="773">
        <f t="shared" si="12"/>
        <v>1805328</v>
      </c>
      <c r="T15" s="774" t="s">
        <v>574</v>
      </c>
      <c r="U15" s="775">
        <f t="shared" si="13"/>
        <v>7.0000000000000007E-2</v>
      </c>
      <c r="V15" s="773">
        <f t="shared" si="14"/>
        <v>2256660</v>
      </c>
      <c r="W15" s="771"/>
      <c r="X15" s="775">
        <f t="shared" si="3"/>
        <v>1.4000000000000005E-2</v>
      </c>
      <c r="Y15" s="773">
        <f t="shared" si="4"/>
        <v>451332</v>
      </c>
    </row>
    <row r="16" spans="1:25" ht="20.100000000000001" customHeight="1">
      <c r="A16" s="352"/>
      <c r="B16" s="762" t="s">
        <v>549</v>
      </c>
      <c r="C16" s="763"/>
      <c r="D16" s="764">
        <f>①ベース事業別内訳!F218</f>
        <v>12900000</v>
      </c>
      <c r="E16" s="825">
        <f>ROUND(D16/$D$28,2)</f>
        <v>0.05</v>
      </c>
      <c r="F16" s="765">
        <f>①ベース事業別内訳!G218</f>
        <v>11155000</v>
      </c>
      <c r="G16" s="766">
        <f>①ベース事業別内訳!G194</f>
        <v>6012000</v>
      </c>
      <c r="H16" s="813">
        <f t="shared" si="15"/>
        <v>0.466046511627907</v>
      </c>
      <c r="I16" s="766">
        <v>1451000</v>
      </c>
      <c r="J16" s="766">
        <f t="shared" si="6"/>
        <v>4561000</v>
      </c>
      <c r="K16" s="766">
        <f t="shared" si="16"/>
        <v>5143000</v>
      </c>
      <c r="L16" s="767">
        <f t="shared" si="17"/>
        <v>1745000</v>
      </c>
      <c r="M16" s="841"/>
      <c r="N16" s="866"/>
      <c r="O16" s="769">
        <f>F16+M16</f>
        <v>11155000</v>
      </c>
      <c r="P16" s="842"/>
      <c r="R16" s="776"/>
      <c r="S16" s="777">
        <f t="shared" si="12"/>
        <v>0</v>
      </c>
      <c r="T16" s="774" t="s">
        <v>574</v>
      </c>
      <c r="U16" s="778">
        <f t="shared" si="13"/>
        <v>0.05</v>
      </c>
      <c r="V16" s="777">
        <f t="shared" si="14"/>
        <v>1611900</v>
      </c>
      <c r="W16" s="771"/>
      <c r="X16" s="778">
        <f t="shared" si="3"/>
        <v>0.05</v>
      </c>
      <c r="Y16" s="777">
        <f t="shared" si="4"/>
        <v>1611900</v>
      </c>
    </row>
    <row r="17" spans="1:25" ht="20.100000000000001" customHeight="1">
      <c r="A17" s="352"/>
      <c r="B17" s="762" t="s">
        <v>671</v>
      </c>
      <c r="C17" s="763"/>
      <c r="D17" s="764">
        <f>①ベース事業別内訳!F83</f>
        <v>20800000</v>
      </c>
      <c r="E17" s="825">
        <f>ROUND(D17/$D$28,2)</f>
        <v>0.08</v>
      </c>
      <c r="F17" s="765">
        <f>①ベース事業別内訳!G83</f>
        <v>12759000</v>
      </c>
      <c r="G17" s="766">
        <f>①ベース事業別内訳!G59</f>
        <v>9075000</v>
      </c>
      <c r="H17" s="813">
        <f t="shared" si="15"/>
        <v>0.43629807692307693</v>
      </c>
      <c r="I17" s="766">
        <v>3406000</v>
      </c>
      <c r="J17" s="766">
        <f t="shared" si="6"/>
        <v>5669000</v>
      </c>
      <c r="K17" s="766">
        <f t="shared" si="16"/>
        <v>3684000</v>
      </c>
      <c r="L17" s="767">
        <f>D17-F17</f>
        <v>8041000</v>
      </c>
      <c r="M17" s="841"/>
      <c r="N17" s="866"/>
      <c r="O17" s="769">
        <f>F17+M17</f>
        <v>12759000</v>
      </c>
      <c r="P17" s="842"/>
      <c r="R17" s="776">
        <v>9.6000000000000002E-2</v>
      </c>
      <c r="S17" s="777">
        <f t="shared" si="12"/>
        <v>3094848</v>
      </c>
      <c r="T17" s="774" t="s">
        <v>574</v>
      </c>
      <c r="U17" s="778">
        <f t="shared" si="13"/>
        <v>0.08</v>
      </c>
      <c r="V17" s="777">
        <f t="shared" si="14"/>
        <v>2579040</v>
      </c>
      <c r="W17" s="771"/>
      <c r="X17" s="778">
        <f t="shared" si="3"/>
        <v>-1.6E-2</v>
      </c>
      <c r="Y17" s="777">
        <f t="shared" si="4"/>
        <v>-515808</v>
      </c>
    </row>
    <row r="18" spans="1:25" ht="30" customHeight="1">
      <c r="A18" s="917" t="s">
        <v>566</v>
      </c>
      <c r="B18" s="918"/>
      <c r="C18" s="753"/>
      <c r="D18" s="683">
        <f>①ベース事業別内訳!F245</f>
        <v>11160000</v>
      </c>
      <c r="E18" s="708">
        <f>ROUND(D18/$D$28,2)-2.5%</f>
        <v>1.4999999999999999E-2</v>
      </c>
      <c r="F18" s="684">
        <f>①ベース事業別内訳!G245</f>
        <v>10644000</v>
      </c>
      <c r="G18" s="747">
        <f>①ベース事業別内訳!G221</f>
        <v>5789000</v>
      </c>
      <c r="H18" s="814">
        <f t="shared" ref="H18:H19" si="18">G18/D18</f>
        <v>0.51872759856630823</v>
      </c>
      <c r="I18" s="747"/>
      <c r="J18" s="747">
        <f t="shared" si="6"/>
        <v>5789000</v>
      </c>
      <c r="K18" s="747">
        <f>F18-G18</f>
        <v>4855000</v>
      </c>
      <c r="L18" s="685">
        <f>D18-F18</f>
        <v>516000</v>
      </c>
      <c r="M18" s="686">
        <f>-$L$29*N18</f>
        <v>483570</v>
      </c>
      <c r="N18" s="865">
        <f>E18</f>
        <v>1.4999999999999999E-2</v>
      </c>
      <c r="O18" s="687">
        <f t="shared" ref="O18:O19" si="19">F18+M18</f>
        <v>11127570</v>
      </c>
      <c r="P18" s="688">
        <f t="shared" ref="P18:P19" si="20">D18-O18</f>
        <v>32430</v>
      </c>
      <c r="R18" s="672">
        <v>5.1999999999999998E-2</v>
      </c>
      <c r="S18" s="673">
        <f t="shared" si="12"/>
        <v>1676376</v>
      </c>
      <c r="T18" s="681" t="s">
        <v>574</v>
      </c>
      <c r="U18" s="674">
        <f t="shared" si="13"/>
        <v>1.4999999999999999E-2</v>
      </c>
      <c r="V18" s="673">
        <f t="shared" si="14"/>
        <v>483570</v>
      </c>
      <c r="W18" s="682"/>
      <c r="X18" s="674">
        <f t="shared" si="3"/>
        <v>-3.6999999999999998E-2</v>
      </c>
      <c r="Y18" s="673">
        <f t="shared" si="4"/>
        <v>-1192806</v>
      </c>
    </row>
    <row r="19" spans="1:25" ht="30" customHeight="1">
      <c r="A19" s="919" t="s">
        <v>568</v>
      </c>
      <c r="B19" s="918"/>
      <c r="C19" s="753"/>
      <c r="D19" s="683">
        <f>D20+D21</f>
        <v>15865000</v>
      </c>
      <c r="E19" s="708">
        <f>ROUND(D19/$D$28,2)</f>
        <v>0.06</v>
      </c>
      <c r="F19" s="684">
        <f>F20+F21</f>
        <v>13810000</v>
      </c>
      <c r="G19" s="747">
        <f>G20+G21</f>
        <v>10953000</v>
      </c>
      <c r="H19" s="814">
        <f t="shared" si="18"/>
        <v>0.69038764576110934</v>
      </c>
      <c r="I19" s="747">
        <f>I20+I21</f>
        <v>7845000</v>
      </c>
      <c r="J19" s="747">
        <f>J20+J21</f>
        <v>3108000</v>
      </c>
      <c r="K19" s="747">
        <f>K20+K21</f>
        <v>2857000</v>
      </c>
      <c r="L19" s="685">
        <f>L20+L21</f>
        <v>2055000</v>
      </c>
      <c r="M19" s="686">
        <f>-$L$29*N19</f>
        <v>1934280</v>
      </c>
      <c r="N19" s="865">
        <f t="shared" si="11"/>
        <v>0.06</v>
      </c>
      <c r="O19" s="687">
        <f t="shared" si="19"/>
        <v>15744280</v>
      </c>
      <c r="P19" s="688">
        <f t="shared" si="20"/>
        <v>120720</v>
      </c>
      <c r="R19" s="677">
        <f>SUM(R20:R21)</f>
        <v>7.4999999999999997E-2</v>
      </c>
      <c r="S19" s="678">
        <f t="shared" si="12"/>
        <v>2417850</v>
      </c>
      <c r="T19" s="681" t="s">
        <v>574</v>
      </c>
      <c r="U19" s="680">
        <f t="shared" si="13"/>
        <v>0.06</v>
      </c>
      <c r="V19" s="678">
        <f t="shared" si="14"/>
        <v>1934280</v>
      </c>
      <c r="W19" s="682"/>
      <c r="X19" s="680">
        <f t="shared" si="3"/>
        <v>-1.4999999999999999E-2</v>
      </c>
      <c r="Y19" s="678">
        <f t="shared" si="4"/>
        <v>-483570</v>
      </c>
    </row>
    <row r="20" spans="1:25" ht="20.100000000000001" customHeight="1">
      <c r="A20" s="736"/>
      <c r="B20" s="762" t="s">
        <v>550</v>
      </c>
      <c r="C20" s="763"/>
      <c r="D20" s="764">
        <f>①ベース事業別内訳!F272</f>
        <v>9923000</v>
      </c>
      <c r="E20" s="825">
        <f>ROUND(D20/$D$28,2)</f>
        <v>0.04</v>
      </c>
      <c r="F20" s="765">
        <f>①ベース事業別内訳!G272</f>
        <v>7469000</v>
      </c>
      <c r="G20" s="766">
        <f>①ベース事業別内訳!G248</f>
        <v>5702000</v>
      </c>
      <c r="H20" s="813"/>
      <c r="I20" s="766">
        <v>3675000</v>
      </c>
      <c r="J20" s="766">
        <f t="shared" si="6"/>
        <v>2027000</v>
      </c>
      <c r="K20" s="766">
        <f t="shared" ref="K20:K21" si="21">F20-G20</f>
        <v>1767000</v>
      </c>
      <c r="L20" s="767">
        <f t="shared" si="8"/>
        <v>2454000</v>
      </c>
      <c r="M20" s="841"/>
      <c r="N20" s="866"/>
      <c r="O20" s="769">
        <f>F20+M20</f>
        <v>7469000</v>
      </c>
      <c r="P20" s="842"/>
      <c r="R20" s="772">
        <v>5.0999999999999997E-2</v>
      </c>
      <c r="S20" s="773">
        <f t="shared" si="12"/>
        <v>1644138</v>
      </c>
      <c r="T20" s="774" t="s">
        <v>574</v>
      </c>
      <c r="U20" s="775">
        <f t="shared" si="13"/>
        <v>0.04</v>
      </c>
      <c r="V20" s="773">
        <f t="shared" si="14"/>
        <v>1289520</v>
      </c>
      <c r="W20" s="771"/>
      <c r="X20" s="775">
        <f t="shared" si="3"/>
        <v>-1.0999999999999996E-2</v>
      </c>
      <c r="Y20" s="773">
        <f t="shared" si="4"/>
        <v>-354618</v>
      </c>
    </row>
    <row r="21" spans="1:25" ht="20.100000000000001" customHeight="1">
      <c r="A21" s="352"/>
      <c r="B21" s="858" t="s">
        <v>551</v>
      </c>
      <c r="C21" s="859"/>
      <c r="D21" s="764">
        <f>①ベース事業別内訳!F299</f>
        <v>5942000</v>
      </c>
      <c r="E21" s="825">
        <f>ROUND(D21/$D$28,2)</f>
        <v>0.02</v>
      </c>
      <c r="F21" s="765">
        <f>①ベース事業別内訳!G299</f>
        <v>6341000</v>
      </c>
      <c r="G21" s="766">
        <f>①ベース事業別内訳!G275</f>
        <v>5251000</v>
      </c>
      <c r="H21" s="813"/>
      <c r="I21" s="766">
        <v>4170000</v>
      </c>
      <c r="J21" s="766">
        <f t="shared" si="6"/>
        <v>1081000</v>
      </c>
      <c r="K21" s="766">
        <f t="shared" si="21"/>
        <v>1090000</v>
      </c>
      <c r="L21" s="767">
        <f>D21-F21</f>
        <v>-399000</v>
      </c>
      <c r="M21" s="841"/>
      <c r="N21" s="866"/>
      <c r="O21" s="769">
        <f>F21+M21</f>
        <v>6341000</v>
      </c>
      <c r="P21" s="842"/>
      <c r="R21" s="776">
        <v>2.4E-2</v>
      </c>
      <c r="S21" s="777">
        <f t="shared" si="12"/>
        <v>773712</v>
      </c>
      <c r="T21" s="774" t="s">
        <v>574</v>
      </c>
      <c r="U21" s="778">
        <f t="shared" si="13"/>
        <v>0.02</v>
      </c>
      <c r="V21" s="777">
        <f t="shared" si="14"/>
        <v>644760</v>
      </c>
      <c r="W21" s="771"/>
      <c r="X21" s="778">
        <f t="shared" si="3"/>
        <v>-4.0000000000000001E-3</v>
      </c>
      <c r="Y21" s="777">
        <f t="shared" si="4"/>
        <v>-128952</v>
      </c>
    </row>
    <row r="22" spans="1:25" s="96" customFormat="1" ht="30" customHeight="1">
      <c r="A22" s="966" t="s">
        <v>672</v>
      </c>
      <c r="B22" s="967"/>
      <c r="C22" s="968"/>
      <c r="D22" s="683">
        <f>①ベース事業別内訳!F359</f>
        <v>11700000</v>
      </c>
      <c r="E22" s="708">
        <f>ROUND(D22/$D$28,2)</f>
        <v>0.05</v>
      </c>
      <c r="F22" s="684">
        <f>①ベース事業別内訳!G385</f>
        <v>7730000</v>
      </c>
      <c r="G22" s="747">
        <f>①ベース事業別内訳!G361</f>
        <v>6121000</v>
      </c>
      <c r="H22" s="814">
        <f t="shared" ref="H22" si="22">G22/D22</f>
        <v>0.52316239316239321</v>
      </c>
      <c r="I22" s="747"/>
      <c r="J22" s="747"/>
      <c r="K22" s="747">
        <f>F22-G22</f>
        <v>1609000</v>
      </c>
      <c r="L22" s="685">
        <f>D22-F22</f>
        <v>3970000</v>
      </c>
      <c r="M22" s="686">
        <f>-$L$29*N22</f>
        <v>1611900</v>
      </c>
      <c r="N22" s="865">
        <f t="shared" ref="N22" si="23">E22</f>
        <v>0.05</v>
      </c>
      <c r="O22" s="687">
        <f t="shared" ref="O22" si="24">F22+M22</f>
        <v>9341900</v>
      </c>
      <c r="P22" s="688">
        <f t="shared" ref="P22" si="25">D22-O22</f>
        <v>2358100</v>
      </c>
      <c r="R22" s="860"/>
      <c r="S22" s="861"/>
      <c r="T22" s="821"/>
      <c r="U22" s="862"/>
      <c r="V22" s="861"/>
      <c r="X22" s="862"/>
      <c r="Y22" s="861"/>
    </row>
    <row r="23" spans="1:25" ht="30" customHeight="1">
      <c r="A23" s="919" t="s">
        <v>569</v>
      </c>
      <c r="B23" s="918"/>
      <c r="C23" s="753"/>
      <c r="D23" s="683">
        <f>D24+D26+D25+D27</f>
        <v>3981000</v>
      </c>
      <c r="E23" s="708">
        <f>ROUND(D23/$D$28,2)+2%</f>
        <v>0.04</v>
      </c>
      <c r="F23" s="684">
        <f>F24+F26+F25+F27</f>
        <v>2664000</v>
      </c>
      <c r="G23" s="747">
        <f>G24+G26+G25+G27</f>
        <v>1220000</v>
      </c>
      <c r="H23" s="814">
        <f>G23/D23</f>
        <v>0.30645566440592814</v>
      </c>
      <c r="I23" s="747">
        <f>I24+I26+I25+I27</f>
        <v>0</v>
      </c>
      <c r="J23" s="747">
        <f>J24+J26+J25+J27</f>
        <v>1220000</v>
      </c>
      <c r="K23" s="747">
        <f>K24+K26+K25+K27</f>
        <v>1444000</v>
      </c>
      <c r="L23" s="685">
        <f>L24+L26+L25+L27</f>
        <v>1317000</v>
      </c>
      <c r="M23" s="686">
        <f>-$L$29*N23</f>
        <v>1289520</v>
      </c>
      <c r="N23" s="865">
        <f t="shared" si="11"/>
        <v>0.04</v>
      </c>
      <c r="O23" s="687">
        <f>F23+M23</f>
        <v>3953520</v>
      </c>
      <c r="P23" s="688">
        <f>D23-O23</f>
        <v>27480</v>
      </c>
      <c r="R23" s="672">
        <f>SUM(R24:R27)+R25</f>
        <v>0.10200000000000001</v>
      </c>
      <c r="S23" s="673">
        <f t="shared" si="12"/>
        <v>3288276.0000000005</v>
      </c>
      <c r="T23" s="681" t="s">
        <v>574</v>
      </c>
      <c r="U23" s="674">
        <f t="shared" si="13"/>
        <v>0.04</v>
      </c>
      <c r="V23" s="673">
        <f t="shared" si="14"/>
        <v>1289520</v>
      </c>
      <c r="W23" s="682"/>
      <c r="X23" s="674">
        <f t="shared" si="3"/>
        <v>-6.2000000000000006E-2</v>
      </c>
      <c r="Y23" s="673">
        <f t="shared" si="4"/>
        <v>-1998756.0000000005</v>
      </c>
    </row>
    <row r="24" spans="1:25" ht="39.950000000000003" hidden="1" customHeight="1">
      <c r="A24" s="736"/>
      <c r="B24" s="762" t="s">
        <v>403</v>
      </c>
      <c r="C24" s="763"/>
      <c r="D24" s="764">
        <f>①ベース事業別内訳!F305</f>
        <v>429000</v>
      </c>
      <c r="E24" s="826">
        <f>ROUND(D24/$D$28,2)</f>
        <v>0</v>
      </c>
      <c r="F24" s="765">
        <f>①ベース事業別内訳!G305</f>
        <v>174000</v>
      </c>
      <c r="G24" s="766"/>
      <c r="H24" s="813"/>
      <c r="I24" s="766"/>
      <c r="J24" s="766">
        <f t="shared" si="6"/>
        <v>0</v>
      </c>
      <c r="K24" s="766">
        <f t="shared" ref="K24:K27" si="26">F24-G24</f>
        <v>174000</v>
      </c>
      <c r="L24" s="767">
        <f>D24-F24</f>
        <v>255000</v>
      </c>
      <c r="M24" s="768"/>
      <c r="N24" s="866"/>
      <c r="O24" s="769"/>
      <c r="P24" s="770"/>
      <c r="R24" s="772">
        <v>4.0000000000000001E-3</v>
      </c>
      <c r="S24" s="773">
        <f t="shared" si="12"/>
        <v>128952</v>
      </c>
      <c r="T24" s="774" t="s">
        <v>574</v>
      </c>
      <c r="U24" s="775">
        <f t="shared" si="1"/>
        <v>0</v>
      </c>
      <c r="V24" s="773">
        <f t="shared" si="2"/>
        <v>0</v>
      </c>
      <c r="W24" s="771"/>
      <c r="X24" s="775">
        <f t="shared" si="3"/>
        <v>-4.0000000000000001E-3</v>
      </c>
      <c r="Y24" s="773">
        <f t="shared" si="4"/>
        <v>-128952</v>
      </c>
    </row>
    <row r="25" spans="1:25" ht="39.950000000000003" hidden="1" customHeight="1">
      <c r="A25" s="352"/>
      <c r="B25" s="762" t="s">
        <v>180</v>
      </c>
      <c r="C25" s="763"/>
      <c r="D25" s="764">
        <f>①ベース事業別内訳!F342</f>
        <v>900000</v>
      </c>
      <c r="E25" s="825">
        <f>ROUND(D25/$D$28,2)</f>
        <v>0</v>
      </c>
      <c r="F25" s="765">
        <f>①ベース事業別内訳!G342</f>
        <v>900000</v>
      </c>
      <c r="G25" s="766"/>
      <c r="H25" s="813"/>
      <c r="I25" s="766"/>
      <c r="J25" s="766">
        <f>G25-I25</f>
        <v>0</v>
      </c>
      <c r="K25" s="766">
        <f>F25-G25</f>
        <v>900000</v>
      </c>
      <c r="L25" s="767">
        <f>D25-F25</f>
        <v>0</v>
      </c>
      <c r="M25" s="768"/>
      <c r="N25" s="866"/>
      <c r="O25" s="769"/>
      <c r="P25" s="770"/>
      <c r="R25" s="776">
        <v>2.5000000000000001E-2</v>
      </c>
      <c r="S25" s="777">
        <f t="shared" si="12"/>
        <v>805950</v>
      </c>
      <c r="T25" s="774" t="s">
        <v>574</v>
      </c>
      <c r="U25" s="778">
        <f>N25</f>
        <v>0</v>
      </c>
      <c r="V25" s="777">
        <f>M25</f>
        <v>0</v>
      </c>
      <c r="W25" s="771"/>
      <c r="X25" s="778">
        <f>U25-R25</f>
        <v>-2.5000000000000001E-2</v>
      </c>
      <c r="Y25" s="777">
        <f>V25-S25</f>
        <v>-805950</v>
      </c>
    </row>
    <row r="26" spans="1:25" ht="39.950000000000003" hidden="1" customHeight="1">
      <c r="A26" s="352"/>
      <c r="B26" s="762" t="s">
        <v>552</v>
      </c>
      <c r="C26" s="763"/>
      <c r="D26" s="764">
        <f>①ベース事業別内訳!F316</f>
        <v>0</v>
      </c>
      <c r="E26" s="826">
        <f>ROUND(D26/$D$28,2)+1%</f>
        <v>0.01</v>
      </c>
      <c r="F26" s="765">
        <f>①ベース事業別内訳!G316</f>
        <v>0</v>
      </c>
      <c r="G26" s="766"/>
      <c r="H26" s="813"/>
      <c r="I26" s="766"/>
      <c r="J26" s="766">
        <f t="shared" si="6"/>
        <v>0</v>
      </c>
      <c r="K26" s="766">
        <f t="shared" si="26"/>
        <v>0</v>
      </c>
      <c r="L26" s="767">
        <f>D26-F26</f>
        <v>0</v>
      </c>
      <c r="M26" s="768"/>
      <c r="N26" s="866"/>
      <c r="O26" s="769"/>
      <c r="P26" s="770"/>
      <c r="R26" s="776">
        <v>3.4000000000000002E-2</v>
      </c>
      <c r="S26" s="777">
        <f t="shared" si="12"/>
        <v>1096092</v>
      </c>
      <c r="T26" s="774" t="s">
        <v>574</v>
      </c>
      <c r="U26" s="778">
        <f t="shared" si="1"/>
        <v>0</v>
      </c>
      <c r="V26" s="777">
        <f t="shared" si="2"/>
        <v>0</v>
      </c>
      <c r="W26" s="771"/>
      <c r="X26" s="778">
        <f t="shared" si="3"/>
        <v>-3.4000000000000002E-2</v>
      </c>
      <c r="Y26" s="777">
        <f t="shared" si="4"/>
        <v>-1096092</v>
      </c>
    </row>
    <row r="27" spans="1:25" ht="39.950000000000003" hidden="1" customHeight="1">
      <c r="A27" s="352"/>
      <c r="B27" s="762" t="s">
        <v>170</v>
      </c>
      <c r="C27" s="763"/>
      <c r="D27" s="764">
        <f>①ベース事業別内訳!F358</f>
        <v>2652000</v>
      </c>
      <c r="E27" s="826">
        <f>ROUND(D27/$D$28,2)</f>
        <v>0.01</v>
      </c>
      <c r="F27" s="765">
        <f>①ベース事業別内訳!G358</f>
        <v>1590000</v>
      </c>
      <c r="G27" s="766">
        <f>①ベース事業別内訳!G346</f>
        <v>1220000</v>
      </c>
      <c r="H27" s="813"/>
      <c r="I27" s="766"/>
      <c r="J27" s="766">
        <f t="shared" si="6"/>
        <v>1220000</v>
      </c>
      <c r="K27" s="766">
        <f t="shared" si="26"/>
        <v>370000</v>
      </c>
      <c r="L27" s="767">
        <f t="shared" si="8"/>
        <v>1062000</v>
      </c>
      <c r="M27" s="768"/>
      <c r="N27" s="866"/>
      <c r="O27" s="769"/>
      <c r="P27" s="770"/>
      <c r="R27" s="776">
        <v>1.4E-2</v>
      </c>
      <c r="S27" s="777">
        <f t="shared" si="12"/>
        <v>451332</v>
      </c>
      <c r="T27" s="774" t="s">
        <v>574</v>
      </c>
      <c r="U27" s="778">
        <f t="shared" si="1"/>
        <v>0</v>
      </c>
      <c r="V27" s="777">
        <f t="shared" si="2"/>
        <v>0</v>
      </c>
      <c r="W27" s="771"/>
      <c r="X27" s="778">
        <f t="shared" si="3"/>
        <v>-1.4E-2</v>
      </c>
      <c r="Y27" s="777">
        <f t="shared" si="4"/>
        <v>-451332</v>
      </c>
    </row>
    <row r="28" spans="1:25" ht="24.95" customHeight="1">
      <c r="A28" s="920" t="s">
        <v>413</v>
      </c>
      <c r="B28" s="921"/>
      <c r="C28" s="754" t="s">
        <v>409</v>
      </c>
      <c r="D28" s="755">
        <f>D23+D19+D14+D11+D10+D9+D8+D7+D18+D22</f>
        <v>248364000</v>
      </c>
      <c r="E28" s="827">
        <f>E23+E19+E14+E11+E10+E9+E8+E7+E18+E22</f>
        <v>1</v>
      </c>
      <c r="F28" s="756">
        <f>F23+F19+F14+F11+F10+F9+F8+F7+F18+F22</f>
        <v>206631000</v>
      </c>
      <c r="G28" s="757">
        <f>G23+G19+G14+G11+G10+G9+G8+G7+G18+G22</f>
        <v>151429000</v>
      </c>
      <c r="H28" s="815">
        <f>G28/D28</f>
        <v>0.60970591551110465</v>
      </c>
      <c r="I28" s="757">
        <f t="shared" ref="I28:O28" si="27">I23+I19+I14+I11+I10+I9+I8+I7+I18+I22</f>
        <v>63961000</v>
      </c>
      <c r="J28" s="757">
        <f t="shared" si="27"/>
        <v>81347000</v>
      </c>
      <c r="K28" s="757">
        <f t="shared" si="27"/>
        <v>55202000</v>
      </c>
      <c r="L28" s="758">
        <f t="shared" si="27"/>
        <v>41733000</v>
      </c>
      <c r="M28" s="759">
        <f t="shared" si="27"/>
        <v>32238000</v>
      </c>
      <c r="N28" s="867">
        <f t="shared" si="27"/>
        <v>1</v>
      </c>
      <c r="O28" s="760">
        <f t="shared" si="27"/>
        <v>238869000</v>
      </c>
      <c r="P28" s="761">
        <f>P23+P19+P14+P11+P10+P9+P8+P7+P18+P22</f>
        <v>9495000</v>
      </c>
      <c r="R28" s="675" t="e">
        <f>R23+R19+R18+R14+R11+R10+R9+R8+#REF!</f>
        <v>#REF!</v>
      </c>
      <c r="S28" s="673" t="e">
        <f>S23+S19+S18+S14+S11+S10+S9+S8+#REF!</f>
        <v>#REF!</v>
      </c>
      <c r="U28" s="676" t="e">
        <f>U23+U19+U18+U14+U11+U10+U9+U8+#REF!</f>
        <v>#REF!</v>
      </c>
      <c r="V28" s="673" t="e">
        <f>V23+V19+V18+V14+V11+V10+V9+V8+#REF!</f>
        <v>#REF!</v>
      </c>
      <c r="X28" s="675" t="e">
        <f>X23+X19+X18+X14+X11+X10+X9+X8+#REF!</f>
        <v>#REF!</v>
      </c>
      <c r="Y28" s="673" t="e">
        <f>Y23+Y19+Y18+Y14+Y11+Y10+Y9+Y8+#REF!</f>
        <v>#REF!</v>
      </c>
    </row>
    <row r="29" spans="1:25" ht="30" customHeight="1">
      <c r="A29" s="922" t="s">
        <v>570</v>
      </c>
      <c r="B29" s="923"/>
      <c r="C29" s="500" t="s">
        <v>410</v>
      </c>
      <c r="D29" s="690">
        <f>①ベース事業別内訳!F421</f>
        <v>3953000</v>
      </c>
      <c r="E29" s="709"/>
      <c r="F29" s="691">
        <f>①ベース事業別内訳!G421</f>
        <v>36191000</v>
      </c>
      <c r="G29" s="749">
        <f>①ベース事業別内訳!G392+①ベース事業別内訳!G393+①ベース事業別内訳!G394</f>
        <v>20269000</v>
      </c>
      <c r="H29" s="816"/>
      <c r="I29" s="749">
        <f>11670899+906902</f>
        <v>12577801</v>
      </c>
      <c r="J29" s="749"/>
      <c r="K29" s="749">
        <f>F29-G29</f>
        <v>15922000</v>
      </c>
      <c r="L29" s="692">
        <f>D29-F29</f>
        <v>-32238000</v>
      </c>
      <c r="M29" s="698"/>
      <c r="N29" s="868"/>
      <c r="O29" s="699"/>
      <c r="P29" s="693"/>
    </row>
    <row r="30" spans="1:25" ht="39.950000000000003" customHeight="1">
      <c r="A30" s="924" t="s">
        <v>414</v>
      </c>
      <c r="B30" s="925"/>
      <c r="C30" s="428" t="s">
        <v>412</v>
      </c>
      <c r="D30" s="694">
        <f>D28+D29</f>
        <v>252317000</v>
      </c>
      <c r="E30" s="828"/>
      <c r="F30" s="695">
        <f>F28+F29</f>
        <v>242822000</v>
      </c>
      <c r="G30" s="748">
        <f>G28+G29</f>
        <v>171698000</v>
      </c>
      <c r="H30" s="817">
        <f>G30/D30</f>
        <v>0.68048526258634967</v>
      </c>
      <c r="I30" s="748">
        <f>I28+I29</f>
        <v>76538801</v>
      </c>
      <c r="J30" s="748">
        <f>J28+J29</f>
        <v>81347000</v>
      </c>
      <c r="K30" s="748">
        <f>K28+K29</f>
        <v>71124000</v>
      </c>
      <c r="L30" s="700">
        <f>L28+L29</f>
        <v>9495000</v>
      </c>
      <c r="M30" s="696"/>
      <c r="N30" s="869"/>
      <c r="O30" s="697">
        <f>O28+O29</f>
        <v>238869000</v>
      </c>
      <c r="P30" s="701">
        <f>P28+P29</f>
        <v>9495000</v>
      </c>
    </row>
    <row r="31" spans="1:25" ht="20.100000000000001" customHeight="1"/>
    <row r="32" spans="1:25" ht="19.899999999999999" customHeight="1">
      <c r="A32" s="969" t="s">
        <v>628</v>
      </c>
      <c r="B32" s="970"/>
      <c r="C32" s="970"/>
      <c r="D32" s="970"/>
      <c r="E32" s="785"/>
      <c r="F32" s="706">
        <f>600000*12</f>
        <v>7200000</v>
      </c>
      <c r="G32" s="750"/>
      <c r="H32" s="465"/>
      <c r="I32" s="750"/>
      <c r="J32" s="750"/>
      <c r="K32" s="750"/>
      <c r="Q32" s="707"/>
      <c r="R32" s="786"/>
      <c r="S32" s="230"/>
      <c r="T32" s="5"/>
      <c r="Y32" s="5"/>
    </row>
    <row r="33" spans="1:25" ht="9" customHeight="1">
      <c r="Q33" s="707"/>
      <c r="R33" s="840"/>
      <c r="S33" s="230"/>
      <c r="T33" s="5"/>
      <c r="Y33" s="5"/>
    </row>
    <row r="34" spans="1:25" ht="19.899999999999999" customHeight="1">
      <c r="A34" s="881" t="s">
        <v>621</v>
      </c>
      <c r="B34" s="881"/>
      <c r="C34" s="881"/>
      <c r="D34" s="881"/>
      <c r="E34" s="881"/>
      <c r="F34" s="706">
        <f>50000*2*12</f>
        <v>1200000</v>
      </c>
      <c r="Q34" s="707"/>
      <c r="R34" s="840"/>
      <c r="S34" s="230"/>
      <c r="T34" s="5"/>
      <c r="Y34" s="5"/>
    </row>
    <row r="35" spans="1:25" ht="20.100000000000001" customHeight="1"/>
  </sheetData>
  <mergeCells count="39">
    <mergeCell ref="A9:B9"/>
    <mergeCell ref="A22:C22"/>
    <mergeCell ref="A32:D32"/>
    <mergeCell ref="A19:B19"/>
    <mergeCell ref="A18:B18"/>
    <mergeCell ref="A14:B14"/>
    <mergeCell ref="A11:B11"/>
    <mergeCell ref="A10:B10"/>
    <mergeCell ref="A1:P1"/>
    <mergeCell ref="A2:P2"/>
    <mergeCell ref="A3:C6"/>
    <mergeCell ref="D3:D6"/>
    <mergeCell ref="F3:O3"/>
    <mergeCell ref="P3:P6"/>
    <mergeCell ref="O4:O6"/>
    <mergeCell ref="F4:F6"/>
    <mergeCell ref="L4:L6"/>
    <mergeCell ref="E4:E6"/>
    <mergeCell ref="M4:M6"/>
    <mergeCell ref="K5:K6"/>
    <mergeCell ref="G5:G6"/>
    <mergeCell ref="G4:K4"/>
    <mergeCell ref="N5:N6"/>
    <mergeCell ref="A34:E34"/>
    <mergeCell ref="X3:Y3"/>
    <mergeCell ref="U3:V3"/>
    <mergeCell ref="R3:S3"/>
    <mergeCell ref="V4:V6"/>
    <mergeCell ref="U4:U6"/>
    <mergeCell ref="S4:S6"/>
    <mergeCell ref="R4:R6"/>
    <mergeCell ref="X4:X6"/>
    <mergeCell ref="Y4:Y6"/>
    <mergeCell ref="A8:B8"/>
    <mergeCell ref="A7:B7"/>
    <mergeCell ref="A28:B28"/>
    <mergeCell ref="A29:B29"/>
    <mergeCell ref="A30:B30"/>
    <mergeCell ref="A23:B23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="85" zoomScaleNormal="85" workbookViewId="0">
      <selection activeCell="B3" sqref="B3"/>
    </sheetView>
  </sheetViews>
  <sheetFormatPr defaultColWidth="9" defaultRowHeight="13.5"/>
  <cols>
    <col min="1" max="1" width="3.75" style="5" customWidth="1"/>
    <col min="2" max="2" width="15.625" style="5" customWidth="1"/>
    <col min="3" max="6" width="12.625" style="5" bestFit="1" customWidth="1"/>
    <col min="7" max="7" width="11.25" style="5" bestFit="1" customWidth="1"/>
    <col min="8" max="8" width="11.375" style="5" bestFit="1" customWidth="1"/>
    <col min="9" max="9" width="1.5" style="5" customWidth="1"/>
    <col min="10" max="10" width="9.25" style="5" hidden="1" customWidth="1"/>
    <col min="11" max="11" width="7.5" style="5" customWidth="1"/>
    <col min="12" max="12" width="11.25" style="592" bestFit="1" customWidth="1"/>
    <col min="13" max="13" width="2.5" style="5" customWidth="1"/>
    <col min="14" max="14" width="11.25" style="5" bestFit="1" customWidth="1"/>
    <col min="15" max="15" width="11" style="5" customWidth="1"/>
    <col min="16" max="16" width="7.875" style="5" bestFit="1" customWidth="1"/>
    <col min="17" max="17" width="8.375" style="592" bestFit="1" customWidth="1"/>
    <col min="18" max="18" width="29.625" style="5" bestFit="1" customWidth="1"/>
    <col min="19" max="16384" width="9" style="5"/>
  </cols>
  <sheetData>
    <row r="1" spans="1:18" ht="24.95" customHeight="1" thickBot="1">
      <c r="A1" s="587"/>
      <c r="B1" s="587"/>
      <c r="C1" s="971" t="s">
        <v>246</v>
      </c>
      <c r="D1" s="972"/>
      <c r="E1" s="973" t="s">
        <v>497</v>
      </c>
      <c r="F1" s="973"/>
      <c r="G1" s="974" t="s">
        <v>498</v>
      </c>
      <c r="H1" s="975"/>
      <c r="I1" s="587"/>
      <c r="J1" s="587"/>
      <c r="K1" s="973" t="s">
        <v>506</v>
      </c>
      <c r="L1" s="973"/>
      <c r="M1" s="587"/>
      <c r="N1" s="971" t="s">
        <v>516</v>
      </c>
      <c r="O1" s="973"/>
      <c r="P1" s="973"/>
      <c r="Q1" s="973"/>
      <c r="R1" s="972"/>
    </row>
    <row r="2" spans="1:18" ht="24.95" hidden="1" customHeight="1">
      <c r="C2" s="588"/>
      <c r="D2" s="589"/>
      <c r="E2" s="1"/>
      <c r="F2" s="1"/>
      <c r="G2" s="590"/>
      <c r="H2" s="591"/>
      <c r="K2" s="5">
        <v>1700000</v>
      </c>
      <c r="N2" s="633"/>
      <c r="O2" s="41"/>
      <c r="P2" s="41"/>
      <c r="Q2" s="634"/>
      <c r="R2" s="635"/>
    </row>
    <row r="3" spans="1:18" ht="40.5">
      <c r="A3" s="587"/>
      <c r="B3" s="587"/>
      <c r="C3" s="593" t="s">
        <v>499</v>
      </c>
      <c r="D3" s="594" t="s">
        <v>500</v>
      </c>
      <c r="E3" s="595" t="s">
        <v>499</v>
      </c>
      <c r="F3" s="595" t="s">
        <v>500</v>
      </c>
      <c r="G3" s="596" t="s">
        <v>499</v>
      </c>
      <c r="H3" s="597" t="s">
        <v>500</v>
      </c>
      <c r="I3" s="587"/>
      <c r="J3" s="587"/>
      <c r="K3" s="599" t="s">
        <v>520</v>
      </c>
      <c r="L3" s="598" t="s">
        <v>507</v>
      </c>
      <c r="M3" s="587"/>
      <c r="N3" s="636" t="s">
        <v>517</v>
      </c>
      <c r="O3" s="626" t="s">
        <v>507</v>
      </c>
      <c r="P3" s="595" t="s">
        <v>518</v>
      </c>
      <c r="Q3" s="600" t="s">
        <v>519</v>
      </c>
      <c r="R3" s="594" t="s">
        <v>515</v>
      </c>
    </row>
    <row r="4" spans="1:18" ht="39.950000000000003" customHeight="1">
      <c r="A4" s="601" t="s">
        <v>169</v>
      </c>
      <c r="B4" s="601"/>
      <c r="C4" s="602" t="e">
        <f>#REF!</f>
        <v>#REF!</v>
      </c>
      <c r="D4" s="603" t="e">
        <f>#REF!</f>
        <v>#REF!</v>
      </c>
      <c r="E4" s="604" t="e">
        <f>#REF!</f>
        <v>#REF!</v>
      </c>
      <c r="F4" s="604" t="e">
        <f>#REF!</f>
        <v>#REF!</v>
      </c>
      <c r="G4" s="605" t="e">
        <f>#REF!</f>
        <v>#REF!</v>
      </c>
      <c r="H4" s="606" t="e">
        <f>#REF!</f>
        <v>#REF!</v>
      </c>
      <c r="I4" s="607"/>
      <c r="J4" s="607"/>
      <c r="K4" s="608" t="e">
        <f>H4/$J$15</f>
        <v>#REF!</v>
      </c>
      <c r="L4" s="609" t="e">
        <f>ROUNDDOWN($K$2*K4,-3)</f>
        <v>#REF!</v>
      </c>
      <c r="M4" s="610"/>
      <c r="N4" s="637">
        <v>359000</v>
      </c>
      <c r="O4" s="627">
        <f>N4</f>
        <v>359000</v>
      </c>
      <c r="P4" s="612">
        <v>4</v>
      </c>
      <c r="Q4" s="611">
        <f>O4/P4</f>
        <v>89750</v>
      </c>
      <c r="R4" s="638" t="s">
        <v>508</v>
      </c>
    </row>
    <row r="5" spans="1:18" ht="39.950000000000003" customHeight="1">
      <c r="A5" s="613" t="s">
        <v>400</v>
      </c>
      <c r="B5" s="613"/>
      <c r="C5" s="614" t="e">
        <f>#REF!</f>
        <v>#REF!</v>
      </c>
      <c r="D5" s="615" t="e">
        <f>#REF!</f>
        <v>#REF!</v>
      </c>
      <c r="E5" s="616" t="e">
        <f>#REF!</f>
        <v>#REF!</v>
      </c>
      <c r="F5" s="616" t="e">
        <f>#REF!</f>
        <v>#REF!</v>
      </c>
      <c r="G5" s="617" t="e">
        <f>#REF!</f>
        <v>#REF!</v>
      </c>
      <c r="H5" s="606" t="e">
        <f>#REF!</f>
        <v>#REF!</v>
      </c>
      <c r="I5" s="607"/>
      <c r="J5" s="607"/>
      <c r="K5" s="608" t="e">
        <f t="shared" ref="K5:K8" si="0">H5/$J$15</f>
        <v>#REF!</v>
      </c>
      <c r="L5" s="611" t="e">
        <f t="shared" ref="L5:L8" si="1">ROUNDDOWN($K$2*K5,-3)</f>
        <v>#REF!</v>
      </c>
      <c r="M5" s="610"/>
      <c r="N5" s="637">
        <v>258000</v>
      </c>
      <c r="O5" s="627" t="e">
        <f>L5</f>
        <v>#REF!</v>
      </c>
      <c r="P5" s="612">
        <v>3</v>
      </c>
      <c r="Q5" s="611" t="e">
        <f t="shared" ref="Q5:Q8" si="2">O5/P5</f>
        <v>#REF!</v>
      </c>
      <c r="R5" s="638" t="s">
        <v>521</v>
      </c>
    </row>
    <row r="6" spans="1:18" ht="39.950000000000003" customHeight="1">
      <c r="A6" s="613" t="s">
        <v>401</v>
      </c>
      <c r="B6" s="613"/>
      <c r="C6" s="614" t="e">
        <f>#REF!</f>
        <v>#REF!</v>
      </c>
      <c r="D6" s="615" t="e">
        <f>#REF!</f>
        <v>#REF!</v>
      </c>
      <c r="E6" s="616" t="e">
        <f>#REF!</f>
        <v>#REF!</v>
      </c>
      <c r="F6" s="616" t="e">
        <f>#REF!</f>
        <v>#REF!</v>
      </c>
      <c r="G6" s="617" t="e">
        <f>#REF!</f>
        <v>#REF!</v>
      </c>
      <c r="H6" s="606" t="e">
        <f>#REF!</f>
        <v>#REF!</v>
      </c>
      <c r="I6" s="607"/>
      <c r="J6" s="607"/>
      <c r="K6" s="608" t="e">
        <f t="shared" si="0"/>
        <v>#REF!</v>
      </c>
      <c r="L6" s="611" t="e">
        <f t="shared" si="1"/>
        <v>#REF!</v>
      </c>
      <c r="M6" s="610"/>
      <c r="N6" s="637">
        <v>181000</v>
      </c>
      <c r="O6" s="627" t="e">
        <f t="shared" ref="O6:O11" si="3">L6</f>
        <v>#REF!</v>
      </c>
      <c r="P6" s="612">
        <v>2</v>
      </c>
      <c r="Q6" s="611" t="e">
        <f t="shared" si="2"/>
        <v>#REF!</v>
      </c>
      <c r="R6" s="638" t="s">
        <v>509</v>
      </c>
    </row>
    <row r="7" spans="1:18" ht="39.950000000000003" customHeight="1">
      <c r="A7" s="613" t="s">
        <v>402</v>
      </c>
      <c r="B7" s="613"/>
      <c r="C7" s="614" t="e">
        <f>#REF!</f>
        <v>#REF!</v>
      </c>
      <c r="D7" s="615" t="e">
        <f>#REF!</f>
        <v>#REF!</v>
      </c>
      <c r="E7" s="616" t="e">
        <f>#REF!</f>
        <v>#REF!</v>
      </c>
      <c r="F7" s="616" t="e">
        <f>#REF!</f>
        <v>#REF!</v>
      </c>
      <c r="G7" s="617" t="e">
        <f>#REF!</f>
        <v>#REF!</v>
      </c>
      <c r="H7" s="606" t="e">
        <f>#REF!</f>
        <v>#REF!</v>
      </c>
      <c r="I7" s="607"/>
      <c r="J7" s="607"/>
      <c r="K7" s="608" t="e">
        <f>H7/$J$15</f>
        <v>#REF!</v>
      </c>
      <c r="L7" s="611" t="e">
        <f t="shared" si="1"/>
        <v>#REF!</v>
      </c>
      <c r="M7" s="610"/>
      <c r="N7" s="637">
        <v>296000</v>
      </c>
      <c r="O7" s="627" t="e">
        <f>L7</f>
        <v>#REF!</v>
      </c>
      <c r="P7" s="612">
        <v>3</v>
      </c>
      <c r="Q7" s="611" t="e">
        <f t="shared" si="2"/>
        <v>#REF!</v>
      </c>
      <c r="R7" s="638" t="s">
        <v>510</v>
      </c>
    </row>
    <row r="8" spans="1:18" ht="39.950000000000003" customHeight="1">
      <c r="A8" s="613" t="s">
        <v>193</v>
      </c>
      <c r="B8" s="613"/>
      <c r="C8" s="614" t="e">
        <f>#REF!</f>
        <v>#REF!</v>
      </c>
      <c r="D8" s="615" t="e">
        <f>#REF!</f>
        <v>#REF!</v>
      </c>
      <c r="E8" s="616" t="e">
        <f>#REF!</f>
        <v>#REF!</v>
      </c>
      <c r="F8" s="616" t="e">
        <f>#REF!</f>
        <v>#REF!</v>
      </c>
      <c r="G8" s="617" t="e">
        <f>#REF!</f>
        <v>#REF!</v>
      </c>
      <c r="H8" s="606" t="e">
        <f>#REF!</f>
        <v>#REF!</v>
      </c>
      <c r="I8" s="607"/>
      <c r="J8" s="607"/>
      <c r="K8" s="608" t="e">
        <f t="shared" si="0"/>
        <v>#REF!</v>
      </c>
      <c r="L8" s="611" t="e">
        <f t="shared" si="1"/>
        <v>#REF!</v>
      </c>
      <c r="M8" s="610"/>
      <c r="N8" s="637">
        <v>267000</v>
      </c>
      <c r="O8" s="627" t="e">
        <f t="shared" si="3"/>
        <v>#REF!</v>
      </c>
      <c r="P8" s="612">
        <v>3</v>
      </c>
      <c r="Q8" s="611" t="e">
        <f t="shared" si="2"/>
        <v>#REF!</v>
      </c>
      <c r="R8" s="638" t="s">
        <v>511</v>
      </c>
    </row>
    <row r="9" spans="1:18" ht="39.950000000000003" customHeight="1">
      <c r="A9" s="613" t="s">
        <v>191</v>
      </c>
      <c r="B9" s="613"/>
      <c r="C9" s="614" t="e">
        <f>#REF!</f>
        <v>#REF!</v>
      </c>
      <c r="D9" s="615" t="e">
        <f>#REF!</f>
        <v>#REF!</v>
      </c>
      <c r="E9" s="616" t="e">
        <f>#REF!</f>
        <v>#REF!</v>
      </c>
      <c r="F9" s="616" t="e">
        <f>#REF!</f>
        <v>#REF!</v>
      </c>
      <c r="G9" s="617" t="e">
        <f>#REF!</f>
        <v>#REF!</v>
      </c>
      <c r="H9" s="606" t="e">
        <f>#REF!</f>
        <v>#REF!</v>
      </c>
      <c r="I9" s="607"/>
      <c r="J9" s="607"/>
      <c r="K9" s="618" t="s">
        <v>505</v>
      </c>
      <c r="L9" s="618" t="s">
        <v>505</v>
      </c>
      <c r="M9" s="610"/>
      <c r="N9" s="637">
        <v>232000</v>
      </c>
      <c r="O9" s="628" t="str">
        <f t="shared" si="3"/>
        <v>※</v>
      </c>
      <c r="P9" s="612">
        <v>3</v>
      </c>
      <c r="Q9" s="611"/>
      <c r="R9" s="638" t="s">
        <v>512</v>
      </c>
    </row>
    <row r="10" spans="1:18" ht="39.950000000000003" customHeight="1">
      <c r="A10" s="613" t="s">
        <v>181</v>
      </c>
      <c r="B10" s="613"/>
      <c r="C10" s="614" t="e">
        <f>#REF!</f>
        <v>#REF!</v>
      </c>
      <c r="D10" s="615" t="e">
        <f>#REF!</f>
        <v>#REF!</v>
      </c>
      <c r="E10" s="616" t="e">
        <f>#REF!</f>
        <v>#REF!</v>
      </c>
      <c r="F10" s="616" t="e">
        <f>#REF!</f>
        <v>#REF!</v>
      </c>
      <c r="G10" s="617" t="e">
        <f>#REF!</f>
        <v>#REF!</v>
      </c>
      <c r="H10" s="606" t="e">
        <f>#REF!</f>
        <v>#REF!</v>
      </c>
      <c r="I10" s="607"/>
      <c r="J10" s="607"/>
      <c r="K10" s="608" t="e">
        <f t="shared" ref="K10:K11" si="4">H10/$J$15</f>
        <v>#REF!</v>
      </c>
      <c r="L10" s="611" t="e">
        <f t="shared" ref="L10" si="5">ROUNDDOWN($K$2*K10,-3)</f>
        <v>#REF!</v>
      </c>
      <c r="M10" s="610"/>
      <c r="N10" s="637"/>
      <c r="O10" s="627" t="e">
        <f t="shared" si="3"/>
        <v>#REF!</v>
      </c>
      <c r="P10" s="612"/>
      <c r="Q10" s="611"/>
      <c r="R10" s="638"/>
    </row>
    <row r="11" spans="1:18" ht="39.950000000000003" customHeight="1">
      <c r="A11" s="613" t="s">
        <v>501</v>
      </c>
      <c r="B11" s="613"/>
      <c r="C11" s="614" t="e">
        <f>SUM(C12:C13)</f>
        <v>#REF!</v>
      </c>
      <c r="D11" s="615" t="e">
        <f t="shared" ref="D11:H11" si="6">SUM(D12:D13)</f>
        <v>#REF!</v>
      </c>
      <c r="E11" s="616" t="e">
        <f t="shared" si="6"/>
        <v>#REF!</v>
      </c>
      <c r="F11" s="616" t="e">
        <f t="shared" si="6"/>
        <v>#REF!</v>
      </c>
      <c r="G11" s="617" t="e">
        <f t="shared" si="6"/>
        <v>#REF!</v>
      </c>
      <c r="H11" s="606" t="e">
        <f t="shared" si="6"/>
        <v>#REF!</v>
      </c>
      <c r="I11" s="607"/>
      <c r="J11" s="607"/>
      <c r="K11" s="608" t="e">
        <f t="shared" si="4"/>
        <v>#REF!</v>
      </c>
      <c r="L11" s="611" t="e">
        <f>ROUNDDOWN($K$2*K11,-3)</f>
        <v>#REF!</v>
      </c>
      <c r="M11" s="610"/>
      <c r="N11" s="637">
        <v>134000</v>
      </c>
      <c r="O11" s="627" t="e">
        <f t="shared" si="3"/>
        <v>#REF!</v>
      </c>
      <c r="P11" s="612">
        <v>2</v>
      </c>
      <c r="Q11" s="611" t="e">
        <f>O11/P11</f>
        <v>#REF!</v>
      </c>
      <c r="R11" s="638" t="s">
        <v>513</v>
      </c>
    </row>
    <row r="12" spans="1:18">
      <c r="B12" s="5" t="s">
        <v>502</v>
      </c>
      <c r="C12" s="619" t="e">
        <f>#REF!</f>
        <v>#REF!</v>
      </c>
      <c r="D12" s="620" t="e">
        <f>#REF!</f>
        <v>#REF!</v>
      </c>
      <c r="E12" s="174" t="e">
        <f>#REF!</f>
        <v>#REF!</v>
      </c>
      <c r="F12" s="174" t="e">
        <f>#REF!</f>
        <v>#REF!</v>
      </c>
      <c r="G12" s="619" t="e">
        <f>#REF!</f>
        <v>#REF!</v>
      </c>
      <c r="H12" s="620" t="e">
        <f>#REF!</f>
        <v>#REF!</v>
      </c>
      <c r="I12" s="621"/>
      <c r="J12" s="621"/>
      <c r="K12" s="610"/>
      <c r="L12" s="622"/>
      <c r="M12" s="610"/>
      <c r="N12" s="639"/>
      <c r="O12" s="629"/>
      <c r="P12" s="640"/>
      <c r="Q12" s="641"/>
      <c r="R12" s="642"/>
    </row>
    <row r="13" spans="1:18">
      <c r="B13" s="5" t="s">
        <v>503</v>
      </c>
      <c r="C13" s="619" t="e">
        <f>#REF!</f>
        <v>#REF!</v>
      </c>
      <c r="D13" s="620" t="e">
        <f>#REF!</f>
        <v>#REF!</v>
      </c>
      <c r="E13" s="174" t="e">
        <f>#REF!</f>
        <v>#REF!</v>
      </c>
      <c r="F13" s="174" t="e">
        <f>#REF!</f>
        <v>#REF!</v>
      </c>
      <c r="G13" s="619" t="e">
        <f>#REF!</f>
        <v>#REF!</v>
      </c>
      <c r="H13" s="620" t="e">
        <f>#REF!</f>
        <v>#REF!</v>
      </c>
      <c r="I13" s="621"/>
      <c r="J13" s="621"/>
      <c r="K13" s="610"/>
      <c r="L13" s="622"/>
      <c r="M13" s="610"/>
      <c r="N13" s="639"/>
      <c r="O13" s="629"/>
      <c r="P13" s="640"/>
      <c r="Q13" s="641"/>
      <c r="R13" s="642"/>
    </row>
    <row r="14" spans="1:18" ht="10.5" customHeight="1">
      <c r="K14" s="610"/>
      <c r="L14" s="622"/>
      <c r="M14" s="610"/>
      <c r="N14" s="639"/>
      <c r="O14" s="629"/>
      <c r="P14" s="640"/>
      <c r="Q14" s="641"/>
      <c r="R14" s="642"/>
    </row>
    <row r="15" spans="1:18">
      <c r="A15" s="601" t="s">
        <v>504</v>
      </c>
      <c r="B15" s="601"/>
      <c r="C15" s="604" t="e">
        <f>SUM(C4:C11)</f>
        <v>#REF!</v>
      </c>
      <c r="D15" s="604" t="e">
        <f t="shared" ref="D15:H15" si="7">SUM(D4:D11)</f>
        <v>#REF!</v>
      </c>
      <c r="E15" s="604" t="e">
        <f t="shared" si="7"/>
        <v>#REF!</v>
      </c>
      <c r="F15" s="604" t="e">
        <f t="shared" si="7"/>
        <v>#REF!</v>
      </c>
      <c r="G15" s="604" t="e">
        <f t="shared" si="7"/>
        <v>#REF!</v>
      </c>
      <c r="H15" s="604" t="e">
        <f t="shared" si="7"/>
        <v>#REF!</v>
      </c>
      <c r="I15" s="587"/>
      <c r="J15" s="645" t="e">
        <f>SUM(H4:H11)-H9</f>
        <v>#REF!</v>
      </c>
      <c r="K15" s="646">
        <v>1</v>
      </c>
      <c r="L15" s="609" t="e">
        <f>SUM(L4:L11)</f>
        <v>#REF!</v>
      </c>
      <c r="M15" s="601"/>
      <c r="N15" s="647"/>
      <c r="O15" s="651" t="e">
        <f>ROUNDDOWN(L4-N4,-3)</f>
        <v>#REF!</v>
      </c>
      <c r="P15" s="648"/>
      <c r="Q15" s="609"/>
      <c r="R15" s="649"/>
    </row>
    <row r="16" spans="1:18" ht="11.25" customHeight="1">
      <c r="K16" s="610"/>
      <c r="L16" s="622"/>
      <c r="M16" s="610"/>
      <c r="N16" s="639"/>
      <c r="O16" s="629"/>
      <c r="P16" s="640"/>
      <c r="Q16" s="641"/>
      <c r="R16" s="642"/>
    </row>
    <row r="17" spans="1:18" ht="39.950000000000003" customHeight="1">
      <c r="A17" s="623" t="s">
        <v>266</v>
      </c>
      <c r="B17" s="623"/>
      <c r="C17" s="632" t="e">
        <f>#REF!</f>
        <v>#REF!</v>
      </c>
      <c r="D17" s="632" t="e">
        <f>#REF!</f>
        <v>#REF!</v>
      </c>
      <c r="E17" s="632" t="e">
        <f>#REF!</f>
        <v>#REF!</v>
      </c>
      <c r="F17" s="632" t="e">
        <f>#REF!</f>
        <v>#REF!</v>
      </c>
      <c r="G17" s="632" t="e">
        <f>#REF!</f>
        <v>#REF!</v>
      </c>
      <c r="H17" s="632" t="e">
        <f>#REF!</f>
        <v>#REF!</v>
      </c>
      <c r="I17" s="623"/>
      <c r="J17" s="623"/>
      <c r="K17" s="623"/>
      <c r="L17" s="624"/>
      <c r="M17" s="623"/>
      <c r="N17" s="643">
        <v>813000</v>
      </c>
      <c r="O17" s="650"/>
      <c r="P17" s="625">
        <v>7</v>
      </c>
      <c r="Q17" s="624">
        <f>O17/P17</f>
        <v>0</v>
      </c>
      <c r="R17" s="644" t="s">
        <v>514</v>
      </c>
    </row>
    <row r="18" spans="1:18">
      <c r="O18" s="630"/>
    </row>
    <row r="19" spans="1:18" ht="14.25" thickBot="1">
      <c r="O19" s="631" t="e">
        <f>SUM(O4:O16)</f>
        <v>#REF!</v>
      </c>
    </row>
  </sheetData>
  <mergeCells count="5">
    <mergeCell ref="C1:D1"/>
    <mergeCell ref="E1:F1"/>
    <mergeCell ref="G1:H1"/>
    <mergeCell ref="K1:L1"/>
    <mergeCell ref="N1:R1"/>
  </mergeCells>
  <phoneticPr fontId="3"/>
  <pageMargins left="0.25" right="0.25" top="0.75" bottom="0.75" header="0.3" footer="0.3"/>
  <pageSetup paperSize="9" scale="79" orientation="landscape" r:id="rId1"/>
  <headerFooter>
    <oddHeader>&amp;C&amp;"HGPｺﾞｼｯｸM,ﾒﾃﾞｨｳﾑ"&amp;20&amp;A&amp;R&amp;D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opLeftCell="A4" workbookViewId="0">
      <selection activeCell="D24" sqref="D24"/>
    </sheetView>
  </sheetViews>
  <sheetFormatPr defaultColWidth="9" defaultRowHeight="13.5"/>
  <cols>
    <col min="1" max="1" width="29.375" style="5" customWidth="1"/>
    <col min="2" max="2" width="14.375" style="5" bestFit="1" customWidth="1"/>
    <col min="3" max="3" width="13.125" style="5" hidden="1" customWidth="1"/>
    <col min="4" max="4" width="12.875" style="5" bestFit="1" customWidth="1"/>
    <col min="5" max="5" width="1.375" style="17" customWidth="1"/>
    <col min="6" max="6" width="14.375" style="39" bestFit="1" customWidth="1"/>
    <col min="7" max="7" width="1.375" style="17" customWidth="1"/>
    <col min="8" max="8" width="14.625" style="40" customWidth="1"/>
    <col min="9" max="9" width="11.625" style="5" bestFit="1" customWidth="1"/>
    <col min="10" max="10" width="9" style="16"/>
    <col min="11" max="16384" width="9" style="5"/>
  </cols>
  <sheetData>
    <row r="1" spans="1:10" ht="21">
      <c r="A1" s="908" t="s">
        <v>339</v>
      </c>
      <c r="B1" s="908"/>
      <c r="C1" s="908"/>
      <c r="D1" s="908"/>
      <c r="E1" s="908"/>
      <c r="F1" s="908"/>
      <c r="G1" s="908"/>
      <c r="H1" s="908"/>
    </row>
    <row r="2" spans="1:10">
      <c r="A2" s="909" t="s">
        <v>340</v>
      </c>
      <c r="B2" s="909"/>
      <c r="C2" s="909"/>
      <c r="D2" s="909"/>
      <c r="E2" s="909"/>
      <c r="F2" s="909"/>
      <c r="G2" s="909"/>
      <c r="H2" s="909"/>
    </row>
    <row r="3" spans="1:10" ht="20.100000000000001" customHeight="1">
      <c r="A3" s="976" t="s">
        <v>55</v>
      </c>
      <c r="B3" s="978" t="s">
        <v>174</v>
      </c>
      <c r="C3" s="979"/>
      <c r="D3" s="980"/>
      <c r="E3" s="297"/>
      <c r="F3" s="319" t="s">
        <v>341</v>
      </c>
      <c r="H3" s="18" t="s">
        <v>56</v>
      </c>
      <c r="J3" s="17"/>
    </row>
    <row r="4" spans="1:10" ht="14.25">
      <c r="A4" s="977"/>
      <c r="B4" s="321" t="s">
        <v>345</v>
      </c>
      <c r="C4" s="322" t="s">
        <v>57</v>
      </c>
      <c r="D4" s="323" t="s">
        <v>333</v>
      </c>
      <c r="F4" s="320" t="s">
        <v>346</v>
      </c>
      <c r="H4" s="284" t="s">
        <v>58</v>
      </c>
      <c r="J4" s="17"/>
    </row>
    <row r="5" spans="1:10" ht="20.100000000000001" customHeight="1">
      <c r="A5" s="10" t="s">
        <v>7</v>
      </c>
      <c r="B5" s="6"/>
      <c r="C5" s="298"/>
      <c r="D5" s="290"/>
      <c r="F5" s="20"/>
      <c r="H5" s="21"/>
      <c r="J5" s="17"/>
    </row>
    <row r="6" spans="1:10" ht="15" customHeight="1">
      <c r="A6" s="22" t="s">
        <v>59</v>
      </c>
      <c r="B6" s="23">
        <f>②2016予算書!D18</f>
        <v>5000</v>
      </c>
      <c r="C6" s="287"/>
      <c r="D6" s="292">
        <f>②2016予算書!F18</f>
        <v>3000</v>
      </c>
      <c r="F6" s="24">
        <f>①ベース事業別内訳!L386</f>
        <v>3000</v>
      </c>
      <c r="H6" s="25">
        <f>F6-B6</f>
        <v>-2000</v>
      </c>
      <c r="I6" s="174">
        <f>F6-D6</f>
        <v>0</v>
      </c>
      <c r="J6" s="17"/>
    </row>
    <row r="7" spans="1:10" ht="15" customHeight="1">
      <c r="A7" s="26" t="s">
        <v>60</v>
      </c>
      <c r="B7" s="23">
        <f>②2016予算書!D7</f>
        <v>420000</v>
      </c>
      <c r="C7" s="288"/>
      <c r="D7" s="293">
        <f>②2016予算書!F7</f>
        <v>300000</v>
      </c>
      <c r="F7" s="28">
        <f>①ベース事業別内訳!L387</f>
        <v>0</v>
      </c>
      <c r="H7" s="29">
        <f t="shared" ref="H7:H23" si="0">F7-B7</f>
        <v>-420000</v>
      </c>
      <c r="I7" s="174">
        <f t="shared" ref="I7:I23" si="1">F7-D7</f>
        <v>-300000</v>
      </c>
      <c r="J7" s="17"/>
    </row>
    <row r="8" spans="1:10" ht="15" customHeight="1">
      <c r="A8" s="26" t="s">
        <v>61</v>
      </c>
      <c r="B8" s="23" t="e">
        <f>SUM(B9:B19)</f>
        <v>#REF!</v>
      </c>
      <c r="C8" s="288"/>
      <c r="D8" s="293" t="e">
        <f>SUM(D9:D19)</f>
        <v>#REF!</v>
      </c>
      <c r="F8" s="28">
        <f>SUM(F9:F19)</f>
        <v>204492560</v>
      </c>
      <c r="H8" s="29" t="e">
        <f>SUM(H9:H19)</f>
        <v>#REF!</v>
      </c>
      <c r="I8" s="174" t="e">
        <f t="shared" si="1"/>
        <v>#REF!</v>
      </c>
      <c r="J8" s="17" t="e">
        <f>F8/D8</f>
        <v>#REF!</v>
      </c>
    </row>
    <row r="9" spans="1:10" ht="15" customHeight="1">
      <c r="A9" s="23" t="s">
        <v>316</v>
      </c>
      <c r="B9" s="23">
        <f>②2016予算書!D13</f>
        <v>42000000</v>
      </c>
      <c r="C9" s="287"/>
      <c r="D9" s="293">
        <f>②2016予算書!F13</f>
        <v>132966000</v>
      </c>
      <c r="F9" s="24">
        <f>①ベース事業別内訳!L30</f>
        <v>44850000</v>
      </c>
      <c r="H9" s="25">
        <f t="shared" ref="H9:H16" si="2">F9-B9</f>
        <v>2850000</v>
      </c>
      <c r="I9" s="174">
        <f t="shared" si="1"/>
        <v>-88116000</v>
      </c>
      <c r="J9" s="17">
        <f t="shared" ref="J9:J22" si="3">F9/D9</f>
        <v>0.33730427327286677</v>
      </c>
    </row>
    <row r="10" spans="1:10" ht="15" customHeight="1">
      <c r="A10" s="27" t="s">
        <v>317</v>
      </c>
      <c r="B10" s="23">
        <f>②2016予算書!D14</f>
        <v>32140000</v>
      </c>
      <c r="C10" s="288"/>
      <c r="D10" s="293">
        <f>②2016予算書!F14</f>
        <v>41108000</v>
      </c>
      <c r="E10" s="32"/>
      <c r="F10" s="28">
        <f>①ベース事業別内訳!L57</f>
        <v>44954000</v>
      </c>
      <c r="H10" s="29">
        <f t="shared" si="2"/>
        <v>12814000</v>
      </c>
      <c r="I10" s="174">
        <f t="shared" si="1"/>
        <v>3846000</v>
      </c>
      <c r="J10" s="17">
        <f t="shared" si="3"/>
        <v>1.0935584314488664</v>
      </c>
    </row>
    <row r="11" spans="1:10" ht="15" customHeight="1">
      <c r="A11" s="27" t="s">
        <v>321</v>
      </c>
      <c r="B11" s="23">
        <f>②2016予算書!D16</f>
        <v>18960000</v>
      </c>
      <c r="C11" s="288"/>
      <c r="D11" s="293">
        <f>②2016予算書!F16</f>
        <v>64328000</v>
      </c>
      <c r="E11" s="32"/>
      <c r="F11" s="28">
        <f>①ベース事業別内訳!L83</f>
        <v>20800000</v>
      </c>
      <c r="H11" s="29">
        <f t="shared" si="2"/>
        <v>1840000</v>
      </c>
      <c r="I11" s="174">
        <f t="shared" si="1"/>
        <v>-43528000</v>
      </c>
      <c r="J11" s="17">
        <f t="shared" si="3"/>
        <v>0.32334286780251215</v>
      </c>
    </row>
    <row r="12" spans="1:10" ht="15" customHeight="1">
      <c r="A12" s="27" t="s">
        <v>318</v>
      </c>
      <c r="B12" s="23" t="e">
        <f>②2016予算書!#REF!</f>
        <v>#REF!</v>
      </c>
      <c r="C12" s="288"/>
      <c r="D12" s="293" t="e">
        <f>②2016予算書!#REF!</f>
        <v>#REF!</v>
      </c>
      <c r="E12" s="32"/>
      <c r="F12" s="28">
        <f>①ベース事業別内訳!L109</f>
        <v>17616000</v>
      </c>
      <c r="H12" s="29" t="e">
        <f t="shared" si="2"/>
        <v>#REF!</v>
      </c>
      <c r="I12" s="174" t="e">
        <f t="shared" si="1"/>
        <v>#REF!</v>
      </c>
      <c r="J12" s="17" t="e">
        <f t="shared" si="3"/>
        <v>#REF!</v>
      </c>
    </row>
    <row r="13" spans="1:10" ht="15" customHeight="1">
      <c r="A13" s="23" t="s">
        <v>319</v>
      </c>
      <c r="B13" s="23" t="e">
        <f>②2016予算書!#REF!</f>
        <v>#REF!</v>
      </c>
      <c r="C13" s="287"/>
      <c r="D13" s="293" t="e">
        <f>②2016予算書!#REF!</f>
        <v>#REF!</v>
      </c>
      <c r="E13" s="32"/>
      <c r="F13" s="24">
        <f>①ベース事業別内訳!L135</f>
        <v>20808000</v>
      </c>
      <c r="H13" s="25" t="e">
        <f>F13-B13</f>
        <v>#REF!</v>
      </c>
      <c r="I13" s="174" t="e">
        <f t="shared" si="1"/>
        <v>#REF!</v>
      </c>
      <c r="J13" s="17" t="e">
        <f t="shared" si="3"/>
        <v>#REF!</v>
      </c>
    </row>
    <row r="14" spans="1:10" ht="15" customHeight="1">
      <c r="A14" s="27" t="s">
        <v>320</v>
      </c>
      <c r="B14" s="23" t="e">
        <f>②2016予算書!#REF!</f>
        <v>#REF!</v>
      </c>
      <c r="C14" s="287"/>
      <c r="D14" s="293" t="e">
        <f>②2016予算書!#REF!</f>
        <v>#REF!</v>
      </c>
      <c r="E14" s="32"/>
      <c r="F14" s="24">
        <f>①ベース事業別内訳!L164</f>
        <v>30400000</v>
      </c>
      <c r="H14" s="25" t="e">
        <f t="shared" si="2"/>
        <v>#REF!</v>
      </c>
      <c r="I14" s="174" t="e">
        <f t="shared" si="1"/>
        <v>#REF!</v>
      </c>
      <c r="J14" s="17" t="e">
        <f t="shared" si="3"/>
        <v>#REF!</v>
      </c>
    </row>
    <row r="15" spans="1:10" ht="15" customHeight="1">
      <c r="A15" s="27" t="s">
        <v>63</v>
      </c>
      <c r="B15" s="23" t="e">
        <f>②2016予算書!#REF!</f>
        <v>#REF!</v>
      </c>
      <c r="C15" s="288"/>
      <c r="D15" s="293" t="e">
        <f>②2016予算書!#REF!</f>
        <v>#REF!</v>
      </c>
      <c r="F15" s="28">
        <f>①ベース事業別内訳!L245</f>
        <v>11160000</v>
      </c>
      <c r="H15" s="29" t="e">
        <f t="shared" si="2"/>
        <v>#REF!</v>
      </c>
      <c r="I15" s="174" t="e">
        <f t="shared" si="1"/>
        <v>#REF!</v>
      </c>
      <c r="J15" s="17" t="e">
        <f t="shared" si="3"/>
        <v>#REF!</v>
      </c>
    </row>
    <row r="16" spans="1:10" ht="15" customHeight="1">
      <c r="A16" s="27" t="s">
        <v>64</v>
      </c>
      <c r="B16" s="23" t="e">
        <f>②2016予算書!#REF!</f>
        <v>#REF!</v>
      </c>
      <c r="C16" s="288"/>
      <c r="D16" s="293" t="e">
        <f>②2016予算書!#REF!</f>
        <v>#REF!</v>
      </c>
      <c r="F16" s="28">
        <f>①ベース事業別内訳!L272</f>
        <v>9923000</v>
      </c>
      <c r="H16" s="29" t="e">
        <f t="shared" si="2"/>
        <v>#REF!</v>
      </c>
      <c r="I16" s="174" t="e">
        <f t="shared" si="1"/>
        <v>#REF!</v>
      </c>
      <c r="J16" s="17" t="e">
        <f t="shared" si="3"/>
        <v>#REF!</v>
      </c>
    </row>
    <row r="17" spans="1:11" ht="15" customHeight="1">
      <c r="A17" s="23" t="s">
        <v>62</v>
      </c>
      <c r="B17" s="23" t="e">
        <f>②2016予算書!#REF!</f>
        <v>#REF!</v>
      </c>
      <c r="C17" s="287"/>
      <c r="D17" s="293" t="e">
        <f>②2016予算書!#REF!</f>
        <v>#REF!</v>
      </c>
      <c r="F17" s="24">
        <f>①ベース事業別内訳!L305</f>
        <v>429000</v>
      </c>
      <c r="H17" s="25" t="e">
        <f t="shared" si="0"/>
        <v>#REF!</v>
      </c>
      <c r="I17" s="174" t="e">
        <f t="shared" si="1"/>
        <v>#REF!</v>
      </c>
      <c r="J17" s="17" t="e">
        <f t="shared" si="3"/>
        <v>#REF!</v>
      </c>
    </row>
    <row r="18" spans="1:11" ht="15" customHeight="1">
      <c r="A18" s="27" t="s">
        <v>175</v>
      </c>
      <c r="B18" s="23" t="e">
        <f>②2016予算書!#REF!</f>
        <v>#REF!</v>
      </c>
      <c r="C18" s="288"/>
      <c r="D18" s="293" t="e">
        <f>②2016予算書!#REF!</f>
        <v>#REF!</v>
      </c>
      <c r="F18" s="28">
        <f>①ベース事業別内訳!L342</f>
        <v>900000</v>
      </c>
      <c r="H18" s="29" t="e">
        <f t="shared" si="0"/>
        <v>#REF!</v>
      </c>
      <c r="I18" s="174" t="e">
        <f t="shared" si="1"/>
        <v>#REF!</v>
      </c>
      <c r="J18" s="17" t="e">
        <f t="shared" si="3"/>
        <v>#REF!</v>
      </c>
    </row>
    <row r="19" spans="1:11" ht="15" customHeight="1">
      <c r="A19" s="27" t="s">
        <v>65</v>
      </c>
      <c r="B19" s="23" t="e">
        <f>②2016予算書!#REF!</f>
        <v>#REF!</v>
      </c>
      <c r="C19" s="288"/>
      <c r="D19" s="293" t="e">
        <f>②2016予算書!#REF!</f>
        <v>#REF!</v>
      </c>
      <c r="F19" s="28">
        <f>①ベース事業別内訳!L358</f>
        <v>2652560</v>
      </c>
      <c r="H19" s="29" t="e">
        <f t="shared" si="0"/>
        <v>#REF!</v>
      </c>
      <c r="I19" s="174" t="e">
        <f t="shared" si="1"/>
        <v>#REF!</v>
      </c>
      <c r="J19" s="17" t="e">
        <f t="shared" si="3"/>
        <v>#REF!</v>
      </c>
    </row>
    <row r="20" spans="1:11" ht="15" customHeight="1">
      <c r="A20" s="26" t="s">
        <v>66</v>
      </c>
      <c r="B20" s="23">
        <f>②2016予算書!D9</f>
        <v>600000</v>
      </c>
      <c r="C20" s="288"/>
      <c r="D20" s="293">
        <f>②2016予算書!F9</f>
        <v>500000</v>
      </c>
      <c r="E20" s="32"/>
      <c r="F20" s="28">
        <f>①ベース事業別内訳!L389</f>
        <v>420000</v>
      </c>
      <c r="H20" s="29">
        <f t="shared" si="0"/>
        <v>-180000</v>
      </c>
      <c r="I20" s="174">
        <f t="shared" si="1"/>
        <v>-80000</v>
      </c>
      <c r="J20" s="17">
        <f t="shared" si="3"/>
        <v>0.84</v>
      </c>
    </row>
    <row r="21" spans="1:11" ht="15" customHeight="1">
      <c r="A21" s="26" t="s">
        <v>67</v>
      </c>
      <c r="B21" s="23">
        <f>②2016予算書!D11</f>
        <v>4000000</v>
      </c>
      <c r="C21" s="288"/>
      <c r="D21" s="293">
        <f>②2016予算書!F11</f>
        <v>2000000</v>
      </c>
      <c r="E21" s="32"/>
      <c r="F21" s="28">
        <f>①ベース事業別内訳!L388</f>
        <v>2000000</v>
      </c>
      <c r="H21" s="29">
        <f t="shared" si="0"/>
        <v>-2000000</v>
      </c>
      <c r="I21" s="174">
        <f t="shared" si="1"/>
        <v>0</v>
      </c>
      <c r="J21" s="17">
        <f t="shared" si="3"/>
        <v>1</v>
      </c>
    </row>
    <row r="22" spans="1:11" ht="15" customHeight="1">
      <c r="A22" s="33" t="s">
        <v>68</v>
      </c>
      <c r="B22" s="219">
        <f>②2016予算書!D20</f>
        <v>600000</v>
      </c>
      <c r="C22" s="296"/>
      <c r="D22" s="294">
        <f>②2016予算書!F19</f>
        <v>1000000</v>
      </c>
      <c r="E22" s="32"/>
      <c r="F22" s="34">
        <f>①ベース事業別内訳!L390</f>
        <v>1000000</v>
      </c>
      <c r="H22" s="35">
        <f t="shared" si="0"/>
        <v>400000</v>
      </c>
      <c r="I22" s="174">
        <f t="shared" si="1"/>
        <v>0</v>
      </c>
      <c r="J22" s="17">
        <f t="shared" si="3"/>
        <v>1</v>
      </c>
    </row>
    <row r="23" spans="1:11" ht="20.100000000000001" customHeight="1">
      <c r="A23" s="306" t="s">
        <v>25</v>
      </c>
      <c r="B23" s="307">
        <f>②2016予算書!D21</f>
        <v>98725000</v>
      </c>
      <c r="C23" s="316">
        <f>C6+C7+C8+C20+C21+C22</f>
        <v>0</v>
      </c>
      <c r="D23" s="317">
        <f>②2016予算書!F21</f>
        <v>0</v>
      </c>
      <c r="E23" s="32"/>
      <c r="F23" s="314">
        <f>F6+F7+F8+F20+F21+F22</f>
        <v>207915560</v>
      </c>
      <c r="H23" s="36">
        <f t="shared" si="0"/>
        <v>109190560</v>
      </c>
      <c r="I23" s="174">
        <f t="shared" si="1"/>
        <v>207915560</v>
      </c>
      <c r="J23" s="17" t="e">
        <f>F23/D23</f>
        <v>#DIV/0!</v>
      </c>
    </row>
    <row r="24" spans="1:11" ht="14.25">
      <c r="A24" s="302"/>
      <c r="B24" s="311"/>
      <c r="C24" s="304"/>
      <c r="D24" s="318"/>
      <c r="E24" s="32"/>
      <c r="F24" s="315"/>
      <c r="H24" s="35"/>
    </row>
    <row r="25" spans="1:11" ht="20.100000000000001" customHeight="1">
      <c r="A25" s="10" t="s">
        <v>26</v>
      </c>
      <c r="B25" s="6"/>
      <c r="C25" s="298"/>
      <c r="D25" s="290"/>
      <c r="F25" s="30"/>
      <c r="H25" s="31"/>
    </row>
    <row r="26" spans="1:11" ht="15" customHeight="1">
      <c r="A26" s="11" t="s">
        <v>69</v>
      </c>
      <c r="B26" s="6"/>
      <c r="C26" s="295"/>
      <c r="D26" s="291"/>
      <c r="F26" s="30"/>
      <c r="H26" s="31"/>
    </row>
    <row r="27" spans="1:11" ht="15" customHeight="1">
      <c r="A27" s="23" t="s">
        <v>316</v>
      </c>
      <c r="B27" s="23" t="e">
        <f>②2016予算書!#REF!</f>
        <v>#REF!</v>
      </c>
      <c r="C27" s="287"/>
      <c r="D27" s="292" t="e">
        <f>②2016予算書!#REF!</f>
        <v>#REF!</v>
      </c>
      <c r="F27" s="24">
        <f>①ベース事業別内訳!M30</f>
        <v>37846000</v>
      </c>
      <c r="H27" s="25" t="e">
        <f t="shared" ref="H27:H34" si="4">F27-B27</f>
        <v>#REF!</v>
      </c>
      <c r="I27" s="174" t="e">
        <f>F27-D27</f>
        <v>#REF!</v>
      </c>
      <c r="K27" s="16"/>
    </row>
    <row r="28" spans="1:11" ht="15" customHeight="1">
      <c r="A28" s="27" t="s">
        <v>317</v>
      </c>
      <c r="B28" s="27" t="e">
        <f>②2016予算書!#REF!</f>
        <v>#REF!</v>
      </c>
      <c r="C28" s="288"/>
      <c r="D28" s="293" t="e">
        <f>②2016予算書!#REF!</f>
        <v>#REF!</v>
      </c>
      <c r="F28" s="28">
        <f>①ベース事業別内訳!M57</f>
        <v>29068000</v>
      </c>
      <c r="H28" s="29" t="e">
        <f t="shared" si="4"/>
        <v>#REF!</v>
      </c>
      <c r="I28" s="174" t="e">
        <f t="shared" ref="I28:I37" si="5">F28-D28</f>
        <v>#REF!</v>
      </c>
    </row>
    <row r="29" spans="1:11" ht="15" customHeight="1">
      <c r="A29" s="27" t="s">
        <v>321</v>
      </c>
      <c r="B29" s="27" t="e">
        <f>②2016予算書!#REF!</f>
        <v>#REF!</v>
      </c>
      <c r="C29" s="288"/>
      <c r="D29" s="293" t="e">
        <f>②2016予算書!#REF!</f>
        <v>#REF!</v>
      </c>
      <c r="F29" s="28">
        <f>①ベース事業別内訳!M83</f>
        <v>12699000</v>
      </c>
      <c r="H29" s="29" t="e">
        <f t="shared" si="4"/>
        <v>#REF!</v>
      </c>
      <c r="I29" s="174" t="e">
        <f t="shared" si="5"/>
        <v>#REF!</v>
      </c>
    </row>
    <row r="30" spans="1:11" ht="15" customHeight="1">
      <c r="A30" s="27" t="s">
        <v>318</v>
      </c>
      <c r="B30" s="27" t="e">
        <f>②2016予算書!#REF!</f>
        <v>#REF!</v>
      </c>
      <c r="C30" s="288"/>
      <c r="D30" s="293" t="e">
        <f>②2016予算書!#REF!</f>
        <v>#REF!</v>
      </c>
      <c r="F30" s="28">
        <f>①ベース事業別内訳!M109</f>
        <v>13112000</v>
      </c>
      <c r="H30" s="29" t="e">
        <f t="shared" si="4"/>
        <v>#REF!</v>
      </c>
      <c r="I30" s="174" t="e">
        <f t="shared" si="5"/>
        <v>#REF!</v>
      </c>
    </row>
    <row r="31" spans="1:11" ht="15" customHeight="1">
      <c r="A31" s="23" t="s">
        <v>319</v>
      </c>
      <c r="B31" s="27" t="e">
        <f>②2016予算書!#REF!</f>
        <v>#REF!</v>
      </c>
      <c r="C31" s="287"/>
      <c r="D31" s="293" t="e">
        <f>②2016予算書!#REF!</f>
        <v>#REF!</v>
      </c>
      <c r="F31" s="24">
        <f>①ベース事業別内訳!M135</f>
        <v>17733000</v>
      </c>
      <c r="H31" s="25" t="e">
        <f t="shared" si="4"/>
        <v>#REF!</v>
      </c>
      <c r="I31" s="174" t="e">
        <f t="shared" si="5"/>
        <v>#REF!</v>
      </c>
      <c r="K31" s="16"/>
    </row>
    <row r="32" spans="1:11" ht="15" customHeight="1">
      <c r="A32" s="27" t="s">
        <v>320</v>
      </c>
      <c r="B32" s="27" t="e">
        <f>②2016予算書!#REF!</f>
        <v>#REF!</v>
      </c>
      <c r="C32" s="295"/>
      <c r="D32" s="325" t="e">
        <f>②2016予算書!#REF!</f>
        <v>#REF!</v>
      </c>
      <c r="E32" s="326"/>
      <c r="F32" s="28">
        <f>①ベース事業別内訳!M164</f>
        <v>29044000</v>
      </c>
      <c r="H32" s="29" t="e">
        <f t="shared" si="4"/>
        <v>#REF!</v>
      </c>
      <c r="I32" s="174" t="e">
        <f t="shared" si="5"/>
        <v>#REF!</v>
      </c>
      <c r="K32" s="16"/>
    </row>
    <row r="33" spans="1:11" ht="15" customHeight="1">
      <c r="A33" s="23" t="s">
        <v>63</v>
      </c>
      <c r="B33" s="23" t="e">
        <f>②2016予算書!#REF!</f>
        <v>#REF!</v>
      </c>
      <c r="C33" s="287"/>
      <c r="D33" s="292" t="e">
        <f>②2016予算書!#REF!</f>
        <v>#REF!</v>
      </c>
      <c r="F33" s="24">
        <f>①ベース事業別内訳!M245</f>
        <v>10104000</v>
      </c>
      <c r="H33" s="25" t="e">
        <f t="shared" si="4"/>
        <v>#REF!</v>
      </c>
      <c r="I33" s="174" t="e">
        <f t="shared" si="5"/>
        <v>#REF!</v>
      </c>
      <c r="K33" s="16"/>
    </row>
    <row r="34" spans="1:11" ht="15" customHeight="1">
      <c r="A34" s="27" t="s">
        <v>64</v>
      </c>
      <c r="B34" s="27" t="e">
        <f>②2016予算書!#REF!</f>
        <v>#REF!</v>
      </c>
      <c r="C34" s="288"/>
      <c r="D34" s="293" t="e">
        <f>②2016予算書!#REF!</f>
        <v>#REF!</v>
      </c>
      <c r="F34" s="28">
        <f>①ベース事業別内訳!M272</f>
        <v>6466000</v>
      </c>
      <c r="H34" s="29" t="e">
        <f t="shared" si="4"/>
        <v>#REF!</v>
      </c>
      <c r="I34" s="174" t="e">
        <f t="shared" si="5"/>
        <v>#REF!</v>
      </c>
      <c r="K34" s="16"/>
    </row>
    <row r="35" spans="1:11" ht="15" customHeight="1">
      <c r="A35" s="23" t="s">
        <v>62</v>
      </c>
      <c r="B35" s="6" t="e">
        <f>②2016予算書!#REF!</f>
        <v>#REF!</v>
      </c>
      <c r="C35" s="287"/>
      <c r="D35" s="292" t="e">
        <f>②2016予算書!#REF!</f>
        <v>#REF!</v>
      </c>
      <c r="F35" s="24">
        <f>①ベース事業別内訳!M305</f>
        <v>348000</v>
      </c>
      <c r="H35" s="25" t="e">
        <f t="shared" ref="H35:H37" si="6">F35-B35</f>
        <v>#REF!</v>
      </c>
      <c r="I35" s="174" t="e">
        <f t="shared" si="5"/>
        <v>#REF!</v>
      </c>
      <c r="K35" s="16"/>
    </row>
    <row r="36" spans="1:11" ht="15" customHeight="1">
      <c r="A36" s="27" t="s">
        <v>175</v>
      </c>
      <c r="B36" s="27" t="e">
        <f>②2016予算書!#REF!</f>
        <v>#REF!</v>
      </c>
      <c r="C36" s="288"/>
      <c r="D36" s="293" t="e">
        <f>②2016予算書!#REF!</f>
        <v>#REF!</v>
      </c>
      <c r="F36" s="24">
        <f>①ベース事業別内訳!M342</f>
        <v>400000</v>
      </c>
      <c r="H36" s="25" t="e">
        <f t="shared" si="6"/>
        <v>#REF!</v>
      </c>
      <c r="I36" s="174" t="e">
        <f t="shared" si="5"/>
        <v>#REF!</v>
      </c>
      <c r="K36" s="16"/>
    </row>
    <row r="37" spans="1:11" ht="15" customHeight="1">
      <c r="A37" s="219" t="s">
        <v>65</v>
      </c>
      <c r="B37" s="219" t="e">
        <f>②2016予算書!#REF!</f>
        <v>#REF!</v>
      </c>
      <c r="C37" s="288"/>
      <c r="D37" s="294" t="e">
        <f>②2016予算書!#REF!</f>
        <v>#REF!</v>
      </c>
      <c r="E37" s="328"/>
      <c r="F37" s="278">
        <f>①ベース事業別内訳!M358</f>
        <v>1590000</v>
      </c>
      <c r="H37" s="279" t="e">
        <f t="shared" si="6"/>
        <v>#REF!</v>
      </c>
      <c r="I37" s="174" t="e">
        <f t="shared" si="5"/>
        <v>#REF!</v>
      </c>
      <c r="K37" s="16"/>
    </row>
    <row r="38" spans="1:11" ht="20.100000000000001" customHeight="1">
      <c r="A38" s="311" t="s">
        <v>70</v>
      </c>
      <c r="B38" s="327" t="e">
        <f>SUM(B27:B37)</f>
        <v>#REF!</v>
      </c>
      <c r="C38" s="304">
        <f>SUM(C36:C37)</f>
        <v>0</v>
      </c>
      <c r="D38" s="318" t="e">
        <f>SUM(D27:D37)</f>
        <v>#REF!</v>
      </c>
      <c r="E38" s="37"/>
      <c r="F38" s="313">
        <f>SUM(F27:F37)</f>
        <v>158410000</v>
      </c>
      <c r="H38" s="35" t="e">
        <f>SUM(H36:H37)</f>
        <v>#REF!</v>
      </c>
    </row>
    <row r="39" spans="1:11" s="41" customFormat="1" ht="14.25">
      <c r="A39" s="38"/>
      <c r="B39" s="38"/>
      <c r="C39" s="38"/>
      <c r="D39" s="285"/>
      <c r="E39" s="37"/>
      <c r="F39" s="39"/>
      <c r="G39" s="17"/>
      <c r="H39" s="40"/>
      <c r="J39" s="17"/>
    </row>
    <row r="40" spans="1:11" ht="14.25">
      <c r="A40" s="42" t="s">
        <v>28</v>
      </c>
      <c r="B40" s="42"/>
      <c r="C40" s="286"/>
      <c r="D40" s="290"/>
      <c r="F40" s="20"/>
      <c r="H40" s="21"/>
    </row>
    <row r="41" spans="1:11" ht="15" customHeight="1">
      <c r="A41" s="23" t="s">
        <v>29</v>
      </c>
      <c r="B41" s="23">
        <f>②2016予算書!D53</f>
        <v>21600000</v>
      </c>
      <c r="C41" s="287"/>
      <c r="D41" s="292">
        <f>②2016予算書!F53</f>
        <v>6683000</v>
      </c>
      <c r="F41" s="24">
        <f>①ベース事業別内訳!M392</f>
        <v>11301000</v>
      </c>
      <c r="H41" s="25">
        <f t="shared" ref="H41:H67" si="7">F41-B41</f>
        <v>-10299000</v>
      </c>
    </row>
    <row r="42" spans="1:11" ht="15" customHeight="1">
      <c r="A42" s="27" t="s">
        <v>30</v>
      </c>
      <c r="B42" s="23">
        <f>②2016予算書!D54</f>
        <v>11021000</v>
      </c>
      <c r="C42" s="288"/>
      <c r="D42" s="293">
        <f>②2016予算書!F54</f>
        <v>12691000</v>
      </c>
      <c r="F42" s="24">
        <f>①ベース事業別内訳!M393</f>
        <v>12691000</v>
      </c>
      <c r="H42" s="29">
        <f t="shared" si="7"/>
        <v>1670000</v>
      </c>
    </row>
    <row r="43" spans="1:11" ht="15" customHeight="1">
      <c r="A43" s="27" t="s">
        <v>31</v>
      </c>
      <c r="B43" s="23">
        <f>②2016予算書!D55</f>
        <v>1000000</v>
      </c>
      <c r="C43" s="288"/>
      <c r="D43" s="293">
        <f>②2016予算書!F55</f>
        <v>895000</v>
      </c>
      <c r="F43" s="24">
        <f>①ベース事業別内訳!M394</f>
        <v>895000</v>
      </c>
      <c r="H43" s="29">
        <f t="shared" si="7"/>
        <v>-105000</v>
      </c>
    </row>
    <row r="44" spans="1:11" ht="15" customHeight="1">
      <c r="A44" s="27" t="s">
        <v>32</v>
      </c>
      <c r="B44" s="23">
        <f>②2016予算書!D57</f>
        <v>500000</v>
      </c>
      <c r="C44" s="288"/>
      <c r="D44" s="293">
        <f>②2016予算書!F57</f>
        <v>0</v>
      </c>
      <c r="F44" s="24">
        <f>①ベース事業別内訳!M395</f>
        <v>0</v>
      </c>
      <c r="H44" s="29">
        <f t="shared" si="7"/>
        <v>-500000</v>
      </c>
    </row>
    <row r="45" spans="1:11" ht="15" customHeight="1">
      <c r="A45" s="27" t="s">
        <v>33</v>
      </c>
      <c r="B45" s="23">
        <f>②2016予算書!D58</f>
        <v>700000</v>
      </c>
      <c r="C45" s="288"/>
      <c r="D45" s="293">
        <f>②2016予算書!F58</f>
        <v>675000</v>
      </c>
      <c r="F45" s="24">
        <f>①ベース事業別内訳!M396</f>
        <v>675000</v>
      </c>
      <c r="H45" s="29">
        <f t="shared" si="7"/>
        <v>-25000</v>
      </c>
    </row>
    <row r="46" spans="1:11" ht="15" customHeight="1">
      <c r="A46" s="27" t="s">
        <v>34</v>
      </c>
      <c r="B46" s="23">
        <f>②2016予算書!D59</f>
        <v>6027000</v>
      </c>
      <c r="C46" s="288"/>
      <c r="D46" s="293">
        <f>②2016予算書!F59</f>
        <v>180000</v>
      </c>
      <c r="F46" s="24">
        <f>①ベース事業別内訳!M397</f>
        <v>180000</v>
      </c>
      <c r="H46" s="29">
        <f t="shared" si="7"/>
        <v>-5847000</v>
      </c>
    </row>
    <row r="47" spans="1:11" ht="15" customHeight="1">
      <c r="A47" s="27" t="s">
        <v>35</v>
      </c>
      <c r="B47" s="23">
        <f>②2016予算書!D60</f>
        <v>2000000</v>
      </c>
      <c r="C47" s="288"/>
      <c r="D47" s="293">
        <f>②2016予算書!F60</f>
        <v>2236000</v>
      </c>
      <c r="F47" s="24">
        <f>①ベース事業別内訳!M398</f>
        <v>2236000</v>
      </c>
      <c r="H47" s="29">
        <f t="shared" si="7"/>
        <v>236000</v>
      </c>
    </row>
    <row r="48" spans="1:11" ht="15" customHeight="1">
      <c r="A48" s="27" t="s">
        <v>36</v>
      </c>
      <c r="B48" s="23">
        <f>②2016予算書!D61</f>
        <v>100000</v>
      </c>
      <c r="C48" s="288"/>
      <c r="D48" s="293">
        <f>②2016予算書!F61</f>
        <v>304000</v>
      </c>
      <c r="F48" s="24">
        <f>①ベース事業別内訳!M399</f>
        <v>304000</v>
      </c>
      <c r="H48" s="29">
        <f t="shared" si="7"/>
        <v>204000</v>
      </c>
    </row>
    <row r="49" spans="1:8" ht="15" customHeight="1">
      <c r="A49" s="27" t="s">
        <v>37</v>
      </c>
      <c r="B49" s="23">
        <f>②2016予算書!D62</f>
        <v>550000</v>
      </c>
      <c r="C49" s="288"/>
      <c r="D49" s="293">
        <f>②2016予算書!F62</f>
        <v>110000</v>
      </c>
      <c r="F49" s="24">
        <f>①ベース事業別内訳!M400</f>
        <v>110000</v>
      </c>
      <c r="H49" s="29">
        <f t="shared" si="7"/>
        <v>-440000</v>
      </c>
    </row>
    <row r="50" spans="1:8" ht="15" customHeight="1">
      <c r="A50" s="27" t="s">
        <v>38</v>
      </c>
      <c r="B50" s="23">
        <f>②2016予算書!D63</f>
        <v>1000000</v>
      </c>
      <c r="C50" s="288"/>
      <c r="D50" s="293">
        <f>②2016予算書!F63</f>
        <v>7000</v>
      </c>
      <c r="F50" s="24">
        <f>①ベース事業別内訳!M401</f>
        <v>7000</v>
      </c>
      <c r="H50" s="29">
        <f t="shared" si="7"/>
        <v>-993000</v>
      </c>
    </row>
    <row r="51" spans="1:8" ht="15" customHeight="1">
      <c r="A51" s="27" t="s">
        <v>39</v>
      </c>
      <c r="B51" s="23">
        <f>②2016予算書!D64</f>
        <v>650000</v>
      </c>
      <c r="C51" s="288"/>
      <c r="D51" s="293">
        <f>②2016予算書!F64</f>
        <v>400000</v>
      </c>
      <c r="F51" s="24">
        <f>①ベース事業別内訳!M402</f>
        <v>400000</v>
      </c>
      <c r="H51" s="29">
        <f t="shared" si="7"/>
        <v>-250000</v>
      </c>
    </row>
    <row r="52" spans="1:8" ht="15" customHeight="1">
      <c r="A52" s="27" t="s">
        <v>40</v>
      </c>
      <c r="B52" s="23">
        <f>②2016予算書!D65</f>
        <v>2853000</v>
      </c>
      <c r="C52" s="288"/>
      <c r="D52" s="293">
        <f>②2016予算書!F65</f>
        <v>2748000</v>
      </c>
      <c r="F52" s="24">
        <f>①ベース事業別内訳!M403</f>
        <v>2748000</v>
      </c>
      <c r="H52" s="29">
        <f t="shared" si="7"/>
        <v>-105000</v>
      </c>
    </row>
    <row r="53" spans="1:8" ht="15" customHeight="1">
      <c r="A53" s="27" t="s">
        <v>41</v>
      </c>
      <c r="B53" s="23">
        <f>②2016予算書!D66</f>
        <v>3000000</v>
      </c>
      <c r="C53" s="288"/>
      <c r="D53" s="293">
        <f>②2016予算書!F66</f>
        <v>0</v>
      </c>
      <c r="F53" s="24">
        <f>①ベース事業別内訳!M404</f>
        <v>0</v>
      </c>
      <c r="H53" s="29">
        <f t="shared" si="7"/>
        <v>-3000000</v>
      </c>
    </row>
    <row r="54" spans="1:8" ht="15" customHeight="1">
      <c r="A54" s="27" t="s">
        <v>42</v>
      </c>
      <c r="B54" s="23">
        <f>②2016予算書!D67</f>
        <v>500000</v>
      </c>
      <c r="C54" s="288"/>
      <c r="D54" s="293">
        <f>②2016予算書!F67</f>
        <v>811000</v>
      </c>
      <c r="F54" s="24">
        <f>①ベース事業別内訳!M405</f>
        <v>811000</v>
      </c>
      <c r="H54" s="29">
        <f t="shared" si="7"/>
        <v>311000</v>
      </c>
    </row>
    <row r="55" spans="1:8" ht="15" customHeight="1">
      <c r="A55" s="27" t="s">
        <v>43</v>
      </c>
      <c r="B55" s="23">
        <f>②2016予算書!D68</f>
        <v>600000</v>
      </c>
      <c r="C55" s="288"/>
      <c r="D55" s="293">
        <f>②2016予算書!F68</f>
        <v>975000</v>
      </c>
      <c r="F55" s="24">
        <f>①ベース事業別内訳!M406</f>
        <v>975000</v>
      </c>
      <c r="H55" s="29">
        <f t="shared" si="7"/>
        <v>375000</v>
      </c>
    </row>
    <row r="56" spans="1:8" ht="15" customHeight="1">
      <c r="A56" s="27" t="s">
        <v>44</v>
      </c>
      <c r="B56" s="23">
        <f>②2016予算書!D69</f>
        <v>200000</v>
      </c>
      <c r="C56" s="288"/>
      <c r="D56" s="293">
        <f>②2016予算書!F69</f>
        <v>0</v>
      </c>
      <c r="F56" s="24">
        <f>①ベース事業別内訳!M407</f>
        <v>0</v>
      </c>
      <c r="H56" s="29">
        <f t="shared" si="7"/>
        <v>-200000</v>
      </c>
    </row>
    <row r="57" spans="1:8" ht="15" customHeight="1">
      <c r="A57" s="27" t="s">
        <v>45</v>
      </c>
      <c r="B57" s="23">
        <f>②2016予算書!D70</f>
        <v>80000</v>
      </c>
      <c r="C57" s="288"/>
      <c r="D57" s="293">
        <f>②2016予算書!F70</f>
        <v>25000</v>
      </c>
      <c r="F57" s="24">
        <f>①ベース事業別内訳!M408</f>
        <v>25000</v>
      </c>
      <c r="H57" s="29">
        <f t="shared" si="7"/>
        <v>-55000</v>
      </c>
    </row>
    <row r="58" spans="1:8" ht="15" customHeight="1">
      <c r="A58" s="27" t="s">
        <v>46</v>
      </c>
      <c r="B58" s="23">
        <f>②2016予算書!D71</f>
        <v>1500000</v>
      </c>
      <c r="C58" s="288"/>
      <c r="D58" s="293">
        <f>②2016予算書!F71</f>
        <v>204000</v>
      </c>
      <c r="F58" s="24">
        <f>①ベース事業別内訳!M409</f>
        <v>204000</v>
      </c>
      <c r="H58" s="29">
        <f t="shared" si="7"/>
        <v>-1296000</v>
      </c>
    </row>
    <row r="59" spans="1:8" ht="15" customHeight="1">
      <c r="A59" s="27" t="s">
        <v>47</v>
      </c>
      <c r="B59" s="23">
        <f>②2016予算書!D73</f>
        <v>50000</v>
      </c>
      <c r="C59" s="288"/>
      <c r="D59" s="293">
        <f>②2016予算書!F73</f>
        <v>199000</v>
      </c>
      <c r="F59" s="24">
        <f>①ベース事業別内訳!M411</f>
        <v>199000</v>
      </c>
      <c r="H59" s="29">
        <f t="shared" si="7"/>
        <v>149000</v>
      </c>
    </row>
    <row r="60" spans="1:8" ht="15" customHeight="1">
      <c r="A60" s="27" t="s">
        <v>48</v>
      </c>
      <c r="B60" s="23">
        <f>②2016予算書!D74</f>
        <v>50000</v>
      </c>
      <c r="C60" s="288"/>
      <c r="D60" s="293">
        <f>②2016予算書!F74</f>
        <v>108000</v>
      </c>
      <c r="F60" s="24">
        <f>①ベース事業別内訳!M412</f>
        <v>108000</v>
      </c>
      <c r="H60" s="29">
        <f t="shared" si="7"/>
        <v>58000</v>
      </c>
    </row>
    <row r="61" spans="1:8" ht="15" customHeight="1">
      <c r="A61" s="27" t="s">
        <v>49</v>
      </c>
      <c r="B61" s="23">
        <f>②2016予算書!D75</f>
        <v>2184000</v>
      </c>
      <c r="C61" s="288"/>
      <c r="D61" s="293">
        <f>②2016予算書!F75</f>
        <v>1428000</v>
      </c>
      <c r="F61" s="24">
        <f>①ベース事業別内訳!M413</f>
        <v>1428000</v>
      </c>
      <c r="H61" s="29">
        <f t="shared" si="7"/>
        <v>-756000</v>
      </c>
    </row>
    <row r="62" spans="1:8" ht="15" customHeight="1">
      <c r="A62" s="27" t="s">
        <v>50</v>
      </c>
      <c r="B62" s="23">
        <f>②2016予算書!D76</f>
        <v>1100000</v>
      </c>
      <c r="C62" s="288"/>
      <c r="D62" s="293">
        <f>②2016予算書!F76</f>
        <v>624000</v>
      </c>
      <c r="F62" s="24">
        <f>①ベース事業別内訳!M414</f>
        <v>624000</v>
      </c>
      <c r="H62" s="29">
        <f t="shared" si="7"/>
        <v>-476000</v>
      </c>
    </row>
    <row r="63" spans="1:8" ht="15" customHeight="1">
      <c r="A63" s="27" t="s">
        <v>51</v>
      </c>
      <c r="B63" s="23">
        <f>②2016予算書!D78</f>
        <v>10000000</v>
      </c>
      <c r="C63" s="288"/>
      <c r="D63" s="293">
        <f>②2016予算書!F78</f>
        <v>1548000</v>
      </c>
      <c r="F63" s="24">
        <f>①ベース事業別内訳!M417</f>
        <v>1548000</v>
      </c>
      <c r="H63" s="29">
        <f t="shared" si="7"/>
        <v>-8452000</v>
      </c>
    </row>
    <row r="64" spans="1:8" ht="15" customHeight="1">
      <c r="A64" s="27" t="s">
        <v>52</v>
      </c>
      <c r="B64" s="23">
        <f>②2016予算書!D79</f>
        <v>0</v>
      </c>
      <c r="C64" s="288"/>
      <c r="D64" s="293">
        <f>②2016予算書!F79</f>
        <v>3000000</v>
      </c>
      <c r="F64" s="24">
        <f>①ベース事業別内訳!M420</f>
        <v>0</v>
      </c>
      <c r="H64" s="29">
        <f t="shared" si="7"/>
        <v>0</v>
      </c>
    </row>
    <row r="65" spans="1:10" ht="15" customHeight="1">
      <c r="A65" s="8" t="s">
        <v>71</v>
      </c>
      <c r="B65" s="6" t="e">
        <f>②2016予算書!#REF!</f>
        <v>#REF!</v>
      </c>
      <c r="C65" s="289">
        <f>SUM(C41:C64)</f>
        <v>0</v>
      </c>
      <c r="D65" s="294" t="e">
        <f>②2016予算書!#REF!</f>
        <v>#REF!</v>
      </c>
      <c r="E65" s="37"/>
      <c r="F65" s="34">
        <f>SUM(F41:F64)</f>
        <v>37469000</v>
      </c>
      <c r="G65" s="37"/>
      <c r="H65" s="35" t="e">
        <f t="shared" si="7"/>
        <v>#REF!</v>
      </c>
    </row>
    <row r="66" spans="1:10" s="9" customFormat="1" ht="20.100000000000001" customHeight="1">
      <c r="A66" s="302" t="s">
        <v>53</v>
      </c>
      <c r="B66" s="303" t="e">
        <f>②2016予算書!D80</f>
        <v>#REF!</v>
      </c>
      <c r="C66" s="304">
        <f>C38+C65</f>
        <v>0</v>
      </c>
      <c r="D66" s="305">
        <f>②2016予算書!F80</f>
        <v>0</v>
      </c>
      <c r="E66" s="43"/>
      <c r="F66" s="313">
        <f>F65+F38</f>
        <v>195879000</v>
      </c>
      <c r="G66" s="43"/>
      <c r="H66" s="44" t="e">
        <f t="shared" si="7"/>
        <v>#REF!</v>
      </c>
      <c r="J66" s="45"/>
    </row>
    <row r="67" spans="1:10" s="9" customFormat="1" ht="20.100000000000001" customHeight="1">
      <c r="A67" s="306" t="s">
        <v>54</v>
      </c>
      <c r="B67" s="307" t="e">
        <f>②2016予算書!#REF!</f>
        <v>#REF!</v>
      </c>
      <c r="C67" s="308">
        <f>C23-C66</f>
        <v>0</v>
      </c>
      <c r="D67" s="309" t="e">
        <f>②2016予算書!#REF!</f>
        <v>#REF!</v>
      </c>
      <c r="E67" s="43"/>
      <c r="F67" s="314">
        <f>F23-F66</f>
        <v>12036560</v>
      </c>
      <c r="G67" s="43"/>
      <c r="H67" s="36" t="e">
        <f t="shared" si="7"/>
        <v>#REF!</v>
      </c>
      <c r="J67" s="45"/>
    </row>
    <row r="68" spans="1:10" ht="14.25">
      <c r="A68" s="310"/>
      <c r="B68" s="311"/>
      <c r="C68" s="304"/>
      <c r="D68" s="312"/>
      <c r="F68" s="315"/>
      <c r="H68" s="35"/>
    </row>
  </sheetData>
  <mergeCells count="4">
    <mergeCell ref="A1:H1"/>
    <mergeCell ref="A2:H2"/>
    <mergeCell ref="A3:A4"/>
    <mergeCell ref="B3:D3"/>
  </mergeCells>
  <phoneticPr fontId="3"/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Layout" zoomScaleNormal="100" workbookViewId="0">
      <selection activeCell="D24" sqref="D24"/>
    </sheetView>
  </sheetViews>
  <sheetFormatPr defaultColWidth="9" defaultRowHeight="20.100000000000001" customHeight="1"/>
  <cols>
    <col min="1" max="1" width="3.125" style="13" customWidth="1"/>
    <col min="2" max="2" width="0" style="13" hidden="1" customWidth="1"/>
    <col min="3" max="3" width="15.125" style="13" customWidth="1"/>
    <col min="4" max="4" width="10" style="14" bestFit="1" customWidth="1"/>
    <col min="5" max="5" width="10.875" style="14" bestFit="1" customWidth="1"/>
    <col min="6" max="6" width="9.75" style="14" bestFit="1" customWidth="1"/>
    <col min="7" max="7" width="10" style="14" bestFit="1" customWidth="1"/>
    <col min="8" max="8" width="11.625" style="14" bestFit="1" customWidth="1"/>
    <col min="9" max="9" width="13.625" style="15" customWidth="1"/>
    <col min="10" max="16384" width="9" style="5"/>
  </cols>
  <sheetData>
    <row r="1" spans="1:9" s="1" customFormat="1" ht="14.25" customHeight="1">
      <c r="A1" s="984" t="s">
        <v>0</v>
      </c>
      <c r="B1" s="984"/>
      <c r="C1" s="984"/>
      <c r="D1" s="267" t="s">
        <v>342</v>
      </c>
      <c r="E1" s="267" t="s">
        <v>343</v>
      </c>
      <c r="F1" s="267" t="s">
        <v>1</v>
      </c>
      <c r="G1" s="267" t="s">
        <v>344</v>
      </c>
      <c r="H1" s="267" t="s">
        <v>332</v>
      </c>
      <c r="I1" s="985" t="s">
        <v>2</v>
      </c>
    </row>
    <row r="2" spans="1:9" s="1" customFormat="1" ht="13.5" customHeight="1">
      <c r="A2" s="984"/>
      <c r="B2" s="984"/>
      <c r="C2" s="984"/>
      <c r="D2" s="2" t="s">
        <v>3</v>
      </c>
      <c r="E2" s="2" t="s">
        <v>4</v>
      </c>
      <c r="F2" s="2" t="s">
        <v>5</v>
      </c>
      <c r="G2" s="2" t="s">
        <v>6</v>
      </c>
      <c r="H2" s="2" t="s">
        <v>5</v>
      </c>
      <c r="I2" s="985"/>
    </row>
    <row r="3" spans="1:9" ht="20.100000000000001" customHeight="1">
      <c r="A3" s="982" t="s">
        <v>7</v>
      </c>
      <c r="B3" s="982"/>
      <c r="C3" s="982"/>
      <c r="D3" s="3"/>
      <c r="E3" s="3"/>
      <c r="F3" s="3"/>
      <c r="G3" s="3"/>
      <c r="H3" s="3"/>
      <c r="I3" s="4"/>
    </row>
    <row r="4" spans="1:9" ht="20.100000000000001" customHeight="1">
      <c r="A4" s="981" t="s">
        <v>8</v>
      </c>
      <c r="B4" s="981"/>
      <c r="C4" s="981"/>
      <c r="D4" s="268">
        <f>②2016予算書!D18</f>
        <v>5000</v>
      </c>
      <c r="E4" s="268">
        <f>②2016予算書!F18</f>
        <v>3000</v>
      </c>
      <c r="F4" s="268">
        <f>E4-D4</f>
        <v>-2000</v>
      </c>
      <c r="G4" s="268">
        <f>'2015予算書（一覧）'!F6</f>
        <v>3000</v>
      </c>
      <c r="H4" s="268">
        <f>G4-E4</f>
        <v>0</v>
      </c>
      <c r="I4" s="269"/>
    </row>
    <row r="5" spans="1:9" ht="20.100000000000001" customHeight="1">
      <c r="A5" s="981" t="s">
        <v>9</v>
      </c>
      <c r="B5" s="981"/>
      <c r="C5" s="981"/>
      <c r="D5" s="268">
        <f>②2016予算書!D7</f>
        <v>420000</v>
      </c>
      <c r="E5" s="268">
        <f>②2016予算書!F7</f>
        <v>300000</v>
      </c>
      <c r="F5" s="268">
        <f t="shared" ref="F5:F61" si="0">E5-D5</f>
        <v>-120000</v>
      </c>
      <c r="G5" s="268">
        <f>'2015予算書（一覧）'!F7</f>
        <v>0</v>
      </c>
      <c r="H5" s="268">
        <f t="shared" ref="H5:H21" si="1">G5-E5</f>
        <v>-300000</v>
      </c>
      <c r="I5" s="269"/>
    </row>
    <row r="6" spans="1:9" ht="20.100000000000001" customHeight="1">
      <c r="A6" s="983" t="s">
        <v>10</v>
      </c>
      <c r="B6" s="983"/>
      <c r="C6" s="983"/>
      <c r="D6" s="268">
        <f>②2016予算書!D12</f>
        <v>93100000</v>
      </c>
      <c r="E6" s="268">
        <f>②2016予算書!F12</f>
        <v>0</v>
      </c>
      <c r="F6" s="268">
        <f>E6-D6</f>
        <v>-93100000</v>
      </c>
      <c r="G6" s="268">
        <f>'2015予算書（一覧）'!F8</f>
        <v>204492560</v>
      </c>
      <c r="H6" s="268">
        <f t="shared" si="1"/>
        <v>204492560</v>
      </c>
      <c r="I6" s="269"/>
    </row>
    <row r="7" spans="1:9" ht="20.100000000000001" customHeight="1">
      <c r="A7" s="264"/>
      <c r="B7" s="7" t="s">
        <v>11</v>
      </c>
      <c r="C7" s="283" t="s">
        <v>322</v>
      </c>
      <c r="D7" s="272" t="e">
        <f>②2016予算書!#REF!</f>
        <v>#REF!</v>
      </c>
      <c r="E7" s="272" t="e">
        <f>②2016予算書!#REF!</f>
        <v>#REF!</v>
      </c>
      <c r="F7" s="272" t="e">
        <f>E7-D7</f>
        <v>#REF!</v>
      </c>
      <c r="G7" s="272">
        <f>'2015予算書（一覧）'!F17</f>
        <v>429000</v>
      </c>
      <c r="H7" s="272" t="e">
        <f t="shared" si="1"/>
        <v>#REF!</v>
      </c>
      <c r="I7" s="273"/>
    </row>
    <row r="8" spans="1:9" ht="20.100000000000001" customHeight="1">
      <c r="A8" s="264"/>
      <c r="B8" s="7" t="s">
        <v>12</v>
      </c>
      <c r="C8" s="280" t="s">
        <v>176</v>
      </c>
      <c r="D8" s="281" t="e">
        <f>②2016予算書!#REF!</f>
        <v>#REF!</v>
      </c>
      <c r="E8" s="281" t="e">
        <f>②2016予算書!#REF!</f>
        <v>#REF!</v>
      </c>
      <c r="F8" s="281" t="e">
        <f t="shared" si="0"/>
        <v>#REF!</v>
      </c>
      <c r="G8" s="281">
        <f>'2015予算書（一覧）'!F18</f>
        <v>900000</v>
      </c>
      <c r="H8" s="281" t="e">
        <f t="shared" si="1"/>
        <v>#REF!</v>
      </c>
      <c r="I8" s="282"/>
    </row>
    <row r="9" spans="1:9" ht="20.100000000000001" customHeight="1">
      <c r="A9" s="264"/>
      <c r="B9" s="7" t="s">
        <v>13</v>
      </c>
      <c r="C9" s="27" t="s">
        <v>323</v>
      </c>
      <c r="D9" s="272" t="e">
        <f>②2016予算書!#REF!</f>
        <v>#REF!</v>
      </c>
      <c r="E9" s="272" t="e">
        <f>②2016予算書!#REF!</f>
        <v>#REF!</v>
      </c>
      <c r="F9" s="272" t="e">
        <f t="shared" si="0"/>
        <v>#REF!</v>
      </c>
      <c r="G9" s="272">
        <f>'2015予算書（一覧）'!F15</f>
        <v>11160000</v>
      </c>
      <c r="H9" s="272" t="e">
        <f t="shared" si="1"/>
        <v>#REF!</v>
      </c>
      <c r="I9" s="273"/>
    </row>
    <row r="10" spans="1:9" ht="20.100000000000001" customHeight="1">
      <c r="A10" s="264"/>
      <c r="B10" s="7" t="s">
        <v>14</v>
      </c>
      <c r="C10" s="27" t="s">
        <v>324</v>
      </c>
      <c r="D10" s="272" t="e">
        <f>②2016予算書!#REF!</f>
        <v>#REF!</v>
      </c>
      <c r="E10" s="272" t="e">
        <f>②2016予算書!#REF!</f>
        <v>#REF!</v>
      </c>
      <c r="F10" s="272" t="e">
        <f t="shared" si="0"/>
        <v>#REF!</v>
      </c>
      <c r="G10" s="272">
        <f>'2015予算書（一覧）'!F16</f>
        <v>9923000</v>
      </c>
      <c r="H10" s="272" t="e">
        <f t="shared" si="1"/>
        <v>#REF!</v>
      </c>
      <c r="I10" s="273"/>
    </row>
    <row r="11" spans="1:9" ht="20.100000000000001" customHeight="1">
      <c r="A11" s="264"/>
      <c r="B11" s="7" t="s">
        <v>15</v>
      </c>
      <c r="C11" s="27" t="s">
        <v>325</v>
      </c>
      <c r="D11" s="272" t="e">
        <f>②2016予算書!#REF!</f>
        <v>#REF!</v>
      </c>
      <c r="E11" s="272" t="e">
        <f>②2016予算書!#REF!</f>
        <v>#REF!</v>
      </c>
      <c r="F11" s="272" t="e">
        <f t="shared" si="0"/>
        <v>#REF!</v>
      </c>
      <c r="G11" s="272">
        <f>'2015予算書（一覧）'!F19</f>
        <v>2652560</v>
      </c>
      <c r="H11" s="272" t="e">
        <f t="shared" si="1"/>
        <v>#REF!</v>
      </c>
      <c r="I11" s="273"/>
    </row>
    <row r="12" spans="1:9" ht="20.100000000000001" customHeight="1">
      <c r="A12" s="264"/>
      <c r="B12" s="7" t="s">
        <v>16</v>
      </c>
      <c r="C12" s="27" t="s">
        <v>326</v>
      </c>
      <c r="D12" s="272">
        <f>②2016予算書!D13</f>
        <v>42000000</v>
      </c>
      <c r="E12" s="272">
        <f>②2016予算書!F13</f>
        <v>132966000</v>
      </c>
      <c r="F12" s="272">
        <f t="shared" si="0"/>
        <v>90966000</v>
      </c>
      <c r="G12" s="272">
        <f>'2015予算書（一覧）'!F9</f>
        <v>44850000</v>
      </c>
      <c r="H12" s="272">
        <f t="shared" si="1"/>
        <v>-88116000</v>
      </c>
      <c r="I12" s="273"/>
    </row>
    <row r="13" spans="1:9" ht="20.100000000000001" customHeight="1">
      <c r="A13" s="264"/>
      <c r="B13" s="7" t="s">
        <v>17</v>
      </c>
      <c r="C13" s="27" t="s">
        <v>327</v>
      </c>
      <c r="D13" s="272">
        <f>②2016予算書!D14</f>
        <v>32140000</v>
      </c>
      <c r="E13" s="272">
        <f>②2016予算書!F14</f>
        <v>41108000</v>
      </c>
      <c r="F13" s="272">
        <f t="shared" si="0"/>
        <v>8968000</v>
      </c>
      <c r="G13" s="272">
        <f>'2015予算書（一覧）'!F10</f>
        <v>44954000</v>
      </c>
      <c r="H13" s="272">
        <f t="shared" si="1"/>
        <v>3846000</v>
      </c>
      <c r="I13" s="273"/>
    </row>
    <row r="14" spans="1:9" ht="20.100000000000001" customHeight="1">
      <c r="A14" s="264"/>
      <c r="B14" s="7" t="s">
        <v>18</v>
      </c>
      <c r="C14" s="27" t="s">
        <v>328</v>
      </c>
      <c r="D14" s="272">
        <f>②2016予算書!D16</f>
        <v>18960000</v>
      </c>
      <c r="E14" s="272">
        <f>②2016予算書!F16</f>
        <v>64328000</v>
      </c>
      <c r="F14" s="272">
        <f t="shared" si="0"/>
        <v>45368000</v>
      </c>
      <c r="G14" s="272">
        <f>'2015予算書（一覧）'!F11</f>
        <v>20800000</v>
      </c>
      <c r="H14" s="272">
        <f t="shared" si="1"/>
        <v>-43528000</v>
      </c>
      <c r="I14" s="273"/>
    </row>
    <row r="15" spans="1:9" ht="20.100000000000001" customHeight="1">
      <c r="A15" s="264"/>
      <c r="B15" s="7" t="s">
        <v>19</v>
      </c>
      <c r="C15" s="27" t="s">
        <v>329</v>
      </c>
      <c r="D15" s="272" t="e">
        <f>②2016予算書!#REF!</f>
        <v>#REF!</v>
      </c>
      <c r="E15" s="272" t="e">
        <f>②2016予算書!#REF!</f>
        <v>#REF!</v>
      </c>
      <c r="F15" s="272" t="e">
        <f t="shared" si="0"/>
        <v>#REF!</v>
      </c>
      <c r="G15" s="272">
        <f>'2015予算書（一覧）'!F12</f>
        <v>17616000</v>
      </c>
      <c r="H15" s="272" t="e">
        <f t="shared" si="1"/>
        <v>#REF!</v>
      </c>
      <c r="I15" s="273"/>
    </row>
    <row r="16" spans="1:9" ht="20.100000000000001" customHeight="1">
      <c r="A16" s="264"/>
      <c r="B16" s="7" t="s">
        <v>20</v>
      </c>
      <c r="C16" s="27" t="s">
        <v>330</v>
      </c>
      <c r="D16" s="272" t="e">
        <f>②2016予算書!#REF!</f>
        <v>#REF!</v>
      </c>
      <c r="E16" s="272" t="e">
        <f>②2016予算書!#REF!</f>
        <v>#REF!</v>
      </c>
      <c r="F16" s="272" t="e">
        <f t="shared" si="0"/>
        <v>#REF!</v>
      </c>
      <c r="G16" s="272">
        <f>'2015予算書（一覧）'!F13</f>
        <v>20808000</v>
      </c>
      <c r="H16" s="272" t="e">
        <f t="shared" si="1"/>
        <v>#REF!</v>
      </c>
      <c r="I16" s="273"/>
    </row>
    <row r="17" spans="1:9" ht="20.100000000000001" customHeight="1">
      <c r="A17" s="264"/>
      <c r="B17" s="7" t="s">
        <v>21</v>
      </c>
      <c r="C17" s="27" t="s">
        <v>331</v>
      </c>
      <c r="D17" s="272" t="e">
        <f>②2016予算書!#REF!</f>
        <v>#REF!</v>
      </c>
      <c r="E17" s="272" t="e">
        <f>②2016予算書!#REF!</f>
        <v>#REF!</v>
      </c>
      <c r="F17" s="272" t="e">
        <f t="shared" si="0"/>
        <v>#REF!</v>
      </c>
      <c r="G17" s="272">
        <f>'2015予算書（一覧）'!F14</f>
        <v>30400000</v>
      </c>
      <c r="H17" s="272" t="e">
        <f t="shared" si="1"/>
        <v>#REF!</v>
      </c>
      <c r="I17" s="273"/>
    </row>
    <row r="18" spans="1:9" ht="20.100000000000001" customHeight="1">
      <c r="A18" s="981" t="s">
        <v>22</v>
      </c>
      <c r="B18" s="981"/>
      <c r="C18" s="981"/>
      <c r="D18" s="263">
        <f>②2016予算書!D9</f>
        <v>600000</v>
      </c>
      <c r="E18" s="268">
        <f>②2016予算書!F9</f>
        <v>500000</v>
      </c>
      <c r="F18" s="268">
        <f t="shared" si="0"/>
        <v>-100000</v>
      </c>
      <c r="G18" s="268">
        <f>'2015予算書（一覧）'!F20</f>
        <v>420000</v>
      </c>
      <c r="H18" s="268">
        <f t="shared" si="1"/>
        <v>-80000</v>
      </c>
      <c r="I18" s="269"/>
    </row>
    <row r="19" spans="1:9" ht="20.100000000000001" customHeight="1">
      <c r="A19" s="981" t="s">
        <v>23</v>
      </c>
      <c r="B19" s="981"/>
      <c r="C19" s="981"/>
      <c r="D19" s="263">
        <f>②2016予算書!D11</f>
        <v>4000000</v>
      </c>
      <c r="E19" s="268">
        <f>②2016予算書!F11</f>
        <v>2000000</v>
      </c>
      <c r="F19" s="268">
        <f t="shared" si="0"/>
        <v>-2000000</v>
      </c>
      <c r="G19" s="268">
        <f>'2015予算書（一覧）'!F21</f>
        <v>2000000</v>
      </c>
      <c r="H19" s="268">
        <f t="shared" si="1"/>
        <v>0</v>
      </c>
      <c r="I19" s="269"/>
    </row>
    <row r="20" spans="1:9" ht="20.100000000000001" customHeight="1">
      <c r="A20" s="981" t="s">
        <v>24</v>
      </c>
      <c r="B20" s="981"/>
      <c r="C20" s="981"/>
      <c r="D20" s="263">
        <f>②2016予算書!D20</f>
        <v>600000</v>
      </c>
      <c r="E20" s="268">
        <f>②2016予算書!F19</f>
        <v>1000000</v>
      </c>
      <c r="F20" s="268">
        <f t="shared" si="0"/>
        <v>400000</v>
      </c>
      <c r="G20" s="268">
        <f>'2015予算書（一覧）'!F22</f>
        <v>1000000</v>
      </c>
      <c r="H20" s="268">
        <f t="shared" si="1"/>
        <v>0</v>
      </c>
      <c r="I20" s="269"/>
    </row>
    <row r="21" spans="1:9" ht="20.100000000000001" customHeight="1">
      <c r="A21" s="982" t="s">
        <v>25</v>
      </c>
      <c r="B21" s="982"/>
      <c r="C21" s="982"/>
      <c r="D21" s="3">
        <f>②2016予算書!D21</f>
        <v>98725000</v>
      </c>
      <c r="E21" s="3">
        <f>②2016予算書!F21</f>
        <v>0</v>
      </c>
      <c r="F21" s="3">
        <f t="shared" si="0"/>
        <v>-98725000</v>
      </c>
      <c r="G21" s="3">
        <f>'2015予算書（一覧）'!F23</f>
        <v>207915560</v>
      </c>
      <c r="H21" s="3">
        <f t="shared" si="1"/>
        <v>207915560</v>
      </c>
      <c r="I21" s="4"/>
    </row>
    <row r="22" spans="1:9" ht="20.100000000000001" customHeight="1">
      <c r="A22" s="982" t="s">
        <v>26</v>
      </c>
      <c r="B22" s="982"/>
      <c r="C22" s="982"/>
      <c r="D22" s="3"/>
      <c r="E22" s="3"/>
      <c r="F22" s="3"/>
      <c r="G22" s="3"/>
      <c r="H22" s="3"/>
      <c r="I22" s="4"/>
    </row>
    <row r="23" spans="1:9" ht="20.100000000000001" customHeight="1">
      <c r="A23" s="983" t="s">
        <v>27</v>
      </c>
      <c r="B23" s="983"/>
      <c r="C23" s="983"/>
      <c r="D23" s="268" t="e">
        <f>②2016予算書!#REF!</f>
        <v>#REF!</v>
      </c>
      <c r="E23" s="268" t="e">
        <f>②2016予算書!#REF!</f>
        <v>#REF!</v>
      </c>
      <c r="F23" s="268" t="e">
        <f t="shared" si="0"/>
        <v>#REF!</v>
      </c>
      <c r="G23" s="268">
        <f>'2015予算書（一覧）'!F38</f>
        <v>158410000</v>
      </c>
      <c r="H23" s="268" t="e">
        <f t="shared" ref="H23:H61" si="2">G23-E23</f>
        <v>#REF!</v>
      </c>
      <c r="I23" s="269"/>
    </row>
    <row r="24" spans="1:9" ht="20.100000000000001" customHeight="1">
      <c r="A24" s="266"/>
      <c r="B24" s="7" t="s">
        <v>11</v>
      </c>
      <c r="C24" s="283" t="s">
        <v>322</v>
      </c>
      <c r="D24" s="272" t="e">
        <f>②2016予算書!#REF!</f>
        <v>#REF!</v>
      </c>
      <c r="E24" s="272" t="e">
        <f>②2016予算書!#REF!</f>
        <v>#REF!</v>
      </c>
      <c r="F24" s="272" t="e">
        <f>E24-D24</f>
        <v>#REF!</v>
      </c>
      <c r="G24" s="272">
        <f>'2015予算書（一覧）'!F35</f>
        <v>348000</v>
      </c>
      <c r="H24" s="272" t="e">
        <f t="shared" si="2"/>
        <v>#REF!</v>
      </c>
      <c r="I24" s="273"/>
    </row>
    <row r="25" spans="1:9" ht="20.100000000000001" customHeight="1">
      <c r="A25" s="266"/>
      <c r="B25" s="7" t="s">
        <v>12</v>
      </c>
      <c r="C25" s="280" t="s">
        <v>176</v>
      </c>
      <c r="D25" s="281" t="e">
        <f>②2016予算書!#REF!</f>
        <v>#REF!</v>
      </c>
      <c r="E25" s="281" t="e">
        <f>②2016予算書!#REF!</f>
        <v>#REF!</v>
      </c>
      <c r="F25" s="281" t="e">
        <f t="shared" si="0"/>
        <v>#REF!</v>
      </c>
      <c r="G25" s="281">
        <f>'2015予算書（一覧）'!F36</f>
        <v>400000</v>
      </c>
      <c r="H25" s="281" t="e">
        <f t="shared" si="2"/>
        <v>#REF!</v>
      </c>
      <c r="I25" s="282"/>
    </row>
    <row r="26" spans="1:9" ht="20.100000000000001" customHeight="1">
      <c r="A26" s="266"/>
      <c r="B26" s="7" t="s">
        <v>13</v>
      </c>
      <c r="C26" s="27" t="s">
        <v>323</v>
      </c>
      <c r="D26" s="272" t="e">
        <f>②2016予算書!#REF!</f>
        <v>#REF!</v>
      </c>
      <c r="E26" s="272" t="e">
        <f>②2016予算書!#REF!</f>
        <v>#REF!</v>
      </c>
      <c r="F26" s="272" t="e">
        <f t="shared" si="0"/>
        <v>#REF!</v>
      </c>
      <c r="G26" s="272">
        <f>'2015予算書（一覧）'!F33</f>
        <v>10104000</v>
      </c>
      <c r="H26" s="272" t="e">
        <f t="shared" si="2"/>
        <v>#REF!</v>
      </c>
      <c r="I26" s="273"/>
    </row>
    <row r="27" spans="1:9" ht="20.100000000000001" customHeight="1">
      <c r="A27" s="264"/>
      <c r="B27" s="7" t="s">
        <v>14</v>
      </c>
      <c r="C27" s="27" t="s">
        <v>324</v>
      </c>
      <c r="D27" s="272" t="e">
        <f>②2016予算書!#REF!</f>
        <v>#REF!</v>
      </c>
      <c r="E27" s="272" t="e">
        <f>②2016予算書!#REF!</f>
        <v>#REF!</v>
      </c>
      <c r="F27" s="272" t="e">
        <f t="shared" si="0"/>
        <v>#REF!</v>
      </c>
      <c r="G27" s="272">
        <f>'2015予算書（一覧）'!F34</f>
        <v>6466000</v>
      </c>
      <c r="H27" s="272" t="e">
        <f t="shared" si="2"/>
        <v>#REF!</v>
      </c>
      <c r="I27" s="273"/>
    </row>
    <row r="28" spans="1:9" ht="20.100000000000001" customHeight="1">
      <c r="A28" s="264"/>
      <c r="B28" s="7" t="s">
        <v>15</v>
      </c>
      <c r="C28" s="27" t="s">
        <v>325</v>
      </c>
      <c r="D28" s="272" t="e">
        <f>②2016予算書!#REF!</f>
        <v>#REF!</v>
      </c>
      <c r="E28" s="272" t="e">
        <f>②2016予算書!#REF!</f>
        <v>#REF!</v>
      </c>
      <c r="F28" s="272" t="e">
        <f t="shared" si="0"/>
        <v>#REF!</v>
      </c>
      <c r="G28" s="272">
        <f>'2015予算書（一覧）'!F37</f>
        <v>1590000</v>
      </c>
      <c r="H28" s="272" t="e">
        <f t="shared" si="2"/>
        <v>#REF!</v>
      </c>
      <c r="I28" s="273"/>
    </row>
    <row r="29" spans="1:9" ht="20.100000000000001" customHeight="1">
      <c r="A29" s="264"/>
      <c r="B29" s="7" t="s">
        <v>16</v>
      </c>
      <c r="C29" s="27" t="s">
        <v>326</v>
      </c>
      <c r="D29" s="272" t="e">
        <f>②2016予算書!#REF!</f>
        <v>#REF!</v>
      </c>
      <c r="E29" s="272" t="e">
        <f>②2016予算書!#REF!</f>
        <v>#REF!</v>
      </c>
      <c r="F29" s="272" t="e">
        <f t="shared" si="0"/>
        <v>#REF!</v>
      </c>
      <c r="G29" s="272">
        <f>'2015予算書（一覧）'!F27</f>
        <v>37846000</v>
      </c>
      <c r="H29" s="272" t="e">
        <f t="shared" si="2"/>
        <v>#REF!</v>
      </c>
      <c r="I29" s="273"/>
    </row>
    <row r="30" spans="1:9" ht="20.100000000000001" customHeight="1">
      <c r="A30" s="264"/>
      <c r="B30" s="7" t="s">
        <v>17</v>
      </c>
      <c r="C30" s="27" t="s">
        <v>327</v>
      </c>
      <c r="D30" s="272" t="e">
        <f>②2016予算書!#REF!</f>
        <v>#REF!</v>
      </c>
      <c r="E30" s="272" t="e">
        <f>②2016予算書!#REF!</f>
        <v>#REF!</v>
      </c>
      <c r="F30" s="272" t="e">
        <f t="shared" si="0"/>
        <v>#REF!</v>
      </c>
      <c r="G30" s="272">
        <f>'2015予算書（一覧）'!F28</f>
        <v>29068000</v>
      </c>
      <c r="H30" s="272" t="e">
        <f t="shared" si="2"/>
        <v>#REF!</v>
      </c>
      <c r="I30" s="273"/>
    </row>
    <row r="31" spans="1:9" ht="20.100000000000001" customHeight="1">
      <c r="A31" s="264"/>
      <c r="B31" s="7" t="s">
        <v>18</v>
      </c>
      <c r="C31" s="27" t="s">
        <v>328</v>
      </c>
      <c r="D31" s="272" t="e">
        <f>②2016予算書!#REF!</f>
        <v>#REF!</v>
      </c>
      <c r="E31" s="272" t="e">
        <f>②2016予算書!#REF!</f>
        <v>#REF!</v>
      </c>
      <c r="F31" s="272" t="e">
        <f t="shared" si="0"/>
        <v>#REF!</v>
      </c>
      <c r="G31" s="272">
        <f>'2015予算書（一覧）'!F29</f>
        <v>12699000</v>
      </c>
      <c r="H31" s="272" t="e">
        <f t="shared" si="2"/>
        <v>#REF!</v>
      </c>
      <c r="I31" s="273"/>
    </row>
    <row r="32" spans="1:9" ht="20.100000000000001" customHeight="1">
      <c r="A32" s="264"/>
      <c r="B32" s="7" t="s">
        <v>19</v>
      </c>
      <c r="C32" s="27" t="s">
        <v>329</v>
      </c>
      <c r="D32" s="272" t="e">
        <f>②2016予算書!#REF!</f>
        <v>#REF!</v>
      </c>
      <c r="E32" s="272" t="e">
        <f>②2016予算書!#REF!</f>
        <v>#REF!</v>
      </c>
      <c r="F32" s="272" t="e">
        <f t="shared" si="0"/>
        <v>#REF!</v>
      </c>
      <c r="G32" s="272">
        <f>'2015予算書（一覧）'!F30</f>
        <v>13112000</v>
      </c>
      <c r="H32" s="272" t="e">
        <f t="shared" si="2"/>
        <v>#REF!</v>
      </c>
      <c r="I32" s="273"/>
    </row>
    <row r="33" spans="1:9" ht="20.100000000000001" customHeight="1">
      <c r="A33" s="264"/>
      <c r="B33" s="7" t="s">
        <v>20</v>
      </c>
      <c r="C33" s="27" t="s">
        <v>330</v>
      </c>
      <c r="D33" s="272" t="e">
        <f>②2016予算書!#REF!</f>
        <v>#REF!</v>
      </c>
      <c r="E33" s="272" t="e">
        <f>②2016予算書!#REF!</f>
        <v>#REF!</v>
      </c>
      <c r="F33" s="272" t="e">
        <f t="shared" si="0"/>
        <v>#REF!</v>
      </c>
      <c r="G33" s="272">
        <f>'2015予算書（一覧）'!F31</f>
        <v>17733000</v>
      </c>
      <c r="H33" s="272" t="e">
        <f t="shared" si="2"/>
        <v>#REF!</v>
      </c>
      <c r="I33" s="273"/>
    </row>
    <row r="34" spans="1:9" ht="20.100000000000001" customHeight="1">
      <c r="A34" s="264"/>
      <c r="B34" s="7" t="s">
        <v>21</v>
      </c>
      <c r="C34" s="27" t="s">
        <v>331</v>
      </c>
      <c r="D34" s="272" t="e">
        <f>②2016予算書!#REF!</f>
        <v>#REF!</v>
      </c>
      <c r="E34" s="272" t="e">
        <f>②2016予算書!#REF!</f>
        <v>#REF!</v>
      </c>
      <c r="F34" s="272" t="e">
        <f t="shared" si="0"/>
        <v>#REF!</v>
      </c>
      <c r="G34" s="272">
        <f>'2015予算書（一覧）'!F32</f>
        <v>29044000</v>
      </c>
      <c r="H34" s="272" t="e">
        <f t="shared" si="2"/>
        <v>#REF!</v>
      </c>
      <c r="I34" s="273"/>
    </row>
    <row r="35" spans="1:9" ht="20.100000000000001" customHeight="1">
      <c r="A35" s="983" t="s">
        <v>28</v>
      </c>
      <c r="B35" s="983"/>
      <c r="C35" s="983"/>
      <c r="D35" s="268" t="e">
        <f>②2016予算書!#REF!</f>
        <v>#REF!</v>
      </c>
      <c r="E35" s="268" t="e">
        <f>②2016予算書!#REF!</f>
        <v>#REF!</v>
      </c>
      <c r="F35" s="268" t="e">
        <f t="shared" si="0"/>
        <v>#REF!</v>
      </c>
      <c r="G35" s="268">
        <f>'2015予算書（一覧）'!F65</f>
        <v>37469000</v>
      </c>
      <c r="H35" s="268" t="e">
        <f t="shared" si="2"/>
        <v>#REF!</v>
      </c>
      <c r="I35" s="269"/>
    </row>
    <row r="36" spans="1:9" ht="13.5">
      <c r="A36" s="264"/>
      <c r="B36" s="7"/>
      <c r="C36" s="276" t="s">
        <v>270</v>
      </c>
      <c r="D36" s="270">
        <f>②2016予算書!D53</f>
        <v>21600000</v>
      </c>
      <c r="E36" s="270">
        <f>②2016予算書!F53</f>
        <v>6683000</v>
      </c>
      <c r="F36" s="270">
        <f t="shared" si="0"/>
        <v>-14917000</v>
      </c>
      <c r="G36" s="270">
        <f>'2015予算書（一覧）'!F41</f>
        <v>11301000</v>
      </c>
      <c r="H36" s="270">
        <f t="shared" si="2"/>
        <v>4618000</v>
      </c>
      <c r="I36" s="271"/>
    </row>
    <row r="37" spans="1:9" ht="13.5">
      <c r="A37" s="264"/>
      <c r="B37" s="7"/>
      <c r="C37" s="27" t="s">
        <v>271</v>
      </c>
      <c r="D37" s="272">
        <f>②2016予算書!D54</f>
        <v>11021000</v>
      </c>
      <c r="E37" s="272">
        <f>②2016予算書!F54</f>
        <v>12691000</v>
      </c>
      <c r="F37" s="272">
        <f t="shared" si="0"/>
        <v>1670000</v>
      </c>
      <c r="G37" s="272">
        <f>'2015予算書（一覧）'!F42</f>
        <v>12691000</v>
      </c>
      <c r="H37" s="272">
        <f t="shared" si="2"/>
        <v>0</v>
      </c>
      <c r="I37" s="273"/>
    </row>
    <row r="38" spans="1:9" ht="13.5">
      <c r="A38" s="264"/>
      <c r="B38" s="7"/>
      <c r="C38" s="27" t="s">
        <v>272</v>
      </c>
      <c r="D38" s="272">
        <f>②2016予算書!D55</f>
        <v>1000000</v>
      </c>
      <c r="E38" s="272">
        <f>②2016予算書!F55</f>
        <v>895000</v>
      </c>
      <c r="F38" s="272">
        <f t="shared" si="0"/>
        <v>-105000</v>
      </c>
      <c r="G38" s="272">
        <f>'2015予算書（一覧）'!F43</f>
        <v>895000</v>
      </c>
      <c r="H38" s="272">
        <f t="shared" si="2"/>
        <v>0</v>
      </c>
      <c r="I38" s="273"/>
    </row>
    <row r="39" spans="1:9" ht="13.5">
      <c r="A39" s="264"/>
      <c r="B39" s="7"/>
      <c r="C39" s="27" t="s">
        <v>273</v>
      </c>
      <c r="D39" s="272">
        <f>②2016予算書!D57</f>
        <v>500000</v>
      </c>
      <c r="E39" s="272">
        <f>②2016予算書!F57</f>
        <v>0</v>
      </c>
      <c r="F39" s="272">
        <f t="shared" si="0"/>
        <v>-500000</v>
      </c>
      <c r="G39" s="272">
        <f>'2015予算書（一覧）'!F44</f>
        <v>0</v>
      </c>
      <c r="H39" s="272">
        <f t="shared" si="2"/>
        <v>0</v>
      </c>
      <c r="I39" s="273"/>
    </row>
    <row r="40" spans="1:9" ht="14.25">
      <c r="A40" s="266"/>
      <c r="B40" s="12"/>
      <c r="C40" s="27" t="s">
        <v>274</v>
      </c>
      <c r="D40" s="272">
        <f>②2016予算書!D58</f>
        <v>700000</v>
      </c>
      <c r="E40" s="272">
        <f>②2016予算書!F58</f>
        <v>675000</v>
      </c>
      <c r="F40" s="272">
        <f t="shared" si="0"/>
        <v>-25000</v>
      </c>
      <c r="G40" s="272">
        <f>'2015予算書（一覧）'!F45</f>
        <v>675000</v>
      </c>
      <c r="H40" s="272">
        <f t="shared" si="2"/>
        <v>0</v>
      </c>
      <c r="I40" s="273"/>
    </row>
    <row r="41" spans="1:9" ht="14.25">
      <c r="A41" s="266"/>
      <c r="B41" s="12"/>
      <c r="C41" s="27" t="s">
        <v>275</v>
      </c>
      <c r="D41" s="272">
        <f>②2016予算書!D59</f>
        <v>6027000</v>
      </c>
      <c r="E41" s="272">
        <f>②2016予算書!F59</f>
        <v>180000</v>
      </c>
      <c r="F41" s="272">
        <f t="shared" si="0"/>
        <v>-5847000</v>
      </c>
      <c r="G41" s="272">
        <f>'2015予算書（一覧）'!F46</f>
        <v>180000</v>
      </c>
      <c r="H41" s="272">
        <f t="shared" si="2"/>
        <v>0</v>
      </c>
      <c r="I41" s="273" t="s">
        <v>269</v>
      </c>
    </row>
    <row r="42" spans="1:9" ht="14.25">
      <c r="A42" s="266"/>
      <c r="B42" s="12"/>
      <c r="C42" s="27" t="s">
        <v>276</v>
      </c>
      <c r="D42" s="272">
        <f>②2016予算書!D60</f>
        <v>2000000</v>
      </c>
      <c r="E42" s="272">
        <f>②2016予算書!F60</f>
        <v>2236000</v>
      </c>
      <c r="F42" s="272">
        <f t="shared" si="0"/>
        <v>236000</v>
      </c>
      <c r="G42" s="272">
        <f>'2015予算書（一覧）'!F47</f>
        <v>2236000</v>
      </c>
      <c r="H42" s="272">
        <f t="shared" si="2"/>
        <v>0</v>
      </c>
      <c r="I42" s="273"/>
    </row>
    <row r="43" spans="1:9" ht="13.5">
      <c r="A43" s="264"/>
      <c r="B43" s="7"/>
      <c r="C43" s="27" t="s">
        <v>277</v>
      </c>
      <c r="D43" s="272">
        <f>②2016予算書!D61</f>
        <v>100000</v>
      </c>
      <c r="E43" s="272">
        <f>②2016予算書!F61</f>
        <v>304000</v>
      </c>
      <c r="F43" s="272">
        <f t="shared" si="0"/>
        <v>204000</v>
      </c>
      <c r="G43" s="272">
        <f>'2015予算書（一覧）'!F48</f>
        <v>304000</v>
      </c>
      <c r="H43" s="272">
        <f t="shared" si="2"/>
        <v>0</v>
      </c>
      <c r="I43" s="273"/>
    </row>
    <row r="44" spans="1:9" ht="13.5">
      <c r="A44" s="264"/>
      <c r="B44" s="7"/>
      <c r="C44" s="27" t="s">
        <v>278</v>
      </c>
      <c r="D44" s="272">
        <f>②2016予算書!D62</f>
        <v>550000</v>
      </c>
      <c r="E44" s="272">
        <f>②2016予算書!F62</f>
        <v>110000</v>
      </c>
      <c r="F44" s="272">
        <f t="shared" si="0"/>
        <v>-440000</v>
      </c>
      <c r="G44" s="272">
        <f>'2015予算書（一覧）'!F49</f>
        <v>110000</v>
      </c>
      <c r="H44" s="272">
        <f t="shared" si="2"/>
        <v>0</v>
      </c>
      <c r="I44" s="273"/>
    </row>
    <row r="45" spans="1:9" ht="13.5">
      <c r="A45" s="264"/>
      <c r="B45" s="7"/>
      <c r="C45" s="27" t="s">
        <v>279</v>
      </c>
      <c r="D45" s="272">
        <f>②2016予算書!D63</f>
        <v>1000000</v>
      </c>
      <c r="E45" s="272">
        <f>②2016予算書!F63</f>
        <v>7000</v>
      </c>
      <c r="F45" s="272">
        <f t="shared" si="0"/>
        <v>-993000</v>
      </c>
      <c r="G45" s="272">
        <f>'2015予算書（一覧）'!F50</f>
        <v>7000</v>
      </c>
      <c r="H45" s="272">
        <f t="shared" si="2"/>
        <v>0</v>
      </c>
      <c r="I45" s="273"/>
    </row>
    <row r="46" spans="1:9" ht="13.5">
      <c r="A46" s="264"/>
      <c r="B46" s="7"/>
      <c r="C46" s="27" t="s">
        <v>280</v>
      </c>
      <c r="D46" s="272">
        <f>②2016予算書!D64</f>
        <v>650000</v>
      </c>
      <c r="E46" s="272">
        <f>②2016予算書!F64</f>
        <v>400000</v>
      </c>
      <c r="F46" s="272">
        <f t="shared" si="0"/>
        <v>-250000</v>
      </c>
      <c r="G46" s="272">
        <f>'2015予算書（一覧）'!F51</f>
        <v>400000</v>
      </c>
      <c r="H46" s="272">
        <f t="shared" si="2"/>
        <v>0</v>
      </c>
      <c r="I46" s="273"/>
    </row>
    <row r="47" spans="1:9" ht="13.5">
      <c r="A47" s="264"/>
      <c r="B47" s="7"/>
      <c r="C47" s="27" t="s">
        <v>281</v>
      </c>
      <c r="D47" s="272">
        <f>②2016予算書!D65</f>
        <v>2853000</v>
      </c>
      <c r="E47" s="272">
        <f>②2016予算書!F65</f>
        <v>2748000</v>
      </c>
      <c r="F47" s="272">
        <f t="shared" si="0"/>
        <v>-105000</v>
      </c>
      <c r="G47" s="272">
        <f>'2015予算書（一覧）'!F52</f>
        <v>2748000</v>
      </c>
      <c r="H47" s="272">
        <f t="shared" si="2"/>
        <v>0</v>
      </c>
      <c r="I47" s="273"/>
    </row>
    <row r="48" spans="1:9" ht="13.5">
      <c r="A48" s="264"/>
      <c r="B48" s="7"/>
      <c r="C48" s="27" t="s">
        <v>282</v>
      </c>
      <c r="D48" s="272">
        <f>②2016予算書!D66</f>
        <v>3000000</v>
      </c>
      <c r="E48" s="272">
        <f>②2016予算書!F66</f>
        <v>0</v>
      </c>
      <c r="F48" s="272">
        <f t="shared" si="0"/>
        <v>-3000000</v>
      </c>
      <c r="G48" s="272">
        <f>'2015予算書（一覧）'!F53</f>
        <v>0</v>
      </c>
      <c r="H48" s="272">
        <f t="shared" si="2"/>
        <v>0</v>
      </c>
      <c r="I48" s="273"/>
    </row>
    <row r="49" spans="1:9" ht="13.5">
      <c r="A49" s="264"/>
      <c r="B49" s="7"/>
      <c r="C49" s="27" t="s">
        <v>283</v>
      </c>
      <c r="D49" s="272">
        <f>②2016予算書!D67</f>
        <v>500000</v>
      </c>
      <c r="E49" s="272">
        <f>②2016予算書!F67</f>
        <v>811000</v>
      </c>
      <c r="F49" s="272">
        <f t="shared" si="0"/>
        <v>311000</v>
      </c>
      <c r="G49" s="272">
        <f>'2015予算書（一覧）'!F54</f>
        <v>811000</v>
      </c>
      <c r="H49" s="272">
        <f t="shared" si="2"/>
        <v>0</v>
      </c>
      <c r="I49" s="273"/>
    </row>
    <row r="50" spans="1:9" ht="13.5">
      <c r="A50" s="264"/>
      <c r="B50" s="7"/>
      <c r="C50" s="27" t="s">
        <v>284</v>
      </c>
      <c r="D50" s="272">
        <f>②2016予算書!D68</f>
        <v>600000</v>
      </c>
      <c r="E50" s="272">
        <f>②2016予算書!F68</f>
        <v>975000</v>
      </c>
      <c r="F50" s="272">
        <f t="shared" si="0"/>
        <v>375000</v>
      </c>
      <c r="G50" s="272">
        <f>'2015予算書（一覧）'!F55</f>
        <v>975000</v>
      </c>
      <c r="H50" s="272">
        <f t="shared" si="2"/>
        <v>0</v>
      </c>
      <c r="I50" s="273"/>
    </row>
    <row r="51" spans="1:9" ht="13.5">
      <c r="A51" s="264"/>
      <c r="B51" s="7"/>
      <c r="C51" s="27" t="s">
        <v>285</v>
      </c>
      <c r="D51" s="272">
        <f>②2016予算書!D69</f>
        <v>200000</v>
      </c>
      <c r="E51" s="272">
        <f>②2016予算書!F69</f>
        <v>0</v>
      </c>
      <c r="F51" s="272">
        <f t="shared" si="0"/>
        <v>-200000</v>
      </c>
      <c r="G51" s="272">
        <f>'2015予算書（一覧）'!F56</f>
        <v>0</v>
      </c>
      <c r="H51" s="272">
        <f t="shared" si="2"/>
        <v>0</v>
      </c>
      <c r="I51" s="273"/>
    </row>
    <row r="52" spans="1:9" ht="13.5">
      <c r="A52" s="264"/>
      <c r="B52" s="7"/>
      <c r="C52" s="27" t="s">
        <v>286</v>
      </c>
      <c r="D52" s="272">
        <f>②2016予算書!D70</f>
        <v>80000</v>
      </c>
      <c r="E52" s="272">
        <f>②2016予算書!F70</f>
        <v>25000</v>
      </c>
      <c r="F52" s="272">
        <f t="shared" si="0"/>
        <v>-55000</v>
      </c>
      <c r="G52" s="272">
        <f>'2015予算書（一覧）'!F57</f>
        <v>25000</v>
      </c>
      <c r="H52" s="272">
        <f t="shared" si="2"/>
        <v>0</v>
      </c>
      <c r="I52" s="273"/>
    </row>
    <row r="53" spans="1:9" ht="13.5">
      <c r="A53" s="264"/>
      <c r="B53" s="7"/>
      <c r="C53" s="27" t="s">
        <v>287</v>
      </c>
      <c r="D53" s="272">
        <f>②2016予算書!D71</f>
        <v>1500000</v>
      </c>
      <c r="E53" s="272">
        <f>②2016予算書!F71</f>
        <v>204000</v>
      </c>
      <c r="F53" s="272">
        <f t="shared" si="0"/>
        <v>-1296000</v>
      </c>
      <c r="G53" s="272">
        <f>'2015予算書（一覧）'!F58</f>
        <v>204000</v>
      </c>
      <c r="H53" s="272">
        <f t="shared" si="2"/>
        <v>0</v>
      </c>
      <c r="I53" s="273"/>
    </row>
    <row r="54" spans="1:9" ht="13.5">
      <c r="A54" s="264"/>
      <c r="B54" s="7"/>
      <c r="C54" s="27" t="s">
        <v>288</v>
      </c>
      <c r="D54" s="272">
        <f>②2016予算書!D73</f>
        <v>50000</v>
      </c>
      <c r="E54" s="272">
        <f>②2016予算書!F73</f>
        <v>199000</v>
      </c>
      <c r="F54" s="272">
        <f t="shared" si="0"/>
        <v>149000</v>
      </c>
      <c r="G54" s="272">
        <f>'2015予算書（一覧）'!F59</f>
        <v>199000</v>
      </c>
      <c r="H54" s="272">
        <f t="shared" si="2"/>
        <v>0</v>
      </c>
      <c r="I54" s="273"/>
    </row>
    <row r="55" spans="1:9" ht="13.5">
      <c r="A55" s="264"/>
      <c r="B55" s="7"/>
      <c r="C55" s="27" t="s">
        <v>289</v>
      </c>
      <c r="D55" s="272">
        <f>②2016予算書!D74</f>
        <v>50000</v>
      </c>
      <c r="E55" s="272">
        <f>②2016予算書!F74</f>
        <v>108000</v>
      </c>
      <c r="F55" s="272">
        <f t="shared" si="0"/>
        <v>58000</v>
      </c>
      <c r="G55" s="272">
        <f>'2015予算書（一覧）'!F60</f>
        <v>108000</v>
      </c>
      <c r="H55" s="272">
        <f t="shared" si="2"/>
        <v>0</v>
      </c>
      <c r="I55" s="273"/>
    </row>
    <row r="56" spans="1:9" ht="13.5">
      <c r="A56" s="264"/>
      <c r="B56" s="7"/>
      <c r="C56" s="27" t="s">
        <v>290</v>
      </c>
      <c r="D56" s="272">
        <f>②2016予算書!D75</f>
        <v>2184000</v>
      </c>
      <c r="E56" s="272">
        <f>②2016予算書!F75</f>
        <v>1428000</v>
      </c>
      <c r="F56" s="272">
        <f t="shared" si="0"/>
        <v>-756000</v>
      </c>
      <c r="G56" s="272">
        <f>'2015予算書（一覧）'!F61</f>
        <v>1428000</v>
      </c>
      <c r="H56" s="272">
        <f t="shared" si="2"/>
        <v>0</v>
      </c>
      <c r="I56" s="273"/>
    </row>
    <row r="57" spans="1:9" ht="13.5">
      <c r="A57" s="264"/>
      <c r="B57" s="7"/>
      <c r="C57" s="27" t="s">
        <v>291</v>
      </c>
      <c r="D57" s="272">
        <f>②2016予算書!D76</f>
        <v>1100000</v>
      </c>
      <c r="E57" s="272">
        <f>②2016予算書!F76</f>
        <v>624000</v>
      </c>
      <c r="F57" s="272">
        <f t="shared" si="0"/>
        <v>-476000</v>
      </c>
      <c r="G57" s="272">
        <f>'2015予算書（一覧）'!F62</f>
        <v>624000</v>
      </c>
      <c r="H57" s="272">
        <f t="shared" si="2"/>
        <v>0</v>
      </c>
      <c r="I57" s="273"/>
    </row>
    <row r="58" spans="1:9" ht="13.5">
      <c r="A58" s="264"/>
      <c r="B58" s="7"/>
      <c r="C58" s="27" t="s">
        <v>292</v>
      </c>
      <c r="D58" s="272">
        <f>②2016予算書!D78</f>
        <v>10000000</v>
      </c>
      <c r="E58" s="272">
        <f>②2016予算書!F78</f>
        <v>1548000</v>
      </c>
      <c r="F58" s="272">
        <f t="shared" si="0"/>
        <v>-8452000</v>
      </c>
      <c r="G58" s="272">
        <f>'2015予算書（一覧）'!F63</f>
        <v>1548000</v>
      </c>
      <c r="H58" s="272">
        <f t="shared" si="2"/>
        <v>0</v>
      </c>
      <c r="I58" s="273"/>
    </row>
    <row r="59" spans="1:9" ht="13.5">
      <c r="A59" s="265"/>
      <c r="B59" s="7"/>
      <c r="C59" s="218" t="s">
        <v>293</v>
      </c>
      <c r="D59" s="274">
        <f>②2016予算書!D79</f>
        <v>0</v>
      </c>
      <c r="E59" s="274">
        <f>②2016予算書!F79</f>
        <v>3000000</v>
      </c>
      <c r="F59" s="274">
        <f t="shared" si="0"/>
        <v>3000000</v>
      </c>
      <c r="G59" s="274">
        <f>'2015予算書（一覧）'!F64</f>
        <v>0</v>
      </c>
      <c r="H59" s="274">
        <f t="shared" si="2"/>
        <v>-3000000</v>
      </c>
      <c r="I59" s="275"/>
    </row>
    <row r="60" spans="1:9" ht="20.100000000000001" customHeight="1">
      <c r="A60" s="981" t="s">
        <v>53</v>
      </c>
      <c r="B60" s="981"/>
      <c r="C60" s="981"/>
      <c r="D60" s="268" t="e">
        <f>D35+D23</f>
        <v>#REF!</v>
      </c>
      <c r="E60" s="268">
        <f>②2016予算書!F80</f>
        <v>0</v>
      </c>
      <c r="F60" s="268" t="e">
        <f t="shared" si="0"/>
        <v>#REF!</v>
      </c>
      <c r="G60" s="268">
        <f>'2015予算書（一覧）'!F66</f>
        <v>195879000</v>
      </c>
      <c r="H60" s="268">
        <f t="shared" si="2"/>
        <v>195879000</v>
      </c>
      <c r="I60" s="269"/>
    </row>
    <row r="61" spans="1:9" ht="20.100000000000001" customHeight="1">
      <c r="A61" s="981" t="s">
        <v>54</v>
      </c>
      <c r="B61" s="981"/>
      <c r="C61" s="981"/>
      <c r="D61" s="268" t="e">
        <f>D21-D60</f>
        <v>#REF!</v>
      </c>
      <c r="E61" s="268" t="e">
        <f>②2016予算書!#REF!</f>
        <v>#REF!</v>
      </c>
      <c r="F61" s="268" t="e">
        <f t="shared" si="0"/>
        <v>#REF!</v>
      </c>
      <c r="G61" s="268">
        <f>'2015予算書（一覧）'!F67</f>
        <v>12036560</v>
      </c>
      <c r="H61" s="268" t="e">
        <f t="shared" si="2"/>
        <v>#REF!</v>
      </c>
      <c r="I61" s="269"/>
    </row>
  </sheetData>
  <mergeCells count="15">
    <mergeCell ref="A1:C2"/>
    <mergeCell ref="I1:I2"/>
    <mergeCell ref="A3:C3"/>
    <mergeCell ref="A4:C4"/>
    <mergeCell ref="A5:C5"/>
    <mergeCell ref="A6:C6"/>
    <mergeCell ref="A18:C18"/>
    <mergeCell ref="A19:C19"/>
    <mergeCell ref="A35:C35"/>
    <mergeCell ref="A60:C60"/>
    <mergeCell ref="A61:C61"/>
    <mergeCell ref="A20:C20"/>
    <mergeCell ref="A21:C21"/>
    <mergeCell ref="A22:C22"/>
    <mergeCell ref="A23:C2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portrait" horizontalDpi="300" verticalDpi="300" r:id="rId1"/>
  <headerFooter alignWithMargins="0">
    <oddHeader>&amp;C&amp;"メイリオ,ボールド"&amp;12特定非営利活動法人&amp;14地域たすけあいの会　活動収支計算書</oddHeader>
  </headerFooter>
  <rowBreaks count="1" manualBreakCount="1">
    <brk id="2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2"/>
  <sheetViews>
    <sheetView zoomScaleNormal="100" workbookViewId="0">
      <pane xSplit="3" ySplit="1" topLeftCell="D2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9" defaultRowHeight="13.5"/>
  <cols>
    <col min="1" max="1" width="3.125" style="254" bestFit="1" customWidth="1"/>
    <col min="2" max="2" width="11.875" style="235" customWidth="1"/>
    <col min="3" max="16" width="8.625" style="235" customWidth="1"/>
    <col min="17" max="16384" width="9" style="14"/>
  </cols>
  <sheetData>
    <row r="1" spans="1:16" s="221" customFormat="1">
      <c r="A1" s="253"/>
      <c r="B1" s="234"/>
      <c r="C1" s="257" t="s">
        <v>256</v>
      </c>
      <c r="D1" s="257" t="s">
        <v>169</v>
      </c>
      <c r="E1" s="257" t="s">
        <v>183</v>
      </c>
      <c r="F1" s="257" t="s">
        <v>184</v>
      </c>
      <c r="G1" s="257" t="s">
        <v>171</v>
      </c>
      <c r="H1" s="257" t="s">
        <v>185</v>
      </c>
      <c r="I1" s="257" t="s">
        <v>186</v>
      </c>
      <c r="J1" s="257" t="s">
        <v>181</v>
      </c>
      <c r="K1" s="257" t="s">
        <v>182</v>
      </c>
      <c r="L1" s="257" t="s">
        <v>180</v>
      </c>
      <c r="M1" s="257" t="s">
        <v>170</v>
      </c>
      <c r="N1" s="257" t="s">
        <v>188</v>
      </c>
      <c r="O1" s="257" t="s">
        <v>168</v>
      </c>
      <c r="P1" s="257" t="s">
        <v>194</v>
      </c>
    </row>
    <row r="2" spans="1:16" ht="20.100000000000001" customHeight="1">
      <c r="A2" s="988" t="s">
        <v>255</v>
      </c>
      <c r="B2" s="236" t="s">
        <v>177</v>
      </c>
      <c r="C2" s="236"/>
      <c r="D2" s="236">
        <f>②2016予算書!F13</f>
        <v>132966000</v>
      </c>
      <c r="E2" s="236">
        <f>②2016予算書!F14</f>
        <v>41108000</v>
      </c>
      <c r="F2" s="236">
        <f>②2016予算書!F16</f>
        <v>64328000</v>
      </c>
      <c r="G2" s="236" t="e">
        <f>②2016予算書!#REF!</f>
        <v>#REF!</v>
      </c>
      <c r="H2" s="236" t="e">
        <f>②2016予算書!#REF!</f>
        <v>#REF!</v>
      </c>
      <c r="I2" s="236" t="e">
        <f>②2016予算書!#REF!</f>
        <v>#REF!</v>
      </c>
      <c r="J2" s="236" t="e">
        <f>②2016予算書!#REF!</f>
        <v>#REF!</v>
      </c>
      <c r="K2" s="236" t="e">
        <f>②2016予算書!#REF!</f>
        <v>#REF!</v>
      </c>
      <c r="L2" s="236" t="e">
        <f>②2016予算書!#REF!</f>
        <v>#REF!</v>
      </c>
      <c r="M2" s="236" t="e">
        <f>②2016予算書!#REF!</f>
        <v>#REF!</v>
      </c>
      <c r="N2" s="236" t="e">
        <f>②2016予算書!#REF!</f>
        <v>#REF!</v>
      </c>
      <c r="O2" s="236">
        <f>②2016予算書!F18+②2016予算書!F7+②2016予算書!F9+②2016予算書!F11+②2016予算書!F19</f>
        <v>3803000</v>
      </c>
      <c r="P2" s="236" t="e">
        <f>SUM(D2:O2)</f>
        <v>#REF!</v>
      </c>
    </row>
    <row r="3" spans="1:16" ht="20.100000000000001" customHeight="1">
      <c r="A3" s="988"/>
      <c r="B3" s="236" t="s">
        <v>178</v>
      </c>
      <c r="C3" s="236"/>
      <c r="D3" s="236" t="e">
        <f>②2016予算書!#REF!</f>
        <v>#REF!</v>
      </c>
      <c r="E3" s="236" t="e">
        <f>②2016予算書!#REF!</f>
        <v>#REF!</v>
      </c>
      <c r="F3" s="236" t="e">
        <f>②2016予算書!#REF!</f>
        <v>#REF!</v>
      </c>
      <c r="G3" s="236" t="e">
        <f>②2016予算書!#REF!</f>
        <v>#REF!</v>
      </c>
      <c r="H3" s="236" t="e">
        <f>②2016予算書!#REF!</f>
        <v>#REF!</v>
      </c>
      <c r="I3" s="236" t="e">
        <f>②2016予算書!#REF!</f>
        <v>#REF!</v>
      </c>
      <c r="J3" s="236" t="e">
        <f>②2016予算書!#REF!</f>
        <v>#REF!</v>
      </c>
      <c r="K3" s="236" t="e">
        <f>②2016予算書!#REF!</f>
        <v>#REF!</v>
      </c>
      <c r="L3" s="236" t="e">
        <f>②2016予算書!#REF!</f>
        <v>#REF!</v>
      </c>
      <c r="M3" s="236" t="e">
        <f>②2016予算書!#REF!</f>
        <v>#REF!</v>
      </c>
      <c r="N3" s="236" t="e">
        <f>②2016予算書!#REF!</f>
        <v>#REF!</v>
      </c>
      <c r="O3" s="236"/>
      <c r="P3" s="236" t="e">
        <f t="shared" ref="P3:P4" si="0">SUM(D3:O3)</f>
        <v>#REF!</v>
      </c>
    </row>
    <row r="4" spans="1:16" ht="20.100000000000001" customHeight="1">
      <c r="A4" s="988"/>
      <c r="B4" s="236" t="s">
        <v>172</v>
      </c>
      <c r="C4" s="236"/>
      <c r="D4" s="236" t="e">
        <f t="shared" ref="D4:K4" si="1">D2-D3</f>
        <v>#REF!</v>
      </c>
      <c r="E4" s="236" t="e">
        <f t="shared" si="1"/>
        <v>#REF!</v>
      </c>
      <c r="F4" s="236" t="e">
        <f t="shared" si="1"/>
        <v>#REF!</v>
      </c>
      <c r="G4" s="236" t="e">
        <f t="shared" si="1"/>
        <v>#REF!</v>
      </c>
      <c r="H4" s="236" t="e">
        <f t="shared" si="1"/>
        <v>#REF!</v>
      </c>
      <c r="I4" s="236" t="e">
        <f t="shared" si="1"/>
        <v>#REF!</v>
      </c>
      <c r="J4" s="236" t="e">
        <f t="shared" si="1"/>
        <v>#REF!</v>
      </c>
      <c r="K4" s="236" t="e">
        <f t="shared" si="1"/>
        <v>#REF!</v>
      </c>
      <c r="L4" s="236" t="e">
        <f t="shared" ref="L4:N4" si="2">L2-L3</f>
        <v>#REF!</v>
      </c>
      <c r="M4" s="236" t="e">
        <f t="shared" si="2"/>
        <v>#REF!</v>
      </c>
      <c r="N4" s="236" t="e">
        <f t="shared" si="2"/>
        <v>#REF!</v>
      </c>
      <c r="O4" s="236">
        <f>O2-O3</f>
        <v>3803000</v>
      </c>
      <c r="P4" s="236" t="e">
        <f t="shared" si="0"/>
        <v>#REF!</v>
      </c>
    </row>
    <row r="5" spans="1:16" ht="20.100000000000001" customHeight="1"/>
    <row r="6" spans="1:16" ht="20.100000000000001" customHeight="1">
      <c r="A6" s="988" t="s">
        <v>247</v>
      </c>
      <c r="B6" s="236" t="s">
        <v>192</v>
      </c>
      <c r="C6" s="236" t="e">
        <f>②2016予算書!#REF!</f>
        <v>#REF!</v>
      </c>
      <c r="D6" s="236">
        <f>L10*-1</f>
        <v>-3324150</v>
      </c>
      <c r="E6" s="236">
        <f>L11*-1</f>
        <v>-2877560.0000000005</v>
      </c>
      <c r="F6" s="236"/>
      <c r="G6" s="236"/>
      <c r="H6" s="236"/>
      <c r="I6" s="236"/>
      <c r="J6" s="236"/>
      <c r="K6" s="236"/>
      <c r="L6" s="236" t="e">
        <f>C6*100%</f>
        <v>#REF!</v>
      </c>
      <c r="M6" s="236"/>
      <c r="N6" s="236"/>
      <c r="O6" s="236"/>
      <c r="P6" s="236" t="e">
        <f t="shared" ref="P6:P23" si="3">SUM(D6:O6)</f>
        <v>#REF!</v>
      </c>
    </row>
    <row r="7" spans="1:16" ht="20.100000000000001" customHeight="1">
      <c r="A7" s="988"/>
      <c r="B7" s="236" t="s">
        <v>181</v>
      </c>
      <c r="C7" s="236" t="e">
        <f>②2016予算書!#REF!</f>
        <v>#REF!</v>
      </c>
      <c r="D7" s="236"/>
      <c r="E7" s="236"/>
      <c r="F7" s="236"/>
      <c r="G7" s="236"/>
      <c r="H7" s="236"/>
      <c r="I7" s="236"/>
      <c r="J7" s="236" t="e">
        <f>C7*100%</f>
        <v>#REF!</v>
      </c>
      <c r="K7" s="236"/>
      <c r="L7" s="236"/>
      <c r="M7" s="236"/>
      <c r="N7" s="236"/>
      <c r="O7" s="236"/>
      <c r="P7" s="236" t="e">
        <f t="shared" si="3"/>
        <v>#REF!</v>
      </c>
    </row>
    <row r="8" spans="1:16" ht="20.100000000000001" customHeight="1">
      <c r="A8" s="988"/>
      <c r="B8" s="236" t="s">
        <v>182</v>
      </c>
      <c r="C8" s="236" t="e">
        <f>②2016予算書!#REF!</f>
        <v>#REF!</v>
      </c>
      <c r="D8" s="236"/>
      <c r="E8" s="236"/>
      <c r="F8" s="236"/>
      <c r="G8" s="236"/>
      <c r="H8" s="236"/>
      <c r="I8" s="236"/>
      <c r="J8" s="236"/>
      <c r="K8" s="236" t="e">
        <f>C8*100%</f>
        <v>#REF!</v>
      </c>
      <c r="L8" s="236"/>
      <c r="M8" s="236"/>
      <c r="N8" s="236"/>
      <c r="O8" s="236"/>
      <c r="P8" s="236" t="e">
        <f t="shared" si="3"/>
        <v>#REF!</v>
      </c>
    </row>
    <row r="9" spans="1:16" ht="20.100000000000001" customHeight="1">
      <c r="A9" s="988"/>
      <c r="B9" s="236" t="s">
        <v>170</v>
      </c>
      <c r="C9" s="236" t="e">
        <f>②2016予算書!#REF!</f>
        <v>#REF!</v>
      </c>
      <c r="D9" s="236"/>
      <c r="E9" s="236"/>
      <c r="F9" s="236"/>
      <c r="G9" s="236"/>
      <c r="H9" s="236"/>
      <c r="I9" s="236"/>
      <c r="J9" s="236"/>
      <c r="K9" s="236"/>
      <c r="L9" s="236"/>
      <c r="M9" s="236" t="e">
        <f>C9*100%</f>
        <v>#REF!</v>
      </c>
      <c r="N9" s="236"/>
      <c r="O9" s="236"/>
      <c r="P9" s="236" t="e">
        <f t="shared" si="3"/>
        <v>#REF!</v>
      </c>
    </row>
    <row r="10" spans="1:16" ht="20.100000000000001" customHeight="1">
      <c r="A10" s="988"/>
      <c r="B10" s="236" t="s">
        <v>169</v>
      </c>
      <c r="C10" s="236">
        <f>②2016予算書!F13</f>
        <v>132966000</v>
      </c>
      <c r="D10" s="236">
        <f>C10</f>
        <v>132966000</v>
      </c>
      <c r="E10" s="236"/>
      <c r="F10" s="236"/>
      <c r="G10" s="236"/>
      <c r="H10" s="236"/>
      <c r="I10" s="236"/>
      <c r="J10" s="236"/>
      <c r="K10" s="236"/>
      <c r="L10" s="236">
        <f>D2*2.5%</f>
        <v>3324150</v>
      </c>
      <c r="M10" s="236"/>
      <c r="N10" s="236"/>
      <c r="O10" s="236"/>
      <c r="P10" s="236">
        <f t="shared" si="3"/>
        <v>136290150</v>
      </c>
    </row>
    <row r="11" spans="1:16" ht="20.100000000000001" customHeight="1">
      <c r="A11" s="988"/>
      <c r="B11" s="236" t="s">
        <v>183</v>
      </c>
      <c r="C11" s="236">
        <f>②2016予算書!F14</f>
        <v>41108000</v>
      </c>
      <c r="D11" s="236"/>
      <c r="E11" s="236">
        <f>C11</f>
        <v>41108000</v>
      </c>
      <c r="F11" s="236"/>
      <c r="G11" s="236"/>
      <c r="H11" s="236"/>
      <c r="I11" s="236"/>
      <c r="J11" s="236"/>
      <c r="K11" s="236"/>
      <c r="L11" s="236">
        <f>E2*7%</f>
        <v>2877560.0000000005</v>
      </c>
      <c r="M11" s="236"/>
      <c r="N11" s="236"/>
      <c r="O11" s="236"/>
      <c r="P11" s="236">
        <f t="shared" si="3"/>
        <v>43985560</v>
      </c>
    </row>
    <row r="12" spans="1:16" ht="20.100000000000001" customHeight="1">
      <c r="A12" s="988"/>
      <c r="B12" s="236" t="s">
        <v>184</v>
      </c>
      <c r="C12" s="236">
        <f>②2016予算書!F16</f>
        <v>64328000</v>
      </c>
      <c r="D12" s="236"/>
      <c r="E12" s="236"/>
      <c r="F12" s="236">
        <f>C12*100%</f>
        <v>64328000</v>
      </c>
      <c r="G12" s="236"/>
      <c r="H12" s="236"/>
      <c r="I12" s="236"/>
      <c r="J12" s="236"/>
      <c r="K12" s="236"/>
      <c r="L12" s="236"/>
      <c r="M12" s="236"/>
      <c r="N12" s="236"/>
      <c r="O12" s="236"/>
      <c r="P12" s="236">
        <f t="shared" si="3"/>
        <v>64328000</v>
      </c>
    </row>
    <row r="13" spans="1:16" ht="20.100000000000001" customHeight="1">
      <c r="A13" s="988"/>
      <c r="B13" s="236" t="s">
        <v>171</v>
      </c>
      <c r="C13" s="236" t="e">
        <f>②2016予算書!#REF!</f>
        <v>#REF!</v>
      </c>
      <c r="D13" s="236"/>
      <c r="E13" s="236"/>
      <c r="F13" s="236"/>
      <c r="G13" s="236" t="e">
        <f>C13*100%</f>
        <v>#REF!</v>
      </c>
      <c r="H13" s="236"/>
      <c r="I13" s="236"/>
      <c r="J13" s="236"/>
      <c r="K13" s="236"/>
      <c r="L13" s="236"/>
      <c r="M13" s="236"/>
      <c r="N13" s="236"/>
      <c r="O13" s="236"/>
      <c r="P13" s="236" t="e">
        <f t="shared" si="3"/>
        <v>#REF!</v>
      </c>
    </row>
    <row r="14" spans="1:16" ht="20.100000000000001" customHeight="1">
      <c r="A14" s="988"/>
      <c r="B14" s="236" t="s">
        <v>193</v>
      </c>
      <c r="C14" s="236" t="e">
        <f>②2016予算書!#REF!</f>
        <v>#REF!</v>
      </c>
      <c r="D14" s="236"/>
      <c r="E14" s="236"/>
      <c r="F14" s="236"/>
      <c r="G14" s="236"/>
      <c r="H14" s="236" t="e">
        <f>C14*100%</f>
        <v>#REF!</v>
      </c>
      <c r="I14" s="236"/>
      <c r="J14" s="236"/>
      <c r="K14" s="236"/>
      <c r="L14" s="236"/>
      <c r="M14" s="236"/>
      <c r="N14" s="236"/>
      <c r="O14" s="236"/>
      <c r="P14" s="236" t="e">
        <f t="shared" si="3"/>
        <v>#REF!</v>
      </c>
    </row>
    <row r="15" spans="1:16" ht="20.100000000000001" customHeight="1">
      <c r="A15" s="988"/>
      <c r="B15" s="236" t="s">
        <v>191</v>
      </c>
      <c r="C15" s="236" t="e">
        <f>②2016予算書!#REF!</f>
        <v>#REF!</v>
      </c>
      <c r="D15" s="236"/>
      <c r="E15" s="236"/>
      <c r="F15" s="236"/>
      <c r="G15" s="236"/>
      <c r="H15" s="236"/>
      <c r="I15" s="236" t="e">
        <f>C15*100%</f>
        <v>#REF!</v>
      </c>
      <c r="J15" s="236"/>
      <c r="K15" s="236"/>
      <c r="L15" s="236"/>
      <c r="M15" s="236"/>
      <c r="N15" s="236"/>
      <c r="O15" s="236"/>
      <c r="P15" s="236" t="e">
        <f t="shared" si="3"/>
        <v>#REF!</v>
      </c>
    </row>
    <row r="16" spans="1:16" ht="20.100000000000001" customHeight="1">
      <c r="A16" s="988"/>
      <c r="B16" s="236" t="s">
        <v>188</v>
      </c>
      <c r="C16" s="236" t="e">
        <f>②2016予算書!#REF!</f>
        <v>#REF!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 t="e">
        <f>C16*100%</f>
        <v>#REF!</v>
      </c>
      <c r="O16" s="236"/>
      <c r="P16" s="236" t="e">
        <f t="shared" si="3"/>
        <v>#REF!</v>
      </c>
    </row>
    <row r="17" spans="1:16" ht="20.100000000000001" customHeight="1">
      <c r="A17" s="988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>
        <f t="shared" si="3"/>
        <v>0</v>
      </c>
    </row>
    <row r="18" spans="1:16" ht="20.100000000000001" customHeight="1">
      <c r="A18" s="988"/>
      <c r="B18" s="236" t="s">
        <v>250</v>
      </c>
      <c r="C18" s="236">
        <f>②2016予算書!F18</f>
        <v>3000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>
        <f>C18*100%</f>
        <v>3000</v>
      </c>
      <c r="P18" s="236">
        <f t="shared" si="3"/>
        <v>3000</v>
      </c>
    </row>
    <row r="19" spans="1:16" ht="20.100000000000001" customHeight="1">
      <c r="A19" s="988"/>
      <c r="B19" s="236" t="s">
        <v>251</v>
      </c>
      <c r="C19" s="236">
        <f>②2016予算書!F7</f>
        <v>300000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>
        <f>C19*100%</f>
        <v>300000</v>
      </c>
      <c r="P19" s="236">
        <f t="shared" si="3"/>
        <v>300000</v>
      </c>
    </row>
    <row r="20" spans="1:16" ht="20.100000000000001" customHeight="1">
      <c r="A20" s="988"/>
      <c r="B20" s="236" t="s">
        <v>252</v>
      </c>
      <c r="C20" s="236">
        <f>②2016予算書!F9</f>
        <v>500000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>
        <f>C20*100%</f>
        <v>500000</v>
      </c>
      <c r="P20" s="236">
        <f t="shared" si="3"/>
        <v>500000</v>
      </c>
    </row>
    <row r="21" spans="1:16" ht="20.100000000000001" customHeight="1">
      <c r="A21" s="988"/>
      <c r="B21" s="236" t="s">
        <v>253</v>
      </c>
      <c r="C21" s="236">
        <f>②2016予算書!F11</f>
        <v>2000000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>
        <f>C21*100%</f>
        <v>2000000</v>
      </c>
      <c r="P21" s="236">
        <f t="shared" si="3"/>
        <v>2000000</v>
      </c>
    </row>
    <row r="22" spans="1:16" ht="20.100000000000001" customHeight="1">
      <c r="A22" s="988"/>
      <c r="B22" s="236" t="s">
        <v>254</v>
      </c>
      <c r="C22" s="236">
        <f>②2016予算書!F19</f>
        <v>1000000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>
        <f>C22*100%</f>
        <v>1000000</v>
      </c>
      <c r="P22" s="236">
        <f t="shared" si="3"/>
        <v>1000000</v>
      </c>
    </row>
    <row r="23" spans="1:16" ht="20.100000000000001" customHeight="1">
      <c r="A23" s="988"/>
      <c r="B23" s="237" t="s">
        <v>258</v>
      </c>
      <c r="C23" s="237" t="e">
        <f t="shared" ref="C23:N23" si="4">SUM(C6:C22)</f>
        <v>#REF!</v>
      </c>
      <c r="D23" s="237">
        <f t="shared" ref="D23:K23" si="5">SUM(D6:D22)</f>
        <v>129641850</v>
      </c>
      <c r="E23" s="237">
        <f t="shared" si="5"/>
        <v>38230440</v>
      </c>
      <c r="F23" s="237">
        <f t="shared" si="5"/>
        <v>64328000</v>
      </c>
      <c r="G23" s="237" t="e">
        <f t="shared" si="5"/>
        <v>#REF!</v>
      </c>
      <c r="H23" s="237" t="e">
        <f t="shared" si="5"/>
        <v>#REF!</v>
      </c>
      <c r="I23" s="237" t="e">
        <f t="shared" si="5"/>
        <v>#REF!</v>
      </c>
      <c r="J23" s="237" t="e">
        <f t="shared" si="5"/>
        <v>#REF!</v>
      </c>
      <c r="K23" s="237" t="e">
        <f t="shared" si="5"/>
        <v>#REF!</v>
      </c>
      <c r="L23" s="237" t="e">
        <f t="shared" si="4"/>
        <v>#REF!</v>
      </c>
      <c r="M23" s="237" t="e">
        <f t="shared" si="4"/>
        <v>#REF!</v>
      </c>
      <c r="N23" s="237" t="e">
        <f t="shared" si="4"/>
        <v>#REF!</v>
      </c>
      <c r="O23" s="237">
        <f>SUM(O6:O22)</f>
        <v>3803000</v>
      </c>
      <c r="P23" s="237" t="e">
        <f t="shared" si="3"/>
        <v>#REF!</v>
      </c>
    </row>
    <row r="25" spans="1:16" s="228" customFormat="1">
      <c r="A25" s="989" t="s">
        <v>205</v>
      </c>
      <c r="B25" s="238" t="s">
        <v>195</v>
      </c>
      <c r="C25" s="238"/>
      <c r="D25" s="238" t="e">
        <f t="shared" ref="D25:N25" si="6">D23/$P$23</f>
        <v>#REF!</v>
      </c>
      <c r="E25" s="238" t="e">
        <f t="shared" si="6"/>
        <v>#REF!</v>
      </c>
      <c r="F25" s="238" t="e">
        <f t="shared" si="6"/>
        <v>#REF!</v>
      </c>
      <c r="G25" s="238" t="e">
        <f t="shared" si="6"/>
        <v>#REF!</v>
      </c>
      <c r="H25" s="238" t="e">
        <f t="shared" si="6"/>
        <v>#REF!</v>
      </c>
      <c r="I25" s="238" t="e">
        <f t="shared" si="6"/>
        <v>#REF!</v>
      </c>
      <c r="J25" s="238" t="e">
        <f t="shared" si="6"/>
        <v>#REF!</v>
      </c>
      <c r="K25" s="238" t="e">
        <f t="shared" si="6"/>
        <v>#REF!</v>
      </c>
      <c r="L25" s="238" t="e">
        <f t="shared" si="6"/>
        <v>#REF!</v>
      </c>
      <c r="M25" s="238" t="e">
        <f t="shared" si="6"/>
        <v>#REF!</v>
      </c>
      <c r="N25" s="238" t="e">
        <f t="shared" si="6"/>
        <v>#REF!</v>
      </c>
      <c r="O25" s="238"/>
      <c r="P25" s="238" t="e">
        <f>SUM(D25:O25)</f>
        <v>#REF!</v>
      </c>
    </row>
    <row r="26" spans="1:16" s="229" customFormat="1">
      <c r="A26" s="989"/>
      <c r="B26" s="239" t="s">
        <v>196</v>
      </c>
      <c r="C26" s="239"/>
      <c r="D26" s="239">
        <v>1</v>
      </c>
      <c r="E26" s="239">
        <v>2</v>
      </c>
      <c r="F26" s="239">
        <v>2</v>
      </c>
      <c r="G26" s="239">
        <v>1</v>
      </c>
      <c r="H26" s="239">
        <v>1</v>
      </c>
      <c r="I26" s="239">
        <v>3</v>
      </c>
      <c r="J26" s="239">
        <v>4</v>
      </c>
      <c r="K26" s="239"/>
      <c r="L26" s="239"/>
      <c r="M26" s="239"/>
      <c r="N26" s="239"/>
      <c r="O26" s="239"/>
      <c r="P26" s="239">
        <f>SUM(D26:O26)</f>
        <v>14</v>
      </c>
    </row>
    <row r="27" spans="1:16" s="230" customFormat="1">
      <c r="A27" s="989"/>
      <c r="B27" s="241" t="s">
        <v>233</v>
      </c>
      <c r="C27" s="241"/>
      <c r="D27" s="241">
        <f>車両関係経費試算資料!J2</f>
        <v>9.9490717001677526E-2</v>
      </c>
      <c r="E27" s="241">
        <f>車両関係経費試算資料!J4</f>
        <v>0.23313659205875953</v>
      </c>
      <c r="F27" s="241">
        <f>車両関係経費試算資料!J17</f>
        <v>0.15179677722518434</v>
      </c>
      <c r="G27" s="241">
        <f>車両関係経費試算資料!J9</f>
        <v>3.0838038863025573E-2</v>
      </c>
      <c r="H27" s="241">
        <f>車両関係経費試算資料!J15</f>
        <v>6.976132846857154E-2</v>
      </c>
      <c r="I27" s="241">
        <f>車両関係経費試算資料!J14</f>
        <v>0.25282838311090194</v>
      </c>
      <c r="J27" s="241">
        <f>車両関係経費試算資料!J8</f>
        <v>0.16214816327187959</v>
      </c>
      <c r="K27" s="241">
        <f>K26/$P$26</f>
        <v>0</v>
      </c>
      <c r="L27" s="241">
        <f>L26/$P$26</f>
        <v>0</v>
      </c>
      <c r="M27" s="241">
        <f>M26/$P$26</f>
        <v>0</v>
      </c>
      <c r="N27" s="241">
        <f>N26/$P$26</f>
        <v>0</v>
      </c>
      <c r="O27" s="241">
        <f>O26/$P$26</f>
        <v>0</v>
      </c>
      <c r="P27" s="241">
        <f t="shared" ref="P27:P32" si="7">SUM(D27:O27)</f>
        <v>1</v>
      </c>
    </row>
    <row r="28" spans="1:16" s="231" customFormat="1">
      <c r="A28" s="989"/>
      <c r="B28" s="242" t="s">
        <v>197</v>
      </c>
      <c r="C28" s="242"/>
      <c r="D28" s="242">
        <v>20</v>
      </c>
      <c r="E28" s="242">
        <v>9</v>
      </c>
      <c r="F28" s="242">
        <v>5</v>
      </c>
      <c r="G28" s="242">
        <v>3</v>
      </c>
      <c r="H28" s="242">
        <v>8</v>
      </c>
      <c r="I28" s="242">
        <v>5</v>
      </c>
      <c r="J28" s="242">
        <v>6</v>
      </c>
      <c r="K28" s="242">
        <v>4</v>
      </c>
      <c r="L28" s="242">
        <v>4</v>
      </c>
      <c r="M28" s="242"/>
      <c r="N28" s="242"/>
      <c r="O28" s="242">
        <v>7</v>
      </c>
      <c r="P28" s="258">
        <f t="shared" si="7"/>
        <v>71</v>
      </c>
    </row>
    <row r="29" spans="1:16">
      <c r="A29" s="989"/>
      <c r="B29" s="243" t="s">
        <v>198</v>
      </c>
      <c r="C29" s="243"/>
      <c r="D29" s="241">
        <f t="shared" ref="D29:O29" si="8">D28/$P$28</f>
        <v>0.28169014084507044</v>
      </c>
      <c r="E29" s="241">
        <f t="shared" si="8"/>
        <v>0.12676056338028169</v>
      </c>
      <c r="F29" s="241">
        <f t="shared" si="8"/>
        <v>7.0422535211267609E-2</v>
      </c>
      <c r="G29" s="241">
        <f t="shared" si="8"/>
        <v>4.2253521126760563E-2</v>
      </c>
      <c r="H29" s="241">
        <f t="shared" si="8"/>
        <v>0.11267605633802817</v>
      </c>
      <c r="I29" s="241">
        <f t="shared" si="8"/>
        <v>7.0422535211267609E-2</v>
      </c>
      <c r="J29" s="241">
        <f t="shared" si="8"/>
        <v>8.4507042253521125E-2</v>
      </c>
      <c r="K29" s="241">
        <f t="shared" si="8"/>
        <v>5.6338028169014086E-2</v>
      </c>
      <c r="L29" s="241">
        <f t="shared" si="8"/>
        <v>5.6338028169014086E-2</v>
      </c>
      <c r="M29" s="241">
        <f t="shared" si="8"/>
        <v>0</v>
      </c>
      <c r="N29" s="241">
        <f t="shared" si="8"/>
        <v>0</v>
      </c>
      <c r="O29" s="241">
        <f t="shared" si="8"/>
        <v>9.8591549295774641E-2</v>
      </c>
      <c r="P29" s="241">
        <f t="shared" si="7"/>
        <v>1</v>
      </c>
    </row>
    <row r="30" spans="1:16" s="231" customFormat="1">
      <c r="A30" s="989"/>
      <c r="B30" s="242" t="s">
        <v>200</v>
      </c>
      <c r="C30" s="242"/>
      <c r="D30" s="259">
        <v>4</v>
      </c>
      <c r="E30" s="259">
        <v>2</v>
      </c>
      <c r="F30" s="259">
        <v>2</v>
      </c>
      <c r="G30" s="259">
        <v>3</v>
      </c>
      <c r="H30" s="259">
        <v>3</v>
      </c>
      <c r="I30" s="259">
        <v>3</v>
      </c>
      <c r="J30" s="259">
        <v>0</v>
      </c>
      <c r="K30" s="259">
        <v>2</v>
      </c>
      <c r="L30" s="259">
        <v>1</v>
      </c>
      <c r="M30" s="259">
        <v>0</v>
      </c>
      <c r="N30" s="259"/>
      <c r="O30" s="259">
        <v>6</v>
      </c>
      <c r="P30" s="259">
        <f t="shared" si="7"/>
        <v>26</v>
      </c>
    </row>
    <row r="31" spans="1:16">
      <c r="A31" s="989"/>
      <c r="B31" s="243" t="s">
        <v>199</v>
      </c>
      <c r="C31" s="243"/>
      <c r="D31" s="241">
        <f t="shared" ref="D31:O31" si="9">D30/$P$30</f>
        <v>0.15384615384615385</v>
      </c>
      <c r="E31" s="241">
        <f t="shared" si="9"/>
        <v>7.6923076923076927E-2</v>
      </c>
      <c r="F31" s="241">
        <f t="shared" si="9"/>
        <v>7.6923076923076927E-2</v>
      </c>
      <c r="G31" s="241">
        <f t="shared" si="9"/>
        <v>0.11538461538461539</v>
      </c>
      <c r="H31" s="241">
        <f t="shared" si="9"/>
        <v>0.11538461538461539</v>
      </c>
      <c r="I31" s="241">
        <f t="shared" si="9"/>
        <v>0.11538461538461539</v>
      </c>
      <c r="J31" s="241">
        <f t="shared" si="9"/>
        <v>0</v>
      </c>
      <c r="K31" s="241">
        <f t="shared" si="9"/>
        <v>7.6923076923076927E-2</v>
      </c>
      <c r="L31" s="241">
        <f t="shared" si="9"/>
        <v>3.8461538461538464E-2</v>
      </c>
      <c r="M31" s="241">
        <f t="shared" si="9"/>
        <v>0</v>
      </c>
      <c r="N31" s="241">
        <f t="shared" si="9"/>
        <v>0</v>
      </c>
      <c r="O31" s="241">
        <f t="shared" si="9"/>
        <v>0.23076923076923078</v>
      </c>
      <c r="P31" s="241">
        <f t="shared" si="7"/>
        <v>1</v>
      </c>
    </row>
    <row r="32" spans="1:16">
      <c r="A32" s="989"/>
      <c r="B32" s="243" t="s">
        <v>201</v>
      </c>
      <c r="C32" s="243"/>
      <c r="D32" s="241"/>
      <c r="E32" s="241"/>
      <c r="F32" s="241"/>
      <c r="G32" s="241">
        <v>0.05</v>
      </c>
      <c r="H32" s="241"/>
      <c r="I32" s="241"/>
      <c r="J32" s="241">
        <v>0.2</v>
      </c>
      <c r="K32" s="241"/>
      <c r="L32" s="241"/>
      <c r="M32" s="241"/>
      <c r="N32" s="241"/>
      <c r="O32" s="241">
        <v>0.75</v>
      </c>
      <c r="P32" s="241">
        <f t="shared" si="7"/>
        <v>1</v>
      </c>
    </row>
    <row r="33" spans="1:16"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</row>
    <row r="34" spans="1:16">
      <c r="A34" s="988" t="s">
        <v>249</v>
      </c>
      <c r="B34" s="244" t="s">
        <v>83</v>
      </c>
      <c r="C34" s="260">
        <f>②2016予算書!F53</f>
        <v>6683000</v>
      </c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>
        <f>C34*100%</f>
        <v>6683000</v>
      </c>
      <c r="P34" s="236">
        <f>SUM(D34:O34)</f>
        <v>6683000</v>
      </c>
    </row>
    <row r="35" spans="1:16">
      <c r="A35" s="988"/>
      <c r="B35" s="243" t="s">
        <v>129</v>
      </c>
      <c r="C35" s="260">
        <f>②2016予算書!F54</f>
        <v>12691000</v>
      </c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>
        <f>C35*100%</f>
        <v>12691000</v>
      </c>
      <c r="P35" s="236">
        <f>SUM(D35:O35)</f>
        <v>12691000</v>
      </c>
    </row>
    <row r="36" spans="1:16">
      <c r="A36" s="988"/>
      <c r="B36" s="243" t="s">
        <v>130</v>
      </c>
      <c r="C36" s="236">
        <f>②2016予算書!F55</f>
        <v>895000</v>
      </c>
      <c r="D36" s="260">
        <f t="shared" ref="D36:O36" si="10">$C$36*D29</f>
        <v>252112.67605633804</v>
      </c>
      <c r="E36" s="260">
        <f t="shared" si="10"/>
        <v>113450.70422535211</v>
      </c>
      <c r="F36" s="260">
        <f t="shared" si="10"/>
        <v>63028.169014084509</v>
      </c>
      <c r="G36" s="260">
        <f t="shared" si="10"/>
        <v>37816.901408450707</v>
      </c>
      <c r="H36" s="260">
        <f t="shared" si="10"/>
        <v>100845.07042253521</v>
      </c>
      <c r="I36" s="260">
        <f t="shared" si="10"/>
        <v>63028.169014084509</v>
      </c>
      <c r="J36" s="260">
        <f t="shared" si="10"/>
        <v>75633.802816901414</v>
      </c>
      <c r="K36" s="260">
        <f t="shared" si="10"/>
        <v>50422.535211267605</v>
      </c>
      <c r="L36" s="260">
        <f t="shared" si="10"/>
        <v>50422.535211267605</v>
      </c>
      <c r="M36" s="260">
        <f t="shared" si="10"/>
        <v>0</v>
      </c>
      <c r="N36" s="260">
        <f t="shared" si="10"/>
        <v>0</v>
      </c>
      <c r="O36" s="260">
        <f t="shared" si="10"/>
        <v>88239.436619718297</v>
      </c>
      <c r="P36" s="236">
        <f t="shared" ref="P36:P58" si="11">SUM(D36:O36)</f>
        <v>895000</v>
      </c>
    </row>
    <row r="37" spans="1:16">
      <c r="A37" s="988"/>
      <c r="B37" s="244" t="s">
        <v>131</v>
      </c>
      <c r="C37" s="236">
        <f>②2016予算書!F57</f>
        <v>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60">
        <f>C37*100%</f>
        <v>0</v>
      </c>
      <c r="P37" s="236">
        <f t="shared" si="11"/>
        <v>0</v>
      </c>
    </row>
    <row r="38" spans="1:16">
      <c r="A38" s="988"/>
      <c r="B38" s="245" t="s">
        <v>84</v>
      </c>
      <c r="C38" s="236">
        <f>②2016予算書!F58</f>
        <v>675000</v>
      </c>
      <c r="D38" s="260">
        <f t="shared" ref="D38:O38" si="12">$C$38*D32</f>
        <v>0</v>
      </c>
      <c r="E38" s="260">
        <f t="shared" si="12"/>
        <v>0</v>
      </c>
      <c r="F38" s="260">
        <f t="shared" si="12"/>
        <v>0</v>
      </c>
      <c r="G38" s="260">
        <f t="shared" si="12"/>
        <v>33750</v>
      </c>
      <c r="H38" s="260">
        <f t="shared" si="12"/>
        <v>0</v>
      </c>
      <c r="I38" s="260">
        <f t="shared" si="12"/>
        <v>0</v>
      </c>
      <c r="J38" s="260">
        <f t="shared" si="12"/>
        <v>135000</v>
      </c>
      <c r="K38" s="260">
        <f t="shared" si="12"/>
        <v>0</v>
      </c>
      <c r="L38" s="260">
        <f t="shared" si="12"/>
        <v>0</v>
      </c>
      <c r="M38" s="260">
        <f t="shared" si="12"/>
        <v>0</v>
      </c>
      <c r="N38" s="260">
        <f t="shared" si="12"/>
        <v>0</v>
      </c>
      <c r="O38" s="260">
        <f t="shared" si="12"/>
        <v>506250</v>
      </c>
      <c r="P38" s="236">
        <f t="shared" si="11"/>
        <v>675000</v>
      </c>
    </row>
    <row r="39" spans="1:16">
      <c r="A39" s="988"/>
      <c r="B39" s="244" t="s">
        <v>132</v>
      </c>
      <c r="C39" s="236">
        <f>②2016予算書!F59</f>
        <v>180000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60">
        <f t="shared" ref="O39:O45" si="13">C39*100%</f>
        <v>180000</v>
      </c>
      <c r="P39" s="236">
        <f t="shared" si="11"/>
        <v>180000</v>
      </c>
    </row>
    <row r="40" spans="1:16">
      <c r="A40" s="988"/>
      <c r="B40" s="244" t="s">
        <v>189</v>
      </c>
      <c r="C40" s="236">
        <f>②2016予算書!F60</f>
        <v>2236000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60">
        <f t="shared" si="13"/>
        <v>2236000</v>
      </c>
      <c r="P40" s="236">
        <f t="shared" si="11"/>
        <v>2236000</v>
      </c>
    </row>
    <row r="41" spans="1:16">
      <c r="A41" s="988"/>
      <c r="B41" s="244" t="s">
        <v>133</v>
      </c>
      <c r="C41" s="236">
        <f>②2016予算書!F61</f>
        <v>304000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60">
        <f t="shared" si="13"/>
        <v>304000</v>
      </c>
      <c r="P41" s="236">
        <f t="shared" si="11"/>
        <v>304000</v>
      </c>
    </row>
    <row r="42" spans="1:16">
      <c r="A42" s="988"/>
      <c r="B42" s="244" t="s">
        <v>86</v>
      </c>
      <c r="C42" s="236">
        <f>②2016予算書!F62</f>
        <v>110000</v>
      </c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60">
        <f t="shared" si="13"/>
        <v>110000</v>
      </c>
      <c r="P42" s="236">
        <f t="shared" si="11"/>
        <v>110000</v>
      </c>
    </row>
    <row r="43" spans="1:16">
      <c r="A43" s="988"/>
      <c r="B43" s="244" t="s">
        <v>98</v>
      </c>
      <c r="C43" s="236">
        <f>②2016予算書!F63</f>
        <v>7000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60">
        <f t="shared" si="13"/>
        <v>7000</v>
      </c>
      <c r="P43" s="236">
        <f t="shared" si="11"/>
        <v>7000</v>
      </c>
    </row>
    <row r="44" spans="1:16">
      <c r="A44" s="988"/>
      <c r="B44" s="244" t="s">
        <v>87</v>
      </c>
      <c r="C44" s="236">
        <f>②2016予算書!F64</f>
        <v>400000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60">
        <f t="shared" si="13"/>
        <v>400000</v>
      </c>
      <c r="P44" s="236">
        <f t="shared" si="11"/>
        <v>400000</v>
      </c>
    </row>
    <row r="45" spans="1:16">
      <c r="A45" s="988"/>
      <c r="B45" s="244" t="s">
        <v>134</v>
      </c>
      <c r="C45" s="236">
        <f>②2016予算書!F65</f>
        <v>2748000</v>
      </c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60">
        <f t="shared" si="13"/>
        <v>2748000</v>
      </c>
      <c r="P45" s="236">
        <f t="shared" si="11"/>
        <v>2748000</v>
      </c>
    </row>
    <row r="46" spans="1:16">
      <c r="A46" s="988"/>
      <c r="B46" s="243" t="s">
        <v>121</v>
      </c>
      <c r="C46" s="236">
        <f>②2016予算書!F66</f>
        <v>0</v>
      </c>
      <c r="D46" s="236">
        <f t="shared" ref="D46:O46" si="14">$C$46*D29</f>
        <v>0</v>
      </c>
      <c r="E46" s="236">
        <f t="shared" si="14"/>
        <v>0</v>
      </c>
      <c r="F46" s="236">
        <f t="shared" si="14"/>
        <v>0</v>
      </c>
      <c r="G46" s="236">
        <f t="shared" si="14"/>
        <v>0</v>
      </c>
      <c r="H46" s="236">
        <f t="shared" si="14"/>
        <v>0</v>
      </c>
      <c r="I46" s="236">
        <f t="shared" si="14"/>
        <v>0</v>
      </c>
      <c r="J46" s="236">
        <f t="shared" si="14"/>
        <v>0</v>
      </c>
      <c r="K46" s="236">
        <f t="shared" si="14"/>
        <v>0</v>
      </c>
      <c r="L46" s="236">
        <f t="shared" si="14"/>
        <v>0</v>
      </c>
      <c r="M46" s="236">
        <f t="shared" si="14"/>
        <v>0</v>
      </c>
      <c r="N46" s="236">
        <f t="shared" si="14"/>
        <v>0</v>
      </c>
      <c r="O46" s="236">
        <f t="shared" si="14"/>
        <v>0</v>
      </c>
      <c r="P46" s="236">
        <f t="shared" si="11"/>
        <v>0</v>
      </c>
    </row>
    <row r="47" spans="1:16">
      <c r="A47" s="988"/>
      <c r="B47" s="245" t="s">
        <v>88</v>
      </c>
      <c r="C47" s="236">
        <f>②2016予算書!F67</f>
        <v>811000</v>
      </c>
      <c r="D47" s="260">
        <f t="shared" ref="D47:O47" si="15">$C$47*D32</f>
        <v>0</v>
      </c>
      <c r="E47" s="260">
        <f t="shared" si="15"/>
        <v>0</v>
      </c>
      <c r="F47" s="260">
        <f t="shared" si="15"/>
        <v>0</v>
      </c>
      <c r="G47" s="260">
        <f t="shared" si="15"/>
        <v>40550</v>
      </c>
      <c r="H47" s="260">
        <f t="shared" si="15"/>
        <v>0</v>
      </c>
      <c r="I47" s="260">
        <f t="shared" si="15"/>
        <v>0</v>
      </c>
      <c r="J47" s="260">
        <f t="shared" si="15"/>
        <v>162200</v>
      </c>
      <c r="K47" s="260">
        <f t="shared" si="15"/>
        <v>0</v>
      </c>
      <c r="L47" s="260">
        <f t="shared" si="15"/>
        <v>0</v>
      </c>
      <c r="M47" s="260">
        <f t="shared" si="15"/>
        <v>0</v>
      </c>
      <c r="N47" s="260">
        <f t="shared" si="15"/>
        <v>0</v>
      </c>
      <c r="O47" s="260">
        <f t="shared" si="15"/>
        <v>608250</v>
      </c>
      <c r="P47" s="236">
        <f t="shared" si="11"/>
        <v>811000</v>
      </c>
    </row>
    <row r="48" spans="1:16">
      <c r="A48" s="988"/>
      <c r="B48" s="244" t="s">
        <v>89</v>
      </c>
      <c r="C48" s="236">
        <f>②2016予算書!F68</f>
        <v>975000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60">
        <f>C48*100%</f>
        <v>975000</v>
      </c>
      <c r="P48" s="236">
        <f t="shared" si="11"/>
        <v>975000</v>
      </c>
    </row>
    <row r="49" spans="1:16">
      <c r="A49" s="988"/>
      <c r="B49" s="244" t="s">
        <v>135</v>
      </c>
      <c r="C49" s="236">
        <f>②2016予算書!F69</f>
        <v>0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60">
        <f>C49*100%</f>
        <v>0</v>
      </c>
      <c r="P49" s="236">
        <f t="shared" si="11"/>
        <v>0</v>
      </c>
    </row>
    <row r="50" spans="1:16">
      <c r="A50" s="988"/>
      <c r="B50" s="244" t="s">
        <v>101</v>
      </c>
      <c r="C50" s="236">
        <f>②2016予算書!F70</f>
        <v>25000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60">
        <f>C50*100%</f>
        <v>25000</v>
      </c>
      <c r="P50" s="236">
        <f t="shared" si="11"/>
        <v>25000</v>
      </c>
    </row>
    <row r="51" spans="1:16">
      <c r="A51" s="988"/>
      <c r="B51" s="244" t="s">
        <v>90</v>
      </c>
      <c r="C51" s="236">
        <f>②2016予算書!F71</f>
        <v>204000</v>
      </c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60">
        <f>C51*100%</f>
        <v>204000</v>
      </c>
      <c r="P51" s="236">
        <f t="shared" si="11"/>
        <v>204000</v>
      </c>
    </row>
    <row r="52" spans="1:16">
      <c r="A52" s="988"/>
      <c r="B52" s="244" t="s">
        <v>206</v>
      </c>
      <c r="C52" s="236">
        <f>②2016予算書!F72</f>
        <v>0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60">
        <f>C52*100%</f>
        <v>0</v>
      </c>
      <c r="P52" s="236">
        <f t="shared" si="11"/>
        <v>0</v>
      </c>
    </row>
    <row r="53" spans="1:16">
      <c r="A53" s="988"/>
      <c r="B53" s="243" t="s">
        <v>91</v>
      </c>
      <c r="C53" s="236">
        <f>②2016予算書!F73</f>
        <v>199000</v>
      </c>
      <c r="D53" s="236">
        <f t="shared" ref="D53:O53" si="16">$C$53*D27</f>
        <v>19798.652683333828</v>
      </c>
      <c r="E53" s="236">
        <f t="shared" si="16"/>
        <v>46394.181819693149</v>
      </c>
      <c r="F53" s="236">
        <f t="shared" si="16"/>
        <v>30207.558667811682</v>
      </c>
      <c r="G53" s="236">
        <f t="shared" si="16"/>
        <v>6136.7697337420886</v>
      </c>
      <c r="H53" s="236">
        <f t="shared" si="16"/>
        <v>13882.504365245737</v>
      </c>
      <c r="I53" s="236">
        <f t="shared" si="16"/>
        <v>50312.848239069484</v>
      </c>
      <c r="J53" s="236">
        <f t="shared" si="16"/>
        <v>32267.484491104038</v>
      </c>
      <c r="K53" s="236">
        <f t="shared" si="16"/>
        <v>0</v>
      </c>
      <c r="L53" s="236">
        <f t="shared" si="16"/>
        <v>0</v>
      </c>
      <c r="M53" s="236">
        <f t="shared" si="16"/>
        <v>0</v>
      </c>
      <c r="N53" s="236">
        <f t="shared" si="16"/>
        <v>0</v>
      </c>
      <c r="O53" s="236">
        <f t="shared" si="16"/>
        <v>0</v>
      </c>
      <c r="P53" s="236">
        <f t="shared" si="11"/>
        <v>199000</v>
      </c>
    </row>
    <row r="54" spans="1:16">
      <c r="A54" s="988"/>
      <c r="B54" s="244" t="s">
        <v>136</v>
      </c>
      <c r="C54" s="236">
        <f>②2016予算書!F74</f>
        <v>108000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60">
        <f>C54*100%</f>
        <v>108000</v>
      </c>
      <c r="P54" s="236">
        <f t="shared" si="11"/>
        <v>108000</v>
      </c>
    </row>
    <row r="55" spans="1:16">
      <c r="A55" s="988"/>
      <c r="B55" s="244" t="s">
        <v>109</v>
      </c>
      <c r="C55" s="236">
        <f>②2016予算書!F75</f>
        <v>1428000</v>
      </c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60">
        <f>C55*100%</f>
        <v>1428000</v>
      </c>
      <c r="P55" s="236">
        <f t="shared" si="11"/>
        <v>1428000</v>
      </c>
    </row>
    <row r="56" spans="1:16">
      <c r="A56" s="988"/>
      <c r="B56" s="245" t="s">
        <v>92</v>
      </c>
      <c r="C56" s="236">
        <f>②2016予算書!F76</f>
        <v>624000</v>
      </c>
      <c r="D56" s="260">
        <f t="shared" ref="D56:O56" si="17">$C$56*D32</f>
        <v>0</v>
      </c>
      <c r="E56" s="260">
        <f t="shared" si="17"/>
        <v>0</v>
      </c>
      <c r="F56" s="260">
        <f t="shared" si="17"/>
        <v>0</v>
      </c>
      <c r="G56" s="260">
        <f t="shared" si="17"/>
        <v>31200</v>
      </c>
      <c r="H56" s="260">
        <f t="shared" si="17"/>
        <v>0</v>
      </c>
      <c r="I56" s="260">
        <f t="shared" si="17"/>
        <v>0</v>
      </c>
      <c r="J56" s="260">
        <f t="shared" si="17"/>
        <v>124800</v>
      </c>
      <c r="K56" s="260">
        <f t="shared" si="17"/>
        <v>0</v>
      </c>
      <c r="L56" s="260">
        <f t="shared" si="17"/>
        <v>0</v>
      </c>
      <c r="M56" s="260">
        <f t="shared" si="17"/>
        <v>0</v>
      </c>
      <c r="N56" s="260">
        <f t="shared" si="17"/>
        <v>0</v>
      </c>
      <c r="O56" s="260">
        <f t="shared" si="17"/>
        <v>468000</v>
      </c>
      <c r="P56" s="236">
        <f t="shared" si="11"/>
        <v>624000</v>
      </c>
    </row>
    <row r="57" spans="1:16">
      <c r="A57" s="988"/>
      <c r="B57" s="244" t="s">
        <v>93</v>
      </c>
      <c r="C57" s="236">
        <f>②2016予算書!F78</f>
        <v>1548000</v>
      </c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60">
        <f>C57*100%</f>
        <v>1548000</v>
      </c>
      <c r="P57" s="236">
        <f t="shared" si="11"/>
        <v>1548000</v>
      </c>
    </row>
    <row r="58" spans="1:16">
      <c r="A58" s="988"/>
      <c r="B58" s="236" t="s">
        <v>137</v>
      </c>
      <c r="C58" s="236">
        <f>②2016予算書!F79</f>
        <v>3000000</v>
      </c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60">
        <f>C58*100%</f>
        <v>3000000</v>
      </c>
      <c r="P58" s="236">
        <f t="shared" si="11"/>
        <v>3000000</v>
      </c>
    </row>
    <row r="59" spans="1:16">
      <c r="A59" s="988"/>
      <c r="B59" s="246" t="s">
        <v>204</v>
      </c>
      <c r="C59" s="236">
        <f t="shared" ref="C59:O59" si="18">SUM(C34:C58)</f>
        <v>35851000</v>
      </c>
      <c r="D59" s="236">
        <f t="shared" si="18"/>
        <v>271911.32873967185</v>
      </c>
      <c r="E59" s="236">
        <f t="shared" si="18"/>
        <v>159844.88604504525</v>
      </c>
      <c r="F59" s="236">
        <f t="shared" si="18"/>
        <v>93235.727681896184</v>
      </c>
      <c r="G59" s="236">
        <f t="shared" si="18"/>
        <v>149453.67114219279</v>
      </c>
      <c r="H59" s="236">
        <f t="shared" si="18"/>
        <v>114727.57478778095</v>
      </c>
      <c r="I59" s="236">
        <f t="shared" si="18"/>
        <v>113341.01725315399</v>
      </c>
      <c r="J59" s="236">
        <f t="shared" si="18"/>
        <v>529901.28730800538</v>
      </c>
      <c r="K59" s="236">
        <f t="shared" si="18"/>
        <v>50422.535211267605</v>
      </c>
      <c r="L59" s="236">
        <f t="shared" si="18"/>
        <v>50422.535211267605</v>
      </c>
      <c r="M59" s="236">
        <f t="shared" si="18"/>
        <v>0</v>
      </c>
      <c r="N59" s="236">
        <f t="shared" si="18"/>
        <v>0</v>
      </c>
      <c r="O59" s="236">
        <f t="shared" si="18"/>
        <v>34317739.436619714</v>
      </c>
      <c r="P59" s="236">
        <f>SUM(L59:N59)</f>
        <v>50422.535211267605</v>
      </c>
    </row>
    <row r="60" spans="1:16">
      <c r="A60" s="988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</row>
    <row r="61" spans="1:16">
      <c r="A61" s="988"/>
      <c r="B61" s="236" t="s">
        <v>203</v>
      </c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</row>
    <row r="62" spans="1:16">
      <c r="A62" s="988"/>
      <c r="B62" s="247" t="s">
        <v>257</v>
      </c>
      <c r="C62" s="247"/>
      <c r="D62" s="247" t="e">
        <f t="shared" ref="D62:O62" si="19">D3+D59+D61</f>
        <v>#REF!</v>
      </c>
      <c r="E62" s="247" t="e">
        <f t="shared" si="19"/>
        <v>#REF!</v>
      </c>
      <c r="F62" s="247" t="e">
        <f t="shared" si="19"/>
        <v>#REF!</v>
      </c>
      <c r="G62" s="247" t="e">
        <f t="shared" si="19"/>
        <v>#REF!</v>
      </c>
      <c r="H62" s="247" t="e">
        <f t="shared" si="19"/>
        <v>#REF!</v>
      </c>
      <c r="I62" s="247" t="e">
        <f t="shared" si="19"/>
        <v>#REF!</v>
      </c>
      <c r="J62" s="247" t="e">
        <f t="shared" si="19"/>
        <v>#REF!</v>
      </c>
      <c r="K62" s="247" t="e">
        <f t="shared" si="19"/>
        <v>#REF!</v>
      </c>
      <c r="L62" s="247" t="e">
        <f t="shared" si="19"/>
        <v>#REF!</v>
      </c>
      <c r="M62" s="247" t="e">
        <f t="shared" si="19"/>
        <v>#REF!</v>
      </c>
      <c r="N62" s="247" t="e">
        <f t="shared" si="19"/>
        <v>#REF!</v>
      </c>
      <c r="O62" s="247">
        <f t="shared" si="19"/>
        <v>34317739.436619714</v>
      </c>
      <c r="P62" s="247" t="e">
        <f>SUM(D62:O62)</f>
        <v>#REF!</v>
      </c>
    </row>
    <row r="63" spans="1:16">
      <c r="A63" s="988"/>
      <c r="B63" s="236" t="s">
        <v>172</v>
      </c>
      <c r="C63" s="236"/>
      <c r="D63" s="236" t="e">
        <f t="shared" ref="D63:M63" si="20">D23-D62</f>
        <v>#REF!</v>
      </c>
      <c r="E63" s="236" t="e">
        <f t="shared" si="20"/>
        <v>#REF!</v>
      </c>
      <c r="F63" s="236" t="e">
        <f t="shared" si="20"/>
        <v>#REF!</v>
      </c>
      <c r="G63" s="236" t="e">
        <f t="shared" si="20"/>
        <v>#REF!</v>
      </c>
      <c r="H63" s="236" t="e">
        <f t="shared" si="20"/>
        <v>#REF!</v>
      </c>
      <c r="I63" s="236" t="e">
        <f t="shared" si="20"/>
        <v>#REF!</v>
      </c>
      <c r="J63" s="236" t="e">
        <f t="shared" si="20"/>
        <v>#REF!</v>
      </c>
      <c r="K63" s="236" t="e">
        <f t="shared" si="20"/>
        <v>#REF!</v>
      </c>
      <c r="L63" s="236" t="e">
        <f t="shared" si="20"/>
        <v>#REF!</v>
      </c>
      <c r="M63" s="236" t="e">
        <f t="shared" si="20"/>
        <v>#REF!</v>
      </c>
      <c r="N63" s="236" t="e">
        <f>N23-(N59+N3)</f>
        <v>#REF!</v>
      </c>
      <c r="O63" s="249">
        <f>O23-O62</f>
        <v>-30514739.436619714</v>
      </c>
      <c r="P63" s="236" t="e">
        <f>SUM(D63:O63)</f>
        <v>#REF!</v>
      </c>
    </row>
    <row r="64" spans="1:16" s="232" customFormat="1">
      <c r="A64" s="988"/>
      <c r="B64" s="248" t="s">
        <v>202</v>
      </c>
      <c r="C64" s="248"/>
      <c r="D64" s="248" t="e">
        <f t="shared" ref="D64:N64" si="21">D63/D23</f>
        <v>#REF!</v>
      </c>
      <c r="E64" s="248" t="e">
        <f t="shared" si="21"/>
        <v>#REF!</v>
      </c>
      <c r="F64" s="248" t="e">
        <f t="shared" si="21"/>
        <v>#REF!</v>
      </c>
      <c r="G64" s="248" t="e">
        <f t="shared" si="21"/>
        <v>#REF!</v>
      </c>
      <c r="H64" s="248" t="e">
        <f t="shared" si="21"/>
        <v>#REF!</v>
      </c>
      <c r="I64" s="248" t="e">
        <f t="shared" si="21"/>
        <v>#REF!</v>
      </c>
      <c r="J64" s="248" t="e">
        <f t="shared" si="21"/>
        <v>#REF!</v>
      </c>
      <c r="K64" s="248" t="e">
        <f t="shared" si="21"/>
        <v>#REF!</v>
      </c>
      <c r="L64" s="248" t="e">
        <f t="shared" si="21"/>
        <v>#REF!</v>
      </c>
      <c r="M64" s="248" t="e">
        <f t="shared" si="21"/>
        <v>#REF!</v>
      </c>
      <c r="N64" s="248" t="e">
        <f t="shared" si="21"/>
        <v>#REF!</v>
      </c>
      <c r="O64" s="248"/>
      <c r="P64" s="248" t="e">
        <f>P63/P23</f>
        <v>#REF!</v>
      </c>
    </row>
    <row r="65" spans="1:16" s="230" customFormat="1">
      <c r="A65" s="255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</row>
    <row r="67" spans="1:16" s="233" customFormat="1" ht="24.95" customHeight="1">
      <c r="A67" s="256"/>
      <c r="B67" s="986" t="s">
        <v>248</v>
      </c>
      <c r="C67" s="987"/>
      <c r="D67" s="261" t="s">
        <v>169</v>
      </c>
      <c r="E67" s="261" t="s">
        <v>183</v>
      </c>
      <c r="F67" s="261" t="s">
        <v>184</v>
      </c>
      <c r="G67" s="261" t="s">
        <v>171</v>
      </c>
      <c r="H67" s="261" t="s">
        <v>185</v>
      </c>
      <c r="I67" s="261" t="s">
        <v>186</v>
      </c>
      <c r="J67" s="261" t="s">
        <v>181</v>
      </c>
      <c r="K67" s="261" t="s">
        <v>182</v>
      </c>
      <c r="L67" s="261" t="s">
        <v>180</v>
      </c>
      <c r="M67" s="261" t="s">
        <v>170</v>
      </c>
      <c r="N67" s="261" t="s">
        <v>188</v>
      </c>
      <c r="O67" s="261" t="s">
        <v>168</v>
      </c>
      <c r="P67" s="261" t="s">
        <v>194</v>
      </c>
    </row>
    <row r="68" spans="1:16" s="233" customFormat="1" ht="24.95" customHeight="1">
      <c r="A68" s="256"/>
      <c r="B68" s="986" t="s">
        <v>260</v>
      </c>
      <c r="C68" s="987"/>
      <c r="D68" s="251">
        <f t="shared" ref="D68:O68" si="22">D23</f>
        <v>129641850</v>
      </c>
      <c r="E68" s="251">
        <f t="shared" si="22"/>
        <v>38230440</v>
      </c>
      <c r="F68" s="251">
        <f t="shared" si="22"/>
        <v>64328000</v>
      </c>
      <c r="G68" s="251" t="e">
        <f t="shared" si="22"/>
        <v>#REF!</v>
      </c>
      <c r="H68" s="251" t="e">
        <f t="shared" si="22"/>
        <v>#REF!</v>
      </c>
      <c r="I68" s="251" t="e">
        <f t="shared" si="22"/>
        <v>#REF!</v>
      </c>
      <c r="J68" s="251" t="e">
        <f t="shared" si="22"/>
        <v>#REF!</v>
      </c>
      <c r="K68" s="251" t="e">
        <f t="shared" si="22"/>
        <v>#REF!</v>
      </c>
      <c r="L68" s="251" t="e">
        <f t="shared" si="22"/>
        <v>#REF!</v>
      </c>
      <c r="M68" s="251" t="e">
        <f t="shared" si="22"/>
        <v>#REF!</v>
      </c>
      <c r="N68" s="251" t="e">
        <f t="shared" si="22"/>
        <v>#REF!</v>
      </c>
      <c r="O68" s="251">
        <f t="shared" si="22"/>
        <v>3803000</v>
      </c>
      <c r="P68" s="251" t="e">
        <f>SUM(D68:O68)</f>
        <v>#REF!</v>
      </c>
    </row>
    <row r="69" spans="1:16" s="233" customFormat="1" ht="24.95" customHeight="1">
      <c r="A69" s="256"/>
      <c r="B69" s="986" t="s">
        <v>261</v>
      </c>
      <c r="C69" s="987"/>
      <c r="D69" s="251" t="e">
        <f t="shared" ref="D69:O69" si="23">D62</f>
        <v>#REF!</v>
      </c>
      <c r="E69" s="251" t="e">
        <f t="shared" si="23"/>
        <v>#REF!</v>
      </c>
      <c r="F69" s="251" t="e">
        <f t="shared" si="23"/>
        <v>#REF!</v>
      </c>
      <c r="G69" s="251" t="e">
        <f t="shared" si="23"/>
        <v>#REF!</v>
      </c>
      <c r="H69" s="251" t="e">
        <f t="shared" si="23"/>
        <v>#REF!</v>
      </c>
      <c r="I69" s="251" t="e">
        <f t="shared" si="23"/>
        <v>#REF!</v>
      </c>
      <c r="J69" s="251" t="e">
        <f t="shared" si="23"/>
        <v>#REF!</v>
      </c>
      <c r="K69" s="251" t="e">
        <f t="shared" si="23"/>
        <v>#REF!</v>
      </c>
      <c r="L69" s="251" t="e">
        <f t="shared" si="23"/>
        <v>#REF!</v>
      </c>
      <c r="M69" s="251" t="e">
        <f t="shared" si="23"/>
        <v>#REF!</v>
      </c>
      <c r="N69" s="251" t="e">
        <f t="shared" si="23"/>
        <v>#REF!</v>
      </c>
      <c r="O69" s="251">
        <f t="shared" si="23"/>
        <v>34317739.436619714</v>
      </c>
      <c r="P69" s="251" t="e">
        <f t="shared" ref="P69" si="24">SUM(D69:O69)</f>
        <v>#REF!</v>
      </c>
    </row>
    <row r="70" spans="1:16" s="233" customFormat="1" ht="24.95" customHeight="1">
      <c r="A70" s="256"/>
      <c r="B70" s="986" t="s">
        <v>262</v>
      </c>
      <c r="C70" s="987"/>
      <c r="D70" s="250" t="e">
        <f t="shared" ref="D70:L70" si="25">D68-D69</f>
        <v>#REF!</v>
      </c>
      <c r="E70" s="250" t="e">
        <f t="shared" si="25"/>
        <v>#REF!</v>
      </c>
      <c r="F70" s="250" t="e">
        <f t="shared" si="25"/>
        <v>#REF!</v>
      </c>
      <c r="G70" s="250" t="e">
        <f t="shared" si="25"/>
        <v>#REF!</v>
      </c>
      <c r="H70" s="250" t="e">
        <f t="shared" si="25"/>
        <v>#REF!</v>
      </c>
      <c r="I70" s="250" t="e">
        <f t="shared" si="25"/>
        <v>#REF!</v>
      </c>
      <c r="J70" s="250" t="e">
        <f t="shared" si="25"/>
        <v>#REF!</v>
      </c>
      <c r="K70" s="250" t="e">
        <f t="shared" si="25"/>
        <v>#REF!</v>
      </c>
      <c r="L70" s="250" t="e">
        <f t="shared" si="25"/>
        <v>#REF!</v>
      </c>
      <c r="M70" s="250" t="e">
        <f t="shared" ref="M70:N70" si="26">M68-M69</f>
        <v>#REF!</v>
      </c>
      <c r="N70" s="250" t="e">
        <f t="shared" si="26"/>
        <v>#REF!</v>
      </c>
      <c r="O70" s="250">
        <f>O68-O69</f>
        <v>-30514739.436619714</v>
      </c>
      <c r="P70" s="250" t="e">
        <f>SUM(D70:O70)</f>
        <v>#REF!</v>
      </c>
    </row>
    <row r="71" spans="1:16" s="233" customFormat="1" ht="24.95" customHeight="1">
      <c r="A71" s="256"/>
      <c r="B71" s="986" t="s">
        <v>263</v>
      </c>
      <c r="C71" s="987"/>
      <c r="D71" s="252" t="e">
        <f t="shared" ref="D71:K71" si="27">D70/D68</f>
        <v>#REF!</v>
      </c>
      <c r="E71" s="252" t="e">
        <f t="shared" si="27"/>
        <v>#REF!</v>
      </c>
      <c r="F71" s="252" t="e">
        <f t="shared" si="27"/>
        <v>#REF!</v>
      </c>
      <c r="G71" s="252" t="e">
        <f t="shared" si="27"/>
        <v>#REF!</v>
      </c>
      <c r="H71" s="252" t="e">
        <f t="shared" si="27"/>
        <v>#REF!</v>
      </c>
      <c r="I71" s="252" t="e">
        <f t="shared" si="27"/>
        <v>#REF!</v>
      </c>
      <c r="J71" s="252" t="e">
        <f t="shared" si="27"/>
        <v>#REF!</v>
      </c>
      <c r="K71" s="252" t="e">
        <f t="shared" si="27"/>
        <v>#REF!</v>
      </c>
      <c r="L71" s="252" t="e">
        <f t="shared" ref="L71:N71" si="28">L70/L68</f>
        <v>#REF!</v>
      </c>
      <c r="M71" s="252" t="e">
        <f t="shared" si="28"/>
        <v>#REF!</v>
      </c>
      <c r="N71" s="252" t="e">
        <f t="shared" si="28"/>
        <v>#REF!</v>
      </c>
      <c r="O71" s="252">
        <f>O70/O68</f>
        <v>-8.0238599622981113</v>
      </c>
      <c r="P71" s="252" t="e">
        <f>P70/P68</f>
        <v>#REF!</v>
      </c>
    </row>
    <row r="72" spans="1:16" s="233" customFormat="1" ht="24.95" customHeight="1">
      <c r="A72" s="256"/>
      <c r="B72" s="986" t="s">
        <v>264</v>
      </c>
      <c r="C72" s="987"/>
      <c r="D72" s="252" t="e">
        <f t="shared" ref="D72:P72" si="29">D68/$P$68</f>
        <v>#REF!</v>
      </c>
      <c r="E72" s="252" t="e">
        <f t="shared" si="29"/>
        <v>#REF!</v>
      </c>
      <c r="F72" s="252" t="e">
        <f t="shared" si="29"/>
        <v>#REF!</v>
      </c>
      <c r="G72" s="252" t="e">
        <f t="shared" si="29"/>
        <v>#REF!</v>
      </c>
      <c r="H72" s="252" t="e">
        <f t="shared" si="29"/>
        <v>#REF!</v>
      </c>
      <c r="I72" s="252" t="e">
        <f t="shared" si="29"/>
        <v>#REF!</v>
      </c>
      <c r="J72" s="252" t="e">
        <f t="shared" si="29"/>
        <v>#REF!</v>
      </c>
      <c r="K72" s="252" t="e">
        <f t="shared" si="29"/>
        <v>#REF!</v>
      </c>
      <c r="L72" s="252" t="e">
        <f t="shared" si="29"/>
        <v>#REF!</v>
      </c>
      <c r="M72" s="252" t="e">
        <f t="shared" si="29"/>
        <v>#REF!</v>
      </c>
      <c r="N72" s="252" t="e">
        <f t="shared" si="29"/>
        <v>#REF!</v>
      </c>
      <c r="O72" s="252" t="e">
        <f t="shared" si="29"/>
        <v>#REF!</v>
      </c>
      <c r="P72" s="252" t="e">
        <f t="shared" si="29"/>
        <v>#REF!</v>
      </c>
    </row>
  </sheetData>
  <mergeCells count="10">
    <mergeCell ref="B72:C72"/>
    <mergeCell ref="B71:C71"/>
    <mergeCell ref="B70:C70"/>
    <mergeCell ref="B69:C69"/>
    <mergeCell ref="B68:C68"/>
    <mergeCell ref="B67:C67"/>
    <mergeCell ref="A34:A64"/>
    <mergeCell ref="A25:A32"/>
    <mergeCell ref="A6:A23"/>
    <mergeCell ref="A2:A4"/>
  </mergeCells>
  <phoneticPr fontId="3"/>
  <printOptions horizontalCentered="1"/>
  <pageMargins left="3.937007874015748E-2" right="3.937007874015748E-2" top="0.74803149606299213" bottom="0.35433070866141736" header="0.31496062992125984" footer="0.31496062992125984"/>
  <pageSetup paperSize="9" orientation="landscape" r:id="rId1"/>
  <rowBreaks count="1" manualBreakCount="1">
    <brk id="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opLeftCell="B4" zoomScale="85" zoomScaleNormal="85" workbookViewId="0">
      <selection activeCell="D24" sqref="D24"/>
    </sheetView>
  </sheetViews>
  <sheetFormatPr defaultColWidth="9" defaultRowHeight="13.5"/>
  <cols>
    <col min="1" max="1" width="4" style="231" hidden="1" customWidth="1"/>
    <col min="2" max="2" width="2.375" style="5" customWidth="1"/>
    <col min="3" max="3" width="10" style="5" customWidth="1"/>
    <col min="4" max="4" width="11.625" style="5" customWidth="1"/>
    <col min="5" max="5" width="7.5" style="5" hidden="1" customWidth="1"/>
    <col min="6" max="6" width="9.125" style="5" bestFit="1" customWidth="1"/>
    <col min="7" max="7" width="5.5" style="230" bestFit="1" customWidth="1"/>
    <col min="8" max="8" width="10" style="5" bestFit="1" customWidth="1"/>
    <col min="9" max="9" width="5.5" style="230" bestFit="1" customWidth="1"/>
    <col min="10" max="10" width="9.75" style="5" bestFit="1" customWidth="1"/>
    <col min="11" max="11" width="6.25" style="230" bestFit="1" customWidth="1"/>
    <col min="12" max="12" width="10.875" style="5" bestFit="1" customWidth="1"/>
    <col min="13" max="13" width="5.5" style="230" bestFit="1" customWidth="1"/>
    <col min="14" max="14" width="10.375" style="5" bestFit="1" customWidth="1"/>
    <col min="15" max="15" width="5.125" style="230" bestFit="1" customWidth="1"/>
    <col min="16" max="16" width="9.25" style="5" bestFit="1" customWidth="1"/>
    <col min="17" max="17" width="6.25" style="230" bestFit="1" customWidth="1"/>
    <col min="18" max="18" width="9.25" style="5" bestFit="1" customWidth="1"/>
    <col min="19" max="19" width="5.125" style="230" bestFit="1" customWidth="1"/>
    <col min="20" max="20" width="9.25" style="5" bestFit="1" customWidth="1"/>
    <col min="21" max="21" width="5.5" style="230" bestFit="1" customWidth="1"/>
    <col min="22" max="22" width="8.875" style="379" bestFit="1" customWidth="1"/>
    <col min="23" max="23" width="8.875" style="5" hidden="1" customWidth="1"/>
    <col min="24" max="24" width="6.125" style="5" hidden="1" customWidth="1"/>
    <col min="25" max="25" width="5.125" style="5" hidden="1" customWidth="1"/>
    <col min="26" max="26" width="8.875" style="5" hidden="1" customWidth="1"/>
    <col min="27" max="16384" width="9" style="5"/>
  </cols>
  <sheetData>
    <row r="1" spans="1:26" s="233" customFormat="1" ht="24.95" customHeight="1">
      <c r="A1" s="329"/>
      <c r="B1" s="990" t="s">
        <v>349</v>
      </c>
      <c r="C1" s="1002"/>
      <c r="D1" s="1002"/>
      <c r="E1" s="339"/>
      <c r="F1" s="990" t="s">
        <v>169</v>
      </c>
      <c r="G1" s="1002"/>
      <c r="H1" s="990" t="s">
        <v>358</v>
      </c>
      <c r="I1" s="991"/>
      <c r="J1" s="1002" t="s">
        <v>171</v>
      </c>
      <c r="K1" s="1002"/>
      <c r="L1" s="990" t="s">
        <v>185</v>
      </c>
      <c r="M1" s="991"/>
      <c r="N1" s="1002" t="s">
        <v>186</v>
      </c>
      <c r="O1" s="1002"/>
      <c r="P1" s="990" t="s">
        <v>181</v>
      </c>
      <c r="Q1" s="991"/>
      <c r="R1" s="1002" t="s">
        <v>182</v>
      </c>
      <c r="S1" s="1002"/>
      <c r="T1" s="990" t="s">
        <v>180</v>
      </c>
      <c r="U1" s="991"/>
      <c r="V1" s="994" t="s">
        <v>362</v>
      </c>
      <c r="W1" s="990" t="s">
        <v>168</v>
      </c>
      <c r="X1" s="1000"/>
      <c r="Y1" s="1001"/>
      <c r="Z1" s="359" t="s">
        <v>194</v>
      </c>
    </row>
    <row r="2" spans="1:26" s="233" customFormat="1" ht="24.95" customHeight="1">
      <c r="A2" s="329"/>
      <c r="B2" s="992"/>
      <c r="C2" s="1003"/>
      <c r="D2" s="1003"/>
      <c r="E2" s="337"/>
      <c r="F2" s="992"/>
      <c r="G2" s="1003"/>
      <c r="H2" s="992"/>
      <c r="I2" s="993"/>
      <c r="J2" s="1003"/>
      <c r="K2" s="1003"/>
      <c r="L2" s="992"/>
      <c r="M2" s="993"/>
      <c r="N2" s="1003"/>
      <c r="O2" s="1003"/>
      <c r="P2" s="992"/>
      <c r="Q2" s="993"/>
      <c r="R2" s="1003"/>
      <c r="S2" s="1003"/>
      <c r="T2" s="992"/>
      <c r="U2" s="993"/>
      <c r="V2" s="995"/>
      <c r="W2" s="330"/>
      <c r="X2" s="331" t="s">
        <v>170</v>
      </c>
      <c r="Y2" s="360" t="s">
        <v>188</v>
      </c>
      <c r="Z2" s="359"/>
    </row>
    <row r="3" spans="1:26" s="233" customFormat="1" ht="30" customHeight="1">
      <c r="A3" s="329">
        <v>1</v>
      </c>
      <c r="B3" s="1004" t="s">
        <v>247</v>
      </c>
      <c r="C3" s="1005"/>
      <c r="D3" s="997"/>
      <c r="E3" s="371"/>
      <c r="F3" s="452">
        <f>F4+F5</f>
        <v>39093067.200000003</v>
      </c>
      <c r="G3" s="448"/>
      <c r="H3" s="452">
        <f>H4+H5</f>
        <v>43987156.799999997</v>
      </c>
      <c r="I3" s="449"/>
      <c r="J3" s="456">
        <f>J4+J5</f>
        <v>17616000</v>
      </c>
      <c r="K3" s="448"/>
      <c r="L3" s="452">
        <f>L4+L5</f>
        <v>20808000</v>
      </c>
      <c r="M3" s="449"/>
      <c r="N3" s="456">
        <f>N4+N5</f>
        <v>30400000</v>
      </c>
      <c r="O3" s="448"/>
      <c r="P3" s="452">
        <f>P4+P5</f>
        <v>11160000</v>
      </c>
      <c r="Q3" s="449"/>
      <c r="R3" s="456">
        <f>R4+R5</f>
        <v>9923000</v>
      </c>
      <c r="S3" s="448"/>
      <c r="T3" s="452">
        <f>T4+T5</f>
        <v>20089776</v>
      </c>
      <c r="U3" s="449"/>
      <c r="V3" s="460">
        <f>F3+H3+J3+L3+N3+P3+R3+T3</f>
        <v>193077000</v>
      </c>
      <c r="W3" s="373"/>
      <c r="X3" s="372">
        <f>'2015予算書（一覧）'!F19</f>
        <v>2652560</v>
      </c>
      <c r="Y3" s="374">
        <f>'2015予算書（一覧）'!F17</f>
        <v>429000</v>
      </c>
      <c r="Z3" s="397"/>
    </row>
    <row r="4" spans="1:26" s="233" customFormat="1" ht="30" customHeight="1">
      <c r="A4" s="329">
        <v>2</v>
      </c>
      <c r="B4" s="363"/>
      <c r="C4" s="364"/>
      <c r="D4" s="367" t="s">
        <v>359</v>
      </c>
      <c r="E4" s="367"/>
      <c r="F4" s="365">
        <f>'2015予算書（一覧）'!F9</f>
        <v>44850000</v>
      </c>
      <c r="G4" s="387"/>
      <c r="H4" s="365">
        <f>4620000*6+4950000*6</f>
        <v>57420000</v>
      </c>
      <c r="I4" s="344"/>
      <c r="J4" s="348">
        <f>'2015予算書（一覧）'!F12</f>
        <v>17616000</v>
      </c>
      <c r="K4" s="387"/>
      <c r="L4" s="365">
        <f>'2015予算書（一覧）'!F13</f>
        <v>20808000</v>
      </c>
      <c r="M4" s="344"/>
      <c r="N4" s="348">
        <f>'2015予算書（一覧）'!F14</f>
        <v>30400000</v>
      </c>
      <c r="O4" s="387"/>
      <c r="P4" s="365">
        <f>'2015予算書（一覧）'!F15</f>
        <v>11160000</v>
      </c>
      <c r="Q4" s="344"/>
      <c r="R4" s="348">
        <f>'2015予算書（一覧）'!F16</f>
        <v>9923000</v>
      </c>
      <c r="S4" s="387"/>
      <c r="T4" s="365">
        <f>'2015予算書（一覧）'!F18</f>
        <v>900000</v>
      </c>
      <c r="U4" s="344"/>
      <c r="V4" s="434"/>
      <c r="W4" s="336"/>
      <c r="X4" s="348"/>
      <c r="Y4" s="366"/>
      <c r="Z4" s="398"/>
    </row>
    <row r="5" spans="1:26" s="233" customFormat="1" ht="30" customHeight="1">
      <c r="A5" s="329">
        <v>3</v>
      </c>
      <c r="B5" s="361"/>
      <c r="C5" s="362"/>
      <c r="D5" s="364" t="s">
        <v>360</v>
      </c>
      <c r="E5" s="362"/>
      <c r="F5" s="353">
        <f>-T5*30%</f>
        <v>-5756932.7999999998</v>
      </c>
      <c r="G5" s="387"/>
      <c r="H5" s="353">
        <f>-T5*70%</f>
        <v>-13432843.199999999</v>
      </c>
      <c r="I5" s="344"/>
      <c r="J5" s="347"/>
      <c r="K5" s="387"/>
      <c r="L5" s="353"/>
      <c r="M5" s="344"/>
      <c r="N5" s="347"/>
      <c r="O5" s="387"/>
      <c r="P5" s="353"/>
      <c r="Q5" s="344"/>
      <c r="R5" s="347"/>
      <c r="S5" s="387"/>
      <c r="T5" s="353">
        <f>((308060*5)+(19616*3))*12</f>
        <v>19189776</v>
      </c>
      <c r="U5" s="344"/>
      <c r="V5" s="434"/>
      <c r="W5" s="336"/>
      <c r="X5" s="347"/>
      <c r="Y5" s="335"/>
      <c r="Z5" s="369"/>
    </row>
    <row r="6" spans="1:26" s="233" customFormat="1" ht="30" customHeight="1">
      <c r="A6" s="329">
        <v>4</v>
      </c>
      <c r="B6" s="1004" t="s">
        <v>190</v>
      </c>
      <c r="C6" s="1005"/>
      <c r="D6" s="1005"/>
      <c r="E6" s="371"/>
      <c r="F6" s="453">
        <f>F7+F11+F10</f>
        <v>22673978.976000004</v>
      </c>
      <c r="G6" s="450">
        <f>G7+G10+G11</f>
        <v>0.58000000000000007</v>
      </c>
      <c r="H6" s="453">
        <f>H7+H11+H10</f>
        <v>24632807.807999998</v>
      </c>
      <c r="I6" s="451">
        <f>I7+I10+I11</f>
        <v>0.56000000000000005</v>
      </c>
      <c r="J6" s="457">
        <f>J7+J11+J10</f>
        <v>10393440</v>
      </c>
      <c r="K6" s="450">
        <f>K7+K10+K11</f>
        <v>0.59</v>
      </c>
      <c r="L6" s="453">
        <f>L7+L11+L10</f>
        <v>16438320</v>
      </c>
      <c r="M6" s="451">
        <f>M7+M10+M11</f>
        <v>0.79</v>
      </c>
      <c r="N6" s="457">
        <f>N7+N11+N10</f>
        <v>27968000</v>
      </c>
      <c r="O6" s="450">
        <f>O7+O10+O11</f>
        <v>0.91999999999999993</v>
      </c>
      <c r="P6" s="453">
        <f>P7+P11+P10</f>
        <v>9039600</v>
      </c>
      <c r="Q6" s="451">
        <f>Q7+Q10+Q11</f>
        <v>0.81</v>
      </c>
      <c r="R6" s="457">
        <f>R7+R11+R10</f>
        <v>6449950</v>
      </c>
      <c r="S6" s="450">
        <f>S7+S10+S11</f>
        <v>0.64999999999999991</v>
      </c>
      <c r="T6" s="453">
        <f>T7+T11+T10</f>
        <v>15067331.999999998</v>
      </c>
      <c r="U6" s="451">
        <f>U7+U10+U11</f>
        <v>0.75</v>
      </c>
      <c r="V6" s="461">
        <f>F6+H6+J6+L6+N6+P6+R6+T6</f>
        <v>132663428.78400001</v>
      </c>
      <c r="W6" s="375">
        <f>W7+W11</f>
        <v>42481000</v>
      </c>
      <c r="X6" s="375"/>
      <c r="Y6" s="375"/>
      <c r="Z6" s="397"/>
    </row>
    <row r="7" spans="1:26" s="233" customFormat="1" ht="30" customHeight="1">
      <c r="A7" s="329">
        <v>5</v>
      </c>
      <c r="B7" s="333"/>
      <c r="C7" s="346" t="s">
        <v>349</v>
      </c>
      <c r="D7" s="346"/>
      <c r="E7" s="346"/>
      <c r="F7" s="340">
        <f>F3*G7</f>
        <v>21501186.960000005</v>
      </c>
      <c r="G7" s="388">
        <v>0.55000000000000004</v>
      </c>
      <c r="H7" s="340">
        <f>H3*I7</f>
        <v>21993578.399999999</v>
      </c>
      <c r="I7" s="342">
        <v>0.5</v>
      </c>
      <c r="J7" s="368">
        <f>J3*K7</f>
        <v>10217280</v>
      </c>
      <c r="K7" s="388">
        <v>0.57999999999999996</v>
      </c>
      <c r="L7" s="340">
        <f>L3*M7</f>
        <v>14981760</v>
      </c>
      <c r="M7" s="342">
        <v>0.72</v>
      </c>
      <c r="N7" s="368">
        <f>N3*O7</f>
        <v>20064000</v>
      </c>
      <c r="O7" s="388">
        <v>0.66</v>
      </c>
      <c r="P7" s="340">
        <f>P3*Q7</f>
        <v>6138000.0000000009</v>
      </c>
      <c r="Q7" s="342">
        <v>0.55000000000000004</v>
      </c>
      <c r="R7" s="368">
        <f>R3*S7</f>
        <v>5755340</v>
      </c>
      <c r="S7" s="388">
        <v>0.57999999999999996</v>
      </c>
      <c r="T7" s="340">
        <f>T3*U7</f>
        <v>9442194.7199999988</v>
      </c>
      <c r="U7" s="342">
        <v>0.47</v>
      </c>
      <c r="V7" s="435"/>
      <c r="W7" s="338">
        <f>SUM(W8:W9)</f>
        <v>24022000</v>
      </c>
      <c r="X7" s="338"/>
      <c r="Y7" s="338"/>
      <c r="Z7" s="399"/>
    </row>
    <row r="8" spans="1:26" s="233" customFormat="1" ht="30" customHeight="1">
      <c r="A8" s="329">
        <v>6</v>
      </c>
      <c r="B8" s="333"/>
      <c r="D8" s="347" t="s">
        <v>351</v>
      </c>
      <c r="E8" s="347"/>
      <c r="F8" s="351">
        <f>F3*G8</f>
        <v>21501186.960000005</v>
      </c>
      <c r="G8" s="389">
        <f>G7-G9</f>
        <v>0.55000000000000004</v>
      </c>
      <c r="H8" s="351">
        <f>H3*I8</f>
        <v>19794220.559999999</v>
      </c>
      <c r="I8" s="343">
        <f>I7-I9</f>
        <v>0.45</v>
      </c>
      <c r="J8" s="393">
        <f>J3*K8</f>
        <v>10217280</v>
      </c>
      <c r="K8" s="389">
        <f>K7-K9</f>
        <v>0.57999999999999996</v>
      </c>
      <c r="L8" s="351">
        <f>L3*M8</f>
        <v>14981760</v>
      </c>
      <c r="M8" s="343">
        <f>M7-M9</f>
        <v>0.72</v>
      </c>
      <c r="N8" s="393">
        <f>N3*O8</f>
        <v>20064000</v>
      </c>
      <c r="O8" s="389">
        <f>O7-O9</f>
        <v>0.66</v>
      </c>
      <c r="P8" s="351">
        <f>P3*Q8</f>
        <v>6138000.0000000009</v>
      </c>
      <c r="Q8" s="343">
        <f>Q7-Q9</f>
        <v>0.55000000000000004</v>
      </c>
      <c r="R8" s="393">
        <f>R3*S8</f>
        <v>5755340</v>
      </c>
      <c r="S8" s="389">
        <f>S7-S9</f>
        <v>0.57999999999999996</v>
      </c>
      <c r="T8" s="351">
        <f>T3*U8</f>
        <v>9442194.7199999988</v>
      </c>
      <c r="U8" s="343">
        <f>U7-U9</f>
        <v>0.47</v>
      </c>
      <c r="V8" s="436"/>
      <c r="W8" s="405">
        <v>21600000</v>
      </c>
      <c r="X8" s="405"/>
      <c r="Y8" s="405"/>
      <c r="Z8" s="400"/>
    </row>
    <row r="9" spans="1:26" s="233" customFormat="1" ht="30" customHeight="1">
      <c r="A9" s="329">
        <v>7</v>
      </c>
      <c r="B9" s="333"/>
      <c r="C9" s="348"/>
      <c r="D9" s="348" t="s">
        <v>352</v>
      </c>
      <c r="E9" s="348"/>
      <c r="F9" s="350">
        <f>按分表!D35</f>
        <v>0</v>
      </c>
      <c r="G9" s="387">
        <f>F9/F4</f>
        <v>0</v>
      </c>
      <c r="H9" s="504">
        <f>H4*I9</f>
        <v>2871000</v>
      </c>
      <c r="I9" s="344">
        <v>0.05</v>
      </c>
      <c r="J9" s="396">
        <f>按分表!G35</f>
        <v>0</v>
      </c>
      <c r="K9" s="387">
        <f>J9/J4</f>
        <v>0</v>
      </c>
      <c r="L9" s="354">
        <f>按分表!H35</f>
        <v>0</v>
      </c>
      <c r="M9" s="344">
        <f>L9/L4</f>
        <v>0</v>
      </c>
      <c r="N9" s="396">
        <f>按分表!I35</f>
        <v>0</v>
      </c>
      <c r="O9" s="387">
        <f>N9/N4</f>
        <v>0</v>
      </c>
      <c r="P9" s="354">
        <f>按分表!J35</f>
        <v>0</v>
      </c>
      <c r="Q9" s="344">
        <f>P9/P4</f>
        <v>0</v>
      </c>
      <c r="R9" s="396">
        <f>按分表!K35</f>
        <v>0</v>
      </c>
      <c r="S9" s="387">
        <f>R9/R4</f>
        <v>0</v>
      </c>
      <c r="T9" s="354">
        <f>按分表!L35</f>
        <v>0</v>
      </c>
      <c r="U9" s="344">
        <f>T9/T4</f>
        <v>0</v>
      </c>
      <c r="V9" s="437"/>
      <c r="W9" s="336">
        <v>2422000</v>
      </c>
      <c r="X9" s="336"/>
      <c r="Y9" s="336"/>
      <c r="Z9" s="398"/>
    </row>
    <row r="10" spans="1:26" s="233" customFormat="1" ht="30" customHeight="1">
      <c r="A10" s="329">
        <v>8</v>
      </c>
      <c r="B10" s="353"/>
      <c r="C10" s="348" t="s">
        <v>367</v>
      </c>
      <c r="D10" s="348"/>
      <c r="E10" s="348"/>
      <c r="F10" s="354">
        <f>F3*G10</f>
        <v>0</v>
      </c>
      <c r="G10" s="390"/>
      <c r="H10" s="381">
        <f>H3*I10</f>
        <v>439871.56799999997</v>
      </c>
      <c r="I10" s="380">
        <v>0.01</v>
      </c>
      <c r="J10" s="396">
        <f>J3*K10</f>
        <v>0</v>
      </c>
      <c r="K10" s="390"/>
      <c r="L10" s="354">
        <f>L3*M10</f>
        <v>0</v>
      </c>
      <c r="M10" s="380"/>
      <c r="N10" s="396">
        <f>N3*O10</f>
        <v>2432000</v>
      </c>
      <c r="O10" s="390">
        <v>0.08</v>
      </c>
      <c r="P10" s="354">
        <f>P3*Q10</f>
        <v>2232000</v>
      </c>
      <c r="Q10" s="380">
        <v>0.2</v>
      </c>
      <c r="R10" s="396">
        <f>R3*S10</f>
        <v>0</v>
      </c>
      <c r="S10" s="390"/>
      <c r="T10" s="354">
        <f>T3*U10</f>
        <v>1607182.08</v>
      </c>
      <c r="U10" s="380">
        <v>0.08</v>
      </c>
      <c r="V10" s="437"/>
      <c r="W10" s="336"/>
      <c r="X10" s="336"/>
      <c r="Y10" s="336"/>
      <c r="Z10" s="398"/>
    </row>
    <row r="11" spans="1:26" s="233" customFormat="1" ht="30" customHeight="1">
      <c r="A11" s="329">
        <v>9</v>
      </c>
      <c r="B11" s="332"/>
      <c r="C11" s="349" t="s">
        <v>350</v>
      </c>
      <c r="D11" s="349"/>
      <c r="E11" s="349"/>
      <c r="F11" s="341">
        <f>F3*G11</f>
        <v>1172792.0160000001</v>
      </c>
      <c r="G11" s="391">
        <v>0.03</v>
      </c>
      <c r="H11" s="341">
        <f>H3*I11</f>
        <v>2199357.84</v>
      </c>
      <c r="I11" s="345">
        <v>0.05</v>
      </c>
      <c r="J11" s="394">
        <f>J3*K11</f>
        <v>176160</v>
      </c>
      <c r="K11" s="391">
        <v>0.01</v>
      </c>
      <c r="L11" s="341">
        <f>L3*M11</f>
        <v>1456560.0000000002</v>
      </c>
      <c r="M11" s="345">
        <v>7.0000000000000007E-2</v>
      </c>
      <c r="N11" s="394">
        <f>N3*O11</f>
        <v>5472000</v>
      </c>
      <c r="O11" s="391">
        <v>0.18</v>
      </c>
      <c r="P11" s="341">
        <f>P3*Q11</f>
        <v>669600</v>
      </c>
      <c r="Q11" s="345">
        <v>0.06</v>
      </c>
      <c r="R11" s="394">
        <f>R3*S11</f>
        <v>694610.00000000012</v>
      </c>
      <c r="S11" s="391">
        <v>7.0000000000000007E-2</v>
      </c>
      <c r="T11" s="341">
        <f>T3*U11</f>
        <v>4017955.2</v>
      </c>
      <c r="U11" s="345">
        <v>0.2</v>
      </c>
      <c r="V11" s="438"/>
      <c r="W11" s="334">
        <f>18459000</f>
        <v>18459000</v>
      </c>
      <c r="X11" s="334"/>
      <c r="Y11" s="334"/>
      <c r="Z11" s="369"/>
    </row>
    <row r="12" spans="1:26" s="233" customFormat="1" ht="30" customHeight="1">
      <c r="A12" s="329">
        <v>10</v>
      </c>
      <c r="B12" s="998" t="s">
        <v>355</v>
      </c>
      <c r="C12" s="999"/>
      <c r="D12" s="999"/>
      <c r="E12" s="376"/>
      <c r="F12" s="377"/>
      <c r="G12" s="392"/>
      <c r="H12" s="377"/>
      <c r="I12" s="378"/>
      <c r="J12" s="395"/>
      <c r="K12" s="392"/>
      <c r="L12" s="377"/>
      <c r="M12" s="378"/>
      <c r="N12" s="395"/>
      <c r="O12" s="392"/>
      <c r="P12" s="377"/>
      <c r="Q12" s="378"/>
      <c r="R12" s="395"/>
      <c r="S12" s="392"/>
      <c r="T12" s="377"/>
      <c r="U12" s="378"/>
      <c r="V12" s="439">
        <f>F12+H12+J12+L12+N12+P12+R12+T12</f>
        <v>0</v>
      </c>
      <c r="W12" s="406"/>
      <c r="X12" s="406"/>
      <c r="Y12" s="406"/>
      <c r="Z12" s="401"/>
    </row>
    <row r="13" spans="1:26" s="233" customFormat="1" ht="30" customHeight="1">
      <c r="A13" s="329">
        <v>11</v>
      </c>
      <c r="B13" s="996" t="s">
        <v>262</v>
      </c>
      <c r="C13" s="997"/>
      <c r="D13" s="997"/>
      <c r="E13" s="371"/>
      <c r="F13" s="454">
        <f>F3-F6</f>
        <v>16419088.223999999</v>
      </c>
      <c r="G13" s="448">
        <f>F13/F3</f>
        <v>0.41999999999999993</v>
      </c>
      <c r="H13" s="454">
        <f>H3-H6</f>
        <v>19354348.991999999</v>
      </c>
      <c r="I13" s="449">
        <f>H13/H3</f>
        <v>0.44</v>
      </c>
      <c r="J13" s="458">
        <f>J3-J6</f>
        <v>7222560</v>
      </c>
      <c r="K13" s="448">
        <f>J13/J3</f>
        <v>0.41</v>
      </c>
      <c r="L13" s="454">
        <f>L3-L6</f>
        <v>4369680</v>
      </c>
      <c r="M13" s="449">
        <f>L13/L3</f>
        <v>0.21</v>
      </c>
      <c r="N13" s="458">
        <f>N3-N6</f>
        <v>2432000</v>
      </c>
      <c r="O13" s="448">
        <f>N13/N3</f>
        <v>0.08</v>
      </c>
      <c r="P13" s="454">
        <f>P3-P6</f>
        <v>2120400</v>
      </c>
      <c r="Q13" s="449">
        <f>P13/P3</f>
        <v>0.19</v>
      </c>
      <c r="R13" s="458">
        <f>R3-R6</f>
        <v>3473050</v>
      </c>
      <c r="S13" s="448">
        <f>R13/R3</f>
        <v>0.35</v>
      </c>
      <c r="T13" s="454">
        <f>T3-T6</f>
        <v>5022444.0000000019</v>
      </c>
      <c r="U13" s="449">
        <f>T13/T3</f>
        <v>0.25000000000000011</v>
      </c>
      <c r="V13" s="460">
        <f>F13+H13+J13+L13+N13+P13+R13+T13</f>
        <v>60413571.215999998</v>
      </c>
      <c r="W13" s="373">
        <f>W3-W6</f>
        <v>-42481000</v>
      </c>
      <c r="X13" s="373"/>
      <c r="Y13" s="373"/>
      <c r="Z13" s="397">
        <f>V13+W13</f>
        <v>17932571.215999998</v>
      </c>
    </row>
    <row r="14" spans="1:26" s="14" customFormat="1" ht="30" customHeight="1">
      <c r="A14" s="329">
        <v>12</v>
      </c>
      <c r="B14" s="481" t="s">
        <v>353</v>
      </c>
      <c r="C14" s="482"/>
      <c r="D14" s="482" t="s">
        <v>354</v>
      </c>
      <c r="E14" s="483"/>
      <c r="F14" s="484" t="e">
        <f>①ベース事業別内訳!#REF!</f>
        <v>#REF!</v>
      </c>
      <c r="G14" s="483"/>
      <c r="H14" s="484">
        <f>①ベース事業別内訳!G33+①ベース事業別内訳!G59</f>
        <v>30109000</v>
      </c>
      <c r="I14" s="485"/>
      <c r="J14" s="483">
        <f>①ベース事業別内訳!G85</f>
        <v>12602000</v>
      </c>
      <c r="K14" s="483"/>
      <c r="L14" s="484">
        <f>①ベース事業別内訳!G111</f>
        <v>16501000</v>
      </c>
      <c r="M14" s="486"/>
      <c r="N14" s="487">
        <f>①ベース事業別内訳!G139</f>
        <v>15419000</v>
      </c>
      <c r="O14" s="487"/>
      <c r="P14" s="488">
        <f>①ベース事業別内訳!G221</f>
        <v>5789000</v>
      </c>
      <c r="Q14" s="486"/>
      <c r="R14" s="487">
        <f>①ベース事業別内訳!G248</f>
        <v>5702000</v>
      </c>
      <c r="S14" s="487"/>
      <c r="T14" s="488">
        <f>①ベース事業別内訳!G5</f>
        <v>27769000</v>
      </c>
      <c r="U14" s="489"/>
      <c r="V14" s="490"/>
      <c r="W14" s="365"/>
      <c r="X14" s="348"/>
      <c r="Y14" s="366"/>
      <c r="Z14" s="366"/>
    </row>
    <row r="15" spans="1:26" ht="30" customHeight="1">
      <c r="A15" s="329">
        <v>13</v>
      </c>
      <c r="B15" s="499" t="s">
        <v>361</v>
      </c>
      <c r="C15" s="500"/>
      <c r="D15" s="500" t="s">
        <v>356</v>
      </c>
      <c r="E15" s="501" t="s">
        <v>379</v>
      </c>
      <c r="F15" s="488">
        <f>F8/13</f>
        <v>1653937.4584615389</v>
      </c>
      <c r="G15" s="502"/>
      <c r="H15" s="488">
        <f>H8/13</f>
        <v>1522632.3507692306</v>
      </c>
      <c r="I15" s="503"/>
      <c r="J15" s="487">
        <f>J8/13</f>
        <v>785944.61538461538</v>
      </c>
      <c r="K15" s="502"/>
      <c r="L15" s="488">
        <f>L8/13</f>
        <v>1152443.076923077</v>
      </c>
      <c r="M15" s="503"/>
      <c r="N15" s="487">
        <f>N8/13</f>
        <v>1543384.6153846155</v>
      </c>
      <c r="O15" s="502"/>
      <c r="P15" s="488">
        <f>P8/13</f>
        <v>472153.84615384624</v>
      </c>
      <c r="Q15" s="503"/>
      <c r="R15" s="487">
        <f>R8/13</f>
        <v>442718.46153846156</v>
      </c>
      <c r="S15" s="502"/>
      <c r="T15" s="488">
        <f>T8/13</f>
        <v>726322.6707692307</v>
      </c>
      <c r="U15" s="503"/>
      <c r="V15" s="490"/>
      <c r="W15" s="409">
        <f>W8/13</f>
        <v>1661538.4615384615</v>
      </c>
      <c r="X15" s="413"/>
      <c r="Y15" s="414"/>
      <c r="Z15" s="414"/>
    </row>
    <row r="16" spans="1:26" ht="24.95" customHeight="1">
      <c r="A16" s="329">
        <v>14</v>
      </c>
      <c r="B16" s="352"/>
      <c r="C16" s="41"/>
      <c r="D16" s="407" t="s">
        <v>357</v>
      </c>
      <c r="E16" s="408" t="s">
        <v>380</v>
      </c>
      <c r="F16" s="409" t="e">
        <f>F14/13</f>
        <v>#REF!</v>
      </c>
      <c r="G16" s="412"/>
      <c r="H16" s="409">
        <f>H14/13</f>
        <v>2316076.923076923</v>
      </c>
      <c r="I16" s="410"/>
      <c r="J16" s="411">
        <f>J14/13</f>
        <v>969384.61538461538</v>
      </c>
      <c r="K16" s="412"/>
      <c r="L16" s="409">
        <f>L14/13</f>
        <v>1269307.6923076923</v>
      </c>
      <c r="M16" s="410"/>
      <c r="N16" s="411">
        <f>N14/13</f>
        <v>1186076.923076923</v>
      </c>
      <c r="O16" s="412"/>
      <c r="P16" s="409">
        <f>P14/13</f>
        <v>445307.69230769231</v>
      </c>
      <c r="Q16" s="410"/>
      <c r="R16" s="411">
        <f>R14/13</f>
        <v>438615.38461538462</v>
      </c>
      <c r="S16" s="412"/>
      <c r="T16" s="409">
        <f>T14/13</f>
        <v>2136076.923076923</v>
      </c>
      <c r="U16" s="410"/>
      <c r="V16" s="440"/>
      <c r="W16" s="370">
        <f>W14/13</f>
        <v>0</v>
      </c>
      <c r="X16" s="356"/>
      <c r="Y16" s="357"/>
      <c r="Z16" s="357"/>
    </row>
    <row r="17" spans="1:26" ht="24.95" customHeight="1">
      <c r="A17" s="329">
        <v>15</v>
      </c>
      <c r="B17" s="355"/>
      <c r="C17" s="358"/>
      <c r="D17" s="358" t="s">
        <v>382</v>
      </c>
      <c r="E17" s="494" t="s">
        <v>381</v>
      </c>
      <c r="F17" s="370" t="e">
        <f>F15-F16</f>
        <v>#REF!</v>
      </c>
      <c r="G17" s="495"/>
      <c r="H17" s="370">
        <f>H15-H16</f>
        <v>-793444.57230769238</v>
      </c>
      <c r="I17" s="496"/>
      <c r="J17" s="497">
        <f>J15-J16</f>
        <v>-183440</v>
      </c>
      <c r="K17" s="495"/>
      <c r="L17" s="370">
        <f>L15-L16</f>
        <v>-116864.61538461526</v>
      </c>
      <c r="M17" s="496"/>
      <c r="N17" s="497">
        <f>N15-N16</f>
        <v>357307.69230769249</v>
      </c>
      <c r="O17" s="495"/>
      <c r="P17" s="370">
        <f>P15-P16</f>
        <v>26846.153846153931</v>
      </c>
      <c r="Q17" s="496"/>
      <c r="R17" s="497">
        <f>R15-R16</f>
        <v>4103.0769230769365</v>
      </c>
      <c r="S17" s="495"/>
      <c r="T17" s="370">
        <f>T15-T16</f>
        <v>-1409754.2523076923</v>
      </c>
      <c r="U17" s="496"/>
      <c r="V17" s="498"/>
      <c r="W17" s="491"/>
      <c r="X17" s="492"/>
      <c r="Y17" s="493"/>
      <c r="Z17" s="493"/>
    </row>
    <row r="18" spans="1:26" ht="24.95" customHeight="1">
      <c r="A18" s="329">
        <v>16</v>
      </c>
      <c r="B18" s="382" t="s">
        <v>373</v>
      </c>
      <c r="C18" s="415" t="s">
        <v>363</v>
      </c>
      <c r="D18" s="415"/>
      <c r="E18" s="419"/>
      <c r="F18" s="416">
        <v>5</v>
      </c>
      <c r="G18" s="418">
        <v>0.56999999999999995</v>
      </c>
      <c r="H18" s="416">
        <v>5</v>
      </c>
      <c r="I18" s="417">
        <v>0.65</v>
      </c>
      <c r="J18" s="415">
        <v>4.0999999999999996</v>
      </c>
      <c r="K18" s="418">
        <v>1</v>
      </c>
      <c r="L18" s="416">
        <v>3</v>
      </c>
      <c r="M18" s="417">
        <v>0.6</v>
      </c>
      <c r="N18" s="415">
        <v>4</v>
      </c>
      <c r="O18" s="418">
        <v>0.41</v>
      </c>
      <c r="P18" s="416">
        <v>0</v>
      </c>
      <c r="Q18" s="417">
        <v>0</v>
      </c>
      <c r="R18" s="415">
        <v>4</v>
      </c>
      <c r="S18" s="418">
        <v>0.96</v>
      </c>
      <c r="T18" s="416">
        <v>2</v>
      </c>
      <c r="U18" s="417">
        <f>100%-U19-U20</f>
        <v>0.33000000000000007</v>
      </c>
      <c r="V18" s="441"/>
      <c r="W18" s="416">
        <v>7</v>
      </c>
      <c r="X18" s="418">
        <v>0.96</v>
      </c>
      <c r="Y18" s="419"/>
      <c r="Z18" s="419"/>
    </row>
    <row r="19" spans="1:26" ht="24.95" customHeight="1">
      <c r="A19" s="329">
        <v>17</v>
      </c>
      <c r="B19" s="352"/>
      <c r="C19" s="407" t="s">
        <v>365</v>
      </c>
      <c r="D19" s="407"/>
      <c r="E19" s="423"/>
      <c r="F19" s="420">
        <v>14</v>
      </c>
      <c r="G19" s="422">
        <v>0.43</v>
      </c>
      <c r="H19" s="420">
        <v>8</v>
      </c>
      <c r="I19" s="421">
        <v>0.35</v>
      </c>
      <c r="J19" s="407"/>
      <c r="K19" s="422"/>
      <c r="L19" s="420">
        <v>8</v>
      </c>
      <c r="M19" s="421">
        <v>0.4</v>
      </c>
      <c r="N19" s="407">
        <v>11</v>
      </c>
      <c r="O19" s="422">
        <v>0.32</v>
      </c>
      <c r="P19" s="420">
        <v>7</v>
      </c>
      <c r="Q19" s="421">
        <v>1</v>
      </c>
      <c r="R19" s="407">
        <v>2</v>
      </c>
      <c r="S19" s="422">
        <v>0.04</v>
      </c>
      <c r="T19" s="420">
        <v>7</v>
      </c>
      <c r="U19" s="421">
        <v>0.44</v>
      </c>
      <c r="V19" s="442"/>
      <c r="W19" s="420"/>
      <c r="X19" s="407"/>
      <c r="Y19" s="423"/>
      <c r="Z19" s="423"/>
    </row>
    <row r="20" spans="1:26" ht="24.95" customHeight="1">
      <c r="A20" s="329">
        <v>18</v>
      </c>
      <c r="B20" s="355"/>
      <c r="C20" s="358" t="s">
        <v>366</v>
      </c>
      <c r="D20" s="358"/>
      <c r="E20" s="384"/>
      <c r="F20" s="355"/>
      <c r="G20" s="383"/>
      <c r="H20" s="355"/>
      <c r="I20" s="402"/>
      <c r="J20" s="358"/>
      <c r="K20" s="383"/>
      <c r="L20" s="355"/>
      <c r="M20" s="402"/>
      <c r="N20" s="358">
        <v>15</v>
      </c>
      <c r="O20" s="383">
        <v>0.27</v>
      </c>
      <c r="P20" s="355"/>
      <c r="Q20" s="402"/>
      <c r="R20" s="358"/>
      <c r="S20" s="383"/>
      <c r="T20" s="355">
        <v>4</v>
      </c>
      <c r="U20" s="402">
        <v>0.23</v>
      </c>
      <c r="V20" s="443"/>
      <c r="W20" s="355">
        <v>7</v>
      </c>
      <c r="X20" s="383">
        <v>0.04</v>
      </c>
      <c r="Y20" s="384"/>
      <c r="Z20" s="384"/>
    </row>
    <row r="21" spans="1:26" ht="24.95" customHeight="1">
      <c r="A21" s="329"/>
      <c r="B21" s="466" t="s">
        <v>375</v>
      </c>
      <c r="C21" s="467" t="s">
        <v>376</v>
      </c>
      <c r="D21" s="467"/>
      <c r="E21" s="468"/>
      <c r="F21" s="469">
        <f>$F$15*G18</f>
        <v>942744.35132307711</v>
      </c>
      <c r="G21" s="470"/>
      <c r="H21" s="469">
        <f>$H$15*I18</f>
        <v>989711.02799999993</v>
      </c>
      <c r="I21" s="471"/>
      <c r="J21" s="472">
        <f>$J$15*K18</f>
        <v>785944.61538461538</v>
      </c>
      <c r="K21" s="470"/>
      <c r="L21" s="469">
        <f>$L$15*M18</f>
        <v>691465.84615384613</v>
      </c>
      <c r="M21" s="471"/>
      <c r="N21" s="472">
        <f>$N$15*O18</f>
        <v>632787.69230769237</v>
      </c>
      <c r="O21" s="470"/>
      <c r="P21" s="469">
        <f>$P$15*Q18</f>
        <v>0</v>
      </c>
      <c r="Q21" s="471"/>
      <c r="R21" s="472">
        <f>$R$15*S18</f>
        <v>425009.72307692311</v>
      </c>
      <c r="S21" s="470"/>
      <c r="T21" s="469">
        <f>$T$15*U18</f>
        <v>239686.48135384617</v>
      </c>
      <c r="U21" s="471"/>
      <c r="V21" s="473"/>
      <c r="W21" s="352"/>
      <c r="X21" s="465"/>
      <c r="Y21" s="464"/>
      <c r="Z21" s="464"/>
    </row>
    <row r="22" spans="1:26" ht="24.95" customHeight="1">
      <c r="A22" s="329"/>
      <c r="B22" s="466"/>
      <c r="C22" s="474" t="s">
        <v>377</v>
      </c>
      <c r="D22" s="474"/>
      <c r="E22" s="475"/>
      <c r="F22" s="476">
        <f t="shared" ref="F22:F23" si="0">$F$15*G19</f>
        <v>711193.10713846167</v>
      </c>
      <c r="G22" s="477"/>
      <c r="H22" s="476">
        <f t="shared" ref="H22:H23" si="1">$H$15*I19</f>
        <v>532921.3227692307</v>
      </c>
      <c r="I22" s="478"/>
      <c r="J22" s="479">
        <f t="shared" ref="J22:J23" si="2">$J$15*K19</f>
        <v>0</v>
      </c>
      <c r="K22" s="477"/>
      <c r="L22" s="476">
        <f t="shared" ref="L22:L23" si="3">$L$15*M19</f>
        <v>460977.23076923081</v>
      </c>
      <c r="M22" s="478"/>
      <c r="N22" s="479">
        <f t="shared" ref="N22:N23" si="4">$N$15*O19</f>
        <v>493883.07692307699</v>
      </c>
      <c r="O22" s="477"/>
      <c r="P22" s="476">
        <f t="shared" ref="P22:P23" si="5">$P$15*Q19</f>
        <v>472153.84615384624</v>
      </c>
      <c r="Q22" s="478"/>
      <c r="R22" s="479">
        <f t="shared" ref="R22:R23" si="6">$R$15*S19</f>
        <v>17708.738461538462</v>
      </c>
      <c r="S22" s="477"/>
      <c r="T22" s="476">
        <f t="shared" ref="T22" si="7">$T$15*U19</f>
        <v>319581.97513846151</v>
      </c>
      <c r="U22" s="478"/>
      <c r="V22" s="480"/>
      <c r="W22" s="352"/>
      <c r="X22" s="465"/>
      <c r="Y22" s="464"/>
      <c r="Z22" s="464"/>
    </row>
    <row r="23" spans="1:26" ht="24.95" customHeight="1">
      <c r="A23" s="329"/>
      <c r="B23" s="466"/>
      <c r="C23" s="467" t="s">
        <v>378</v>
      </c>
      <c r="D23" s="467"/>
      <c r="E23" s="468"/>
      <c r="F23" s="469">
        <f t="shared" si="0"/>
        <v>0</v>
      </c>
      <c r="G23" s="470"/>
      <c r="H23" s="469">
        <f t="shared" si="1"/>
        <v>0</v>
      </c>
      <c r="I23" s="471"/>
      <c r="J23" s="472">
        <f t="shared" si="2"/>
        <v>0</v>
      </c>
      <c r="K23" s="470"/>
      <c r="L23" s="469">
        <f t="shared" si="3"/>
        <v>0</v>
      </c>
      <c r="M23" s="471"/>
      <c r="N23" s="472">
        <f t="shared" si="4"/>
        <v>416713.84615384619</v>
      </c>
      <c r="O23" s="470"/>
      <c r="P23" s="469">
        <f t="shared" si="5"/>
        <v>0</v>
      </c>
      <c r="Q23" s="471"/>
      <c r="R23" s="472">
        <f t="shared" si="6"/>
        <v>0</v>
      </c>
      <c r="S23" s="470"/>
      <c r="T23" s="469">
        <f>$T$15*U20</f>
        <v>167054.21427692307</v>
      </c>
      <c r="U23" s="471"/>
      <c r="V23" s="473"/>
      <c r="W23" s="352"/>
      <c r="X23" s="465"/>
      <c r="Y23" s="464"/>
      <c r="Z23" s="464"/>
    </row>
    <row r="24" spans="1:26" ht="24.95" customHeight="1">
      <c r="A24" s="329">
        <v>19</v>
      </c>
      <c r="B24" s="430" t="s">
        <v>364</v>
      </c>
      <c r="C24" s="431"/>
      <c r="D24" s="431"/>
      <c r="E24" s="432" t="s">
        <v>383</v>
      </c>
      <c r="F24" s="455">
        <f>F15*G18/F18</f>
        <v>188548.87026461543</v>
      </c>
      <c r="G24" s="446"/>
      <c r="H24" s="455">
        <f>H15*I18/H18</f>
        <v>197942.20559999999</v>
      </c>
      <c r="I24" s="447"/>
      <c r="J24" s="459">
        <f>J15*K18/J18</f>
        <v>191693.80863039402</v>
      </c>
      <c r="K24" s="446"/>
      <c r="L24" s="455">
        <f>L15*M18/L18</f>
        <v>230488.61538461538</v>
      </c>
      <c r="M24" s="447"/>
      <c r="N24" s="459">
        <f>N15*O18/N18</f>
        <v>158196.92307692309</v>
      </c>
      <c r="O24" s="446"/>
      <c r="P24" s="455"/>
      <c r="Q24" s="447"/>
      <c r="R24" s="459">
        <f>R15*S18/R18</f>
        <v>106252.43076923078</v>
      </c>
      <c r="S24" s="446"/>
      <c r="T24" s="455">
        <f>T15*U18/T18</f>
        <v>119843.24067692309</v>
      </c>
      <c r="U24" s="447"/>
      <c r="V24" s="462"/>
      <c r="W24" s="433">
        <f>W15*X18/W18</f>
        <v>227868.13186813187</v>
      </c>
      <c r="X24" s="431"/>
      <c r="Y24" s="432"/>
      <c r="Z24" s="432"/>
    </row>
    <row r="25" spans="1:26" ht="24.95" customHeight="1">
      <c r="A25" s="329">
        <v>20</v>
      </c>
      <c r="B25" s="355"/>
      <c r="C25" s="358" t="s">
        <v>368</v>
      </c>
      <c r="D25" s="358"/>
      <c r="E25" s="384"/>
      <c r="F25" s="403" t="e">
        <f>F16*G18/F18</f>
        <v>#REF!</v>
      </c>
      <c r="G25" s="383"/>
      <c r="H25" s="403">
        <f>H16*I18/H18</f>
        <v>301090</v>
      </c>
      <c r="I25" s="402"/>
      <c r="J25" s="385">
        <f>J16*K18/J18</f>
        <v>236435.27204502816</v>
      </c>
      <c r="K25" s="383"/>
      <c r="L25" s="403">
        <f>L16*M18/L18</f>
        <v>253861.53846153847</v>
      </c>
      <c r="M25" s="402"/>
      <c r="N25" s="385">
        <f>N16*O18/N18</f>
        <v>121572.8846153846</v>
      </c>
      <c r="O25" s="383"/>
      <c r="P25" s="355"/>
      <c r="Q25" s="402"/>
      <c r="R25" s="385">
        <f>R16*S18/R18</f>
        <v>105267.69230769231</v>
      </c>
      <c r="S25" s="383"/>
      <c r="T25" s="403">
        <f>T16*U18/T18</f>
        <v>352452.69230769237</v>
      </c>
      <c r="U25" s="402"/>
      <c r="V25" s="443"/>
      <c r="W25" s="403">
        <f>W16*X18/W18</f>
        <v>0</v>
      </c>
      <c r="X25" s="358"/>
      <c r="Y25" s="384"/>
      <c r="Z25" s="384"/>
    </row>
    <row r="26" spans="1:26" ht="24.95" customHeight="1">
      <c r="A26" s="329">
        <v>21</v>
      </c>
      <c r="B26" s="382" t="s">
        <v>372</v>
      </c>
      <c r="C26" s="415" t="s">
        <v>369</v>
      </c>
      <c r="D26" s="415"/>
      <c r="E26" s="419"/>
      <c r="F26" s="424">
        <f>F24*G26</f>
        <v>8673.2480321723087</v>
      </c>
      <c r="G26" s="425">
        <v>4.5999999999999999E-2</v>
      </c>
      <c r="H26" s="416"/>
      <c r="I26" s="417"/>
      <c r="J26" s="415"/>
      <c r="K26" s="418"/>
      <c r="L26" s="424">
        <f>L24*M26</f>
        <v>9219.5446153846151</v>
      </c>
      <c r="M26" s="417">
        <v>0.04</v>
      </c>
      <c r="N26" s="415"/>
      <c r="O26" s="418"/>
      <c r="P26" s="416"/>
      <c r="Q26" s="417"/>
      <c r="R26" s="415"/>
      <c r="S26" s="418"/>
      <c r="T26" s="416"/>
      <c r="U26" s="417"/>
      <c r="V26" s="441"/>
      <c r="W26" s="416"/>
      <c r="X26" s="415"/>
      <c r="Y26" s="419"/>
      <c r="Z26" s="419"/>
    </row>
    <row r="27" spans="1:26" ht="24.95" customHeight="1">
      <c r="A27" s="329">
        <v>22</v>
      </c>
      <c r="B27" s="355"/>
      <c r="C27" s="358" t="s">
        <v>370</v>
      </c>
      <c r="D27" s="358" t="s">
        <v>371</v>
      </c>
      <c r="E27" s="384"/>
      <c r="F27" s="403">
        <f>F24*G27</f>
        <v>7730.5036808492332</v>
      </c>
      <c r="G27" s="386">
        <v>4.1000000000000002E-2</v>
      </c>
      <c r="H27" s="403">
        <f>H24*I27</f>
        <v>8115.6304295999998</v>
      </c>
      <c r="I27" s="404">
        <v>4.1000000000000002E-2</v>
      </c>
      <c r="J27" s="385">
        <f>J24*K27</f>
        <v>0</v>
      </c>
      <c r="K27" s="383"/>
      <c r="L27" s="403">
        <f>L24*M27</f>
        <v>9450.0332307692315</v>
      </c>
      <c r="M27" s="404">
        <v>4.1000000000000002E-2</v>
      </c>
      <c r="N27" s="385">
        <f>N24*O27</f>
        <v>0</v>
      </c>
      <c r="O27" s="383"/>
      <c r="P27" s="355"/>
      <c r="Q27" s="402"/>
      <c r="R27" s="385">
        <f>R24*S27</f>
        <v>0</v>
      </c>
      <c r="S27" s="383"/>
      <c r="T27" s="403">
        <f>T24*U27</f>
        <v>4913.5728677538464</v>
      </c>
      <c r="U27" s="404">
        <v>4.1000000000000002E-2</v>
      </c>
      <c r="V27" s="443"/>
      <c r="W27" s="403">
        <f>W24*X27</f>
        <v>9342.5934065934071</v>
      </c>
      <c r="X27" s="386">
        <v>4.1000000000000002E-2</v>
      </c>
      <c r="Y27" s="384"/>
      <c r="Z27" s="384"/>
    </row>
    <row r="28" spans="1:26" ht="24.95" customHeight="1">
      <c r="A28" s="329">
        <v>23</v>
      </c>
      <c r="B28" s="426" t="s">
        <v>374</v>
      </c>
      <c r="C28" s="427"/>
      <c r="D28" s="427"/>
      <c r="E28" s="428" t="s">
        <v>384</v>
      </c>
      <c r="F28" s="456">
        <f>F24+F26+F27</f>
        <v>204952.62197763697</v>
      </c>
      <c r="G28" s="444"/>
      <c r="H28" s="452">
        <f>H24+H26+H27</f>
        <v>206057.83602959997</v>
      </c>
      <c r="I28" s="445"/>
      <c r="J28" s="456">
        <f>J24+J26+J27</f>
        <v>191693.80863039402</v>
      </c>
      <c r="K28" s="444"/>
      <c r="L28" s="452">
        <f>L24+L26+L27</f>
        <v>249158.19323076925</v>
      </c>
      <c r="M28" s="445"/>
      <c r="N28" s="456">
        <f>N24+N26+N27</f>
        <v>158196.92307692309</v>
      </c>
      <c r="O28" s="444"/>
      <c r="P28" s="452">
        <f>P24+P26+P27</f>
        <v>0</v>
      </c>
      <c r="Q28" s="445"/>
      <c r="R28" s="456">
        <f>R24+R26+R27</f>
        <v>106252.43076923078</v>
      </c>
      <c r="S28" s="444"/>
      <c r="T28" s="452">
        <f>T24+T26+T27</f>
        <v>124756.81354467693</v>
      </c>
      <c r="U28" s="445"/>
      <c r="V28" s="463"/>
      <c r="W28" s="429">
        <f>W24+W26+W27</f>
        <v>237210.72527472526</v>
      </c>
      <c r="X28" s="427"/>
      <c r="Y28" s="428"/>
      <c r="Z28" s="428"/>
    </row>
    <row r="29" spans="1:26" ht="24.95" customHeight="1"/>
    <row r="31" spans="1:26">
      <c r="F31" s="174"/>
    </row>
    <row r="32" spans="1:26">
      <c r="F32" s="174"/>
    </row>
    <row r="33" spans="6:6">
      <c r="F33" s="174"/>
    </row>
    <row r="34" spans="6:6">
      <c r="F34" s="174"/>
    </row>
    <row r="35" spans="6:6">
      <c r="F35" s="174"/>
    </row>
    <row r="36" spans="6:6">
      <c r="F36" s="174"/>
    </row>
    <row r="37" spans="6:6">
      <c r="F37" s="174"/>
    </row>
  </sheetData>
  <mergeCells count="15">
    <mergeCell ref="H1:I2"/>
    <mergeCell ref="V1:V2"/>
    <mergeCell ref="B13:D13"/>
    <mergeCell ref="B12:D12"/>
    <mergeCell ref="W1:Y1"/>
    <mergeCell ref="F1:G2"/>
    <mergeCell ref="J1:K2"/>
    <mergeCell ref="L1:M2"/>
    <mergeCell ref="N1:O2"/>
    <mergeCell ref="P1:Q2"/>
    <mergeCell ref="R1:S2"/>
    <mergeCell ref="T1:U2"/>
    <mergeCell ref="B3:D3"/>
    <mergeCell ref="B6:D6"/>
    <mergeCell ref="B1:D2"/>
  </mergeCells>
  <phoneticPr fontId="3"/>
  <pageMargins left="0.25" right="0.25" top="0.75" bottom="0.75" header="0.3" footer="0.3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B6" sqref="B6"/>
    </sheetView>
  </sheetViews>
  <sheetFormatPr defaultRowHeight="13.5"/>
  <cols>
    <col min="1" max="1" width="3.625" style="262" customWidth="1"/>
    <col min="2" max="2" width="11.875" bestFit="1" customWidth="1"/>
  </cols>
  <sheetData>
    <row r="1" spans="1:15" ht="24.95" customHeight="1">
      <c r="A1" s="1007" t="s">
        <v>248</v>
      </c>
      <c r="B1" s="1007"/>
      <c r="C1" s="261" t="s">
        <v>180</v>
      </c>
      <c r="D1" s="261" t="s">
        <v>181</v>
      </c>
      <c r="E1" s="261" t="s">
        <v>182</v>
      </c>
      <c r="F1" s="261" t="s">
        <v>170</v>
      </c>
      <c r="G1" s="261" t="s">
        <v>169</v>
      </c>
      <c r="H1" s="261" t="s">
        <v>183</v>
      </c>
      <c r="I1" s="261" t="s">
        <v>184</v>
      </c>
      <c r="J1" s="261" t="s">
        <v>171</v>
      </c>
      <c r="K1" s="261" t="s">
        <v>185</v>
      </c>
      <c r="L1" s="261" t="s">
        <v>186</v>
      </c>
      <c r="M1" s="261" t="s">
        <v>188</v>
      </c>
      <c r="N1" s="261" t="s">
        <v>265</v>
      </c>
      <c r="O1" s="261" t="s">
        <v>266</v>
      </c>
    </row>
    <row r="2" spans="1:15" ht="24.95" customHeight="1">
      <c r="A2" s="1007" t="s">
        <v>247</v>
      </c>
      <c r="B2" s="1007"/>
      <c r="C2" s="250" t="e">
        <f>按分表!L68</f>
        <v>#REF!</v>
      </c>
      <c r="D2" s="250" t="e">
        <f>按分表!J68</f>
        <v>#REF!</v>
      </c>
      <c r="E2" s="250" t="e">
        <f>按分表!K68</f>
        <v>#REF!</v>
      </c>
      <c r="F2" s="250" t="e">
        <f>按分表!M68</f>
        <v>#REF!</v>
      </c>
      <c r="G2" s="250">
        <f>按分表!D68</f>
        <v>129641850</v>
      </c>
      <c r="H2" s="250">
        <f>按分表!E68</f>
        <v>38230440</v>
      </c>
      <c r="I2" s="250">
        <f>按分表!F68</f>
        <v>64328000</v>
      </c>
      <c r="J2" s="250" t="e">
        <f>按分表!G68</f>
        <v>#REF!</v>
      </c>
      <c r="K2" s="250" t="e">
        <f>按分表!H68</f>
        <v>#REF!</v>
      </c>
      <c r="L2" s="250" t="e">
        <f>按分表!I68</f>
        <v>#REF!</v>
      </c>
      <c r="M2" s="250" t="e">
        <f>按分表!N68</f>
        <v>#REF!</v>
      </c>
      <c r="N2" s="250">
        <f>按分表!O68</f>
        <v>3803000</v>
      </c>
      <c r="O2" s="250" t="e">
        <f>SUM(C2:N2)</f>
        <v>#REF!</v>
      </c>
    </row>
    <row r="3" spans="1:15" ht="24.95" customHeight="1">
      <c r="A3" s="1006" t="s">
        <v>268</v>
      </c>
      <c r="B3" s="250" t="s">
        <v>190</v>
      </c>
      <c r="C3" s="250" t="e">
        <f>按分表!L69</f>
        <v>#REF!</v>
      </c>
      <c r="D3" s="250" t="e">
        <f>按分表!J69</f>
        <v>#REF!</v>
      </c>
      <c r="E3" s="250" t="e">
        <f>按分表!K69</f>
        <v>#REF!</v>
      </c>
      <c r="F3" s="250" t="e">
        <f>按分表!M69</f>
        <v>#REF!</v>
      </c>
      <c r="G3" s="250" t="e">
        <f>按分表!D69</f>
        <v>#REF!</v>
      </c>
      <c r="H3" s="250" t="e">
        <f>按分表!E69</f>
        <v>#REF!</v>
      </c>
      <c r="I3" s="250" t="e">
        <f>按分表!F69</f>
        <v>#REF!</v>
      </c>
      <c r="J3" s="250" t="e">
        <f>按分表!G69</f>
        <v>#REF!</v>
      </c>
      <c r="K3" s="250" t="e">
        <f>按分表!H69</f>
        <v>#REF!</v>
      </c>
      <c r="L3" s="250" t="e">
        <f>按分表!I69</f>
        <v>#REF!</v>
      </c>
      <c r="M3" s="250" t="e">
        <f>按分表!N69</f>
        <v>#REF!</v>
      </c>
      <c r="N3" s="250"/>
      <c r="O3" s="250" t="e">
        <f>SUM(C3:N3)</f>
        <v>#REF!</v>
      </c>
    </row>
    <row r="4" spans="1:15" ht="24.95" customHeight="1">
      <c r="A4" s="1006"/>
      <c r="B4" s="250" t="s">
        <v>267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>
        <f>按分表!O69</f>
        <v>34317739.436619714</v>
      </c>
    </row>
    <row r="5" spans="1:15" ht="24.95" customHeight="1">
      <c r="A5" s="1007" t="s">
        <v>172</v>
      </c>
      <c r="B5" s="1007"/>
      <c r="C5" s="250" t="e">
        <f>C2-C3</f>
        <v>#REF!</v>
      </c>
      <c r="D5" s="250" t="e">
        <f t="shared" ref="D5:N5" si="0">D2-D3</f>
        <v>#REF!</v>
      </c>
      <c r="E5" s="250" t="e">
        <f t="shared" si="0"/>
        <v>#REF!</v>
      </c>
      <c r="F5" s="250" t="e">
        <f t="shared" si="0"/>
        <v>#REF!</v>
      </c>
      <c r="G5" s="250" t="e">
        <f t="shared" si="0"/>
        <v>#REF!</v>
      </c>
      <c r="H5" s="250" t="e">
        <f t="shared" si="0"/>
        <v>#REF!</v>
      </c>
      <c r="I5" s="250" t="e">
        <f t="shared" si="0"/>
        <v>#REF!</v>
      </c>
      <c r="J5" s="250" t="e">
        <f t="shared" si="0"/>
        <v>#REF!</v>
      </c>
      <c r="K5" s="250" t="e">
        <f t="shared" si="0"/>
        <v>#REF!</v>
      </c>
      <c r="L5" s="250" t="e">
        <f t="shared" si="0"/>
        <v>#REF!</v>
      </c>
      <c r="M5" s="250" t="e">
        <f t="shared" si="0"/>
        <v>#REF!</v>
      </c>
      <c r="N5" s="250">
        <f t="shared" si="0"/>
        <v>3803000</v>
      </c>
      <c r="O5" s="250" t="e">
        <f>O2-O3-O4</f>
        <v>#REF!</v>
      </c>
    </row>
  </sheetData>
  <mergeCells count="4">
    <mergeCell ref="A3:A4"/>
    <mergeCell ref="A2:B2"/>
    <mergeCell ref="A1:B1"/>
    <mergeCell ref="A5:B5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opLeftCell="N1" workbookViewId="0">
      <selection activeCell="L37" sqref="L37"/>
    </sheetView>
  </sheetViews>
  <sheetFormatPr defaultRowHeight="13.5"/>
  <cols>
    <col min="1" max="1" width="6.125" bestFit="1" customWidth="1"/>
    <col min="2" max="2" width="9" bestFit="1" customWidth="1"/>
    <col min="3" max="3" width="6" bestFit="1" customWidth="1"/>
    <col min="4" max="4" width="6.875" bestFit="1" customWidth="1"/>
    <col min="5" max="5" width="7.25" bestFit="1" customWidth="1"/>
    <col min="6" max="6" width="6.875" bestFit="1" customWidth="1"/>
    <col min="7" max="7" width="1.875" customWidth="1"/>
    <col min="8" max="8" width="9.125" bestFit="1" customWidth="1"/>
    <col min="9" max="9" width="6.875" bestFit="1" customWidth="1"/>
    <col min="10" max="10" width="2.75" customWidth="1"/>
    <col min="11" max="11" width="9.125" bestFit="1" customWidth="1"/>
    <col min="12" max="12" width="6.875" bestFit="1" customWidth="1"/>
    <col min="13" max="13" width="9.125" bestFit="1" customWidth="1"/>
    <col min="14" max="14" width="6.875" bestFit="1" customWidth="1"/>
    <col min="15" max="15" width="5.25" customWidth="1"/>
    <col min="16" max="16" width="9.125" bestFit="1" customWidth="1"/>
    <col min="17" max="17" width="6.875" bestFit="1" customWidth="1"/>
    <col min="18" max="18" width="5.25" customWidth="1"/>
    <col min="20" max="20" width="6.875" bestFit="1" customWidth="1"/>
    <col min="21" max="21" width="5.25" customWidth="1"/>
    <col min="22" max="23" width="6.875" bestFit="1" customWidth="1"/>
    <col min="24" max="24" width="5.25" customWidth="1"/>
    <col min="25" max="26" width="6.875" bestFit="1" customWidth="1"/>
    <col min="27" max="27" width="5.25" customWidth="1"/>
    <col min="29" max="29" width="6.875" bestFit="1" customWidth="1"/>
    <col min="30" max="30" width="5.25" customWidth="1"/>
    <col min="32" max="32" width="6.875" bestFit="1" customWidth="1"/>
    <col min="33" max="33" width="10.25" bestFit="1" customWidth="1"/>
    <col min="34" max="35" width="5.25" bestFit="1" customWidth="1"/>
  </cols>
  <sheetData>
    <row r="1" spans="1:35" s="220" customFormat="1">
      <c r="A1" s="220" t="s">
        <v>259</v>
      </c>
      <c r="C1" s="227" t="s">
        <v>168</v>
      </c>
      <c r="D1" s="227"/>
      <c r="E1" s="227" t="s">
        <v>180</v>
      </c>
      <c r="F1" s="227"/>
      <c r="G1" s="226"/>
      <c r="H1" s="226" t="s">
        <v>181</v>
      </c>
      <c r="K1" s="226" t="s">
        <v>182</v>
      </c>
      <c r="M1" s="220" t="s">
        <v>170</v>
      </c>
      <c r="P1" s="220" t="s">
        <v>169</v>
      </c>
      <c r="S1" s="220" t="s">
        <v>183</v>
      </c>
      <c r="V1" s="220" t="s">
        <v>184</v>
      </c>
      <c r="Y1" s="220" t="s">
        <v>171</v>
      </c>
      <c r="AB1" s="220" t="s">
        <v>185</v>
      </c>
      <c r="AE1" s="220" t="s">
        <v>186</v>
      </c>
      <c r="AG1" s="220" t="s">
        <v>187</v>
      </c>
      <c r="AI1" s="220" t="s">
        <v>194</v>
      </c>
    </row>
    <row r="2" spans="1:35" s="220" customFormat="1">
      <c r="C2" s="220" t="s">
        <v>177</v>
      </c>
      <c r="D2" s="220" t="s">
        <v>178</v>
      </c>
      <c r="E2" s="220" t="s">
        <v>177</v>
      </c>
      <c r="F2" s="220" t="s">
        <v>178</v>
      </c>
      <c r="H2" s="220" t="s">
        <v>177</v>
      </c>
      <c r="I2" s="220" t="s">
        <v>178</v>
      </c>
      <c r="K2" s="220" t="s">
        <v>177</v>
      </c>
      <c r="L2" s="220" t="s">
        <v>178</v>
      </c>
      <c r="M2" s="220" t="s">
        <v>177</v>
      </c>
      <c r="N2" s="220" t="s">
        <v>178</v>
      </c>
      <c r="P2" s="220" t="s">
        <v>177</v>
      </c>
      <c r="Q2" s="220" t="s">
        <v>178</v>
      </c>
      <c r="S2" s="220" t="s">
        <v>177</v>
      </c>
      <c r="T2" s="220" t="s">
        <v>178</v>
      </c>
      <c r="V2" s="220" t="s">
        <v>177</v>
      </c>
      <c r="W2" s="220" t="s">
        <v>178</v>
      </c>
      <c r="Y2" s="220" t="s">
        <v>177</v>
      </c>
      <c r="Z2" s="220" t="s">
        <v>178</v>
      </c>
      <c r="AB2" s="220" t="s">
        <v>177</v>
      </c>
      <c r="AC2" s="220" t="s">
        <v>178</v>
      </c>
      <c r="AE2" s="220" t="s">
        <v>177</v>
      </c>
      <c r="AF2" s="220" t="s">
        <v>178</v>
      </c>
      <c r="AG2" s="220" t="s">
        <v>177</v>
      </c>
      <c r="AH2" s="220" t="s">
        <v>178</v>
      </c>
    </row>
    <row r="3" spans="1:35" s="220" customFormat="1">
      <c r="B3" s="220" t="s">
        <v>247</v>
      </c>
      <c r="C3" s="220">
        <f>按分表!O23</f>
        <v>3803000</v>
      </c>
      <c r="E3" s="220" t="e">
        <f>按分表!L23</f>
        <v>#REF!</v>
      </c>
      <c r="H3" s="220" t="e">
        <f>按分表!J23</f>
        <v>#REF!</v>
      </c>
      <c r="K3" s="220" t="e">
        <f>按分表!K23</f>
        <v>#REF!</v>
      </c>
      <c r="M3" s="220" t="e">
        <f>按分表!M23</f>
        <v>#REF!</v>
      </c>
      <c r="P3" s="220">
        <f>按分表!D23</f>
        <v>129641850</v>
      </c>
      <c r="S3" s="220">
        <f>按分表!E23</f>
        <v>38230440</v>
      </c>
      <c r="V3" s="220">
        <f>按分表!F23</f>
        <v>64328000</v>
      </c>
      <c r="Y3" s="220" t="e">
        <f>按分表!G23</f>
        <v>#REF!</v>
      </c>
      <c r="AB3" s="220" t="e">
        <f>按分表!H23</f>
        <v>#REF!</v>
      </c>
      <c r="AE3" s="220" t="e">
        <f>按分表!I23</f>
        <v>#REF!</v>
      </c>
      <c r="AG3" s="220" t="e">
        <f>按分表!N23</f>
        <v>#REF!</v>
      </c>
    </row>
    <row r="4" spans="1:35" s="220" customFormat="1">
      <c r="B4" s="220" t="s">
        <v>190</v>
      </c>
      <c r="F4" s="220" t="e">
        <f>按分表!L62</f>
        <v>#REF!</v>
      </c>
      <c r="I4" s="220" t="e">
        <f>按分表!J62</f>
        <v>#REF!</v>
      </c>
      <c r="L4" s="220" t="e">
        <f>按分表!K62</f>
        <v>#REF!</v>
      </c>
      <c r="N4" s="220" t="e">
        <f>按分表!M62</f>
        <v>#REF!</v>
      </c>
      <c r="Q4" s="220" t="e">
        <f>按分表!D62</f>
        <v>#REF!</v>
      </c>
      <c r="T4" s="220" t="e">
        <f>按分表!E62</f>
        <v>#REF!</v>
      </c>
      <c r="W4" s="220" t="e">
        <f>按分表!F62</f>
        <v>#REF!</v>
      </c>
      <c r="Z4" s="220" t="e">
        <f>按分表!G62</f>
        <v>#REF!</v>
      </c>
      <c r="AC4" s="220" t="e">
        <f>按分表!H62</f>
        <v>#REF!</v>
      </c>
      <c r="AF4" s="220" t="e">
        <f>按分表!I62</f>
        <v>#REF!</v>
      </c>
      <c r="AH4" s="220" t="e">
        <f>按分表!N62</f>
        <v>#REF!</v>
      </c>
      <c r="AI4" s="220" t="e">
        <f>SUM(#REF!)</f>
        <v>#REF!</v>
      </c>
    </row>
    <row r="5" spans="1:35" s="220" customFormat="1">
      <c r="B5" s="220" t="s">
        <v>179</v>
      </c>
      <c r="F5" s="220" t="e">
        <f>按分表!#REF!</f>
        <v>#REF!</v>
      </c>
      <c r="I5" s="220" t="e">
        <f>按分表!#REF!</f>
        <v>#REF!</v>
      </c>
      <c r="L5" s="220" t="e">
        <f>按分表!#REF!</f>
        <v>#REF!</v>
      </c>
      <c r="N5" s="220" t="e">
        <f>按分表!#REF!</f>
        <v>#REF!</v>
      </c>
      <c r="Q5" s="220" t="e">
        <f>按分表!#REF!</f>
        <v>#REF!</v>
      </c>
      <c r="T5" s="220" t="e">
        <f>按分表!#REF!</f>
        <v>#REF!</v>
      </c>
      <c r="W5" s="220" t="e">
        <f>按分表!#REF!</f>
        <v>#REF!</v>
      </c>
      <c r="Z5" s="220" t="e">
        <f>按分表!#REF!</f>
        <v>#REF!</v>
      </c>
      <c r="AC5" s="220" t="e">
        <f>按分表!#REF!</f>
        <v>#REF!</v>
      </c>
      <c r="AF5" s="220" t="e">
        <f>按分表!#REF!</f>
        <v>#REF!</v>
      </c>
      <c r="AH5" s="220" t="e">
        <f>按分表!#REF!</f>
        <v>#REF!</v>
      </c>
    </row>
    <row r="6" spans="1:35" s="220" customFormat="1">
      <c r="B6" s="220" t="s">
        <v>246</v>
      </c>
      <c r="F6" s="220" t="e">
        <f>按分表!#REF!</f>
        <v>#REF!</v>
      </c>
      <c r="I6" s="220" t="e">
        <f>按分表!#REF!</f>
        <v>#REF!</v>
      </c>
      <c r="L6" s="220" t="e">
        <f>按分表!#REF!</f>
        <v>#REF!</v>
      </c>
      <c r="N6" s="220" t="e">
        <f>按分表!#REF!</f>
        <v>#REF!</v>
      </c>
      <c r="Q6" s="220" t="e">
        <f>按分表!#REF!</f>
        <v>#REF!</v>
      </c>
      <c r="T6" s="220" t="e">
        <f>按分表!#REF!</f>
        <v>#REF!</v>
      </c>
      <c r="W6" s="220" t="e">
        <f>按分表!#REF!</f>
        <v>#REF!</v>
      </c>
      <c r="Z6" s="220" t="e">
        <f>按分表!#REF!</f>
        <v>#REF!</v>
      </c>
      <c r="AC6" s="220" t="e">
        <f>按分表!#REF!</f>
        <v>#REF!</v>
      </c>
      <c r="AF6" s="220" t="e">
        <f>按分表!#REF!</f>
        <v>#REF!</v>
      </c>
      <c r="AH6" s="220" t="e">
        <f>按分表!#REF!</f>
        <v>#REF!</v>
      </c>
    </row>
    <row r="7" spans="1:35" s="220" customFormat="1"/>
    <row r="8" spans="1:35" s="220" customFormat="1"/>
    <row r="10" spans="1:35">
      <c r="A10" s="220" t="str">
        <f>按分表!B67</f>
        <v>集計資料</v>
      </c>
      <c r="C10" s="220">
        <f>按分表!C67</f>
        <v>0</v>
      </c>
      <c r="D10" s="220" t="str">
        <f>按分表!O67</f>
        <v>本部</v>
      </c>
      <c r="E10" s="220" t="str">
        <f>按分表!L67</f>
        <v>宅老所</v>
      </c>
      <c r="F10" s="220" t="str">
        <f>按分表!J67</f>
        <v>宅配給食</v>
      </c>
      <c r="G10" s="220" t="str">
        <f>按分表!K67</f>
        <v>学童保育</v>
      </c>
      <c r="H10" s="220" t="str">
        <f>按分表!D67</f>
        <v>高齢訪問</v>
      </c>
      <c r="I10" s="220" t="str">
        <f>按分表!E67</f>
        <v>奥立願寺</v>
      </c>
      <c r="J10" s="220" t="str">
        <f>按分表!F67</f>
        <v>中尾</v>
      </c>
      <c r="K10" s="220" t="str">
        <f>按分表!G67</f>
        <v>居宅</v>
      </c>
      <c r="L10" s="220" t="str">
        <f>按分表!H67</f>
        <v>障害訪問</v>
      </c>
      <c r="M10" s="220" t="str">
        <f>按分表!I67</f>
        <v>障害就労</v>
      </c>
      <c r="O10" s="220" t="str">
        <f>按分表!P67</f>
        <v>合計</v>
      </c>
      <c r="Q10" s="220" t="str">
        <f>按分表!M67</f>
        <v>人材育成</v>
      </c>
      <c r="R10" s="220" t="str">
        <f>按分表!N67</f>
        <v>たすけあい</v>
      </c>
    </row>
    <row r="11" spans="1:35">
      <c r="B11" s="220" t="str">
        <f>按分表!B68</f>
        <v>事業収入（A)</v>
      </c>
      <c r="C11" s="220">
        <f>按分表!C68</f>
        <v>0</v>
      </c>
      <c r="D11" s="220">
        <f>按分表!O68</f>
        <v>3803000</v>
      </c>
      <c r="E11" s="220" t="e">
        <f>按分表!L68</f>
        <v>#REF!</v>
      </c>
      <c r="F11" s="220" t="e">
        <f>按分表!J68</f>
        <v>#REF!</v>
      </c>
      <c r="G11" s="220" t="e">
        <f>按分表!K68</f>
        <v>#REF!</v>
      </c>
      <c r="H11" s="220">
        <f>按分表!D68</f>
        <v>129641850</v>
      </c>
      <c r="I11" s="220">
        <f>按分表!E68</f>
        <v>38230440</v>
      </c>
      <c r="J11" s="220">
        <f>按分表!F68</f>
        <v>64328000</v>
      </c>
      <c r="K11" s="220" t="e">
        <f>按分表!G68</f>
        <v>#REF!</v>
      </c>
      <c r="L11" s="220" t="e">
        <f>按分表!H68</f>
        <v>#REF!</v>
      </c>
      <c r="M11" s="220" t="e">
        <f>按分表!I68</f>
        <v>#REF!</v>
      </c>
      <c r="O11" s="220" t="e">
        <f>按分表!P68</f>
        <v>#REF!</v>
      </c>
      <c r="Q11" s="220" t="e">
        <f>按分表!M68</f>
        <v>#REF!</v>
      </c>
      <c r="R11" s="220" t="e">
        <f>按分表!N68</f>
        <v>#REF!</v>
      </c>
    </row>
    <row r="12" spans="1:35">
      <c r="B12" s="220" t="e">
        <f>按分表!#REF!</f>
        <v>#REF!</v>
      </c>
      <c r="C12" s="220" t="e">
        <f>按分表!#REF!</f>
        <v>#REF!</v>
      </c>
      <c r="D12" s="220" t="e">
        <f>按分表!#REF!</f>
        <v>#REF!</v>
      </c>
      <c r="E12" s="220" t="e">
        <f>按分表!#REF!</f>
        <v>#REF!</v>
      </c>
      <c r="F12" s="220" t="e">
        <f>按分表!#REF!</f>
        <v>#REF!</v>
      </c>
      <c r="G12" s="220" t="e">
        <f>按分表!#REF!</f>
        <v>#REF!</v>
      </c>
      <c r="H12" s="220" t="e">
        <f>按分表!#REF!</f>
        <v>#REF!</v>
      </c>
      <c r="I12" s="220" t="e">
        <f>按分表!#REF!</f>
        <v>#REF!</v>
      </c>
      <c r="J12" s="220" t="e">
        <f>按分表!#REF!</f>
        <v>#REF!</v>
      </c>
      <c r="K12" s="220" t="e">
        <f>按分表!#REF!</f>
        <v>#REF!</v>
      </c>
      <c r="L12" s="220" t="e">
        <f>按分表!#REF!</f>
        <v>#REF!</v>
      </c>
      <c r="M12" s="220" t="e">
        <f>按分表!#REF!</f>
        <v>#REF!</v>
      </c>
      <c r="O12" s="220" t="e">
        <f>按分表!#REF!</f>
        <v>#REF!</v>
      </c>
      <c r="Q12" s="220" t="e">
        <f>按分表!#REF!</f>
        <v>#REF!</v>
      </c>
      <c r="R12" s="220" t="e">
        <f>按分表!#REF!</f>
        <v>#REF!</v>
      </c>
    </row>
    <row r="13" spans="1:35">
      <c r="B13" s="220" t="e">
        <f>按分表!#REF!</f>
        <v>#REF!</v>
      </c>
      <c r="C13" s="220" t="e">
        <f>按分表!#REF!</f>
        <v>#REF!</v>
      </c>
      <c r="D13" s="220" t="e">
        <f>按分表!#REF!</f>
        <v>#REF!</v>
      </c>
      <c r="E13" s="220" t="e">
        <f>按分表!#REF!</f>
        <v>#REF!</v>
      </c>
      <c r="F13" s="220" t="e">
        <f>按分表!#REF!</f>
        <v>#REF!</v>
      </c>
      <c r="G13" s="220" t="e">
        <f>按分表!#REF!</f>
        <v>#REF!</v>
      </c>
      <c r="H13" s="220" t="e">
        <f>按分表!#REF!</f>
        <v>#REF!</v>
      </c>
      <c r="I13" s="220" t="e">
        <f>按分表!#REF!</f>
        <v>#REF!</v>
      </c>
      <c r="J13" s="220" t="e">
        <f>按分表!#REF!</f>
        <v>#REF!</v>
      </c>
      <c r="K13" s="220" t="e">
        <f>按分表!#REF!</f>
        <v>#REF!</v>
      </c>
      <c r="L13" s="220" t="e">
        <f>按分表!#REF!</f>
        <v>#REF!</v>
      </c>
      <c r="M13" s="220" t="e">
        <f>按分表!#REF!</f>
        <v>#REF!</v>
      </c>
      <c r="O13" s="220" t="e">
        <f>按分表!#REF!</f>
        <v>#REF!</v>
      </c>
      <c r="Q13" s="220" t="e">
        <f>按分表!#REF!</f>
        <v>#REF!</v>
      </c>
      <c r="R13" s="220" t="e">
        <f>按分表!#REF!</f>
        <v>#REF!</v>
      </c>
    </row>
    <row r="14" spans="1:35">
      <c r="B14" s="220" t="str">
        <f>按分表!B69</f>
        <v>事業費（B)</v>
      </c>
      <c r="C14" s="220">
        <f>按分表!C69</f>
        <v>0</v>
      </c>
      <c r="D14" s="220">
        <f>按分表!O69</f>
        <v>34317739.436619714</v>
      </c>
      <c r="E14" s="220" t="e">
        <f>按分表!L69</f>
        <v>#REF!</v>
      </c>
      <c r="F14" s="220" t="e">
        <f>按分表!J69</f>
        <v>#REF!</v>
      </c>
      <c r="G14" s="220" t="e">
        <f>按分表!K69</f>
        <v>#REF!</v>
      </c>
      <c r="H14" s="220" t="e">
        <f>按分表!D69</f>
        <v>#REF!</v>
      </c>
      <c r="I14" s="220" t="e">
        <f>按分表!E69</f>
        <v>#REF!</v>
      </c>
      <c r="J14" s="220" t="e">
        <f>按分表!F69</f>
        <v>#REF!</v>
      </c>
      <c r="K14" s="220" t="e">
        <f>按分表!G69</f>
        <v>#REF!</v>
      </c>
      <c r="L14" s="220" t="e">
        <f>按分表!H69</f>
        <v>#REF!</v>
      </c>
      <c r="M14" s="220" t="e">
        <f>按分表!I69</f>
        <v>#REF!</v>
      </c>
      <c r="O14" s="220" t="e">
        <f>按分表!P69</f>
        <v>#REF!</v>
      </c>
      <c r="Q14" s="220" t="e">
        <f>按分表!M69</f>
        <v>#REF!</v>
      </c>
      <c r="R14" s="220" t="e">
        <f>按分表!N69</f>
        <v>#REF!</v>
      </c>
    </row>
    <row r="15" spans="1:35">
      <c r="B15" s="220" t="e">
        <f>按分表!#REF!</f>
        <v>#REF!</v>
      </c>
      <c r="C15" s="220" t="e">
        <f>按分表!#REF!</f>
        <v>#REF!</v>
      </c>
      <c r="D15" s="220" t="e">
        <f>按分表!#REF!</f>
        <v>#REF!</v>
      </c>
      <c r="E15" s="220" t="e">
        <f>按分表!#REF!</f>
        <v>#REF!</v>
      </c>
      <c r="F15" s="220" t="e">
        <f>按分表!#REF!</f>
        <v>#REF!</v>
      </c>
      <c r="G15" s="220" t="e">
        <f>按分表!#REF!</f>
        <v>#REF!</v>
      </c>
      <c r="H15" s="220" t="e">
        <f>按分表!#REF!</f>
        <v>#REF!</v>
      </c>
      <c r="I15" s="220" t="e">
        <f>按分表!#REF!</f>
        <v>#REF!</v>
      </c>
      <c r="J15" s="220" t="e">
        <f>按分表!#REF!</f>
        <v>#REF!</v>
      </c>
      <c r="K15" s="220" t="e">
        <f>按分表!#REF!</f>
        <v>#REF!</v>
      </c>
      <c r="L15" s="220" t="e">
        <f>按分表!#REF!</f>
        <v>#REF!</v>
      </c>
      <c r="M15" s="220" t="e">
        <f>按分表!#REF!</f>
        <v>#REF!</v>
      </c>
      <c r="O15" s="220" t="e">
        <f>按分表!#REF!</f>
        <v>#REF!</v>
      </c>
      <c r="Q15" s="220" t="e">
        <f>按分表!#REF!</f>
        <v>#REF!</v>
      </c>
      <c r="R15" s="220" t="e">
        <f>按分表!#REF!</f>
        <v>#REF!</v>
      </c>
    </row>
    <row r="16" spans="1:35">
      <c r="B16" s="220" t="e">
        <f>按分表!#REF!</f>
        <v>#REF!</v>
      </c>
      <c r="C16" s="220" t="e">
        <f>按分表!#REF!</f>
        <v>#REF!</v>
      </c>
      <c r="D16" s="220" t="e">
        <f>按分表!#REF!</f>
        <v>#REF!</v>
      </c>
      <c r="E16" s="220" t="e">
        <f>按分表!#REF!</f>
        <v>#REF!</v>
      </c>
      <c r="F16" s="220" t="e">
        <f>按分表!#REF!</f>
        <v>#REF!</v>
      </c>
      <c r="G16" s="220" t="e">
        <f>按分表!#REF!</f>
        <v>#REF!</v>
      </c>
      <c r="H16" s="220" t="e">
        <f>按分表!#REF!</f>
        <v>#REF!</v>
      </c>
      <c r="I16" s="220" t="e">
        <f>按分表!#REF!</f>
        <v>#REF!</v>
      </c>
      <c r="J16" s="220" t="e">
        <f>按分表!#REF!</f>
        <v>#REF!</v>
      </c>
      <c r="K16" s="220" t="e">
        <f>按分表!#REF!</f>
        <v>#REF!</v>
      </c>
      <c r="L16" s="220" t="e">
        <f>按分表!#REF!</f>
        <v>#REF!</v>
      </c>
      <c r="M16" s="220" t="e">
        <f>按分表!#REF!</f>
        <v>#REF!</v>
      </c>
      <c r="O16" s="220" t="e">
        <f>按分表!#REF!</f>
        <v>#REF!</v>
      </c>
      <c r="Q16" s="220" t="e">
        <f>按分表!#REF!</f>
        <v>#REF!</v>
      </c>
      <c r="R16" s="220" t="e">
        <f>按分表!#REF!</f>
        <v>#REF!</v>
      </c>
    </row>
    <row r="17" spans="2:18">
      <c r="B17" s="220" t="str">
        <f>按分表!B70</f>
        <v>収支差額（C)A-B</v>
      </c>
      <c r="C17" s="220">
        <f>按分表!C70</f>
        <v>0</v>
      </c>
      <c r="D17" s="220">
        <f>按分表!O70</f>
        <v>-30514739.436619714</v>
      </c>
      <c r="E17" s="220" t="e">
        <f>按分表!L70</f>
        <v>#REF!</v>
      </c>
      <c r="F17" s="220" t="e">
        <f>按分表!J70</f>
        <v>#REF!</v>
      </c>
      <c r="G17" s="220" t="e">
        <f>按分表!K70</f>
        <v>#REF!</v>
      </c>
      <c r="H17" s="220" t="e">
        <f>按分表!D70</f>
        <v>#REF!</v>
      </c>
      <c r="I17" s="220" t="e">
        <f>按分表!E70</f>
        <v>#REF!</v>
      </c>
      <c r="J17" s="220" t="e">
        <f>按分表!F70</f>
        <v>#REF!</v>
      </c>
      <c r="K17" s="220" t="e">
        <f>按分表!G70</f>
        <v>#REF!</v>
      </c>
      <c r="L17" s="220" t="e">
        <f>按分表!H70</f>
        <v>#REF!</v>
      </c>
      <c r="M17" s="220" t="e">
        <f>按分表!I70</f>
        <v>#REF!</v>
      </c>
      <c r="O17" s="220" t="e">
        <f>按分表!P70</f>
        <v>#REF!</v>
      </c>
      <c r="Q17" s="220" t="e">
        <f>按分表!M70</f>
        <v>#REF!</v>
      </c>
      <c r="R17" s="220" t="e">
        <f>按分表!N70</f>
        <v>#REF!</v>
      </c>
    </row>
    <row r="18" spans="2:18">
      <c r="B18" s="222" t="e">
        <f>按分表!#REF!</f>
        <v>#REF!</v>
      </c>
      <c r="C18" s="222" t="e">
        <f>按分表!#REF!</f>
        <v>#REF!</v>
      </c>
      <c r="D18" s="222" t="e">
        <f>按分表!#REF!</f>
        <v>#REF!</v>
      </c>
      <c r="E18" s="222" t="e">
        <f>按分表!#REF!</f>
        <v>#REF!</v>
      </c>
      <c r="F18" s="222" t="e">
        <f>按分表!#REF!</f>
        <v>#REF!</v>
      </c>
      <c r="G18" s="222" t="e">
        <f>按分表!#REF!</f>
        <v>#REF!</v>
      </c>
      <c r="H18" s="222" t="e">
        <f>按分表!#REF!</f>
        <v>#REF!</v>
      </c>
      <c r="I18" s="222" t="e">
        <f>按分表!#REF!</f>
        <v>#REF!</v>
      </c>
      <c r="J18" s="222" t="e">
        <f>按分表!#REF!</f>
        <v>#REF!</v>
      </c>
      <c r="K18" s="222" t="e">
        <f>按分表!#REF!</f>
        <v>#REF!</v>
      </c>
      <c r="L18" s="222" t="e">
        <f>按分表!#REF!</f>
        <v>#REF!</v>
      </c>
      <c r="M18" s="222" t="e">
        <f>按分表!#REF!</f>
        <v>#REF!</v>
      </c>
      <c r="O18" s="222" t="e">
        <f>按分表!#REF!</f>
        <v>#REF!</v>
      </c>
      <c r="Q18" s="222" t="e">
        <f>按分表!#REF!</f>
        <v>#REF!</v>
      </c>
      <c r="R18" s="222" t="e">
        <f>按分表!#REF!</f>
        <v>#REF!</v>
      </c>
    </row>
    <row r="19" spans="2:18">
      <c r="B19" s="222" t="str">
        <f>按分表!B72</f>
        <v>総売上割合（E)A/A合計</v>
      </c>
      <c r="C19" s="222">
        <f>按分表!C72</f>
        <v>0</v>
      </c>
      <c r="D19" s="222" t="e">
        <f>按分表!O72</f>
        <v>#REF!</v>
      </c>
      <c r="E19" s="222" t="e">
        <f>按分表!L72</f>
        <v>#REF!</v>
      </c>
      <c r="F19" s="222" t="e">
        <f>按分表!J72</f>
        <v>#REF!</v>
      </c>
      <c r="G19" s="222" t="e">
        <f>按分表!K72</f>
        <v>#REF!</v>
      </c>
      <c r="H19" s="222" t="e">
        <f>按分表!D72</f>
        <v>#REF!</v>
      </c>
      <c r="I19" s="222" t="e">
        <f>按分表!E72</f>
        <v>#REF!</v>
      </c>
      <c r="J19" s="222" t="e">
        <f>按分表!F72</f>
        <v>#REF!</v>
      </c>
      <c r="K19" s="222" t="e">
        <f>按分表!G72</f>
        <v>#REF!</v>
      </c>
      <c r="L19" s="222" t="e">
        <f>按分表!H72</f>
        <v>#REF!</v>
      </c>
      <c r="M19" s="222" t="e">
        <f>按分表!I72</f>
        <v>#REF!</v>
      </c>
      <c r="O19" s="222" t="e">
        <f>按分表!P72</f>
        <v>#REF!</v>
      </c>
      <c r="Q19" s="222" t="e">
        <f>按分表!M72</f>
        <v>#REF!</v>
      </c>
      <c r="R19" s="222" t="e">
        <f>按分表!N72</f>
        <v>#REF!</v>
      </c>
    </row>
  </sheetData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opLeftCell="B1" workbookViewId="0">
      <pane xSplit="3" ySplit="5" topLeftCell="E6" activePane="bottomRight" state="frozen"/>
      <selection activeCell="L37" sqref="L37"/>
      <selection pane="topRight" activeCell="L37" sqref="L37"/>
      <selection pane="bottomLeft" activeCell="L37" sqref="L37"/>
      <selection pane="bottomRight" activeCell="L37" sqref="L37"/>
    </sheetView>
  </sheetViews>
  <sheetFormatPr defaultColWidth="9" defaultRowHeight="14.25"/>
  <cols>
    <col min="1" max="1" width="0" style="96" hidden="1" customWidth="1"/>
    <col min="2" max="2" width="1.75" style="5" customWidth="1"/>
    <col min="3" max="3" width="16" style="172" customWidth="1"/>
    <col min="4" max="4" width="2.75" style="17" customWidth="1"/>
    <col min="5" max="5" width="14.5" style="5" customWidth="1"/>
    <col min="6" max="6" width="14.625" style="169" customWidth="1"/>
    <col min="7" max="7" width="6" style="170" customWidth="1"/>
    <col min="8" max="8" width="14.375" style="39" customWidth="1"/>
    <col min="9" max="9" width="0" style="170" hidden="1" customWidth="1"/>
    <col min="10" max="10" width="1" style="170" customWidth="1"/>
    <col min="11" max="11" width="5.625" style="173" customWidth="1"/>
    <col min="12" max="12" width="9.875" style="41" customWidth="1"/>
    <col min="13" max="13" width="1.25" style="41" customWidth="1"/>
    <col min="14" max="14" width="11.625" style="41" customWidth="1"/>
    <col min="15" max="15" width="1.25" style="41" customWidth="1"/>
    <col min="16" max="16" width="13" style="41" customWidth="1"/>
    <col min="17" max="17" width="4.75" style="170" customWidth="1"/>
    <col min="18" max="18" width="1.875" style="170" customWidth="1"/>
    <col min="19" max="19" width="16.25" style="158" customWidth="1"/>
    <col min="20" max="20" width="2.25" style="171" customWidth="1"/>
    <col min="21" max="21" width="13" style="39" customWidth="1"/>
    <col min="22" max="22" width="7.125" style="168" customWidth="1"/>
    <col min="23" max="23" width="1.5" style="39" customWidth="1"/>
    <col min="24" max="24" width="14.375" style="39" customWidth="1"/>
    <col min="25" max="28" width="9" style="39"/>
    <col min="29" max="16384" width="9" style="5"/>
  </cols>
  <sheetData>
    <row r="1" spans="1:28" ht="13.5" customHeight="1">
      <c r="A1" s="1021"/>
      <c r="B1" s="47"/>
      <c r="C1" s="1022"/>
      <c r="D1" s="48"/>
      <c r="E1" s="1023" t="s">
        <v>139</v>
      </c>
      <c r="F1" s="1019" t="s">
        <v>140</v>
      </c>
      <c r="G1" s="1016"/>
      <c r="H1" s="1018" t="s">
        <v>141</v>
      </c>
      <c r="I1" s="1016"/>
      <c r="J1" s="49"/>
      <c r="K1" s="50"/>
      <c r="L1" s="51"/>
      <c r="M1" s="52"/>
      <c r="N1" s="52"/>
      <c r="O1" s="52"/>
      <c r="P1" s="1017" t="s">
        <v>142</v>
      </c>
      <c r="Q1" s="1016"/>
      <c r="R1" s="53"/>
      <c r="S1" s="1018" t="s">
        <v>167</v>
      </c>
      <c r="T1" s="54"/>
      <c r="U1" s="1019" t="s">
        <v>143</v>
      </c>
      <c r="V1" s="1020"/>
      <c r="W1" s="30"/>
      <c r="X1" s="1008" t="s">
        <v>144</v>
      </c>
    </row>
    <row r="2" spans="1:28" ht="13.5" customHeight="1">
      <c r="A2" s="1021"/>
      <c r="B2" s="47"/>
      <c r="C2" s="1022"/>
      <c r="D2" s="48"/>
      <c r="E2" s="1023"/>
      <c r="F2" s="1019"/>
      <c r="G2" s="1016"/>
      <c r="H2" s="1018"/>
      <c r="I2" s="1016"/>
      <c r="J2" s="53"/>
      <c r="K2" s="1009" t="s">
        <v>145</v>
      </c>
      <c r="L2" s="1009"/>
      <c r="M2" s="55"/>
      <c r="N2" s="1010" t="s">
        <v>159</v>
      </c>
      <c r="O2" s="55"/>
      <c r="P2" s="1017"/>
      <c r="Q2" s="1016"/>
      <c r="R2" s="53"/>
      <c r="S2" s="1018"/>
      <c r="T2" s="54"/>
      <c r="U2" s="1019"/>
      <c r="V2" s="1020"/>
      <c r="W2" s="30"/>
      <c r="X2" s="1008"/>
    </row>
    <row r="3" spans="1:28" s="1" customFormat="1" ht="13.5">
      <c r="A3" s="1021"/>
      <c r="B3" s="47"/>
      <c r="C3" s="1022"/>
      <c r="D3" s="56"/>
      <c r="E3" s="1023"/>
      <c r="F3" s="1019"/>
      <c r="G3" s="57" t="s">
        <v>80</v>
      </c>
      <c r="H3" s="1018"/>
      <c r="I3" s="58" t="s">
        <v>80</v>
      </c>
      <c r="J3" s="53"/>
      <c r="K3" s="1009"/>
      <c r="L3" s="1009"/>
      <c r="M3" s="59"/>
      <c r="N3" s="1011"/>
      <c r="O3" s="59"/>
      <c r="P3" s="1017"/>
      <c r="Q3" s="57" t="s">
        <v>80</v>
      </c>
      <c r="R3" s="53"/>
      <c r="S3" s="1018"/>
      <c r="T3" s="60"/>
      <c r="U3" s="1019"/>
      <c r="V3" s="61" t="s">
        <v>146</v>
      </c>
      <c r="W3" s="19"/>
      <c r="X3" s="1008"/>
      <c r="Y3" s="62"/>
      <c r="Z3" s="62"/>
      <c r="AA3" s="62"/>
      <c r="AB3" s="62"/>
    </row>
    <row r="4" spans="1:28" s="1" customFormat="1" hidden="1">
      <c r="A4" s="63"/>
      <c r="B4" s="64"/>
      <c r="C4" s="65"/>
      <c r="D4" s="52"/>
      <c r="E4" s="64"/>
      <c r="F4" s="62"/>
      <c r="G4" s="49"/>
      <c r="H4" s="66"/>
      <c r="I4" s="49"/>
      <c r="J4" s="49"/>
      <c r="K4" s="1012">
        <v>2400000</v>
      </c>
      <c r="L4" s="1012"/>
      <c r="M4" s="67"/>
      <c r="N4" s="52"/>
      <c r="O4" s="67"/>
      <c r="P4" s="68"/>
      <c r="Q4" s="49"/>
      <c r="R4" s="49"/>
      <c r="S4" s="62"/>
      <c r="T4" s="69"/>
      <c r="U4" s="62"/>
      <c r="V4" s="70"/>
      <c r="W4" s="62"/>
      <c r="X4" s="62"/>
      <c r="Y4" s="62"/>
      <c r="Z4" s="62"/>
      <c r="AA4" s="62"/>
      <c r="AB4" s="62"/>
    </row>
    <row r="5" spans="1:28" s="78" customFormat="1" ht="8.25" customHeight="1">
      <c r="A5" s="71"/>
      <c r="B5" s="71"/>
      <c r="C5" s="71"/>
      <c r="D5" s="72"/>
      <c r="E5" s="71"/>
      <c r="F5" s="73"/>
      <c r="G5" s="74"/>
      <c r="H5" s="71"/>
      <c r="I5" s="74"/>
      <c r="J5" s="74"/>
      <c r="K5" s="75"/>
      <c r="L5" s="71"/>
      <c r="M5" s="71"/>
      <c r="N5" s="71"/>
      <c r="O5" s="71"/>
      <c r="P5" s="71"/>
      <c r="Q5" s="74"/>
      <c r="R5" s="74"/>
      <c r="S5" s="76"/>
      <c r="T5" s="77"/>
      <c r="U5" s="71"/>
      <c r="V5" s="72"/>
      <c r="W5" s="71"/>
      <c r="X5" s="71"/>
      <c r="Y5" s="71"/>
      <c r="Z5" s="71"/>
      <c r="AA5" s="71"/>
      <c r="AB5" s="71"/>
    </row>
    <row r="6" spans="1:28" s="96" customFormat="1" ht="20.100000000000001" customHeight="1">
      <c r="A6" s="79" t="s">
        <v>14</v>
      </c>
      <c r="B6" s="80"/>
      <c r="C6" s="81" t="s">
        <v>112</v>
      </c>
      <c r="D6" s="82"/>
      <c r="E6" s="83">
        <f>'2015予算書（一覧）'!F15</f>
        <v>11160000</v>
      </c>
      <c r="F6" s="84">
        <f>'2015予算書（一覧）'!F33</f>
        <v>10104000</v>
      </c>
      <c r="G6" s="85">
        <f>F6/E6</f>
        <v>0.90537634408602152</v>
      </c>
      <c r="H6" s="83">
        <f>E6-F6</f>
        <v>1056000</v>
      </c>
      <c r="I6" s="85">
        <f>H6/E6</f>
        <v>9.4623655913978491E-2</v>
      </c>
      <c r="J6" s="86"/>
      <c r="K6" s="87">
        <v>0.4</v>
      </c>
      <c r="L6" s="88">
        <f>$K$4*K6</f>
        <v>960000</v>
      </c>
      <c r="M6" s="89"/>
      <c r="N6" s="90" t="e">
        <f>#REF!</f>
        <v>#REF!</v>
      </c>
      <c r="O6" s="39"/>
      <c r="P6" s="83" t="e">
        <f>H6-L6-N6</f>
        <v>#REF!</v>
      </c>
      <c r="Q6" s="85" t="e">
        <f>P6/$P$20</f>
        <v>#REF!</v>
      </c>
      <c r="R6" s="91"/>
      <c r="S6" s="92" t="e">
        <f>-$L$34*Q6</f>
        <v>#REF!</v>
      </c>
      <c r="T6" s="93"/>
      <c r="U6" s="83">
        <f>ROUND(V6*E6,-3)</f>
        <v>1384000</v>
      </c>
      <c r="V6" s="94">
        <v>0.124</v>
      </c>
      <c r="W6" s="95"/>
      <c r="X6" s="83" t="e">
        <f>P6-U6</f>
        <v>#REF!</v>
      </c>
      <c r="Y6" s="39"/>
      <c r="Z6" s="39"/>
      <c r="AA6" s="39"/>
      <c r="AB6" s="39"/>
    </row>
    <row r="7" spans="1:28" s="78" customFormat="1">
      <c r="A7" s="71"/>
      <c r="B7" s="97"/>
      <c r="C7" s="71"/>
      <c r="D7" s="72"/>
      <c r="E7" s="71" t="s">
        <v>162</v>
      </c>
      <c r="F7" s="73"/>
      <c r="G7" s="74"/>
      <c r="H7" s="71"/>
      <c r="I7" s="74"/>
      <c r="J7" s="74"/>
      <c r="K7" s="75"/>
      <c r="L7" s="71"/>
      <c r="M7" s="71"/>
      <c r="N7" s="71"/>
      <c r="O7" s="71"/>
      <c r="P7" s="71"/>
      <c r="Q7" s="74"/>
      <c r="R7" s="74"/>
      <c r="S7" s="76"/>
      <c r="T7" s="77"/>
      <c r="U7" s="71"/>
      <c r="V7" s="72"/>
      <c r="W7" s="71"/>
      <c r="X7" s="71"/>
      <c r="Y7" s="71"/>
      <c r="Z7" s="71"/>
      <c r="AA7" s="71"/>
      <c r="AB7" s="71"/>
    </row>
    <row r="8" spans="1:28" s="96" customFormat="1" ht="20.100000000000001" customHeight="1">
      <c r="A8" s="88" t="s">
        <v>15</v>
      </c>
      <c r="B8" s="80"/>
      <c r="C8" s="81" t="s">
        <v>115</v>
      </c>
      <c r="D8" s="82"/>
      <c r="E8" s="83">
        <f>'2015予算書（一覧）'!F16</f>
        <v>9923000</v>
      </c>
      <c r="F8" s="84">
        <f>'2015予算書（一覧）'!F34</f>
        <v>6466000</v>
      </c>
      <c r="G8" s="98">
        <f>F8/E8</f>
        <v>0.65161745439887131</v>
      </c>
      <c r="H8" s="99">
        <f>E8-F8</f>
        <v>3457000</v>
      </c>
      <c r="I8" s="98">
        <f>H8/E8</f>
        <v>0.34838254560112869</v>
      </c>
      <c r="J8" s="100"/>
      <c r="K8" s="87">
        <v>0</v>
      </c>
      <c r="L8" s="88">
        <f>$K$4*K8</f>
        <v>0</v>
      </c>
      <c r="M8" s="39"/>
      <c r="N8" s="39"/>
      <c r="O8" s="39"/>
      <c r="P8" s="83">
        <f>H8-L8-N8</f>
        <v>3457000</v>
      </c>
      <c r="Q8" s="85" t="e">
        <f>P8/$P$20</f>
        <v>#REF!</v>
      </c>
      <c r="R8" s="91"/>
      <c r="S8" s="92" t="e">
        <f>-$L$34*Q8</f>
        <v>#REF!</v>
      </c>
      <c r="T8" s="101"/>
      <c r="U8" s="83">
        <f>ROUND(V8*E8,-3)</f>
        <v>2213000</v>
      </c>
      <c r="V8" s="94">
        <v>0.223</v>
      </c>
      <c r="W8" s="95"/>
      <c r="X8" s="83">
        <f>P8-U8</f>
        <v>1244000</v>
      </c>
      <c r="Y8" s="39"/>
      <c r="Z8" s="39"/>
      <c r="AA8" s="39"/>
      <c r="AB8" s="39"/>
    </row>
    <row r="9" spans="1:28" s="78" customFormat="1">
      <c r="A9" s="71"/>
      <c r="B9" s="97"/>
      <c r="C9" s="71"/>
      <c r="D9" s="72"/>
      <c r="E9" s="71" t="s">
        <v>163</v>
      </c>
      <c r="F9" s="73"/>
      <c r="G9" s="74"/>
      <c r="H9" s="71"/>
      <c r="I9" s="74"/>
      <c r="J9" s="74"/>
      <c r="K9" s="75"/>
      <c r="L9" s="71"/>
      <c r="M9" s="71"/>
      <c r="N9" s="71"/>
      <c r="O9" s="71"/>
      <c r="P9" s="71"/>
      <c r="Q9" s="74"/>
      <c r="R9" s="74"/>
      <c r="S9" s="76"/>
      <c r="T9" s="77"/>
      <c r="U9" s="71"/>
      <c r="V9" s="72"/>
      <c r="W9" s="71"/>
      <c r="X9" s="71"/>
      <c r="Y9" s="71"/>
      <c r="Z9" s="71"/>
      <c r="AA9" s="71"/>
      <c r="AB9" s="71"/>
    </row>
    <row r="10" spans="1:28" s="96" customFormat="1" ht="20.100000000000001" customHeight="1">
      <c r="A10" s="88" t="s">
        <v>16</v>
      </c>
      <c r="B10" s="80"/>
      <c r="C10" s="81" t="s">
        <v>81</v>
      </c>
      <c r="D10" s="82"/>
      <c r="E10" s="83">
        <f>'2015予算書（一覧）'!F9</f>
        <v>44850000</v>
      </c>
      <c r="F10" s="84">
        <f>'2015予算書（一覧）'!F27</f>
        <v>37846000</v>
      </c>
      <c r="G10" s="98">
        <f>F10/E10</f>
        <v>0.84383500557413604</v>
      </c>
      <c r="H10" s="99">
        <f>E10-F10</f>
        <v>7004000</v>
      </c>
      <c r="I10" s="98">
        <f>H10/E10</f>
        <v>0.15616499442586398</v>
      </c>
      <c r="J10" s="100"/>
      <c r="K10" s="87">
        <v>0</v>
      </c>
      <c r="L10" s="88">
        <f>$K$4*K10</f>
        <v>0</v>
      </c>
      <c r="M10" s="39"/>
      <c r="N10" s="90" t="e">
        <f>#REF!</f>
        <v>#REF!</v>
      </c>
      <c r="O10" s="39"/>
      <c r="P10" s="83" t="e">
        <f>H10-L10-N10</f>
        <v>#REF!</v>
      </c>
      <c r="Q10" s="85" t="e">
        <f>P10/$P$20</f>
        <v>#REF!</v>
      </c>
      <c r="R10" s="91"/>
      <c r="S10" s="92" t="e">
        <f>-$L$34*Q10</f>
        <v>#REF!</v>
      </c>
      <c r="T10" s="101"/>
      <c r="U10" s="83">
        <f>ROUND(V10*E10,-3)</f>
        <v>11347000</v>
      </c>
      <c r="V10" s="94">
        <v>0.253</v>
      </c>
      <c r="W10" s="95"/>
      <c r="X10" s="83" t="e">
        <f>P10-U10</f>
        <v>#REF!</v>
      </c>
      <c r="Y10" s="39"/>
      <c r="Z10" s="39"/>
      <c r="AA10" s="39"/>
      <c r="AB10" s="39"/>
    </row>
    <row r="11" spans="1:28" s="78" customFormat="1">
      <c r="A11" s="71"/>
      <c r="B11" s="97"/>
      <c r="C11" s="71"/>
      <c r="D11" s="72"/>
      <c r="E11" s="71" t="s">
        <v>162</v>
      </c>
      <c r="F11" s="73"/>
      <c r="G11" s="74"/>
      <c r="H11" s="71"/>
      <c r="I11" s="74"/>
      <c r="J11" s="74"/>
      <c r="K11" s="75"/>
      <c r="L11" s="71"/>
      <c r="M11" s="71"/>
      <c r="N11" s="71"/>
      <c r="O11" s="71"/>
      <c r="P11" s="71"/>
      <c r="Q11" s="74"/>
      <c r="R11" s="74"/>
      <c r="S11" s="76"/>
      <c r="T11" s="77"/>
      <c r="U11" s="71"/>
      <c r="V11" s="72"/>
      <c r="W11" s="71"/>
      <c r="X11" s="71"/>
      <c r="Y11" s="71"/>
      <c r="Z11" s="71"/>
      <c r="AA11" s="71"/>
      <c r="AB11" s="71"/>
    </row>
    <row r="12" spans="1:28" s="96" customFormat="1" ht="20.100000000000001" customHeight="1">
      <c r="A12" s="88" t="s">
        <v>17</v>
      </c>
      <c r="B12" s="80"/>
      <c r="C12" s="81" t="s">
        <v>147</v>
      </c>
      <c r="D12" s="82"/>
      <c r="E12" s="83">
        <f>'2015予算書（一覧）'!F10</f>
        <v>44954000</v>
      </c>
      <c r="F12" s="84">
        <f>'2015予算書（一覧）'!F28</f>
        <v>29068000</v>
      </c>
      <c r="G12" s="85">
        <f>F12/E12</f>
        <v>0.64661654135338342</v>
      </c>
      <c r="H12" s="83">
        <f>E12-F12</f>
        <v>15886000</v>
      </c>
      <c r="I12" s="85">
        <f>H12/E12</f>
        <v>0.35338345864661652</v>
      </c>
      <c r="J12" s="86"/>
      <c r="K12" s="87">
        <v>0.3</v>
      </c>
      <c r="L12" s="88">
        <f>$K$4*K12</f>
        <v>720000</v>
      </c>
      <c r="M12" s="89"/>
      <c r="N12" s="39"/>
      <c r="O12" s="39"/>
      <c r="P12" s="83">
        <f>H12-L12-N12</f>
        <v>15166000</v>
      </c>
      <c r="Q12" s="85" t="e">
        <f>P12/$P$20</f>
        <v>#REF!</v>
      </c>
      <c r="R12" s="91"/>
      <c r="S12" s="92" t="e">
        <f>-$L$34*Q12</f>
        <v>#REF!</v>
      </c>
      <c r="T12" s="93"/>
      <c r="U12" s="83">
        <f>ROUND(V12*E12,-3)</f>
        <v>17262000</v>
      </c>
      <c r="V12" s="94">
        <v>0.38400000000000001</v>
      </c>
      <c r="W12" s="95"/>
      <c r="X12" s="83">
        <f>P12-U12</f>
        <v>-2096000</v>
      </c>
      <c r="Y12" s="39"/>
      <c r="Z12" s="39"/>
      <c r="AA12" s="39"/>
      <c r="AB12" s="39"/>
    </row>
    <row r="13" spans="1:28" s="96" customFormat="1" ht="17.25">
      <c r="A13" s="39"/>
      <c r="B13" s="102"/>
      <c r="C13" s="71"/>
      <c r="D13" s="103"/>
      <c r="E13" s="71" t="s">
        <v>164</v>
      </c>
      <c r="F13" s="104"/>
      <c r="G13" s="105"/>
      <c r="H13" s="106"/>
      <c r="I13" s="105"/>
      <c r="J13" s="105"/>
      <c r="K13" s="107"/>
      <c r="L13" s="39"/>
      <c r="M13" s="39"/>
      <c r="N13" s="39"/>
      <c r="O13" s="39"/>
      <c r="P13" s="39"/>
      <c r="Q13" s="105"/>
      <c r="R13" s="105"/>
      <c r="S13" s="108"/>
      <c r="T13" s="101"/>
      <c r="U13" s="106"/>
      <c r="V13" s="103"/>
      <c r="W13" s="106"/>
      <c r="X13" s="106"/>
      <c r="Y13" s="39"/>
      <c r="Z13" s="39"/>
      <c r="AA13" s="39"/>
      <c r="AB13" s="39"/>
    </row>
    <row r="14" spans="1:28" s="96" customFormat="1" ht="20.100000000000001" customHeight="1">
      <c r="A14" s="88" t="s">
        <v>18</v>
      </c>
      <c r="B14" s="80"/>
      <c r="C14" s="81" t="s">
        <v>148</v>
      </c>
      <c r="D14" s="82"/>
      <c r="E14" s="83">
        <f>'2015予算書（一覧）'!F11</f>
        <v>20800000</v>
      </c>
      <c r="F14" s="84">
        <f>'2015予算書（一覧）'!F29</f>
        <v>12699000</v>
      </c>
      <c r="G14" s="85">
        <f>F14/E14</f>
        <v>0.61052884615384617</v>
      </c>
      <c r="H14" s="83">
        <f>E14-F14</f>
        <v>8101000</v>
      </c>
      <c r="I14" s="85">
        <f>H14/E14</f>
        <v>0.38947115384615383</v>
      </c>
      <c r="J14" s="86"/>
      <c r="K14" s="87">
        <v>0.3</v>
      </c>
      <c r="L14" s="88">
        <f>$K$4*K14</f>
        <v>720000</v>
      </c>
      <c r="M14" s="89"/>
      <c r="N14" s="39"/>
      <c r="O14" s="39"/>
      <c r="P14" s="83">
        <f>H14-L14-N14</f>
        <v>7381000</v>
      </c>
      <c r="Q14" s="85" t="e">
        <f>P14/$P$20</f>
        <v>#REF!</v>
      </c>
      <c r="R14" s="91"/>
      <c r="S14" s="92" t="e">
        <f>-$L$34*Q14</f>
        <v>#REF!</v>
      </c>
      <c r="T14" s="93"/>
      <c r="U14" s="83">
        <f>ROUND(V14*E14,-3)</f>
        <v>7363000</v>
      </c>
      <c r="V14" s="94">
        <v>0.35399999999999998</v>
      </c>
      <c r="W14" s="95"/>
      <c r="X14" s="83">
        <f>P14-U14</f>
        <v>18000</v>
      </c>
      <c r="Y14" s="39"/>
      <c r="Z14" s="39"/>
      <c r="AA14" s="39"/>
      <c r="AB14" s="39"/>
    </row>
    <row r="15" spans="1:28" s="78" customFormat="1">
      <c r="A15" s="71"/>
      <c r="B15" s="97"/>
      <c r="C15" s="71"/>
      <c r="D15" s="72"/>
      <c r="E15" s="71" t="s">
        <v>165</v>
      </c>
      <c r="F15" s="73"/>
      <c r="G15" s="74"/>
      <c r="H15" s="71"/>
      <c r="I15" s="74"/>
      <c r="J15" s="74"/>
      <c r="K15" s="75"/>
      <c r="L15" s="71"/>
      <c r="M15" s="71"/>
      <c r="N15" s="71"/>
      <c r="O15" s="71"/>
      <c r="P15" s="71"/>
      <c r="Q15" s="74"/>
      <c r="R15" s="74"/>
      <c r="S15" s="76"/>
      <c r="T15" s="77"/>
      <c r="U15" s="71"/>
      <c r="V15" s="72"/>
      <c r="W15" s="71"/>
      <c r="X15" s="71"/>
      <c r="Y15" s="71"/>
      <c r="Z15" s="71"/>
      <c r="AA15" s="71"/>
      <c r="AB15" s="71"/>
    </row>
    <row r="16" spans="1:28" s="96" customFormat="1" ht="20.100000000000001" customHeight="1">
      <c r="A16" s="88" t="s">
        <v>19</v>
      </c>
      <c r="B16" s="80"/>
      <c r="C16" s="81" t="s">
        <v>99</v>
      </c>
      <c r="D16" s="82"/>
      <c r="E16" s="83">
        <f>'2015予算書（一覧）'!F12</f>
        <v>17616000</v>
      </c>
      <c r="F16" s="84">
        <f>'2015予算書（一覧）'!F30</f>
        <v>13112000</v>
      </c>
      <c r="G16" s="98">
        <f>F16/E16</f>
        <v>0.74432334241598552</v>
      </c>
      <c r="H16" s="99">
        <f>E16-F16</f>
        <v>4504000</v>
      </c>
      <c r="I16" s="98">
        <f>H16/E16</f>
        <v>0.25567665758401453</v>
      </c>
      <c r="J16" s="100"/>
      <c r="K16" s="87">
        <v>0</v>
      </c>
      <c r="L16" s="88">
        <f>$K$4*K16</f>
        <v>0</v>
      </c>
      <c r="M16" s="39"/>
      <c r="N16" s="90" t="e">
        <f>#REF!</f>
        <v>#REF!</v>
      </c>
      <c r="O16" s="39"/>
      <c r="P16" s="83" t="e">
        <f>H16-L16-N16</f>
        <v>#REF!</v>
      </c>
      <c r="Q16" s="85" t="e">
        <f>P16/$P$20</f>
        <v>#REF!</v>
      </c>
      <c r="R16" s="91"/>
      <c r="S16" s="92" t="e">
        <f>-$L$34*Q16</f>
        <v>#REF!</v>
      </c>
      <c r="T16" s="101"/>
      <c r="U16" s="83">
        <f>ROUND(V16*E16,-3)</f>
        <v>6183000</v>
      </c>
      <c r="V16" s="94">
        <v>0.35099999999999998</v>
      </c>
      <c r="W16" s="95"/>
      <c r="X16" s="83" t="e">
        <f>P16-U16</f>
        <v>#REF!</v>
      </c>
      <c r="Y16" s="39"/>
      <c r="Z16" s="39"/>
      <c r="AA16" s="39"/>
      <c r="AB16" s="39"/>
    </row>
    <row r="17" spans="1:28" s="96" customFormat="1" ht="17.25">
      <c r="A17" s="39"/>
      <c r="B17" s="102"/>
      <c r="C17" s="71"/>
      <c r="D17" s="103"/>
      <c r="E17" s="71" t="s">
        <v>163</v>
      </c>
      <c r="F17" s="104"/>
      <c r="G17" s="105"/>
      <c r="H17" s="106"/>
      <c r="I17" s="105"/>
      <c r="J17" s="105"/>
      <c r="K17" s="107"/>
      <c r="L17" s="39"/>
      <c r="M17" s="39"/>
      <c r="N17" s="39"/>
      <c r="O17" s="39"/>
      <c r="P17" s="39"/>
      <c r="Q17" s="105"/>
      <c r="R17" s="105"/>
      <c r="S17" s="108"/>
      <c r="T17" s="101"/>
      <c r="U17" s="106"/>
      <c r="V17" s="103"/>
      <c r="W17" s="106"/>
      <c r="X17" s="106"/>
      <c r="Y17" s="39"/>
      <c r="Z17" s="39"/>
      <c r="AA17" s="39"/>
      <c r="AB17" s="39"/>
    </row>
    <row r="18" spans="1:28" s="96" customFormat="1" ht="20.100000000000001" customHeight="1">
      <c r="A18" s="88" t="s">
        <v>20</v>
      </c>
      <c r="B18" s="80"/>
      <c r="C18" s="81" t="s">
        <v>102</v>
      </c>
      <c r="D18" s="82"/>
      <c r="E18" s="83">
        <f>'2015予算書（一覧）'!F13</f>
        <v>20808000</v>
      </c>
      <c r="F18" s="84">
        <f>'2015予算書（一覧）'!F31</f>
        <v>17733000</v>
      </c>
      <c r="G18" s="98">
        <f>F18/E18</f>
        <v>0.85222029988465975</v>
      </c>
      <c r="H18" s="99">
        <f>E18-F18</f>
        <v>3075000</v>
      </c>
      <c r="I18" s="98">
        <f>H18/E18</f>
        <v>0.14777970011534025</v>
      </c>
      <c r="J18" s="100"/>
      <c r="K18" s="87">
        <v>0</v>
      </c>
      <c r="L18" s="88">
        <f>$K$4*K18</f>
        <v>0</v>
      </c>
      <c r="M18" s="39"/>
      <c r="N18" s="39"/>
      <c r="O18" s="39"/>
      <c r="P18" s="83">
        <f>H18-L18-N18</f>
        <v>3075000</v>
      </c>
      <c r="Q18" s="85" t="e">
        <f>P18/$P$20</f>
        <v>#REF!</v>
      </c>
      <c r="R18" s="91"/>
      <c r="S18" s="92" t="e">
        <f>-$L$34*Q18</f>
        <v>#REF!</v>
      </c>
      <c r="T18" s="101"/>
      <c r="U18" s="83">
        <f>ROUND(V18*E18,-3)</f>
        <v>4578000</v>
      </c>
      <c r="V18" s="94">
        <v>0.22</v>
      </c>
      <c r="W18" s="95"/>
      <c r="X18" s="83">
        <f>P18-U18</f>
        <v>-1503000</v>
      </c>
      <c r="Y18" s="39"/>
      <c r="Z18" s="39"/>
      <c r="AA18" s="39"/>
      <c r="AB18" s="39"/>
    </row>
    <row r="19" spans="1:28" s="78" customFormat="1">
      <c r="A19" s="71"/>
      <c r="B19" s="97"/>
      <c r="C19" s="71"/>
      <c r="D19" s="72"/>
      <c r="E19" s="71" t="s">
        <v>163</v>
      </c>
      <c r="F19" s="73"/>
      <c r="G19" s="74"/>
      <c r="H19" s="71"/>
      <c r="I19" s="74"/>
      <c r="J19" s="74"/>
      <c r="K19" s="75"/>
      <c r="L19" s="71"/>
      <c r="M19" s="71"/>
      <c r="N19" s="71"/>
      <c r="O19" s="71"/>
      <c r="P19" s="71"/>
      <c r="Q19" s="74"/>
      <c r="R19" s="74"/>
      <c r="S19" s="76"/>
      <c r="T19" s="77"/>
      <c r="U19" s="71"/>
      <c r="V19" s="72"/>
      <c r="W19" s="71"/>
      <c r="X19" s="71"/>
      <c r="Y19" s="71"/>
      <c r="Z19" s="71"/>
      <c r="AA19" s="71"/>
      <c r="AB19" s="71"/>
    </row>
    <row r="20" spans="1:28" s="78" customFormat="1" ht="24.95" customHeight="1">
      <c r="A20" s="71"/>
      <c r="B20" s="109" t="s">
        <v>149</v>
      </c>
      <c r="C20" s="110"/>
      <c r="D20" s="111"/>
      <c r="E20" s="112">
        <f>SUM(E6:E18)</f>
        <v>170111000</v>
      </c>
      <c r="F20" s="112">
        <f>SUM(F6:F18)</f>
        <v>127028000</v>
      </c>
      <c r="G20" s="113">
        <f>F20/E20</f>
        <v>0.74673595475895149</v>
      </c>
      <c r="H20" s="112">
        <f>SUM(H6:H18)</f>
        <v>43083000</v>
      </c>
      <c r="I20" s="114"/>
      <c r="J20" s="115"/>
      <c r="K20" s="116">
        <f>SUM(K6:K18)</f>
        <v>1</v>
      </c>
      <c r="L20" s="117">
        <f>SUM(L6:L18)</f>
        <v>2400000</v>
      </c>
      <c r="M20" s="118"/>
      <c r="N20" s="112" t="e">
        <f>SUM(N6:N18)</f>
        <v>#REF!</v>
      </c>
      <c r="O20" s="119"/>
      <c r="P20" s="112" t="e">
        <f>SUM(P6:P18)</f>
        <v>#REF!</v>
      </c>
      <c r="Q20" s="120" t="e">
        <f>SUM(Q6:Q18)</f>
        <v>#REF!</v>
      </c>
      <c r="R20" s="121"/>
      <c r="S20" s="112" t="e">
        <f>SUM(S6:S18)</f>
        <v>#REF!</v>
      </c>
      <c r="T20" s="115"/>
      <c r="U20" s="112">
        <f>SUM(U6:U18)</f>
        <v>50330000</v>
      </c>
      <c r="V20" s="122"/>
      <c r="W20" s="119">
        <f>SUM(W6:W18)</f>
        <v>0</v>
      </c>
      <c r="X20" s="112" t="e">
        <f>P20-U20</f>
        <v>#REF!</v>
      </c>
      <c r="Y20" s="71"/>
      <c r="Z20" s="71"/>
      <c r="AA20" s="71"/>
      <c r="AB20" s="71"/>
    </row>
    <row r="21" spans="1:28" s="78" customFormat="1" ht="6.75" customHeight="1">
      <c r="A21" s="71"/>
      <c r="B21" s="71"/>
      <c r="C21" s="71"/>
      <c r="D21" s="72"/>
      <c r="E21" s="71"/>
      <c r="F21" s="73"/>
      <c r="G21" s="74"/>
      <c r="H21" s="71"/>
      <c r="I21" s="74"/>
      <c r="J21" s="74"/>
      <c r="K21" s="75"/>
      <c r="L21" s="71"/>
      <c r="M21" s="71"/>
      <c r="N21" s="71"/>
      <c r="O21" s="71"/>
      <c r="P21" s="71"/>
      <c r="Q21" s="74"/>
      <c r="R21" s="74"/>
      <c r="S21" s="76"/>
      <c r="T21" s="77"/>
      <c r="V21" s="72"/>
      <c r="W21" s="71"/>
      <c r="X21" s="71"/>
      <c r="Y21" s="71"/>
      <c r="Z21" s="71"/>
      <c r="AA21" s="71"/>
      <c r="AB21" s="71"/>
    </row>
    <row r="22" spans="1:28" s="96" customFormat="1" ht="20.100000000000001" customHeight="1">
      <c r="A22" s="88" t="s">
        <v>11</v>
      </c>
      <c r="B22" s="123"/>
      <c r="C22" s="81" t="s">
        <v>106</v>
      </c>
      <c r="D22" s="82"/>
      <c r="E22" s="83">
        <f>'2015予算書（一覧）'!F17</f>
        <v>429000</v>
      </c>
      <c r="F22" s="84">
        <f>'2015予算書（一覧）'!F35</f>
        <v>348000</v>
      </c>
      <c r="G22" s="85">
        <f>F22/E22</f>
        <v>0.81118881118881114</v>
      </c>
      <c r="H22" s="83">
        <f>E22-F22</f>
        <v>81000</v>
      </c>
      <c r="I22" s="85">
        <f>H22/E22</f>
        <v>0.1888111888111888</v>
      </c>
      <c r="J22" s="86"/>
      <c r="K22" s="87">
        <v>0</v>
      </c>
      <c r="L22" s="88">
        <f>$K$4*K22</f>
        <v>0</v>
      </c>
      <c r="M22" s="89"/>
      <c r="N22" s="90" t="e">
        <f>#REF!</f>
        <v>#REF!</v>
      </c>
      <c r="O22" s="39"/>
      <c r="P22" s="83" t="e">
        <f>H22-L22-N22</f>
        <v>#REF!</v>
      </c>
      <c r="Q22" s="124"/>
      <c r="R22" s="91"/>
      <c r="S22" s="92" t="e">
        <f>P22</f>
        <v>#REF!</v>
      </c>
      <c r="T22" s="93"/>
      <c r="U22" s="83" t="e">
        <f>S22</f>
        <v>#REF!</v>
      </c>
      <c r="V22" s="125">
        <f>I22</f>
        <v>0.1888111888111888</v>
      </c>
      <c r="W22" s="95"/>
      <c r="X22" s="83" t="e">
        <f>P22-U22</f>
        <v>#REF!</v>
      </c>
      <c r="Y22" s="39"/>
      <c r="Z22" s="39"/>
      <c r="AA22" s="39"/>
      <c r="AB22" s="39"/>
    </row>
    <row r="23" spans="1:28" s="96" customFormat="1" ht="9.9499999999999993" customHeight="1">
      <c r="A23" s="39"/>
      <c r="B23" s="126"/>
      <c r="C23" s="71"/>
      <c r="D23" s="103"/>
      <c r="E23" s="106"/>
      <c r="F23" s="104"/>
      <c r="G23" s="105"/>
      <c r="H23" s="106"/>
      <c r="I23" s="105"/>
      <c r="J23" s="105"/>
      <c r="K23" s="107"/>
      <c r="L23" s="39"/>
      <c r="M23" s="39"/>
      <c r="N23" s="39"/>
      <c r="O23" s="39"/>
      <c r="P23" s="39"/>
      <c r="Q23" s="127"/>
      <c r="R23" s="105"/>
      <c r="S23" s="108"/>
      <c r="T23" s="101"/>
      <c r="U23" s="106"/>
      <c r="V23" s="103"/>
      <c r="W23" s="106"/>
      <c r="X23" s="106"/>
      <c r="Y23" s="39"/>
      <c r="Z23" s="39"/>
      <c r="AA23" s="39"/>
      <c r="AB23" s="39"/>
    </row>
    <row r="24" spans="1:28" s="96" customFormat="1" ht="20.100000000000001" customHeight="1">
      <c r="A24" s="88" t="s">
        <v>12</v>
      </c>
      <c r="B24" s="123"/>
      <c r="C24" s="81" t="s">
        <v>110</v>
      </c>
      <c r="D24" s="82"/>
      <c r="E24" s="83">
        <f>'2015予算書（一覧）'!F18</f>
        <v>900000</v>
      </c>
      <c r="F24" s="84">
        <f>'2015予算書（一覧）'!F36</f>
        <v>400000</v>
      </c>
      <c r="G24" s="85">
        <f>F24/E24</f>
        <v>0.44444444444444442</v>
      </c>
      <c r="H24" s="83">
        <f>E24-F24</f>
        <v>500000</v>
      </c>
      <c r="I24" s="85">
        <f>H24/E24</f>
        <v>0.55555555555555558</v>
      </c>
      <c r="J24" s="86"/>
      <c r="K24" s="87">
        <v>0</v>
      </c>
      <c r="L24" s="88">
        <f>$K$4*K24</f>
        <v>0</v>
      </c>
      <c r="M24" s="39"/>
      <c r="N24" s="90" t="e">
        <f>#REF!</f>
        <v>#REF!</v>
      </c>
      <c r="O24" s="39"/>
      <c r="P24" s="83" t="e">
        <f>H24-L24-N24</f>
        <v>#REF!</v>
      </c>
      <c r="Q24" s="124"/>
      <c r="R24" s="105"/>
      <c r="S24" s="92" t="e">
        <f>P24</f>
        <v>#REF!</v>
      </c>
      <c r="T24" s="101"/>
      <c r="U24" s="83" t="e">
        <f>S24</f>
        <v>#REF!</v>
      </c>
      <c r="V24" s="125">
        <f>I24</f>
        <v>0.55555555555555558</v>
      </c>
      <c r="W24" s="95"/>
      <c r="X24" s="128" t="e">
        <f>P24-U24</f>
        <v>#REF!</v>
      </c>
      <c r="Y24" s="39"/>
      <c r="Z24" s="39"/>
      <c r="AA24" s="39"/>
      <c r="AB24" s="39"/>
    </row>
    <row r="25" spans="1:28" s="96" customFormat="1" ht="9.9499999999999993" customHeight="1">
      <c r="A25" s="39"/>
      <c r="B25" s="126"/>
      <c r="C25" s="71"/>
      <c r="D25" s="103"/>
      <c r="E25" s="106"/>
      <c r="F25" s="104"/>
      <c r="G25" s="105"/>
      <c r="H25" s="106"/>
      <c r="I25" s="105"/>
      <c r="J25" s="105"/>
      <c r="K25" s="107"/>
      <c r="L25" s="39"/>
      <c r="M25" s="39"/>
      <c r="N25" s="39"/>
      <c r="O25" s="39"/>
      <c r="P25" s="39"/>
      <c r="Q25" s="127"/>
      <c r="R25" s="105"/>
      <c r="S25" s="108"/>
      <c r="T25" s="101"/>
      <c r="U25" s="106"/>
      <c r="V25" s="103"/>
      <c r="W25" s="106"/>
      <c r="X25" s="106"/>
      <c r="Y25" s="39"/>
      <c r="Z25" s="39"/>
      <c r="AA25" s="39"/>
      <c r="AB25" s="39"/>
    </row>
    <row r="26" spans="1:28" s="96" customFormat="1" ht="20.100000000000001" customHeight="1">
      <c r="A26" s="88" t="s">
        <v>13</v>
      </c>
      <c r="B26" s="123"/>
      <c r="C26" s="81" t="s">
        <v>118</v>
      </c>
      <c r="D26" s="82"/>
      <c r="E26" s="83">
        <f>'2015予算書（一覧）'!F19</f>
        <v>2652560</v>
      </c>
      <c r="F26" s="84">
        <f>'2015予算書（一覧）'!F37</f>
        <v>1590000</v>
      </c>
      <c r="G26" s="98">
        <f>F26/E26</f>
        <v>0.59942093675543628</v>
      </c>
      <c r="H26" s="99">
        <f>E26-F26</f>
        <v>1062560</v>
      </c>
      <c r="I26" s="98">
        <f>H26/E26</f>
        <v>0.40057906324456372</v>
      </c>
      <c r="J26" s="100"/>
      <c r="K26" s="87">
        <v>0</v>
      </c>
      <c r="L26" s="88">
        <f>$K$4*K26</f>
        <v>0</v>
      </c>
      <c r="M26" s="39"/>
      <c r="N26" s="90" t="e">
        <f>#REF!</f>
        <v>#REF!</v>
      </c>
      <c r="O26" s="39"/>
      <c r="P26" s="83" t="e">
        <f>H26-L26-N26</f>
        <v>#REF!</v>
      </c>
      <c r="Q26" s="124"/>
      <c r="R26" s="105"/>
      <c r="S26" s="92" t="e">
        <f>P26</f>
        <v>#REF!</v>
      </c>
      <c r="T26" s="101"/>
      <c r="U26" s="83" t="e">
        <f>S26</f>
        <v>#REF!</v>
      </c>
      <c r="V26" s="125">
        <f>I26</f>
        <v>0.40057906324456372</v>
      </c>
      <c r="W26" s="95"/>
      <c r="X26" s="128" t="e">
        <f>P26-U26</f>
        <v>#REF!</v>
      </c>
      <c r="Y26" s="39"/>
      <c r="Z26" s="39"/>
      <c r="AA26" s="39"/>
      <c r="AB26" s="39"/>
    </row>
    <row r="27" spans="1:28" s="133" customFormat="1" ht="13.5" customHeight="1">
      <c r="A27" s="39"/>
      <c r="B27" s="126"/>
      <c r="C27" s="129"/>
      <c r="D27" s="103"/>
      <c r="E27" s="130"/>
      <c r="F27" s="131"/>
      <c r="G27" s="132"/>
      <c r="H27" s="130"/>
      <c r="I27" s="132"/>
      <c r="J27" s="105"/>
      <c r="K27" s="107"/>
      <c r="L27" s="39"/>
      <c r="M27" s="39"/>
      <c r="N27" s="39"/>
      <c r="O27" s="39"/>
      <c r="P27" s="39"/>
      <c r="Q27" s="127"/>
      <c r="R27" s="105"/>
      <c r="S27" s="108"/>
      <c r="T27" s="101"/>
      <c r="U27" s="130"/>
      <c r="V27" s="103"/>
      <c r="W27" s="106"/>
      <c r="X27" s="106"/>
      <c r="Y27" s="39"/>
      <c r="Z27" s="39"/>
      <c r="AA27" s="39"/>
      <c r="AB27" s="39"/>
    </row>
    <row r="28" spans="1:28" s="96" customFormat="1" ht="20.100000000000001" customHeight="1">
      <c r="A28" s="88" t="s">
        <v>104</v>
      </c>
      <c r="B28" s="123"/>
      <c r="C28" s="81" t="s">
        <v>150</v>
      </c>
      <c r="D28" s="82"/>
      <c r="E28" s="83" t="e">
        <f>'2015予算書（一覧）'!#REF!</f>
        <v>#REF!</v>
      </c>
      <c r="F28" s="84" t="e">
        <f>'2015予算書（一覧）'!#REF!</f>
        <v>#REF!</v>
      </c>
      <c r="G28" s="98" t="e">
        <f>F28/E28</f>
        <v>#REF!</v>
      </c>
      <c r="H28" s="99" t="e">
        <f>E28-F28</f>
        <v>#REF!</v>
      </c>
      <c r="I28" s="98" t="e">
        <f>H28/E28</f>
        <v>#REF!</v>
      </c>
      <c r="J28" s="100"/>
      <c r="K28" s="87">
        <v>0</v>
      </c>
      <c r="L28" s="88">
        <f>$K$4*K28</f>
        <v>0</v>
      </c>
      <c r="M28" s="39"/>
      <c r="N28" s="39"/>
      <c r="O28" s="39"/>
      <c r="P28" s="83" t="e">
        <f>H28-L28-N28</f>
        <v>#REF!</v>
      </c>
      <c r="Q28" s="124"/>
      <c r="R28" s="105"/>
      <c r="S28" s="92" t="e">
        <f>P28</f>
        <v>#REF!</v>
      </c>
      <c r="T28" s="101"/>
      <c r="U28" s="83" t="e">
        <f>S28</f>
        <v>#REF!</v>
      </c>
      <c r="V28" s="125" t="e">
        <f>I28</f>
        <v>#REF!</v>
      </c>
      <c r="W28" s="95"/>
      <c r="X28" s="83" t="e">
        <f>P28-U28</f>
        <v>#REF!</v>
      </c>
      <c r="Y28" s="39"/>
      <c r="Z28" s="39"/>
      <c r="AA28" s="39"/>
      <c r="AB28" s="39"/>
    </row>
    <row r="29" spans="1:28" s="78" customFormat="1">
      <c r="A29" s="71"/>
      <c r="B29" s="134"/>
      <c r="C29" s="71"/>
      <c r="D29" s="72"/>
      <c r="E29" s="71"/>
      <c r="F29" s="73"/>
      <c r="G29" s="74"/>
      <c r="H29" s="71"/>
      <c r="I29" s="74"/>
      <c r="J29" s="74"/>
      <c r="K29" s="75"/>
      <c r="L29" s="71"/>
      <c r="M29" s="71"/>
      <c r="N29" s="71"/>
      <c r="O29" s="71"/>
      <c r="P29" s="71"/>
      <c r="Q29" s="74"/>
      <c r="R29" s="74"/>
      <c r="S29" s="76"/>
      <c r="T29" s="77"/>
      <c r="V29" s="72"/>
      <c r="W29" s="71"/>
      <c r="X29" s="71"/>
      <c r="Y29" s="71"/>
      <c r="Z29" s="71"/>
      <c r="AA29" s="71"/>
      <c r="AB29" s="71"/>
    </row>
    <row r="30" spans="1:28" s="78" customFormat="1" ht="24.95" customHeight="1">
      <c r="A30" s="71"/>
      <c r="B30" s="135" t="s">
        <v>160</v>
      </c>
      <c r="C30" s="135"/>
      <c r="D30" s="136"/>
      <c r="E30" s="137" t="e">
        <f>SUM(E22:E28)</f>
        <v>#REF!</v>
      </c>
      <c r="F30" s="137" t="e">
        <f>SUM(F22:F28)</f>
        <v>#REF!</v>
      </c>
      <c r="G30" s="138" t="e">
        <f>F30/E30</f>
        <v>#REF!</v>
      </c>
      <c r="H30" s="137" t="e">
        <f>SUM(H22:H28)</f>
        <v>#REF!</v>
      </c>
      <c r="I30" s="138" t="e">
        <f>H30/E30</f>
        <v>#REF!</v>
      </c>
      <c r="J30" s="139"/>
      <c r="K30" s="140">
        <f>SUM(K22:K28)</f>
        <v>0</v>
      </c>
      <c r="L30" s="137">
        <f>SUM(L22:L28)</f>
        <v>0</v>
      </c>
      <c r="M30" s="141"/>
      <c r="N30" s="137" t="e">
        <f>SUM(N22:N28)</f>
        <v>#REF!</v>
      </c>
      <c r="O30" s="142"/>
      <c r="P30" s="137" t="e">
        <f>SUM(P22:P28)</f>
        <v>#REF!</v>
      </c>
      <c r="Q30" s="143"/>
      <c r="R30" s="144"/>
      <c r="S30" s="137" t="e">
        <f>SUM(S22:S28)</f>
        <v>#REF!</v>
      </c>
      <c r="T30" s="145"/>
      <c r="U30" s="137" t="e">
        <f>SUM(U22:U28)</f>
        <v>#REF!</v>
      </c>
      <c r="V30" s="146"/>
      <c r="W30" s="142">
        <f>SUM(W22:W28)</f>
        <v>0</v>
      </c>
      <c r="X30" s="137" t="e">
        <f>SUM(X22:X28)</f>
        <v>#REF!</v>
      </c>
      <c r="Y30" s="71"/>
      <c r="Z30" s="71"/>
      <c r="AA30" s="71"/>
      <c r="AB30" s="71"/>
    </row>
    <row r="31" spans="1:28" s="78" customFormat="1">
      <c r="A31" s="71"/>
      <c r="B31" s="71"/>
      <c r="C31" s="71"/>
      <c r="D31" s="72"/>
      <c r="E31" s="71"/>
      <c r="F31" s="73"/>
      <c r="G31" s="74"/>
      <c r="H31" s="71"/>
      <c r="I31" s="74"/>
      <c r="J31" s="74"/>
      <c r="K31" s="75"/>
      <c r="L31" s="71"/>
      <c r="M31" s="71"/>
      <c r="N31" s="71"/>
      <c r="O31" s="71"/>
      <c r="P31" s="71"/>
      <c r="Q31" s="147"/>
      <c r="R31" s="74"/>
      <c r="S31" s="76"/>
      <c r="T31" s="77"/>
      <c r="U31" s="71"/>
      <c r="V31" s="72"/>
      <c r="W31" s="71"/>
      <c r="X31" s="71"/>
      <c r="Y31" s="71"/>
      <c r="Z31" s="71"/>
      <c r="AA31" s="71"/>
      <c r="AB31" s="71"/>
    </row>
    <row r="32" spans="1:28" s="78" customFormat="1" ht="24.95" customHeight="1">
      <c r="A32" s="71"/>
      <c r="B32" s="71"/>
      <c r="C32" s="148" t="s">
        <v>151</v>
      </c>
      <c r="D32" s="72"/>
      <c r="E32" s="149" t="e">
        <f>E20+E30</f>
        <v>#REF!</v>
      </c>
      <c r="F32" s="149" t="e">
        <f>F20+F30</f>
        <v>#REF!</v>
      </c>
      <c r="G32" s="150" t="e">
        <f>F32/E32</f>
        <v>#REF!</v>
      </c>
      <c r="H32" s="149" t="e">
        <f>H20+H30</f>
        <v>#REF!</v>
      </c>
      <c r="I32" s="150" t="e">
        <f>H32/E32</f>
        <v>#REF!</v>
      </c>
      <c r="J32" s="74"/>
      <c r="K32" s="151">
        <v>1</v>
      </c>
      <c r="L32" s="149">
        <f>L20+L30</f>
        <v>2400000</v>
      </c>
      <c r="M32" s="71"/>
      <c r="N32" s="81" t="e">
        <f>N20+N30</f>
        <v>#REF!</v>
      </c>
      <c r="O32" s="71"/>
      <c r="P32" s="149" t="e">
        <f>P20+P30</f>
        <v>#REF!</v>
      </c>
      <c r="Q32" s="152"/>
      <c r="R32" s="74"/>
      <c r="S32" s="92" t="e">
        <f>S20+S30</f>
        <v>#REF!</v>
      </c>
      <c r="T32" s="77" t="s">
        <v>152</v>
      </c>
      <c r="U32" s="81" t="e">
        <f>U20+U30</f>
        <v>#REF!</v>
      </c>
      <c r="V32" s="72"/>
      <c r="W32" s="71"/>
      <c r="X32" s="106"/>
      <c r="Y32" s="71"/>
      <c r="Z32" s="71"/>
      <c r="AA32" s="71"/>
      <c r="AB32" s="71"/>
    </row>
    <row r="33" spans="1:28" s="78" customFormat="1" ht="14.25" customHeight="1">
      <c r="A33" s="71"/>
      <c r="B33" s="71"/>
      <c r="C33" s="71"/>
      <c r="D33" s="72"/>
      <c r="E33" s="71"/>
      <c r="F33" s="73"/>
      <c r="G33" s="74"/>
      <c r="H33" s="71"/>
      <c r="I33" s="74"/>
      <c r="J33" s="74"/>
      <c r="K33" s="75"/>
      <c r="L33" s="153" t="s">
        <v>153</v>
      </c>
      <c r="M33" s="153"/>
      <c r="N33" s="153" t="s">
        <v>153</v>
      </c>
      <c r="O33" s="71"/>
      <c r="P33" s="71"/>
      <c r="Q33" s="74"/>
      <c r="R33" s="74"/>
      <c r="S33" s="154" t="s">
        <v>161</v>
      </c>
      <c r="T33" s="77"/>
      <c r="U33" s="106"/>
      <c r="V33" s="72"/>
      <c r="W33" s="71"/>
      <c r="X33" s="106"/>
      <c r="Y33" s="71"/>
      <c r="Z33" s="71"/>
      <c r="AA33" s="71"/>
      <c r="AB33" s="71"/>
    </row>
    <row r="34" spans="1:28" s="78" customFormat="1" ht="24.95" customHeight="1">
      <c r="A34" s="71"/>
      <c r="B34" s="155"/>
      <c r="C34" s="156" t="s">
        <v>154</v>
      </c>
      <c r="D34" s="72"/>
      <c r="E34" s="83">
        <f>'2015予算書（一覧）'!F6+'2015予算書（一覧）'!F7+'2015予算書（一覧）'!F20+'2015予算書（一覧）'!F21+'2015予算書（一覧）'!F22</f>
        <v>3423000</v>
      </c>
      <c r="F34" s="84">
        <f>'2015予算書（一覧）'!F65</f>
        <v>37469000</v>
      </c>
      <c r="G34" s="85"/>
      <c r="H34" s="83">
        <f>E34-F34</f>
        <v>-34046000</v>
      </c>
      <c r="I34" s="100"/>
      <c r="J34" s="105"/>
      <c r="K34" s="157" t="s">
        <v>155</v>
      </c>
      <c r="L34" s="1013" t="e">
        <f>H34+L32+N32+H30</f>
        <v>#REF!</v>
      </c>
      <c r="M34" s="1013"/>
      <c r="N34" s="1013"/>
      <c r="O34" s="71"/>
      <c r="P34" s="71"/>
      <c r="Q34" s="105"/>
      <c r="R34" s="105"/>
      <c r="S34" s="106"/>
      <c r="T34" s="101"/>
      <c r="U34" s="106"/>
      <c r="V34" s="72"/>
      <c r="W34" s="71"/>
      <c r="X34" s="71"/>
      <c r="Y34" s="71"/>
      <c r="Z34" s="71"/>
      <c r="AA34" s="71"/>
      <c r="AB34" s="71"/>
    </row>
    <row r="35" spans="1:28" ht="9.75" customHeight="1">
      <c r="A35" s="39"/>
      <c r="B35" s="71"/>
      <c r="C35" s="71"/>
      <c r="D35" s="72"/>
      <c r="E35" s="106"/>
      <c r="F35" s="104"/>
      <c r="G35" s="105"/>
      <c r="H35" s="106"/>
      <c r="I35" s="105"/>
      <c r="J35" s="105"/>
      <c r="K35" s="75"/>
      <c r="L35" s="71"/>
      <c r="M35" s="71"/>
      <c r="N35" s="71"/>
      <c r="O35" s="71"/>
      <c r="P35" s="71"/>
      <c r="Q35" s="105"/>
      <c r="R35" s="105"/>
      <c r="T35" s="101"/>
      <c r="U35" s="106"/>
      <c r="V35" s="103"/>
      <c r="W35" s="106"/>
      <c r="X35" s="106"/>
    </row>
    <row r="36" spans="1:28" ht="24.95" customHeight="1">
      <c r="A36" s="39"/>
      <c r="B36" s="159" t="s">
        <v>138</v>
      </c>
      <c r="C36" s="160"/>
      <c r="D36" s="161"/>
      <c r="E36" s="162" t="e">
        <f>E32+E34</f>
        <v>#REF!</v>
      </c>
      <c r="F36" s="159" t="e">
        <f>F32+F34</f>
        <v>#REF!</v>
      </c>
      <c r="G36" s="163" t="e">
        <f>F36/E36</f>
        <v>#REF!</v>
      </c>
      <c r="H36" s="164" t="e">
        <f>H32+H34</f>
        <v>#REF!</v>
      </c>
      <c r="I36" s="165" t="e">
        <f>H36/E36</f>
        <v>#REF!</v>
      </c>
      <c r="J36" s="166"/>
      <c r="K36" s="1014" t="s">
        <v>152</v>
      </c>
      <c r="L36" s="1014"/>
      <c r="M36" s="1014"/>
      <c r="N36" s="1014"/>
      <c r="O36" s="1014"/>
      <c r="P36" s="1014"/>
      <c r="Q36" s="1014"/>
      <c r="R36" s="1014"/>
      <c r="S36" s="1014"/>
      <c r="T36" s="1014"/>
      <c r="U36" s="1014"/>
      <c r="V36" s="1014"/>
      <c r="W36" s="1015"/>
      <c r="X36" s="167" t="e">
        <f>X20</f>
        <v>#REF!</v>
      </c>
    </row>
    <row r="37" spans="1:28" ht="24.95" hidden="1" customHeight="1">
      <c r="A37" s="39"/>
      <c r="B37" s="39"/>
      <c r="C37" s="71"/>
      <c r="D37" s="168"/>
      <c r="E37" s="39"/>
      <c r="K37" s="107"/>
      <c r="L37" s="39"/>
      <c r="M37" s="39"/>
      <c r="N37" s="39"/>
      <c r="O37" s="39"/>
      <c r="P37" s="39"/>
    </row>
    <row r="38" spans="1:28" ht="17.25" hidden="1">
      <c r="A38" s="39"/>
      <c r="B38" s="39"/>
      <c r="C38" s="169" t="s">
        <v>156</v>
      </c>
      <c r="D38" s="168"/>
      <c r="E38" s="106">
        <f>E6+E8+E10+E12+E14+E16+E18</f>
        <v>170111000</v>
      </c>
      <c r="K38" s="107"/>
      <c r="L38" s="39"/>
      <c r="M38" s="39"/>
      <c r="N38" s="39"/>
      <c r="O38" s="39"/>
      <c r="P38" s="39"/>
    </row>
    <row r="39" spans="1:28" hidden="1">
      <c r="B39" s="39"/>
      <c r="C39" s="172" t="s">
        <v>157</v>
      </c>
      <c r="D39" s="168"/>
      <c r="E39" s="39" t="e">
        <f>U22+U24+U26+U28</f>
        <v>#REF!</v>
      </c>
    </row>
    <row r="40" spans="1:28" hidden="1">
      <c r="C40" s="172" t="s">
        <v>158</v>
      </c>
      <c r="E40" s="174" t="e">
        <f>(F34-E39)</f>
        <v>#REF!</v>
      </c>
    </row>
  </sheetData>
  <sheetProtection selectLockedCells="1" selectUnlockedCells="1"/>
  <mergeCells count="18">
    <mergeCell ref="H1:H3"/>
    <mergeCell ref="A1:A3"/>
    <mergeCell ref="C1:C3"/>
    <mergeCell ref="E1:E3"/>
    <mergeCell ref="F1:F3"/>
    <mergeCell ref="G1:G2"/>
    <mergeCell ref="K36:W36"/>
    <mergeCell ref="I1:I2"/>
    <mergeCell ref="P1:P3"/>
    <mergeCell ref="Q1:Q2"/>
    <mergeCell ref="S1:S3"/>
    <mergeCell ref="U1:U3"/>
    <mergeCell ref="V1:V2"/>
    <mergeCell ref="X1:X3"/>
    <mergeCell ref="K2:L3"/>
    <mergeCell ref="N2:N3"/>
    <mergeCell ref="K4:L4"/>
    <mergeCell ref="L34:N34"/>
  </mergeCells>
  <phoneticPr fontId="3"/>
  <printOptions horizontalCentered="1"/>
  <pageMargins left="0.39027777777777778" right="0.39027777777777778" top="0.89027777777777772" bottom="0.52986111111111112" header="0.51180555555555551" footer="0.51180555555555551"/>
  <pageSetup paperSize="9" scale="81" firstPageNumber="0" orientation="landscape" horizontalDpi="300" verticalDpi="300" r:id="rId1"/>
  <headerFooter alignWithMargins="0">
    <oddHeader>&amp;C&amp;18&amp;A&amp;R&amp;D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D24" sqref="D24"/>
    </sheetView>
  </sheetViews>
  <sheetFormatPr defaultRowHeight="13.5"/>
  <cols>
    <col min="1" max="1" width="23.75" bestFit="1" customWidth="1"/>
    <col min="8" max="8" width="11.375" bestFit="1" customWidth="1"/>
    <col min="9" max="9" width="9.25" bestFit="1" customWidth="1"/>
  </cols>
  <sheetData>
    <row r="1" spans="1:10">
      <c r="A1" t="s">
        <v>235</v>
      </c>
      <c r="B1">
        <v>0</v>
      </c>
      <c r="C1">
        <v>1924863</v>
      </c>
      <c r="D1" t="s">
        <v>207</v>
      </c>
      <c r="E1">
        <v>1924863</v>
      </c>
      <c r="F1">
        <v>1.7</v>
      </c>
      <c r="H1" s="224" t="s">
        <v>234</v>
      </c>
      <c r="I1" s="224" t="s">
        <v>208</v>
      </c>
      <c r="J1" s="222"/>
    </row>
    <row r="2" spans="1:10">
      <c r="A2" t="s">
        <v>209</v>
      </c>
      <c r="B2">
        <v>0</v>
      </c>
      <c r="C2">
        <v>191506</v>
      </c>
      <c r="D2" t="s">
        <v>207</v>
      </c>
      <c r="E2">
        <v>191506</v>
      </c>
      <c r="F2">
        <v>0.2</v>
      </c>
      <c r="G2" t="s">
        <v>210</v>
      </c>
      <c r="H2" s="224">
        <f>E2</f>
        <v>191506</v>
      </c>
      <c r="I2" s="224">
        <f>H2/9*12</f>
        <v>255341.33333333334</v>
      </c>
      <c r="J2" s="222">
        <f>I2/$I$18</f>
        <v>9.9490717001677526E-2</v>
      </c>
    </row>
    <row r="3" spans="1:10">
      <c r="A3" t="s">
        <v>211</v>
      </c>
      <c r="B3">
        <v>0</v>
      </c>
      <c r="C3">
        <v>353192</v>
      </c>
      <c r="D3" t="s">
        <v>207</v>
      </c>
      <c r="E3">
        <v>353192</v>
      </c>
      <c r="F3">
        <v>0.3</v>
      </c>
      <c r="G3" t="s">
        <v>212</v>
      </c>
      <c r="H3" s="224"/>
      <c r="I3" s="224">
        <f t="shared" ref="I3:I17" si="0">H3/9*12</f>
        <v>0</v>
      </c>
      <c r="J3" s="222">
        <f t="shared" ref="J3:J17" si="1">I3/$I$18</f>
        <v>0</v>
      </c>
    </row>
    <row r="4" spans="1:10">
      <c r="A4" t="s">
        <v>213</v>
      </c>
      <c r="B4">
        <v>0</v>
      </c>
      <c r="C4">
        <v>95564</v>
      </c>
      <c r="D4" t="s">
        <v>207</v>
      </c>
      <c r="E4">
        <v>95564</v>
      </c>
      <c r="F4">
        <v>0.1</v>
      </c>
      <c r="G4" t="s">
        <v>212</v>
      </c>
      <c r="H4" s="224">
        <f>SUM(E3:E4)</f>
        <v>448756</v>
      </c>
      <c r="I4" s="224">
        <f t="shared" si="0"/>
        <v>598341.33333333337</v>
      </c>
      <c r="J4" s="222">
        <f t="shared" si="1"/>
        <v>0.23313659205875953</v>
      </c>
    </row>
    <row r="5" spans="1:10">
      <c r="A5" t="s">
        <v>214</v>
      </c>
      <c r="B5">
        <v>0</v>
      </c>
      <c r="C5">
        <v>125798</v>
      </c>
      <c r="D5" t="s">
        <v>207</v>
      </c>
      <c r="E5">
        <v>125798</v>
      </c>
      <c r="F5">
        <v>0.1</v>
      </c>
      <c r="G5" t="s">
        <v>215</v>
      </c>
      <c r="H5" s="224"/>
      <c r="I5" s="224">
        <f t="shared" si="0"/>
        <v>0</v>
      </c>
      <c r="J5" s="222">
        <f t="shared" si="1"/>
        <v>0</v>
      </c>
    </row>
    <row r="6" spans="1:10">
      <c r="A6" t="s">
        <v>216</v>
      </c>
      <c r="B6">
        <v>0</v>
      </c>
      <c r="C6">
        <v>100700</v>
      </c>
      <c r="D6" t="s">
        <v>207</v>
      </c>
      <c r="E6">
        <v>100700</v>
      </c>
      <c r="F6">
        <v>0.1</v>
      </c>
      <c r="G6" t="s">
        <v>215</v>
      </c>
      <c r="H6" s="224"/>
      <c r="I6" s="224">
        <f t="shared" si="0"/>
        <v>0</v>
      </c>
      <c r="J6" s="222">
        <f t="shared" si="1"/>
        <v>0</v>
      </c>
    </row>
    <row r="7" spans="1:10">
      <c r="A7" t="s">
        <v>217</v>
      </c>
      <c r="B7">
        <v>0</v>
      </c>
      <c r="C7">
        <v>670</v>
      </c>
      <c r="D7" t="s">
        <v>207</v>
      </c>
      <c r="E7">
        <v>670</v>
      </c>
      <c r="F7">
        <v>0</v>
      </c>
      <c r="G7" t="s">
        <v>215</v>
      </c>
      <c r="H7" s="224"/>
      <c r="I7" s="224">
        <f t="shared" si="0"/>
        <v>0</v>
      </c>
      <c r="J7" s="222">
        <f t="shared" si="1"/>
        <v>0</v>
      </c>
    </row>
    <row r="8" spans="1:10">
      <c r="A8" t="s">
        <v>218</v>
      </c>
      <c r="B8">
        <v>0</v>
      </c>
      <c r="C8">
        <v>84945</v>
      </c>
      <c r="D8" t="s">
        <v>207</v>
      </c>
      <c r="E8">
        <v>84945</v>
      </c>
      <c r="F8">
        <v>0.1</v>
      </c>
      <c r="G8" t="s">
        <v>215</v>
      </c>
      <c r="H8" s="224">
        <f>SUM(E5:E8)</f>
        <v>312113</v>
      </c>
      <c r="I8" s="224">
        <f t="shared" si="0"/>
        <v>416150.66666666663</v>
      </c>
      <c r="J8" s="222">
        <f t="shared" si="1"/>
        <v>0.16214816327187959</v>
      </c>
    </row>
    <row r="9" spans="1:10">
      <c r="A9" t="s">
        <v>219</v>
      </c>
      <c r="B9">
        <v>0</v>
      </c>
      <c r="C9">
        <v>59359</v>
      </c>
      <c r="D9" t="s">
        <v>207</v>
      </c>
      <c r="E9">
        <v>59359</v>
      </c>
      <c r="F9">
        <v>0.1</v>
      </c>
      <c r="G9" t="s">
        <v>220</v>
      </c>
      <c r="H9" s="224">
        <f>E9</f>
        <v>59359</v>
      </c>
      <c r="I9" s="224">
        <f t="shared" si="0"/>
        <v>79145.333333333328</v>
      </c>
      <c r="J9" s="222">
        <f t="shared" si="1"/>
        <v>3.0838038863025573E-2</v>
      </c>
    </row>
    <row r="10" spans="1:10">
      <c r="A10" t="s">
        <v>221</v>
      </c>
      <c r="B10">
        <v>0</v>
      </c>
      <c r="C10">
        <v>131412</v>
      </c>
      <c r="D10" t="s">
        <v>207</v>
      </c>
      <c r="E10">
        <v>131412</v>
      </c>
      <c r="F10">
        <v>0.1</v>
      </c>
      <c r="G10" t="s">
        <v>222</v>
      </c>
      <c r="H10" s="224"/>
      <c r="I10" s="224">
        <f t="shared" si="0"/>
        <v>0</v>
      </c>
      <c r="J10" s="222">
        <f t="shared" si="1"/>
        <v>0</v>
      </c>
    </row>
    <row r="11" spans="1:10">
      <c r="A11" t="s">
        <v>223</v>
      </c>
      <c r="B11">
        <v>0</v>
      </c>
      <c r="C11">
        <v>53927</v>
      </c>
      <c r="D11" t="s">
        <v>207</v>
      </c>
      <c r="E11">
        <v>53927</v>
      </c>
      <c r="F11">
        <v>0</v>
      </c>
      <c r="G11" t="s">
        <v>222</v>
      </c>
      <c r="H11" s="224"/>
      <c r="I11" s="224">
        <f t="shared" si="0"/>
        <v>0</v>
      </c>
      <c r="J11" s="222">
        <f t="shared" si="1"/>
        <v>0</v>
      </c>
    </row>
    <row r="12" spans="1:10">
      <c r="A12" t="s">
        <v>224</v>
      </c>
      <c r="B12">
        <v>0</v>
      </c>
      <c r="C12">
        <v>109237</v>
      </c>
      <c r="D12" t="s">
        <v>207</v>
      </c>
      <c r="E12">
        <v>109237</v>
      </c>
      <c r="F12">
        <v>0.1</v>
      </c>
      <c r="G12" t="s">
        <v>222</v>
      </c>
      <c r="H12" s="224"/>
      <c r="I12" s="224">
        <f t="shared" si="0"/>
        <v>0</v>
      </c>
      <c r="J12" s="222">
        <f t="shared" si="1"/>
        <v>0</v>
      </c>
    </row>
    <row r="13" spans="1:10">
      <c r="A13" t="s">
        <v>225</v>
      </c>
      <c r="B13">
        <v>0</v>
      </c>
      <c r="C13">
        <v>168454</v>
      </c>
      <c r="D13" t="s">
        <v>207</v>
      </c>
      <c r="E13">
        <v>168454</v>
      </c>
      <c r="F13">
        <v>0.1</v>
      </c>
      <c r="G13" t="s">
        <v>222</v>
      </c>
      <c r="H13" s="224"/>
      <c r="I13" s="224">
        <f t="shared" si="0"/>
        <v>0</v>
      </c>
      <c r="J13" s="222">
        <f t="shared" si="1"/>
        <v>0</v>
      </c>
    </row>
    <row r="14" spans="1:10">
      <c r="A14" t="s">
        <v>226</v>
      </c>
      <c r="B14">
        <v>0</v>
      </c>
      <c r="C14">
        <v>23630</v>
      </c>
      <c r="D14" t="s">
        <v>207</v>
      </c>
      <c r="E14">
        <v>23630</v>
      </c>
      <c r="F14">
        <v>0</v>
      </c>
      <c r="G14" t="s">
        <v>222</v>
      </c>
      <c r="H14" s="224">
        <f>SUM(E10:E14)</f>
        <v>486660</v>
      </c>
      <c r="I14" s="224">
        <f t="shared" si="0"/>
        <v>648880</v>
      </c>
      <c r="J14" s="222">
        <f t="shared" si="1"/>
        <v>0.25282838311090194</v>
      </c>
    </row>
    <row r="15" spans="1:10">
      <c r="A15" t="s">
        <v>227</v>
      </c>
      <c r="B15">
        <v>0</v>
      </c>
      <c r="C15">
        <v>134281</v>
      </c>
      <c r="D15" t="s">
        <v>207</v>
      </c>
      <c r="E15">
        <v>134281</v>
      </c>
      <c r="F15">
        <v>0.1</v>
      </c>
      <c r="G15" t="s">
        <v>228</v>
      </c>
      <c r="H15" s="224">
        <f>E15</f>
        <v>134281</v>
      </c>
      <c r="I15" s="224">
        <f t="shared" si="0"/>
        <v>179041.33333333334</v>
      </c>
      <c r="J15" s="222">
        <f t="shared" si="1"/>
        <v>6.976132846857154E-2</v>
      </c>
    </row>
    <row r="16" spans="1:10">
      <c r="A16" t="s">
        <v>229</v>
      </c>
      <c r="B16">
        <v>0</v>
      </c>
      <c r="C16">
        <v>139356</v>
      </c>
      <c r="D16" t="s">
        <v>207</v>
      </c>
      <c r="E16">
        <v>139356</v>
      </c>
      <c r="F16">
        <v>0.1</v>
      </c>
      <c r="G16" t="s">
        <v>230</v>
      </c>
      <c r="H16" s="224"/>
      <c r="I16" s="224">
        <f t="shared" si="0"/>
        <v>0</v>
      </c>
      <c r="J16" s="222">
        <f t="shared" si="1"/>
        <v>0</v>
      </c>
    </row>
    <row r="17" spans="1:10">
      <c r="A17" t="s">
        <v>231</v>
      </c>
      <c r="B17">
        <v>0</v>
      </c>
      <c r="C17">
        <v>152832</v>
      </c>
      <c r="D17" t="s">
        <v>207</v>
      </c>
      <c r="E17">
        <v>152832</v>
      </c>
      <c r="F17">
        <v>0.1</v>
      </c>
      <c r="G17" t="s">
        <v>230</v>
      </c>
      <c r="H17" s="224">
        <f>SUM(E16:E17)</f>
        <v>292188</v>
      </c>
      <c r="I17" s="224">
        <f t="shared" si="0"/>
        <v>389584</v>
      </c>
      <c r="J17" s="222">
        <f t="shared" si="1"/>
        <v>0.15179677722518434</v>
      </c>
    </row>
    <row r="18" spans="1:10">
      <c r="G18" t="s">
        <v>232</v>
      </c>
      <c r="H18" s="224"/>
      <c r="I18" s="224">
        <f>SUM(I2:I17)</f>
        <v>2566484</v>
      </c>
      <c r="J18" s="222"/>
    </row>
    <row r="19" spans="1:10">
      <c r="A19" t="s">
        <v>244</v>
      </c>
      <c r="B19">
        <v>0</v>
      </c>
      <c r="C19">
        <v>1922357</v>
      </c>
      <c r="D19">
        <v>2030</v>
      </c>
      <c r="E19">
        <v>1920327</v>
      </c>
      <c r="F19">
        <v>1.7</v>
      </c>
    </row>
    <row r="20" spans="1:10">
      <c r="A20" t="s">
        <v>211</v>
      </c>
      <c r="B20">
        <v>0</v>
      </c>
      <c r="C20">
        <v>151210</v>
      </c>
      <c r="D20" t="s">
        <v>207</v>
      </c>
      <c r="E20">
        <v>151210</v>
      </c>
      <c r="F20">
        <v>0.1</v>
      </c>
      <c r="G20" t="s">
        <v>212</v>
      </c>
    </row>
    <row r="21" spans="1:10">
      <c r="A21" t="s">
        <v>213</v>
      </c>
      <c r="B21">
        <v>0</v>
      </c>
      <c r="C21">
        <v>26840</v>
      </c>
      <c r="D21" t="s">
        <v>207</v>
      </c>
      <c r="E21">
        <v>26840</v>
      </c>
      <c r="F21">
        <v>0</v>
      </c>
      <c r="G21" t="s">
        <v>212</v>
      </c>
      <c r="H21">
        <f>SUM(E20:E21)</f>
        <v>178050</v>
      </c>
      <c r="I21" s="223">
        <f>H21/9*12</f>
        <v>237400</v>
      </c>
      <c r="J21" s="222">
        <f>I21/$I$38</f>
        <v>9.2718583866185283E-2</v>
      </c>
    </row>
    <row r="22" spans="1:10">
      <c r="A22" t="s">
        <v>236</v>
      </c>
      <c r="B22">
        <v>0</v>
      </c>
      <c r="C22">
        <v>77210</v>
      </c>
      <c r="D22" t="s">
        <v>207</v>
      </c>
      <c r="E22">
        <v>77210</v>
      </c>
      <c r="F22">
        <v>0.1</v>
      </c>
      <c r="G22" t="s">
        <v>215</v>
      </c>
      <c r="I22" s="223"/>
      <c r="J22" s="222"/>
    </row>
    <row r="23" spans="1:10">
      <c r="A23" t="s">
        <v>214</v>
      </c>
      <c r="B23">
        <v>0</v>
      </c>
      <c r="C23">
        <v>109210</v>
      </c>
      <c r="D23" t="s">
        <v>207</v>
      </c>
      <c r="E23">
        <v>109210</v>
      </c>
      <c r="F23">
        <v>0.1</v>
      </c>
      <c r="G23" t="s">
        <v>215</v>
      </c>
      <c r="I23" s="223"/>
      <c r="J23" s="222"/>
    </row>
    <row r="24" spans="1:10">
      <c r="A24" t="s">
        <v>216</v>
      </c>
      <c r="B24">
        <v>0</v>
      </c>
      <c r="C24">
        <v>45780</v>
      </c>
      <c r="D24" t="s">
        <v>207</v>
      </c>
      <c r="E24">
        <v>45780</v>
      </c>
      <c r="F24">
        <v>0</v>
      </c>
      <c r="G24" t="s">
        <v>215</v>
      </c>
      <c r="I24" s="223"/>
      <c r="J24" s="222"/>
    </row>
    <row r="25" spans="1:10">
      <c r="A25" t="s">
        <v>218</v>
      </c>
      <c r="B25">
        <v>0</v>
      </c>
      <c r="C25">
        <v>25000</v>
      </c>
      <c r="D25" t="s">
        <v>207</v>
      </c>
      <c r="E25">
        <v>25000</v>
      </c>
      <c r="F25">
        <v>0</v>
      </c>
      <c r="G25" t="s">
        <v>215</v>
      </c>
      <c r="I25" s="223"/>
      <c r="J25" s="222"/>
    </row>
    <row r="26" spans="1:10">
      <c r="A26" t="s">
        <v>242</v>
      </c>
      <c r="B26">
        <v>0</v>
      </c>
      <c r="C26">
        <v>2780</v>
      </c>
      <c r="D26">
        <v>2030</v>
      </c>
      <c r="E26">
        <v>750</v>
      </c>
      <c r="F26">
        <v>0</v>
      </c>
      <c r="G26" t="s">
        <v>215</v>
      </c>
      <c r="H26">
        <f>SUM(E22:E26)</f>
        <v>257950</v>
      </c>
      <c r="I26" s="223">
        <f t="shared" ref="I26:I37" si="2">H26/9*12</f>
        <v>343933.33333333331</v>
      </c>
      <c r="J26" s="222">
        <f t="shared" ref="J26:J38" si="3">I26/$I$38</f>
        <v>0.13432608092267617</v>
      </c>
    </row>
    <row r="27" spans="1:10">
      <c r="A27" t="s">
        <v>239</v>
      </c>
      <c r="B27">
        <v>0</v>
      </c>
      <c r="C27">
        <v>26080</v>
      </c>
      <c r="D27" t="s">
        <v>207</v>
      </c>
      <c r="E27">
        <v>26080</v>
      </c>
      <c r="F27">
        <v>0</v>
      </c>
      <c r="G27" t="s">
        <v>220</v>
      </c>
      <c r="H27">
        <f>E27</f>
        <v>26080</v>
      </c>
      <c r="I27" s="223">
        <f t="shared" si="2"/>
        <v>34773.333333333336</v>
      </c>
      <c r="J27" s="222">
        <f t="shared" si="3"/>
        <v>1.3581020315810799E-2</v>
      </c>
    </row>
    <row r="28" spans="1:10">
      <c r="A28" t="s">
        <v>221</v>
      </c>
      <c r="B28">
        <v>0</v>
      </c>
      <c r="C28">
        <v>3420</v>
      </c>
      <c r="D28" t="s">
        <v>207</v>
      </c>
      <c r="E28">
        <v>3420</v>
      </c>
      <c r="F28">
        <v>0</v>
      </c>
      <c r="G28" t="s">
        <v>222</v>
      </c>
      <c r="I28" s="223"/>
      <c r="J28" s="222"/>
    </row>
    <row r="29" spans="1:10">
      <c r="A29" t="s">
        <v>223</v>
      </c>
      <c r="B29">
        <v>0</v>
      </c>
      <c r="C29">
        <v>7460</v>
      </c>
      <c r="D29" t="s">
        <v>207</v>
      </c>
      <c r="E29">
        <v>7460</v>
      </c>
      <c r="F29">
        <v>0</v>
      </c>
      <c r="G29" t="s">
        <v>222</v>
      </c>
      <c r="I29" s="223"/>
      <c r="J29" s="222"/>
    </row>
    <row r="30" spans="1:10">
      <c r="A30" t="s">
        <v>237</v>
      </c>
      <c r="B30">
        <v>0</v>
      </c>
      <c r="C30">
        <v>188340</v>
      </c>
      <c r="D30" t="s">
        <v>207</v>
      </c>
      <c r="E30">
        <v>188340</v>
      </c>
      <c r="F30">
        <v>0.2</v>
      </c>
      <c r="G30" t="s">
        <v>222</v>
      </c>
      <c r="I30" s="223"/>
      <c r="J30" s="222"/>
    </row>
    <row r="31" spans="1:10">
      <c r="A31" t="s">
        <v>241</v>
      </c>
      <c r="B31">
        <v>0</v>
      </c>
      <c r="C31">
        <v>58700</v>
      </c>
      <c r="D31" t="s">
        <v>207</v>
      </c>
      <c r="E31">
        <v>58700</v>
      </c>
      <c r="F31">
        <v>0.1</v>
      </c>
      <c r="G31" t="s">
        <v>222</v>
      </c>
      <c r="I31" s="223"/>
      <c r="J31" s="222"/>
    </row>
    <row r="32" spans="1:10">
      <c r="A32" t="s">
        <v>226</v>
      </c>
      <c r="B32">
        <v>0</v>
      </c>
      <c r="C32">
        <v>29030</v>
      </c>
      <c r="D32" t="s">
        <v>207</v>
      </c>
      <c r="E32">
        <v>29030</v>
      </c>
      <c r="F32">
        <v>0</v>
      </c>
      <c r="G32" t="s">
        <v>222</v>
      </c>
      <c r="H32">
        <f>SUM(E28:E32)</f>
        <v>286950</v>
      </c>
      <c r="I32" s="223">
        <f t="shared" si="2"/>
        <v>382600</v>
      </c>
      <c r="J32" s="222">
        <f t="shared" si="3"/>
        <v>0.14942767559899955</v>
      </c>
    </row>
    <row r="33" spans="1:10">
      <c r="A33" t="s">
        <v>240</v>
      </c>
      <c r="B33">
        <v>0</v>
      </c>
      <c r="C33">
        <v>136210</v>
      </c>
      <c r="D33" t="s">
        <v>207</v>
      </c>
      <c r="E33">
        <v>136210</v>
      </c>
      <c r="F33">
        <v>0.1</v>
      </c>
      <c r="G33" t="s">
        <v>228</v>
      </c>
      <c r="H33">
        <f>E33</f>
        <v>136210</v>
      </c>
      <c r="I33" s="223">
        <f t="shared" si="2"/>
        <v>181613.33333333334</v>
      </c>
      <c r="J33" s="222">
        <f t="shared" si="3"/>
        <v>7.0930627960758774E-2</v>
      </c>
    </row>
    <row r="34" spans="1:10">
      <c r="A34" t="s">
        <v>229</v>
      </c>
      <c r="B34">
        <v>0</v>
      </c>
      <c r="C34">
        <v>47080</v>
      </c>
      <c r="D34" t="s">
        <v>207</v>
      </c>
      <c r="E34">
        <v>47080</v>
      </c>
      <c r="F34">
        <v>0</v>
      </c>
      <c r="G34" t="s">
        <v>230</v>
      </c>
      <c r="I34" s="223"/>
      <c r="J34" s="222"/>
    </row>
    <row r="35" spans="1:10">
      <c r="A35" t="s">
        <v>231</v>
      </c>
      <c r="B35">
        <v>0</v>
      </c>
      <c r="C35">
        <v>32890</v>
      </c>
      <c r="D35" t="s">
        <v>207</v>
      </c>
      <c r="E35">
        <v>32890</v>
      </c>
      <c r="F35">
        <v>0</v>
      </c>
      <c r="G35" t="s">
        <v>230</v>
      </c>
      <c r="H35">
        <f>SUM(E34:E35)</f>
        <v>79970</v>
      </c>
      <c r="I35" s="223">
        <f t="shared" si="2"/>
        <v>106626.66666666666</v>
      </c>
      <c r="J35" s="222">
        <f t="shared" si="3"/>
        <v>4.1643949181571674E-2</v>
      </c>
    </row>
    <row r="36" spans="1:10">
      <c r="A36" t="s">
        <v>243</v>
      </c>
      <c r="B36">
        <v>0</v>
      </c>
      <c r="C36">
        <v>930077</v>
      </c>
      <c r="D36" t="s">
        <v>207</v>
      </c>
      <c r="E36">
        <v>930077</v>
      </c>
      <c r="F36">
        <v>0.8</v>
      </c>
      <c r="G36" t="s">
        <v>210</v>
      </c>
      <c r="H36">
        <f>E36</f>
        <v>930077</v>
      </c>
      <c r="I36" s="223">
        <f t="shared" si="2"/>
        <v>1240102.6666666667</v>
      </c>
      <c r="J36" s="222">
        <f t="shared" si="3"/>
        <v>0.48433261626795854</v>
      </c>
    </row>
    <row r="37" spans="1:10">
      <c r="A37" t="s">
        <v>238</v>
      </c>
      <c r="B37">
        <v>0</v>
      </c>
      <c r="C37">
        <v>25040</v>
      </c>
      <c r="D37" t="s">
        <v>207</v>
      </c>
      <c r="E37">
        <v>25040</v>
      </c>
      <c r="F37">
        <v>0</v>
      </c>
      <c r="G37" t="s">
        <v>245</v>
      </c>
      <c r="H37">
        <f>E37</f>
        <v>25040</v>
      </c>
      <c r="I37" s="223">
        <f t="shared" si="2"/>
        <v>33386.666666666664</v>
      </c>
      <c r="J37" s="222">
        <f t="shared" si="3"/>
        <v>1.3039445886039199E-2</v>
      </c>
    </row>
    <row r="38" spans="1:10">
      <c r="I38" s="225">
        <f>SUM(I21:I37)</f>
        <v>2560436</v>
      </c>
      <c r="J38" s="222">
        <f t="shared" si="3"/>
        <v>1</v>
      </c>
    </row>
  </sheetData>
  <sortState ref="A28:G37">
    <sortCondition ref="G28:G37"/>
  </sortState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40" zoomScaleNormal="40" workbookViewId="0">
      <selection activeCell="W66" sqref="W66"/>
    </sheetView>
  </sheetViews>
  <sheetFormatPr defaultRowHeight="13.5"/>
  <cols>
    <col min="3" max="3" width="11.125" bestFit="1" customWidth="1"/>
    <col min="5" max="5" width="13.875" bestFit="1" customWidth="1"/>
    <col min="6" max="6" width="13.875" hidden="1" customWidth="1"/>
    <col min="7" max="8" width="10" style="658" bestFit="1" customWidth="1"/>
    <col min="9" max="12" width="10.25" style="658" bestFit="1" customWidth="1"/>
    <col min="13" max="13" width="10.625" style="658" bestFit="1" customWidth="1"/>
    <col min="14" max="18" width="10.25" style="658" bestFit="1" customWidth="1"/>
    <col min="19" max="20" width="10.25" style="665" customWidth="1"/>
  </cols>
  <sheetData>
    <row r="1" spans="2:21">
      <c r="G1" s="870" t="s">
        <v>535</v>
      </c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</row>
    <row r="2" spans="2:21">
      <c r="C2" t="s">
        <v>537</v>
      </c>
      <c r="G2" s="657" t="s">
        <v>528</v>
      </c>
      <c r="H2" s="657" t="s">
        <v>529</v>
      </c>
      <c r="I2" s="657" t="s">
        <v>530</v>
      </c>
      <c r="J2" s="657" t="s">
        <v>531</v>
      </c>
      <c r="K2" s="657" t="s">
        <v>532</v>
      </c>
      <c r="L2" s="657" t="s">
        <v>533</v>
      </c>
      <c r="M2" s="657" t="s">
        <v>522</v>
      </c>
      <c r="N2" s="657" t="s">
        <v>523</v>
      </c>
      <c r="O2" s="657" t="s">
        <v>524</v>
      </c>
      <c r="P2" s="657" t="s">
        <v>525</v>
      </c>
      <c r="Q2" s="657" t="s">
        <v>526</v>
      </c>
      <c r="R2" s="657" t="s">
        <v>527</v>
      </c>
      <c r="S2" s="666" t="s">
        <v>528</v>
      </c>
      <c r="T2" s="666" t="s">
        <v>529</v>
      </c>
    </row>
    <row r="3" spans="2:21">
      <c r="B3" t="s">
        <v>246</v>
      </c>
      <c r="C3" s="653">
        <f>'事業別損益表（決算）'!D9</f>
        <v>20808000</v>
      </c>
      <c r="E3" t="s">
        <v>246</v>
      </c>
      <c r="G3" s="654">
        <v>1212000</v>
      </c>
      <c r="H3" s="654">
        <v>1345000</v>
      </c>
      <c r="I3" s="654">
        <v>1368000</v>
      </c>
      <c r="J3" s="654">
        <v>1102000</v>
      </c>
      <c r="K3" s="654">
        <v>1262000</v>
      </c>
      <c r="L3" s="654">
        <v>1335000</v>
      </c>
      <c r="M3" s="654">
        <v>1610000</v>
      </c>
      <c r="N3" s="654">
        <v>1414000</v>
      </c>
      <c r="O3" s="654">
        <v>1482000</v>
      </c>
      <c r="P3" s="654">
        <v>1476000</v>
      </c>
      <c r="Q3" s="654">
        <v>1590000</v>
      </c>
      <c r="R3" s="654">
        <v>1904000</v>
      </c>
      <c r="S3" s="654">
        <f>1036000+576000</f>
        <v>1612000</v>
      </c>
      <c r="T3" s="654">
        <v>1611000</v>
      </c>
      <c r="U3" s="225">
        <f>SUM(M3:T3)</f>
        <v>12699000</v>
      </c>
    </row>
    <row r="4" spans="2:21">
      <c r="B4" t="s">
        <v>497</v>
      </c>
      <c r="C4" s="653">
        <f>'事業別損益表（決算）'!K9</f>
        <v>20544679.359057836</v>
      </c>
      <c r="E4" t="s">
        <v>497</v>
      </c>
      <c r="G4" s="654">
        <v>1272000</v>
      </c>
      <c r="H4" s="654">
        <v>1149000</v>
      </c>
      <c r="I4" s="654">
        <v>1437000</v>
      </c>
      <c r="J4" s="654">
        <v>1122000</v>
      </c>
      <c r="K4" s="654">
        <v>1244000</v>
      </c>
      <c r="L4" s="654">
        <v>1304000</v>
      </c>
      <c r="M4" s="654">
        <v>1321000</v>
      </c>
      <c r="N4" s="654">
        <v>1382000</v>
      </c>
      <c r="O4" s="654">
        <v>1407000</v>
      </c>
      <c r="P4" s="654">
        <v>1457000</v>
      </c>
      <c r="Q4" s="654">
        <v>1500000</v>
      </c>
      <c r="R4" s="654">
        <v>1339000</v>
      </c>
      <c r="S4" s="654">
        <v>1432000</v>
      </c>
      <c r="T4" s="654">
        <v>1250000</v>
      </c>
      <c r="U4" s="225">
        <f>SUM(M4:T4)</f>
        <v>11088000</v>
      </c>
    </row>
    <row r="5" spans="2:21">
      <c r="B5" t="s">
        <v>534</v>
      </c>
      <c r="C5" s="225">
        <f>C3-C4</f>
        <v>263320.64094216377</v>
      </c>
      <c r="E5" t="s">
        <v>534</v>
      </c>
      <c r="G5" s="658">
        <f>G3-G4</f>
        <v>-60000</v>
      </c>
      <c r="H5" s="658">
        <f t="shared" ref="H5:L5" si="0">H3-H4</f>
        <v>196000</v>
      </c>
      <c r="I5" s="658">
        <f t="shared" si="0"/>
        <v>-69000</v>
      </c>
      <c r="J5" s="658">
        <f t="shared" si="0"/>
        <v>-20000</v>
      </c>
      <c r="K5" s="658">
        <f t="shared" si="0"/>
        <v>18000</v>
      </c>
      <c r="L5" s="658">
        <f t="shared" si="0"/>
        <v>31000</v>
      </c>
      <c r="M5" s="658">
        <f>M3-M4</f>
        <v>289000</v>
      </c>
      <c r="N5" s="658">
        <f t="shared" ref="N5:R5" si="1">N3-N4</f>
        <v>32000</v>
      </c>
      <c r="O5" s="658">
        <f t="shared" si="1"/>
        <v>75000</v>
      </c>
      <c r="P5" s="658">
        <f t="shared" si="1"/>
        <v>19000</v>
      </c>
      <c r="Q5" s="663">
        <f t="shared" si="1"/>
        <v>90000</v>
      </c>
      <c r="R5" s="664">
        <f t="shared" si="1"/>
        <v>565000</v>
      </c>
      <c r="S5" s="665">
        <f t="shared" ref="S5:T5" si="2">S3-S4</f>
        <v>180000</v>
      </c>
      <c r="T5" s="665">
        <f t="shared" si="2"/>
        <v>361000</v>
      </c>
    </row>
    <row r="6" spans="2:21">
      <c r="C6" s="225"/>
      <c r="E6" t="s">
        <v>538</v>
      </c>
      <c r="M6" s="654" t="e">
        <f>#REF!</f>
        <v>#REF!</v>
      </c>
      <c r="N6" s="658" t="e">
        <f>$M$6</f>
        <v>#REF!</v>
      </c>
      <c r="O6" s="658" t="e">
        <f>$M$6</f>
        <v>#REF!</v>
      </c>
      <c r="P6" s="658" t="e">
        <f>$M$6</f>
        <v>#REF!</v>
      </c>
      <c r="Q6" s="658" t="e">
        <f>$M$6</f>
        <v>#REF!</v>
      </c>
      <c r="R6" s="658" t="e">
        <f>$M$6</f>
        <v>#REF!</v>
      </c>
      <c r="S6" s="665" t="e">
        <f t="shared" ref="S6:T6" si="3">$M$6</f>
        <v>#REF!</v>
      </c>
      <c r="T6" s="665" t="e">
        <f t="shared" si="3"/>
        <v>#REF!</v>
      </c>
    </row>
    <row r="7" spans="2:21">
      <c r="C7" s="225"/>
      <c r="E7" t="s">
        <v>539</v>
      </c>
      <c r="M7" s="654" t="e">
        <f>#REF!</f>
        <v>#REF!</v>
      </c>
      <c r="N7" s="658" t="e">
        <f>$M$7</f>
        <v>#REF!</v>
      </c>
      <c r="O7" s="658" t="e">
        <f>$M$7</f>
        <v>#REF!</v>
      </c>
      <c r="P7" s="658" t="e">
        <f>$M$7</f>
        <v>#REF!</v>
      </c>
      <c r="Q7" s="658" t="e">
        <f>$M$7</f>
        <v>#REF!</v>
      </c>
      <c r="R7" s="658" t="e">
        <f>$M$7</f>
        <v>#REF!</v>
      </c>
      <c r="S7" s="665" t="e">
        <f t="shared" ref="S7:T7" si="4">$M$7</f>
        <v>#REF!</v>
      </c>
      <c r="T7" s="665" t="e">
        <f t="shared" si="4"/>
        <v>#REF!</v>
      </c>
    </row>
    <row r="8" spans="2:21">
      <c r="C8" s="225"/>
      <c r="E8" t="s">
        <v>540</v>
      </c>
      <c r="M8" s="655" t="e">
        <f>M6-M7</f>
        <v>#REF!</v>
      </c>
      <c r="N8" s="658" t="e">
        <f>$M$8</f>
        <v>#REF!</v>
      </c>
      <c r="O8" s="658" t="e">
        <f>$M$8</f>
        <v>#REF!</v>
      </c>
      <c r="P8" s="658" t="e">
        <f>$M$8</f>
        <v>#REF!</v>
      </c>
      <c r="Q8" s="658" t="e">
        <f>$M$8</f>
        <v>#REF!</v>
      </c>
      <c r="R8" s="658" t="e">
        <f>$M$8</f>
        <v>#REF!</v>
      </c>
      <c r="S8" s="665" t="e">
        <f t="shared" ref="S8:T8" si="5">$M$8</f>
        <v>#REF!</v>
      </c>
      <c r="T8" s="665" t="e">
        <f t="shared" si="5"/>
        <v>#REF!</v>
      </c>
    </row>
    <row r="9" spans="2:21">
      <c r="C9" s="225"/>
      <c r="G9" s="870" t="s">
        <v>536</v>
      </c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</row>
    <row r="10" spans="2:21">
      <c r="C10" t="s">
        <v>356</v>
      </c>
      <c r="G10" s="658" t="s">
        <v>528</v>
      </c>
      <c r="H10" s="658" t="s">
        <v>529</v>
      </c>
      <c r="I10" s="658" t="s">
        <v>530</v>
      </c>
      <c r="J10" s="658" t="s">
        <v>531</v>
      </c>
      <c r="K10" s="658" t="s">
        <v>532</v>
      </c>
      <c r="L10" s="658" t="s">
        <v>533</v>
      </c>
      <c r="M10" s="658" t="s">
        <v>522</v>
      </c>
      <c r="N10" s="658" t="s">
        <v>523</v>
      </c>
      <c r="O10" s="658" t="s">
        <v>524</v>
      </c>
      <c r="P10" s="658" t="s">
        <v>525</v>
      </c>
      <c r="Q10" s="658" t="s">
        <v>526</v>
      </c>
      <c r="R10" s="658" t="s">
        <v>527</v>
      </c>
      <c r="S10" s="665" t="s">
        <v>528</v>
      </c>
      <c r="T10" s="665" t="s">
        <v>529</v>
      </c>
    </row>
    <row r="11" spans="2:21">
      <c r="B11" t="s">
        <v>246</v>
      </c>
      <c r="C11" s="653" t="e">
        <f>#REF!</f>
        <v>#REF!</v>
      </c>
      <c r="E11" t="s">
        <v>246</v>
      </c>
      <c r="F11">
        <f>1368000+1423000+1356000+1333000+1403000+1292000</f>
        <v>8175000</v>
      </c>
      <c r="G11" s="652">
        <f t="shared" ref="G11:H13" si="6">G3+F11</f>
        <v>9387000</v>
      </c>
      <c r="H11" s="652">
        <f t="shared" si="6"/>
        <v>10732000</v>
      </c>
      <c r="I11" s="652">
        <f t="shared" ref="I11:L13" si="7">I3+H11</f>
        <v>12100000</v>
      </c>
      <c r="J11" s="652">
        <f t="shared" si="7"/>
        <v>13202000</v>
      </c>
      <c r="K11" s="652">
        <f t="shared" si="7"/>
        <v>14464000</v>
      </c>
      <c r="L11" s="652">
        <f t="shared" si="7"/>
        <v>15799000</v>
      </c>
      <c r="M11" s="652">
        <f>M3</f>
        <v>1610000</v>
      </c>
      <c r="N11" s="652">
        <f t="shared" ref="N11:O16" si="8">M11+N3</f>
        <v>3024000</v>
      </c>
      <c r="O11" s="652">
        <f t="shared" si="8"/>
        <v>4506000</v>
      </c>
      <c r="P11" s="652">
        <f t="shared" ref="P11:R11" si="9">O11+P3</f>
        <v>5982000</v>
      </c>
      <c r="Q11" s="652">
        <f t="shared" si="9"/>
        <v>7572000</v>
      </c>
      <c r="R11" s="652">
        <f t="shared" si="9"/>
        <v>9476000</v>
      </c>
      <c r="S11" s="652">
        <f t="shared" ref="S11:S16" si="10">R11+S3</f>
        <v>11088000</v>
      </c>
      <c r="T11" s="652">
        <f t="shared" ref="T11:T16" si="11">S11+T3</f>
        <v>12699000</v>
      </c>
    </row>
    <row r="12" spans="2:21">
      <c r="B12" t="s">
        <v>497</v>
      </c>
      <c r="C12" s="653" t="e">
        <f>#REF!</f>
        <v>#REF!</v>
      </c>
      <c r="E12" t="s">
        <v>497</v>
      </c>
      <c r="F12">
        <f>1255000+1195000+1183000+1268000+1134000+1325000</f>
        <v>7360000</v>
      </c>
      <c r="G12" s="652">
        <f t="shared" si="6"/>
        <v>8632000</v>
      </c>
      <c r="H12" s="652">
        <f t="shared" si="6"/>
        <v>9781000</v>
      </c>
      <c r="I12" s="652">
        <f t="shared" si="7"/>
        <v>11218000</v>
      </c>
      <c r="J12" s="652">
        <f t="shared" si="7"/>
        <v>12340000</v>
      </c>
      <c r="K12" s="652">
        <f t="shared" si="7"/>
        <v>13584000</v>
      </c>
      <c r="L12" s="652">
        <f t="shared" si="7"/>
        <v>14888000</v>
      </c>
      <c r="M12" s="652">
        <f>M4</f>
        <v>1321000</v>
      </c>
      <c r="N12" s="652">
        <f t="shared" si="8"/>
        <v>2703000</v>
      </c>
      <c r="O12" s="652">
        <f t="shared" si="8"/>
        <v>4110000</v>
      </c>
      <c r="P12" s="652">
        <f t="shared" ref="P12:R12" si="12">O12+P4</f>
        <v>5567000</v>
      </c>
      <c r="Q12" s="652">
        <f t="shared" si="12"/>
        <v>7067000</v>
      </c>
      <c r="R12" s="652">
        <f t="shared" si="12"/>
        <v>8406000</v>
      </c>
      <c r="S12" s="652">
        <f t="shared" si="10"/>
        <v>9838000</v>
      </c>
      <c r="T12" s="652">
        <f t="shared" si="11"/>
        <v>11088000</v>
      </c>
    </row>
    <row r="13" spans="2:21">
      <c r="B13" t="s">
        <v>534</v>
      </c>
      <c r="C13" s="225" t="e">
        <f>C11-C12</f>
        <v>#REF!</v>
      </c>
      <c r="E13" t="s">
        <v>534</v>
      </c>
      <c r="F13">
        <f>F11-F12</f>
        <v>815000</v>
      </c>
      <c r="G13" s="652">
        <f t="shared" si="6"/>
        <v>755000</v>
      </c>
      <c r="H13" s="652">
        <f t="shared" si="6"/>
        <v>951000</v>
      </c>
      <c r="I13" s="652">
        <f t="shared" si="7"/>
        <v>882000</v>
      </c>
      <c r="J13" s="652">
        <f t="shared" si="7"/>
        <v>862000</v>
      </c>
      <c r="K13" s="652">
        <f t="shared" si="7"/>
        <v>880000</v>
      </c>
      <c r="L13" s="652">
        <f t="shared" si="7"/>
        <v>911000</v>
      </c>
      <c r="M13" s="652">
        <f>M5</f>
        <v>289000</v>
      </c>
      <c r="N13" s="652">
        <f t="shared" si="8"/>
        <v>321000</v>
      </c>
      <c r="O13" s="652">
        <f t="shared" si="8"/>
        <v>396000</v>
      </c>
      <c r="P13" s="652">
        <f t="shared" ref="P13:R13" si="13">O13+P5</f>
        <v>415000</v>
      </c>
      <c r="Q13" s="652">
        <f t="shared" si="13"/>
        <v>505000</v>
      </c>
      <c r="R13" s="652">
        <f t="shared" si="13"/>
        <v>1070000</v>
      </c>
      <c r="S13" s="652">
        <f t="shared" si="10"/>
        <v>1250000</v>
      </c>
      <c r="T13" s="652">
        <f t="shared" si="11"/>
        <v>1611000</v>
      </c>
    </row>
    <row r="14" spans="2:21">
      <c r="E14" t="s">
        <v>538</v>
      </c>
      <c r="M14" s="656" t="e">
        <f>M6</f>
        <v>#REF!</v>
      </c>
      <c r="N14" s="652" t="e">
        <f t="shared" si="8"/>
        <v>#REF!</v>
      </c>
      <c r="O14" s="652" t="e">
        <f t="shared" si="8"/>
        <v>#REF!</v>
      </c>
      <c r="P14" s="652" t="e">
        <f t="shared" ref="P14:R16" si="14">O14+P6</f>
        <v>#REF!</v>
      </c>
      <c r="Q14" s="652" t="e">
        <f t="shared" si="14"/>
        <v>#REF!</v>
      </c>
      <c r="R14" s="652" t="e">
        <f t="shared" si="14"/>
        <v>#REF!</v>
      </c>
      <c r="S14" s="652" t="e">
        <f t="shared" si="10"/>
        <v>#REF!</v>
      </c>
      <c r="T14" s="652" t="e">
        <f t="shared" si="11"/>
        <v>#REF!</v>
      </c>
    </row>
    <row r="15" spans="2:21">
      <c r="E15" t="s">
        <v>539</v>
      </c>
      <c r="M15" s="656" t="e">
        <f>M7</f>
        <v>#REF!</v>
      </c>
      <c r="N15" s="652" t="e">
        <f t="shared" si="8"/>
        <v>#REF!</v>
      </c>
      <c r="O15" s="652" t="e">
        <f t="shared" si="8"/>
        <v>#REF!</v>
      </c>
      <c r="P15" s="652" t="e">
        <f t="shared" si="14"/>
        <v>#REF!</v>
      </c>
      <c r="Q15" s="652" t="e">
        <f t="shared" si="14"/>
        <v>#REF!</v>
      </c>
      <c r="R15" s="652" t="e">
        <f t="shared" si="14"/>
        <v>#REF!</v>
      </c>
      <c r="S15" s="652" t="e">
        <f t="shared" si="10"/>
        <v>#REF!</v>
      </c>
      <c r="T15" s="652" t="e">
        <f t="shared" si="11"/>
        <v>#REF!</v>
      </c>
    </row>
    <row r="16" spans="2:21">
      <c r="E16" t="s">
        <v>540</v>
      </c>
      <c r="M16" s="656" t="e">
        <f>M14-M15</f>
        <v>#REF!</v>
      </c>
      <c r="N16" s="652" t="e">
        <f t="shared" si="8"/>
        <v>#REF!</v>
      </c>
      <c r="O16" s="652" t="e">
        <f t="shared" si="8"/>
        <v>#REF!</v>
      </c>
      <c r="P16" s="652" t="e">
        <f t="shared" si="14"/>
        <v>#REF!</v>
      </c>
      <c r="Q16" s="652" t="e">
        <f t="shared" si="14"/>
        <v>#REF!</v>
      </c>
      <c r="R16" s="652" t="e">
        <f t="shared" si="14"/>
        <v>#REF!</v>
      </c>
      <c r="S16" s="652" t="e">
        <f t="shared" si="10"/>
        <v>#REF!</v>
      </c>
      <c r="T16" s="652" t="e">
        <f t="shared" si="11"/>
        <v>#REF!</v>
      </c>
    </row>
  </sheetData>
  <mergeCells count="2">
    <mergeCell ref="G1:R1"/>
    <mergeCell ref="G9:R9"/>
  </mergeCells>
  <phoneticPr fontId="3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55" zoomScaleNormal="55" workbookViewId="0">
      <selection activeCell="E73" sqref="E73"/>
    </sheetView>
  </sheetViews>
  <sheetFormatPr defaultRowHeight="13.5"/>
  <cols>
    <col min="1" max="1" width="11.5" bestFit="1" customWidth="1"/>
    <col min="2" max="2" width="11.5" customWidth="1"/>
    <col min="3" max="3" width="12.5" bestFit="1" customWidth="1"/>
    <col min="4" max="4" width="11.75" bestFit="1" customWidth="1"/>
    <col min="5" max="5" width="7.75" customWidth="1"/>
    <col min="6" max="6" width="6.75" bestFit="1" customWidth="1"/>
    <col min="7" max="7" width="12.5" bestFit="1" customWidth="1"/>
    <col min="8" max="8" width="12.5" style="223" bestFit="1" customWidth="1"/>
    <col min="9" max="9" width="10.5" customWidth="1"/>
    <col min="11" max="11" width="11.5" bestFit="1" customWidth="1"/>
  </cols>
  <sheetData>
    <row r="1" spans="1:9">
      <c r="A1" t="s">
        <v>298</v>
      </c>
      <c r="E1" s="277" t="e">
        <f>H1/$H$25</f>
        <v>#REF!</v>
      </c>
      <c r="H1" s="223">
        <f>SUM(I2:I5)</f>
        <v>1803000</v>
      </c>
    </row>
    <row r="2" spans="1:9">
      <c r="C2" t="s">
        <v>301</v>
      </c>
      <c r="E2" s="277"/>
      <c r="G2" s="225"/>
      <c r="I2" s="225">
        <f>②2016予算書!F18</f>
        <v>3000</v>
      </c>
    </row>
    <row r="3" spans="1:9">
      <c r="C3" t="s">
        <v>294</v>
      </c>
      <c r="E3" s="277"/>
      <c r="G3" s="225"/>
      <c r="I3" s="225">
        <f>②2016予算書!F7</f>
        <v>300000</v>
      </c>
    </row>
    <row r="4" spans="1:9">
      <c r="C4" t="s">
        <v>295</v>
      </c>
      <c r="E4" s="277"/>
      <c r="G4" s="225"/>
      <c r="I4" s="225">
        <f>②2016予算書!F9</f>
        <v>500000</v>
      </c>
    </row>
    <row r="5" spans="1:9">
      <c r="C5" t="s">
        <v>297</v>
      </c>
      <c r="E5" s="277"/>
      <c r="G5" s="225"/>
      <c r="I5" s="225">
        <f>②2016予算書!F19</f>
        <v>1000000</v>
      </c>
    </row>
    <row r="6" spans="1:9">
      <c r="A6" t="s">
        <v>299</v>
      </c>
      <c r="C6" t="s">
        <v>296</v>
      </c>
      <c r="E6" s="277" t="e">
        <f>H6/$H$25</f>
        <v>#REF!</v>
      </c>
      <c r="H6" s="223">
        <f>I7</f>
        <v>2000000</v>
      </c>
    </row>
    <row r="7" spans="1:9">
      <c r="E7" s="277"/>
      <c r="G7" s="225"/>
      <c r="I7" s="225">
        <f>②2016予算書!F11</f>
        <v>2000000</v>
      </c>
    </row>
    <row r="8" spans="1:9">
      <c r="A8" t="s">
        <v>247</v>
      </c>
      <c r="E8" s="277" t="e">
        <f>G8/$H$25</f>
        <v>#REF!</v>
      </c>
      <c r="G8" s="225" t="e">
        <f>SUM(H17+H14+H9)</f>
        <v>#REF!</v>
      </c>
    </row>
    <row r="9" spans="1:9">
      <c r="C9" t="s">
        <v>302</v>
      </c>
      <c r="F9" s="277" t="e">
        <f>H9/$H$25</f>
        <v>#REF!</v>
      </c>
      <c r="H9" s="223" t="e">
        <f>SUM(I10:I13)</f>
        <v>#REF!</v>
      </c>
    </row>
    <row r="10" spans="1:9">
      <c r="D10" t="s">
        <v>305</v>
      </c>
      <c r="F10" s="277"/>
      <c r="G10" s="225"/>
      <c r="I10" s="225">
        <f>②2016予算書!F13</f>
        <v>132966000</v>
      </c>
    </row>
    <row r="11" spans="1:9">
      <c r="D11" t="s">
        <v>171</v>
      </c>
      <c r="F11" s="277"/>
      <c r="G11" s="225"/>
      <c r="I11" s="225" t="e">
        <f>②2016予算書!#REF!</f>
        <v>#REF!</v>
      </c>
    </row>
    <row r="12" spans="1:9">
      <c r="D12" t="s">
        <v>306</v>
      </c>
      <c r="F12" s="277"/>
      <c r="G12" s="225"/>
      <c r="I12" s="225">
        <f>②2016予算書!F14</f>
        <v>41108000</v>
      </c>
    </row>
    <row r="13" spans="1:9">
      <c r="D13" t="s">
        <v>184</v>
      </c>
      <c r="F13" s="277"/>
      <c r="G13" s="225"/>
      <c r="I13" s="225">
        <f>②2016予算書!F16</f>
        <v>64328000</v>
      </c>
    </row>
    <row r="14" spans="1:9">
      <c r="C14" t="s">
        <v>303</v>
      </c>
      <c r="F14" s="277" t="e">
        <f>H14/$H$25</f>
        <v>#REF!</v>
      </c>
      <c r="H14" s="223" t="e">
        <f>SUM(I15:I16)</f>
        <v>#REF!</v>
      </c>
    </row>
    <row r="15" spans="1:9">
      <c r="D15" t="s">
        <v>305</v>
      </c>
      <c r="F15" s="277"/>
      <c r="G15" s="225"/>
      <c r="I15" s="225" t="e">
        <f>②2016予算書!#REF!</f>
        <v>#REF!</v>
      </c>
    </row>
    <row r="16" spans="1:9">
      <c r="D16" t="s">
        <v>307</v>
      </c>
      <c r="F16" s="277"/>
      <c r="G16" s="225"/>
      <c r="I16" s="225" t="e">
        <f>②2016予算書!#REF!</f>
        <v>#REF!</v>
      </c>
    </row>
    <row r="17" spans="1:13">
      <c r="C17" t="s">
        <v>304</v>
      </c>
      <c r="F17" s="277" t="e">
        <f>H17/$H$25</f>
        <v>#REF!</v>
      </c>
      <c r="H17" s="223" t="e">
        <f>SUM(I18:I20)</f>
        <v>#REF!</v>
      </c>
    </row>
    <row r="18" spans="1:13">
      <c r="D18" t="s">
        <v>170</v>
      </c>
      <c r="E18" s="277"/>
      <c r="G18" s="225"/>
      <c r="I18" s="225" t="e">
        <f>②2016予算書!#REF!</f>
        <v>#REF!</v>
      </c>
    </row>
    <row r="19" spans="1:13">
      <c r="D19" t="s">
        <v>308</v>
      </c>
      <c r="E19" s="277"/>
      <c r="G19" s="225"/>
      <c r="I19" s="225" t="e">
        <f>②2016予算書!#REF!</f>
        <v>#REF!</v>
      </c>
    </row>
    <row r="20" spans="1:13">
      <c r="D20" t="s">
        <v>309</v>
      </c>
      <c r="E20" s="277"/>
      <c r="G20" s="225"/>
      <c r="I20" s="225" t="e">
        <f>②2016予算書!#REF!</f>
        <v>#REF!</v>
      </c>
    </row>
    <row r="21" spans="1:13">
      <c r="A21" t="s">
        <v>300</v>
      </c>
      <c r="E21" s="277" t="e">
        <f>H21/$H$25</f>
        <v>#REF!</v>
      </c>
      <c r="H21" s="223" t="e">
        <f>SUM(I22:I23)</f>
        <v>#REF!</v>
      </c>
    </row>
    <row r="22" spans="1:13">
      <c r="D22" t="s">
        <v>310</v>
      </c>
      <c r="E22" s="277"/>
      <c r="G22" s="225"/>
      <c r="I22" s="225" t="e">
        <f>②2016予算書!#REF!</f>
        <v>#REF!</v>
      </c>
    </row>
    <row r="23" spans="1:13">
      <c r="D23" t="s">
        <v>311</v>
      </c>
      <c r="E23" s="277"/>
      <c r="G23" s="225"/>
      <c r="I23" s="225" t="e">
        <f>②2016予算書!#REF!</f>
        <v>#REF!</v>
      </c>
    </row>
    <row r="24" spans="1:13">
      <c r="E24" s="277"/>
      <c r="G24" s="225"/>
      <c r="H24" s="225"/>
      <c r="I24" s="225"/>
      <c r="J24" s="225"/>
      <c r="L24" s="225"/>
      <c r="M24" s="225"/>
    </row>
    <row r="25" spans="1:13">
      <c r="E25" s="277" t="e">
        <f>H25/$H$25</f>
        <v>#REF!</v>
      </c>
      <c r="G25" s="225"/>
      <c r="H25" s="225" t="e">
        <f>SUM(H1:H24)</f>
        <v>#REF!</v>
      </c>
      <c r="I25" s="225"/>
      <c r="J25" s="225"/>
    </row>
    <row r="26" spans="1:13">
      <c r="E26" s="225"/>
      <c r="G26" s="225"/>
      <c r="H26" s="225"/>
      <c r="I26" s="225"/>
      <c r="J26" s="225"/>
      <c r="K26" s="225"/>
    </row>
    <row r="27" spans="1:13">
      <c r="E27" s="225"/>
      <c r="G27" s="225"/>
      <c r="H27" s="225"/>
      <c r="I27" s="225"/>
      <c r="J27" s="225"/>
    </row>
    <row r="28" spans="1:13">
      <c r="E28" s="225"/>
      <c r="G28" s="225"/>
      <c r="H28" s="225"/>
      <c r="I28" s="225"/>
      <c r="J28" s="225"/>
    </row>
    <row r="29" spans="1:13">
      <c r="E29" s="225"/>
      <c r="G29" s="225"/>
      <c r="H29" s="225"/>
      <c r="I29" s="225"/>
      <c r="J29" s="225"/>
    </row>
    <row r="30" spans="1:13">
      <c r="E30" s="225"/>
      <c r="G30" s="225"/>
      <c r="H30" s="225"/>
      <c r="I30" s="225"/>
      <c r="J30" s="225"/>
    </row>
    <row r="31" spans="1:13">
      <c r="E31" s="225"/>
      <c r="G31" s="225"/>
      <c r="H31" s="225"/>
      <c r="I31" s="225"/>
      <c r="J31" s="225"/>
    </row>
    <row r="32" spans="1:13">
      <c r="E32" s="225"/>
      <c r="G32" s="225"/>
      <c r="H32" s="225"/>
      <c r="I32" s="225"/>
      <c r="J32" s="225"/>
    </row>
    <row r="33" spans="5:10">
      <c r="E33" s="225"/>
      <c r="G33" s="225"/>
      <c r="H33" s="225"/>
      <c r="I33" s="225"/>
      <c r="J33" s="225"/>
    </row>
    <row r="34" spans="5:10">
      <c r="E34" s="225"/>
      <c r="G34" s="225"/>
      <c r="H34" s="225"/>
      <c r="I34" s="225"/>
      <c r="J34" s="225"/>
    </row>
    <row r="35" spans="5:10">
      <c r="E35" s="225"/>
      <c r="G35" s="225"/>
      <c r="H35" s="225"/>
      <c r="I35" s="225"/>
      <c r="J35" s="225"/>
    </row>
    <row r="36" spans="5:10">
      <c r="E36" s="225"/>
      <c r="G36" s="225"/>
      <c r="H36" s="225"/>
      <c r="I36" s="225"/>
      <c r="J36" s="225"/>
    </row>
    <row r="37" spans="5:10">
      <c r="E37" s="225"/>
      <c r="G37" s="225"/>
      <c r="H37" s="225"/>
      <c r="I37" s="225"/>
      <c r="J37" s="225"/>
    </row>
    <row r="38" spans="5:10">
      <c r="E38" s="225"/>
      <c r="G38" s="225"/>
      <c r="H38" s="225"/>
      <c r="I38" s="225"/>
      <c r="J38" s="225"/>
    </row>
    <row r="39" spans="5:10">
      <c r="E39" s="225"/>
      <c r="G39" s="225"/>
      <c r="H39" s="225"/>
      <c r="I39" s="225"/>
      <c r="J39" s="225"/>
    </row>
    <row r="40" spans="5:10">
      <c r="E40" s="225"/>
      <c r="G40" s="225"/>
      <c r="H40" s="225"/>
      <c r="I40" s="225"/>
      <c r="J40" s="225"/>
    </row>
  </sheetData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F4" sqref="F4"/>
    </sheetView>
  </sheetViews>
  <sheetFormatPr defaultColWidth="9" defaultRowHeight="13.5"/>
  <cols>
    <col min="1" max="1" width="3" style="5" customWidth="1"/>
    <col min="2" max="2" width="2.875" style="5" customWidth="1"/>
    <col min="3" max="3" width="16.75" style="5" bestFit="1" customWidth="1"/>
    <col min="4" max="4" width="16.125" style="592" bestFit="1" customWidth="1"/>
    <col min="5" max="5" width="7.5" style="230" customWidth="1"/>
    <col min="6" max="6" width="14.125" style="592" bestFit="1" customWidth="1"/>
    <col min="7" max="7" width="6.25" style="230" bestFit="1" customWidth="1"/>
    <col min="8" max="8" width="10.25" style="592" bestFit="1" customWidth="1"/>
    <col min="9" max="16384" width="9" style="5"/>
  </cols>
  <sheetData>
    <row r="1" spans="1:7">
      <c r="D1" s="1024" t="s">
        <v>587</v>
      </c>
      <c r="E1" s="739"/>
      <c r="F1" s="1024" t="s">
        <v>588</v>
      </c>
      <c r="G1" s="741"/>
    </row>
    <row r="2" spans="1:7" ht="24" customHeight="1">
      <c r="D2" s="1025"/>
      <c r="E2" s="740" t="s">
        <v>590</v>
      </c>
      <c r="F2" s="1025"/>
      <c r="G2" s="675" t="s">
        <v>590</v>
      </c>
    </row>
    <row r="3" spans="1:7" ht="30" customHeight="1">
      <c r="A3" s="382" t="s">
        <v>591</v>
      </c>
      <c r="B3" s="737"/>
      <c r="C3" s="738"/>
      <c r="D3" s="734">
        <f>SUM(D4:D6)</f>
        <v>17657000</v>
      </c>
      <c r="E3" s="675">
        <f>D3/$D$3</f>
        <v>1</v>
      </c>
      <c r="F3" s="734">
        <f>SUM(F4:F6)</f>
        <v>33709000</v>
      </c>
      <c r="G3" s="675">
        <f>F3/$F$3</f>
        <v>1</v>
      </c>
    </row>
    <row r="4" spans="1:7" ht="30" customHeight="1">
      <c r="A4" s="736"/>
      <c r="B4" s="1027" t="s">
        <v>347</v>
      </c>
      <c r="C4" s="1028"/>
      <c r="D4" s="743">
        <v>10577000</v>
      </c>
      <c r="E4" s="744">
        <f>D4/$D$3</f>
        <v>0.5990258820864246</v>
      </c>
      <c r="F4" s="743">
        <v>24250000</v>
      </c>
      <c r="G4" s="675">
        <f>F4/$F$3</f>
        <v>0.71939244712094697</v>
      </c>
    </row>
    <row r="5" spans="1:7" ht="30" customHeight="1">
      <c r="A5" s="736"/>
      <c r="B5" s="1026" t="s">
        <v>348</v>
      </c>
      <c r="C5" s="1026"/>
      <c r="D5" s="743">
        <v>6271000</v>
      </c>
      <c r="E5" s="744">
        <f>D5/$D$3</f>
        <v>0.35515659511808351</v>
      </c>
      <c r="F5" s="743">
        <v>8650000</v>
      </c>
      <c r="G5" s="675">
        <f>F5/$F$3</f>
        <v>0.25660802752973982</v>
      </c>
    </row>
    <row r="6" spans="1:7" ht="30" customHeight="1">
      <c r="A6" s="679"/>
      <c r="B6" s="1026" t="s">
        <v>593</v>
      </c>
      <c r="C6" s="1026"/>
      <c r="D6" s="743">
        <v>809000</v>
      </c>
      <c r="E6" s="744">
        <f>D6/$D$3</f>
        <v>4.5817522795491873E-2</v>
      </c>
      <c r="F6" s="743">
        <v>809000</v>
      </c>
      <c r="G6" s="675">
        <f>F6/$F$3</f>
        <v>2.3999525349313239E-2</v>
      </c>
    </row>
    <row r="7" spans="1:7" ht="15.75" customHeight="1">
      <c r="D7" s="732"/>
      <c r="F7" s="732"/>
    </row>
    <row r="8" spans="1:7" ht="30" customHeight="1">
      <c r="A8" s="382" t="s">
        <v>592</v>
      </c>
      <c r="B8" s="500"/>
      <c r="C8" s="689"/>
      <c r="D8" s="734">
        <f>D9+D14</f>
        <v>24562070</v>
      </c>
      <c r="E8" s="675">
        <f t="shared" ref="E8:E31" si="0">D8/$D$3</f>
        <v>1.3910669989239395</v>
      </c>
      <c r="F8" s="734">
        <f>F9+F14</f>
        <v>22853000</v>
      </c>
      <c r="G8" s="675">
        <f t="shared" ref="G8:G31" si="1">F8/$F$3</f>
        <v>0.67794950903319584</v>
      </c>
    </row>
    <row r="9" spans="1:7" ht="30" customHeight="1">
      <c r="A9" s="736"/>
      <c r="B9" s="735" t="s">
        <v>349</v>
      </c>
      <c r="C9" s="733"/>
      <c r="D9" s="734">
        <f>SUM(D10:D13)</f>
        <v>16268000</v>
      </c>
      <c r="E9" s="675">
        <f t="shared" si="0"/>
        <v>0.92133431500254859</v>
      </c>
      <c r="F9" s="734">
        <f>SUM(F10:F13)</f>
        <v>19331000</v>
      </c>
      <c r="G9" s="675">
        <f t="shared" si="1"/>
        <v>0.57346702661010418</v>
      </c>
    </row>
    <row r="10" spans="1:7" ht="30" customHeight="1">
      <c r="A10" s="736"/>
      <c r="B10" s="736"/>
      <c r="C10" s="742" t="s">
        <v>595</v>
      </c>
      <c r="D10" s="743">
        <v>10681000</v>
      </c>
      <c r="E10" s="744">
        <f t="shared" si="0"/>
        <v>0.60491589737781049</v>
      </c>
      <c r="F10" s="743">
        <v>10681000</v>
      </c>
      <c r="G10" s="675">
        <f t="shared" si="1"/>
        <v>0.3168589990803643</v>
      </c>
    </row>
    <row r="11" spans="1:7" ht="30" customHeight="1">
      <c r="A11" s="736"/>
      <c r="B11" s="679"/>
      <c r="C11" s="742" t="s">
        <v>594</v>
      </c>
      <c r="D11" s="743">
        <v>5587000</v>
      </c>
      <c r="E11" s="744">
        <f t="shared" si="0"/>
        <v>0.31641841762473805</v>
      </c>
      <c r="F11" s="743">
        <v>8650000</v>
      </c>
      <c r="G11" s="675">
        <f t="shared" si="1"/>
        <v>0.25660802752973982</v>
      </c>
    </row>
    <row r="12" spans="1:7" ht="30" hidden="1" customHeight="1">
      <c r="A12" s="736"/>
      <c r="B12" s="733"/>
      <c r="C12" s="733" t="s">
        <v>436</v>
      </c>
      <c r="D12" s="734">
        <v>0</v>
      </c>
      <c r="E12" s="675">
        <f t="shared" si="0"/>
        <v>0</v>
      </c>
      <c r="F12" s="734">
        <v>0</v>
      </c>
      <c r="G12" s="675">
        <f t="shared" si="1"/>
        <v>0</v>
      </c>
    </row>
    <row r="13" spans="1:7" ht="30" hidden="1" customHeight="1">
      <c r="A13" s="736"/>
      <c r="B13" s="733"/>
      <c r="C13" s="733" t="s">
        <v>130</v>
      </c>
      <c r="D13" s="734">
        <v>0</v>
      </c>
      <c r="E13" s="675">
        <f t="shared" si="0"/>
        <v>0</v>
      </c>
      <c r="F13" s="734">
        <v>0</v>
      </c>
      <c r="G13" s="675">
        <f t="shared" si="1"/>
        <v>0</v>
      </c>
    </row>
    <row r="14" spans="1:7" ht="30" customHeight="1">
      <c r="A14" s="679"/>
      <c r="B14" s="733" t="s">
        <v>350</v>
      </c>
      <c r="C14" s="733"/>
      <c r="D14" s="734">
        <f>SUM(D15:D31)</f>
        <v>8294070</v>
      </c>
      <c r="E14" s="675">
        <f t="shared" si="0"/>
        <v>0.46973268392139095</v>
      </c>
      <c r="F14" s="734">
        <f>SUM(F15:F31)</f>
        <v>3522000</v>
      </c>
      <c r="G14" s="675">
        <f t="shared" si="1"/>
        <v>0.10448248242309176</v>
      </c>
    </row>
    <row r="15" spans="1:7" ht="30" hidden="1" customHeight="1">
      <c r="C15" s="5" t="s">
        <v>97</v>
      </c>
      <c r="D15" s="732">
        <v>941000</v>
      </c>
      <c r="E15" s="230">
        <f t="shared" si="0"/>
        <v>5.3293311434558531E-2</v>
      </c>
      <c r="F15" s="732">
        <v>941000</v>
      </c>
      <c r="G15" s="230">
        <f t="shared" si="1"/>
        <v>2.7915393515084992E-2</v>
      </c>
    </row>
    <row r="16" spans="1:7" ht="30" hidden="1" customHeight="1">
      <c r="C16" s="5" t="s">
        <v>84</v>
      </c>
      <c r="D16" s="732">
        <v>293000</v>
      </c>
      <c r="E16" s="230">
        <f t="shared" si="0"/>
        <v>1.6593985388231296E-2</v>
      </c>
      <c r="F16" s="732">
        <v>293000</v>
      </c>
      <c r="G16" s="230">
        <f t="shared" si="1"/>
        <v>8.6920407012963889E-3</v>
      </c>
    </row>
    <row r="17" spans="3:7" ht="30" hidden="1" customHeight="1">
      <c r="C17" s="5" t="s">
        <v>132</v>
      </c>
      <c r="D17" s="732">
        <v>562000</v>
      </c>
      <c r="E17" s="230">
        <f t="shared" si="0"/>
        <v>3.182873647845047E-2</v>
      </c>
      <c r="F17" s="732">
        <v>562000</v>
      </c>
      <c r="G17" s="230">
        <f t="shared" si="1"/>
        <v>1.6672105372452461E-2</v>
      </c>
    </row>
    <row r="18" spans="3:7" ht="30" hidden="1" customHeight="1">
      <c r="C18" s="5" t="s">
        <v>85</v>
      </c>
      <c r="D18" s="732">
        <v>645000</v>
      </c>
      <c r="E18" s="230">
        <f t="shared" si="0"/>
        <v>3.6529421759075718E-2</v>
      </c>
      <c r="F18" s="732">
        <v>645000</v>
      </c>
      <c r="G18" s="230">
        <f t="shared" si="1"/>
        <v>1.9134355810021063E-2</v>
      </c>
    </row>
    <row r="19" spans="3:7" ht="30" hidden="1" customHeight="1">
      <c r="C19" s="5" t="s">
        <v>133</v>
      </c>
      <c r="D19" s="732">
        <v>17000</v>
      </c>
      <c r="E19" s="230">
        <f t="shared" si="0"/>
        <v>9.6279096109191822E-4</v>
      </c>
      <c r="F19" s="732">
        <v>17000</v>
      </c>
      <c r="G19" s="230">
        <f t="shared" si="1"/>
        <v>5.0431635468272567E-4</v>
      </c>
    </row>
    <row r="20" spans="3:7" ht="30" hidden="1" customHeight="1">
      <c r="C20" s="5" t="s">
        <v>86</v>
      </c>
      <c r="D20" s="732">
        <v>25000</v>
      </c>
      <c r="E20" s="230">
        <f t="shared" si="0"/>
        <v>1.4158690604292915E-3</v>
      </c>
      <c r="F20" s="732">
        <v>25000</v>
      </c>
      <c r="G20" s="230">
        <f t="shared" si="1"/>
        <v>7.4164169806283185E-4</v>
      </c>
    </row>
    <row r="21" spans="3:7" ht="30" hidden="1" customHeight="1">
      <c r="C21" s="5" t="s">
        <v>98</v>
      </c>
      <c r="D21" s="732">
        <v>58000</v>
      </c>
      <c r="E21" s="230">
        <f t="shared" si="0"/>
        <v>3.2848162201959564E-3</v>
      </c>
      <c r="F21" s="732">
        <v>58000</v>
      </c>
      <c r="G21" s="230">
        <f t="shared" si="1"/>
        <v>1.72060873950577E-3</v>
      </c>
    </row>
    <row r="22" spans="3:7" ht="30" hidden="1" customHeight="1">
      <c r="C22" s="5" t="s">
        <v>121</v>
      </c>
      <c r="D22" s="732">
        <v>9000</v>
      </c>
      <c r="E22" s="230">
        <f t="shared" si="0"/>
        <v>5.0971286175454495E-4</v>
      </c>
      <c r="F22" s="732">
        <v>9000</v>
      </c>
      <c r="G22" s="230">
        <f t="shared" si="1"/>
        <v>2.6699101130261949E-4</v>
      </c>
    </row>
    <row r="23" spans="3:7" ht="30" hidden="1" customHeight="1">
      <c r="C23" s="5" t="s">
        <v>88</v>
      </c>
      <c r="D23" s="732">
        <v>109000</v>
      </c>
      <c r="E23" s="230">
        <f t="shared" si="0"/>
        <v>6.1731891034717112E-3</v>
      </c>
      <c r="F23" s="732">
        <v>109000</v>
      </c>
      <c r="G23" s="230">
        <f t="shared" si="1"/>
        <v>3.2335578035539471E-3</v>
      </c>
    </row>
    <row r="24" spans="3:7" ht="30" hidden="1" customHeight="1">
      <c r="C24" s="5" t="s">
        <v>89</v>
      </c>
      <c r="D24" s="732">
        <v>71000</v>
      </c>
      <c r="E24" s="230">
        <f t="shared" si="0"/>
        <v>4.0210681316191878E-3</v>
      </c>
      <c r="F24" s="732">
        <v>71000</v>
      </c>
      <c r="G24" s="230">
        <f t="shared" si="1"/>
        <v>2.1062624224984427E-3</v>
      </c>
    </row>
    <row r="25" spans="3:7" ht="30" hidden="1" customHeight="1">
      <c r="C25" s="5" t="s">
        <v>101</v>
      </c>
      <c r="D25" s="732">
        <v>0</v>
      </c>
      <c r="E25" s="230">
        <f t="shared" si="0"/>
        <v>0</v>
      </c>
      <c r="F25" s="732">
        <v>0</v>
      </c>
      <c r="G25" s="230">
        <f t="shared" si="1"/>
        <v>0</v>
      </c>
    </row>
    <row r="26" spans="3:7" ht="30" hidden="1" customHeight="1">
      <c r="C26" s="5" t="s">
        <v>90</v>
      </c>
      <c r="D26" s="732">
        <v>0</v>
      </c>
      <c r="E26" s="230">
        <f t="shared" si="0"/>
        <v>0</v>
      </c>
      <c r="F26" s="732">
        <v>0</v>
      </c>
      <c r="G26" s="230">
        <f t="shared" si="1"/>
        <v>0</v>
      </c>
    </row>
    <row r="27" spans="3:7" ht="30" hidden="1" customHeight="1">
      <c r="C27" s="5" t="s">
        <v>91</v>
      </c>
      <c r="D27" s="732">
        <v>792000</v>
      </c>
      <c r="E27" s="230">
        <f t="shared" si="0"/>
        <v>4.4854731834399954E-2</v>
      </c>
      <c r="F27" s="732">
        <v>792000</v>
      </c>
      <c r="G27" s="230">
        <f t="shared" si="1"/>
        <v>2.3495208994630513E-2</v>
      </c>
    </row>
    <row r="28" spans="3:7" ht="30" hidden="1" customHeight="1">
      <c r="C28" s="5" t="s">
        <v>109</v>
      </c>
      <c r="D28" s="732">
        <v>0</v>
      </c>
      <c r="E28" s="230">
        <f t="shared" si="0"/>
        <v>0</v>
      </c>
      <c r="F28" s="732">
        <v>0</v>
      </c>
      <c r="G28" s="230">
        <f t="shared" si="1"/>
        <v>0</v>
      </c>
    </row>
    <row r="29" spans="3:7" ht="30" hidden="1" customHeight="1">
      <c r="C29" s="5" t="s">
        <v>92</v>
      </c>
      <c r="D29" s="732">
        <v>260000</v>
      </c>
      <c r="E29" s="230">
        <f t="shared" si="0"/>
        <v>1.4725038228464632E-2</v>
      </c>
      <c r="F29" s="732">
        <v>0</v>
      </c>
      <c r="G29" s="230">
        <f t="shared" si="1"/>
        <v>0</v>
      </c>
    </row>
    <row r="30" spans="3:7" ht="30" hidden="1" customHeight="1">
      <c r="C30" s="5" t="s">
        <v>93</v>
      </c>
      <c r="D30" s="732">
        <v>595000</v>
      </c>
      <c r="E30" s="230">
        <f t="shared" si="0"/>
        <v>3.3697683638217138E-2</v>
      </c>
      <c r="F30" s="732">
        <v>0</v>
      </c>
      <c r="G30" s="230">
        <f t="shared" si="1"/>
        <v>0</v>
      </c>
    </row>
    <row r="31" spans="3:7" ht="30" hidden="1" customHeight="1">
      <c r="C31" s="5" t="s">
        <v>589</v>
      </c>
      <c r="D31" s="732">
        <v>3917070</v>
      </c>
      <c r="E31" s="230">
        <f t="shared" si="0"/>
        <v>0.2218423288214306</v>
      </c>
      <c r="F31" s="732"/>
      <c r="G31" s="230">
        <f t="shared" si="1"/>
        <v>0</v>
      </c>
    </row>
    <row r="32" spans="3:7" ht="18" customHeight="1">
      <c r="D32" s="732"/>
      <c r="F32" s="732"/>
    </row>
    <row r="33" spans="1:7" ht="30" customHeight="1">
      <c r="A33" s="499" t="s">
        <v>172</v>
      </c>
      <c r="B33" s="500"/>
      <c r="C33" s="689"/>
      <c r="D33" s="745">
        <f>D3-D9-D14</f>
        <v>-6905070</v>
      </c>
      <c r="E33" s="675">
        <f>D33/$D$3</f>
        <v>-0.39106699892393953</v>
      </c>
      <c r="F33" s="734">
        <f>F3-F9-F14</f>
        <v>10856000</v>
      </c>
      <c r="G33" s="675">
        <f>F33/$F$3</f>
        <v>0.3220504909668041</v>
      </c>
    </row>
    <row r="34" spans="1:7" ht="30" customHeight="1"/>
    <row r="35" spans="1:7" ht="30" customHeight="1"/>
  </sheetData>
  <mergeCells count="5">
    <mergeCell ref="D1:D2"/>
    <mergeCell ref="F1:F2"/>
    <mergeCell ref="B6:C6"/>
    <mergeCell ref="B5:C5"/>
    <mergeCell ref="B4:C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&amp;C&amp;"HGPｺﾞｼｯｸM,ﾒﾃﾞｨｳﾑ"&amp;16&amp;A&amp;R内部理事会資料
20160220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40" zoomScaleNormal="40" workbookViewId="0">
      <selection activeCell="M11" sqref="M11:T13"/>
    </sheetView>
  </sheetViews>
  <sheetFormatPr defaultRowHeight="13.5"/>
  <cols>
    <col min="3" max="3" width="11.125" bestFit="1" customWidth="1"/>
    <col min="5" max="5" width="13.875" bestFit="1" customWidth="1"/>
    <col min="6" max="6" width="13.875" hidden="1" customWidth="1"/>
    <col min="7" max="8" width="10" style="658" bestFit="1" customWidth="1"/>
    <col min="9" max="12" width="10.25" style="658" bestFit="1" customWidth="1"/>
    <col min="13" max="13" width="10.625" style="658" bestFit="1" customWidth="1"/>
    <col min="14" max="18" width="10.25" style="658" bestFit="1" customWidth="1"/>
    <col min="19" max="20" width="10.25" style="665" customWidth="1"/>
    <col min="21" max="21" width="10.25" bestFit="1" customWidth="1"/>
  </cols>
  <sheetData>
    <row r="1" spans="2:21">
      <c r="G1" s="870" t="s">
        <v>535</v>
      </c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</row>
    <row r="2" spans="2:21">
      <c r="C2" t="s">
        <v>537</v>
      </c>
      <c r="G2" s="657" t="s">
        <v>528</v>
      </c>
      <c r="H2" s="657" t="s">
        <v>529</v>
      </c>
      <c r="I2" s="657" t="s">
        <v>530</v>
      </c>
      <c r="J2" s="657" t="s">
        <v>531</v>
      </c>
      <c r="K2" s="657" t="s">
        <v>532</v>
      </c>
      <c r="L2" s="657" t="s">
        <v>533</v>
      </c>
      <c r="M2" s="657" t="s">
        <v>522</v>
      </c>
      <c r="N2" s="657" t="s">
        <v>523</v>
      </c>
      <c r="O2" s="657" t="s">
        <v>524</v>
      </c>
      <c r="P2" s="657" t="s">
        <v>525</v>
      </c>
      <c r="Q2" s="657" t="s">
        <v>526</v>
      </c>
      <c r="R2" s="657" t="s">
        <v>527</v>
      </c>
      <c r="S2" s="666" t="s">
        <v>528</v>
      </c>
      <c r="T2" s="666" t="s">
        <v>529</v>
      </c>
    </row>
    <row r="3" spans="2:21">
      <c r="B3" t="s">
        <v>246</v>
      </c>
      <c r="C3" s="653">
        <f>'事業別損益表（決算）'!D10</f>
        <v>33260000</v>
      </c>
      <c r="E3" t="s">
        <v>246</v>
      </c>
      <c r="G3" s="654">
        <f>77000+1466000</f>
        <v>1543000</v>
      </c>
      <c r="H3" s="654">
        <f>63000+1608000</f>
        <v>1671000</v>
      </c>
      <c r="I3" s="654">
        <f>139000+1286000</f>
        <v>1425000</v>
      </c>
      <c r="J3" s="654">
        <v>1131000</v>
      </c>
      <c r="K3" s="654">
        <v>1175000</v>
      </c>
      <c r="L3" s="654">
        <v>1317000</v>
      </c>
      <c r="M3" s="654">
        <f>14000+1610000</f>
        <v>1624000</v>
      </c>
      <c r="N3" s="654">
        <f>1000+1263000</f>
        <v>1264000</v>
      </c>
      <c r="O3" s="654">
        <v>1309000</v>
      </c>
      <c r="P3" s="654">
        <v>1419000</v>
      </c>
      <c r="Q3" s="654">
        <v>1279000</v>
      </c>
      <c r="R3" s="654">
        <v>1250000</v>
      </c>
      <c r="S3" s="654">
        <f>1503000+21000</f>
        <v>1524000</v>
      </c>
      <c r="T3" s="654">
        <f>66000+1476000</f>
        <v>1542000</v>
      </c>
      <c r="U3" s="225">
        <f>SUM(M3:T3)</f>
        <v>11211000</v>
      </c>
    </row>
    <row r="4" spans="2:21">
      <c r="B4" t="s">
        <v>497</v>
      </c>
      <c r="C4" s="653">
        <f>'事業別損益表（決算）'!K10</f>
        <v>30664000</v>
      </c>
      <c r="E4" t="s">
        <v>497</v>
      </c>
      <c r="G4" s="654">
        <f>2049000+206000+10000</f>
        <v>2265000</v>
      </c>
      <c r="H4" s="654">
        <f>44000+1521000</f>
        <v>1565000</v>
      </c>
      <c r="I4" s="654">
        <f>473000+1671000</f>
        <v>2144000</v>
      </c>
      <c r="J4" s="654">
        <f>64000+1371000</f>
        <v>1435000</v>
      </c>
      <c r="K4" s="654">
        <f>157000+1614000</f>
        <v>1771000</v>
      </c>
      <c r="L4" s="654">
        <f>188000+2197000</f>
        <v>2385000</v>
      </c>
      <c r="M4" s="654">
        <f>77000+1697000</f>
        <v>1774000</v>
      </c>
      <c r="N4" s="661">
        <f>75000+1831000</f>
        <v>1906000</v>
      </c>
      <c r="O4" s="654">
        <f>160000+1892000</f>
        <v>2052000</v>
      </c>
      <c r="P4" s="654">
        <f>273000+2105000</f>
        <v>2378000</v>
      </c>
      <c r="Q4" s="654">
        <f>2420000-16000</f>
        <v>2404000</v>
      </c>
      <c r="R4" s="654">
        <f>264000+2091000</f>
        <v>2355000</v>
      </c>
      <c r="S4" s="654">
        <v>1949000</v>
      </c>
      <c r="T4" s="654">
        <v>1935000</v>
      </c>
      <c r="U4" s="225">
        <f>SUM(M4:T4)</f>
        <v>16753000</v>
      </c>
    </row>
    <row r="5" spans="2:21">
      <c r="B5" t="s">
        <v>534</v>
      </c>
      <c r="C5" s="225">
        <f>C3-C4</f>
        <v>2596000</v>
      </c>
      <c r="E5" t="s">
        <v>534</v>
      </c>
      <c r="G5" s="658">
        <f>G3-G4</f>
        <v>-722000</v>
      </c>
      <c r="H5" s="658">
        <f t="shared" ref="H5:L5" si="0">H3-H4</f>
        <v>106000</v>
      </c>
      <c r="I5" s="658">
        <f t="shared" si="0"/>
        <v>-719000</v>
      </c>
      <c r="J5" s="658">
        <f t="shared" si="0"/>
        <v>-304000</v>
      </c>
      <c r="K5" s="658">
        <f t="shared" si="0"/>
        <v>-596000</v>
      </c>
      <c r="L5" s="658">
        <f t="shared" si="0"/>
        <v>-1068000</v>
      </c>
      <c r="M5" s="658">
        <f>M3-M4</f>
        <v>-150000</v>
      </c>
      <c r="N5" s="658">
        <f t="shared" ref="N5:R5" si="1">N3-N4</f>
        <v>-642000</v>
      </c>
      <c r="O5" s="658">
        <f t="shared" si="1"/>
        <v>-743000</v>
      </c>
      <c r="P5" s="658">
        <f t="shared" si="1"/>
        <v>-959000</v>
      </c>
      <c r="Q5" s="663">
        <f t="shared" si="1"/>
        <v>-1125000</v>
      </c>
      <c r="R5" s="664">
        <f t="shared" si="1"/>
        <v>-1105000</v>
      </c>
      <c r="S5" s="665">
        <f t="shared" ref="S5:T5" si="2">S3-S4</f>
        <v>-425000</v>
      </c>
      <c r="T5" s="665">
        <f t="shared" si="2"/>
        <v>-393000</v>
      </c>
    </row>
    <row r="6" spans="2:21">
      <c r="C6" s="225"/>
      <c r="E6" t="s">
        <v>538</v>
      </c>
      <c r="M6" s="654" t="e">
        <f>#REF!</f>
        <v>#REF!</v>
      </c>
      <c r="N6" s="658" t="e">
        <f>$M$6</f>
        <v>#REF!</v>
      </c>
      <c r="O6" s="658" t="e">
        <f>$M$6</f>
        <v>#REF!</v>
      </c>
      <c r="P6" s="658" t="e">
        <f>$M$6</f>
        <v>#REF!</v>
      </c>
      <c r="Q6" s="658" t="e">
        <f>$M$6</f>
        <v>#REF!</v>
      </c>
      <c r="R6" s="658" t="e">
        <f>$M$6</f>
        <v>#REF!</v>
      </c>
      <c r="S6" s="665" t="e">
        <f t="shared" ref="S6:T6" si="3">$M$6</f>
        <v>#REF!</v>
      </c>
      <c r="T6" s="665" t="e">
        <f t="shared" si="3"/>
        <v>#REF!</v>
      </c>
    </row>
    <row r="7" spans="2:21">
      <c r="C7" s="225"/>
      <c r="E7" t="s">
        <v>539</v>
      </c>
      <c r="M7" s="654" t="e">
        <f>#REF!</f>
        <v>#REF!</v>
      </c>
      <c r="N7" s="658" t="e">
        <f>$M$7</f>
        <v>#REF!</v>
      </c>
      <c r="O7" s="658" t="e">
        <f>$M$7</f>
        <v>#REF!</v>
      </c>
      <c r="P7" s="658" t="e">
        <f>$M$7</f>
        <v>#REF!</v>
      </c>
      <c r="Q7" s="658" t="e">
        <f>$M$7</f>
        <v>#REF!</v>
      </c>
      <c r="R7" s="658" t="e">
        <f>$M$7</f>
        <v>#REF!</v>
      </c>
      <c r="S7" s="665" t="e">
        <f t="shared" ref="S7:T7" si="4">$M$7</f>
        <v>#REF!</v>
      </c>
      <c r="T7" s="665" t="e">
        <f t="shared" si="4"/>
        <v>#REF!</v>
      </c>
    </row>
    <row r="8" spans="2:21">
      <c r="C8" s="225"/>
      <c r="E8" t="s">
        <v>540</v>
      </c>
      <c r="M8" s="655" t="e">
        <f>M6-M7</f>
        <v>#REF!</v>
      </c>
      <c r="N8" s="658" t="e">
        <f>$M$8</f>
        <v>#REF!</v>
      </c>
      <c r="O8" s="658" t="e">
        <f>$M$8</f>
        <v>#REF!</v>
      </c>
      <c r="P8" s="658" t="e">
        <f>$M$8</f>
        <v>#REF!</v>
      </c>
      <c r="Q8" s="658" t="e">
        <f>$M$8</f>
        <v>#REF!</v>
      </c>
      <c r="R8" s="658" t="e">
        <f>$M$8</f>
        <v>#REF!</v>
      </c>
      <c r="S8" s="665" t="e">
        <f t="shared" ref="S8:T8" si="5">$M$8</f>
        <v>#REF!</v>
      </c>
      <c r="T8" s="665" t="e">
        <f t="shared" si="5"/>
        <v>#REF!</v>
      </c>
    </row>
    <row r="9" spans="2:21">
      <c r="C9" s="225"/>
      <c r="G9" s="870" t="s">
        <v>536</v>
      </c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</row>
    <row r="10" spans="2:21">
      <c r="C10" t="s">
        <v>356</v>
      </c>
      <c r="G10" s="658" t="s">
        <v>528</v>
      </c>
      <c r="H10" s="658" t="s">
        <v>529</v>
      </c>
      <c r="I10" s="658" t="s">
        <v>530</v>
      </c>
      <c r="J10" s="658" t="s">
        <v>531</v>
      </c>
      <c r="K10" s="658" t="s">
        <v>532</v>
      </c>
      <c r="L10" s="658" t="s">
        <v>533</v>
      </c>
      <c r="M10" s="658" t="s">
        <v>522</v>
      </c>
      <c r="N10" s="658" t="s">
        <v>523</v>
      </c>
      <c r="O10" s="658" t="s">
        <v>524</v>
      </c>
      <c r="P10" s="658" t="s">
        <v>525</v>
      </c>
      <c r="Q10" s="658" t="s">
        <v>526</v>
      </c>
      <c r="R10" s="658" t="s">
        <v>527</v>
      </c>
      <c r="S10" s="665" t="s">
        <v>528</v>
      </c>
      <c r="T10" s="665" t="s">
        <v>529</v>
      </c>
    </row>
    <row r="11" spans="2:21">
      <c r="B11" t="s">
        <v>246</v>
      </c>
      <c r="C11" s="653" t="e">
        <f>#REF!</f>
        <v>#REF!</v>
      </c>
      <c r="E11" t="s">
        <v>246</v>
      </c>
      <c r="F11">
        <f>1590000+1640000+1183000+2012000+1776000+1852000</f>
        <v>10053000</v>
      </c>
      <c r="G11" s="652">
        <f t="shared" ref="G11:H13" si="6">G3+F11</f>
        <v>11596000</v>
      </c>
      <c r="H11" s="652">
        <f t="shared" si="6"/>
        <v>13267000</v>
      </c>
      <c r="I11" s="652">
        <f t="shared" ref="I11:L13" si="7">I3+H11</f>
        <v>14692000</v>
      </c>
      <c r="J11" s="652">
        <f t="shared" si="7"/>
        <v>15823000</v>
      </c>
      <c r="K11" s="652">
        <f t="shared" si="7"/>
        <v>16998000</v>
      </c>
      <c r="L11" s="652">
        <f t="shared" si="7"/>
        <v>18315000</v>
      </c>
      <c r="M11" s="652">
        <f>M3</f>
        <v>1624000</v>
      </c>
      <c r="N11" s="652">
        <f t="shared" ref="N11:O16" si="8">M11+N3</f>
        <v>2888000</v>
      </c>
      <c r="O11" s="652">
        <f t="shared" si="8"/>
        <v>4197000</v>
      </c>
      <c r="P11" s="652">
        <f t="shared" ref="P11:R11" si="9">O11+P3</f>
        <v>5616000</v>
      </c>
      <c r="Q11" s="652">
        <f t="shared" si="9"/>
        <v>6895000</v>
      </c>
      <c r="R11" s="652">
        <f t="shared" si="9"/>
        <v>8145000</v>
      </c>
      <c r="S11" s="652">
        <f t="shared" ref="S11:S16" si="10">R11+S3</f>
        <v>9669000</v>
      </c>
      <c r="T11" s="652">
        <f t="shared" ref="T11:T16" si="11">S11+T3</f>
        <v>11211000</v>
      </c>
    </row>
    <row r="12" spans="2:21">
      <c r="B12" t="s">
        <v>497</v>
      </c>
      <c r="C12" s="653" t="e">
        <f>#REF!</f>
        <v>#REF!</v>
      </c>
      <c r="E12" t="s">
        <v>497</v>
      </c>
      <c r="F12">
        <f>224000+56000+129000+229000+233000+147000+1693000+1586000+1510000+1635000+1870000+1491000</f>
        <v>10803000</v>
      </c>
      <c r="G12" s="652">
        <f t="shared" si="6"/>
        <v>13068000</v>
      </c>
      <c r="H12" s="652">
        <f t="shared" si="6"/>
        <v>14633000</v>
      </c>
      <c r="I12" s="652">
        <f t="shared" si="7"/>
        <v>16777000</v>
      </c>
      <c r="J12" s="652">
        <f t="shared" si="7"/>
        <v>18212000</v>
      </c>
      <c r="K12" s="652">
        <f t="shared" si="7"/>
        <v>19983000</v>
      </c>
      <c r="L12" s="652">
        <f t="shared" si="7"/>
        <v>22368000</v>
      </c>
      <c r="M12" s="652">
        <f>M4</f>
        <v>1774000</v>
      </c>
      <c r="N12" s="652">
        <f t="shared" si="8"/>
        <v>3680000</v>
      </c>
      <c r="O12" s="652">
        <f t="shared" si="8"/>
        <v>5732000</v>
      </c>
      <c r="P12" s="652">
        <f t="shared" ref="P12:R12" si="12">O12+P4</f>
        <v>8110000</v>
      </c>
      <c r="Q12" s="652">
        <f t="shared" si="12"/>
        <v>10514000</v>
      </c>
      <c r="R12" s="652">
        <f t="shared" si="12"/>
        <v>12869000</v>
      </c>
      <c r="S12" s="652">
        <f t="shared" si="10"/>
        <v>14818000</v>
      </c>
      <c r="T12" s="652">
        <f t="shared" si="11"/>
        <v>16753000</v>
      </c>
    </row>
    <row r="13" spans="2:21">
      <c r="B13" t="s">
        <v>534</v>
      </c>
      <c r="C13" s="225" t="e">
        <f>C11-C12</f>
        <v>#REF!</v>
      </c>
      <c r="E13" t="s">
        <v>534</v>
      </c>
      <c r="F13">
        <f>F11-F12</f>
        <v>-750000</v>
      </c>
      <c r="G13" s="652">
        <f t="shared" si="6"/>
        <v>-1472000</v>
      </c>
      <c r="H13" s="652">
        <f t="shared" si="6"/>
        <v>-1366000</v>
      </c>
      <c r="I13" s="652">
        <f t="shared" si="7"/>
        <v>-2085000</v>
      </c>
      <c r="J13" s="652">
        <f t="shared" si="7"/>
        <v>-2389000</v>
      </c>
      <c r="K13" s="652">
        <f t="shared" si="7"/>
        <v>-2985000</v>
      </c>
      <c r="L13" s="652">
        <f t="shared" si="7"/>
        <v>-4053000</v>
      </c>
      <c r="M13" s="652">
        <f>M5</f>
        <v>-150000</v>
      </c>
      <c r="N13" s="652">
        <f t="shared" si="8"/>
        <v>-792000</v>
      </c>
      <c r="O13" s="652">
        <f t="shared" si="8"/>
        <v>-1535000</v>
      </c>
      <c r="P13" s="652">
        <f t="shared" ref="P13:R13" si="13">O13+P5</f>
        <v>-2494000</v>
      </c>
      <c r="Q13" s="652">
        <f t="shared" si="13"/>
        <v>-3619000</v>
      </c>
      <c r="R13" s="652">
        <f t="shared" si="13"/>
        <v>-4724000</v>
      </c>
      <c r="S13" s="652">
        <f t="shared" si="10"/>
        <v>-5149000</v>
      </c>
      <c r="T13" s="652">
        <f t="shared" si="11"/>
        <v>-5542000</v>
      </c>
    </row>
    <row r="14" spans="2:21">
      <c r="E14" t="s">
        <v>538</v>
      </c>
      <c r="M14" s="656" t="e">
        <f>M6</f>
        <v>#REF!</v>
      </c>
      <c r="N14" s="652" t="e">
        <f t="shared" si="8"/>
        <v>#REF!</v>
      </c>
      <c r="O14" s="652" t="e">
        <f t="shared" si="8"/>
        <v>#REF!</v>
      </c>
      <c r="P14" s="652" t="e">
        <f t="shared" ref="P14:R16" si="14">O14+P6</f>
        <v>#REF!</v>
      </c>
      <c r="Q14" s="652" t="e">
        <f t="shared" si="14"/>
        <v>#REF!</v>
      </c>
      <c r="R14" s="652" t="e">
        <f t="shared" si="14"/>
        <v>#REF!</v>
      </c>
      <c r="S14" s="652" t="e">
        <f t="shared" si="10"/>
        <v>#REF!</v>
      </c>
      <c r="T14" s="652" t="e">
        <f t="shared" si="11"/>
        <v>#REF!</v>
      </c>
    </row>
    <row r="15" spans="2:21">
      <c r="E15" t="s">
        <v>539</v>
      </c>
      <c r="M15" s="656" t="e">
        <f>M7</f>
        <v>#REF!</v>
      </c>
      <c r="N15" s="652" t="e">
        <f t="shared" si="8"/>
        <v>#REF!</v>
      </c>
      <c r="O15" s="652" t="e">
        <f t="shared" si="8"/>
        <v>#REF!</v>
      </c>
      <c r="P15" s="652" t="e">
        <f t="shared" si="14"/>
        <v>#REF!</v>
      </c>
      <c r="Q15" s="652" t="e">
        <f t="shared" si="14"/>
        <v>#REF!</v>
      </c>
      <c r="R15" s="652" t="e">
        <f t="shared" si="14"/>
        <v>#REF!</v>
      </c>
      <c r="S15" s="652" t="e">
        <f t="shared" si="10"/>
        <v>#REF!</v>
      </c>
      <c r="T15" s="652" t="e">
        <f t="shared" si="11"/>
        <v>#REF!</v>
      </c>
    </row>
    <row r="16" spans="2:21">
      <c r="E16" t="s">
        <v>540</v>
      </c>
      <c r="M16" s="656" t="e">
        <f>M14-M15</f>
        <v>#REF!</v>
      </c>
      <c r="N16" s="652" t="e">
        <f t="shared" si="8"/>
        <v>#REF!</v>
      </c>
      <c r="O16" s="652" t="e">
        <f t="shared" si="8"/>
        <v>#REF!</v>
      </c>
      <c r="P16" s="652" t="e">
        <f t="shared" si="14"/>
        <v>#REF!</v>
      </c>
      <c r="Q16" s="652" t="e">
        <f t="shared" si="14"/>
        <v>#REF!</v>
      </c>
      <c r="R16" s="652" t="e">
        <f t="shared" si="14"/>
        <v>#REF!</v>
      </c>
      <c r="S16" s="652" t="e">
        <f t="shared" si="10"/>
        <v>#REF!</v>
      </c>
      <c r="T16" s="652" t="e">
        <f t="shared" si="11"/>
        <v>#REF!</v>
      </c>
    </row>
  </sheetData>
  <mergeCells count="2">
    <mergeCell ref="G1:R1"/>
    <mergeCell ref="G9:R9"/>
  </mergeCells>
  <phoneticPr fontId="3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85" zoomScaleNormal="85" workbookViewId="0">
      <selection activeCell="P24" sqref="P24"/>
    </sheetView>
  </sheetViews>
  <sheetFormatPr defaultRowHeight="13.5"/>
  <cols>
    <col min="3" max="3" width="11.125" bestFit="1" customWidth="1"/>
    <col min="5" max="5" width="13.875" bestFit="1" customWidth="1"/>
    <col min="6" max="7" width="10" style="223" bestFit="1" customWidth="1"/>
    <col min="8" max="17" width="10.25" style="223" bestFit="1" customWidth="1"/>
    <col min="18" max="18" width="9.25" bestFit="1" customWidth="1"/>
  </cols>
  <sheetData>
    <row r="1" spans="2:21">
      <c r="F1" s="870" t="s">
        <v>535</v>
      </c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</row>
    <row r="2" spans="2:21">
      <c r="C2" t="s">
        <v>537</v>
      </c>
      <c r="F2" s="223" t="s">
        <v>522</v>
      </c>
      <c r="G2" s="223" t="s">
        <v>523</v>
      </c>
      <c r="H2" s="223" t="s">
        <v>524</v>
      </c>
      <c r="I2" s="223" t="s">
        <v>525</v>
      </c>
      <c r="J2" s="223" t="s">
        <v>526</v>
      </c>
      <c r="K2" s="223" t="s">
        <v>527</v>
      </c>
      <c r="L2" s="223" t="s">
        <v>528</v>
      </c>
      <c r="M2" s="223" t="s">
        <v>529</v>
      </c>
      <c r="N2" s="223" t="s">
        <v>530</v>
      </c>
      <c r="O2" s="223" t="s">
        <v>531</v>
      </c>
      <c r="P2" s="223" t="s">
        <v>532</v>
      </c>
      <c r="Q2" s="223" t="s">
        <v>533</v>
      </c>
    </row>
    <row r="3" spans="2:21">
      <c r="B3" t="s">
        <v>246</v>
      </c>
      <c r="C3" s="653"/>
      <c r="E3" t="s">
        <v>246</v>
      </c>
      <c r="F3" s="654"/>
      <c r="G3" s="654"/>
      <c r="H3" s="654"/>
      <c r="I3" s="654"/>
      <c r="J3" s="654">
        <f>3000+296000</f>
        <v>299000</v>
      </c>
      <c r="K3" s="654">
        <f>834000+488000</f>
        <v>1322000</v>
      </c>
      <c r="L3" s="654">
        <f>1057000+2613000</f>
        <v>3670000</v>
      </c>
      <c r="M3" s="654">
        <f>488000+1902000</f>
        <v>2390000</v>
      </c>
      <c r="N3" s="654"/>
      <c r="O3" s="654"/>
      <c r="P3" s="654"/>
      <c r="Q3" s="654"/>
      <c r="R3" s="225">
        <f>SUM(F3:Q3)</f>
        <v>7681000</v>
      </c>
      <c r="U3" s="225">
        <f>SUM(M3:T3)</f>
        <v>10071000</v>
      </c>
    </row>
    <row r="4" spans="2:21">
      <c r="B4" t="s">
        <v>497</v>
      </c>
      <c r="C4" s="653"/>
      <c r="E4" t="s">
        <v>497</v>
      </c>
      <c r="F4" s="654"/>
      <c r="G4" s="654"/>
      <c r="H4" s="654"/>
      <c r="I4" s="654">
        <v>279000</v>
      </c>
      <c r="J4" s="654">
        <f>581000</f>
        <v>581000</v>
      </c>
      <c r="K4" s="654">
        <f>575000+1971000</f>
        <v>2546000</v>
      </c>
      <c r="L4" s="654">
        <f>696000+1263000</f>
        <v>1959000</v>
      </c>
      <c r="M4" s="654">
        <f>1772000+544000</f>
        <v>2316000</v>
      </c>
      <c r="N4" s="654"/>
      <c r="O4" s="654"/>
      <c r="P4" s="654"/>
      <c r="Q4" s="654"/>
      <c r="R4">
        <f>SUM(F4:Q4)</f>
        <v>7681000</v>
      </c>
      <c r="U4" s="225">
        <f>SUM(M4:T4)</f>
        <v>9997000</v>
      </c>
    </row>
    <row r="5" spans="2:21">
      <c r="B5" t="s">
        <v>534</v>
      </c>
      <c r="C5" s="225">
        <f>C3-C4</f>
        <v>0</v>
      </c>
      <c r="E5" t="s">
        <v>534</v>
      </c>
      <c r="F5" s="223">
        <f>F3-F4</f>
        <v>0</v>
      </c>
      <c r="G5" s="223">
        <f t="shared" ref="G5:H5" si="0">G3-G4</f>
        <v>0</v>
      </c>
      <c r="H5" s="223">
        <f t="shared" si="0"/>
        <v>0</v>
      </c>
      <c r="I5" s="223">
        <f t="shared" ref="I5" si="1">I3-I4</f>
        <v>-279000</v>
      </c>
      <c r="J5" s="223">
        <f t="shared" ref="J5" si="2">J3-J4</f>
        <v>-282000</v>
      </c>
      <c r="K5" s="223">
        <f t="shared" ref="K5" si="3">K3-K4</f>
        <v>-1224000</v>
      </c>
      <c r="L5" s="223">
        <f t="shared" ref="L5" si="4">L3-L4</f>
        <v>1711000</v>
      </c>
      <c r="M5" s="223">
        <f t="shared" ref="M5" si="5">M3-M4</f>
        <v>74000</v>
      </c>
      <c r="N5" s="223">
        <f t="shared" ref="N5" si="6">N3-N4</f>
        <v>0</v>
      </c>
      <c r="O5" s="223">
        <f t="shared" ref="O5" si="7">O3-O4</f>
        <v>0</v>
      </c>
      <c r="P5" s="223">
        <f t="shared" ref="P5" si="8">P3-P4</f>
        <v>0</v>
      </c>
      <c r="Q5" s="223">
        <f t="shared" ref="Q5" si="9">Q3-Q4</f>
        <v>0</v>
      </c>
    </row>
    <row r="6" spans="2:21">
      <c r="C6" s="225"/>
      <c r="E6" t="s">
        <v>538</v>
      </c>
      <c r="K6" s="654" t="e">
        <f>#REF!</f>
        <v>#REF!</v>
      </c>
      <c r="L6" s="223" t="e">
        <f t="shared" ref="L6:Q6" si="10">$K$6</f>
        <v>#REF!</v>
      </c>
      <c r="M6" s="223" t="e">
        <f t="shared" si="10"/>
        <v>#REF!</v>
      </c>
      <c r="N6" s="223" t="e">
        <f t="shared" si="10"/>
        <v>#REF!</v>
      </c>
      <c r="O6" s="223" t="e">
        <f t="shared" si="10"/>
        <v>#REF!</v>
      </c>
      <c r="P6" s="223" t="e">
        <f t="shared" si="10"/>
        <v>#REF!</v>
      </c>
      <c r="Q6" s="223" t="e">
        <f t="shared" si="10"/>
        <v>#REF!</v>
      </c>
    </row>
    <row r="7" spans="2:21">
      <c r="C7" s="225"/>
      <c r="E7" t="s">
        <v>539</v>
      </c>
      <c r="K7" s="654" t="e">
        <f>#REF!</f>
        <v>#REF!</v>
      </c>
      <c r="L7" s="223" t="e">
        <f t="shared" ref="L7:Q7" si="11">$K$7</f>
        <v>#REF!</v>
      </c>
      <c r="M7" s="223" t="e">
        <f t="shared" si="11"/>
        <v>#REF!</v>
      </c>
      <c r="N7" s="223" t="e">
        <f t="shared" si="11"/>
        <v>#REF!</v>
      </c>
      <c r="O7" s="223" t="e">
        <f t="shared" si="11"/>
        <v>#REF!</v>
      </c>
      <c r="P7" s="223" t="e">
        <f t="shared" si="11"/>
        <v>#REF!</v>
      </c>
      <c r="Q7" s="223" t="e">
        <f t="shared" si="11"/>
        <v>#REF!</v>
      </c>
    </row>
    <row r="8" spans="2:21">
      <c r="C8" s="225"/>
      <c r="E8" t="s">
        <v>540</v>
      </c>
      <c r="F8" s="655" t="e">
        <f>K6-K7</f>
        <v>#REF!</v>
      </c>
      <c r="G8" s="223" t="e">
        <f>$F$8</f>
        <v>#REF!</v>
      </c>
      <c r="H8" s="223" t="e">
        <f t="shared" ref="H8:Q8" si="12">$F$8</f>
        <v>#REF!</v>
      </c>
      <c r="I8" s="223" t="e">
        <f t="shared" si="12"/>
        <v>#REF!</v>
      </c>
      <c r="J8" s="223" t="e">
        <f t="shared" si="12"/>
        <v>#REF!</v>
      </c>
      <c r="K8" s="223" t="e">
        <f t="shared" si="12"/>
        <v>#REF!</v>
      </c>
      <c r="L8" s="223" t="e">
        <f t="shared" si="12"/>
        <v>#REF!</v>
      </c>
      <c r="M8" s="223" t="e">
        <f t="shared" si="12"/>
        <v>#REF!</v>
      </c>
      <c r="N8" s="223" t="e">
        <f t="shared" si="12"/>
        <v>#REF!</v>
      </c>
      <c r="O8" s="223" t="e">
        <f t="shared" si="12"/>
        <v>#REF!</v>
      </c>
      <c r="P8" s="223" t="e">
        <f t="shared" si="12"/>
        <v>#REF!</v>
      </c>
      <c r="Q8" s="223" t="e">
        <f t="shared" si="12"/>
        <v>#REF!</v>
      </c>
    </row>
    <row r="9" spans="2:21">
      <c r="C9" s="225"/>
      <c r="F9" s="870" t="s">
        <v>536</v>
      </c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</row>
    <row r="10" spans="2:21">
      <c r="C10" t="s">
        <v>356</v>
      </c>
      <c r="F10" s="223" t="s">
        <v>522</v>
      </c>
      <c r="G10" s="223" t="s">
        <v>523</v>
      </c>
      <c r="H10" s="223" t="s">
        <v>524</v>
      </c>
      <c r="I10" s="223" t="s">
        <v>525</v>
      </c>
      <c r="J10" s="223" t="s">
        <v>526</v>
      </c>
      <c r="K10" s="223" t="s">
        <v>527</v>
      </c>
      <c r="L10" s="223" t="s">
        <v>528</v>
      </c>
      <c r="M10" s="223" t="s">
        <v>529</v>
      </c>
      <c r="N10" s="223" t="s">
        <v>530</v>
      </c>
      <c r="O10" s="223" t="s">
        <v>531</v>
      </c>
      <c r="P10" s="223" t="s">
        <v>532</v>
      </c>
      <c r="Q10" s="223" t="s">
        <v>533</v>
      </c>
    </row>
    <row r="11" spans="2:21">
      <c r="B11" t="s">
        <v>246</v>
      </c>
      <c r="C11" s="653" t="e">
        <f>#REF!</f>
        <v>#REF!</v>
      </c>
      <c r="E11" t="s">
        <v>246</v>
      </c>
      <c r="F11" s="652">
        <f>F3</f>
        <v>0</v>
      </c>
      <c r="G11" s="652">
        <f t="shared" ref="G11:M13" si="13">F11+G3</f>
        <v>0</v>
      </c>
      <c r="H11" s="652">
        <f t="shared" si="13"/>
        <v>0</v>
      </c>
      <c r="I11" s="652">
        <f t="shared" si="13"/>
        <v>0</v>
      </c>
      <c r="J11" s="652">
        <f t="shared" si="13"/>
        <v>299000</v>
      </c>
      <c r="K11" s="652">
        <f t="shared" si="13"/>
        <v>1621000</v>
      </c>
      <c r="L11" s="652">
        <f t="shared" si="13"/>
        <v>5291000</v>
      </c>
      <c r="M11" s="652">
        <f>L11+M3</f>
        <v>7681000</v>
      </c>
      <c r="N11" s="652"/>
      <c r="O11" s="652"/>
      <c r="P11" s="652"/>
      <c r="Q11" s="652"/>
    </row>
    <row r="12" spans="2:21">
      <c r="B12" t="s">
        <v>497</v>
      </c>
      <c r="C12" s="653" t="e">
        <f>#REF!</f>
        <v>#REF!</v>
      </c>
      <c r="E12" t="s">
        <v>497</v>
      </c>
      <c r="F12" s="652">
        <f>F4</f>
        <v>0</v>
      </c>
      <c r="G12" s="652">
        <f t="shared" si="13"/>
        <v>0</v>
      </c>
      <c r="H12" s="652">
        <f t="shared" si="13"/>
        <v>0</v>
      </c>
      <c r="I12" s="652">
        <f t="shared" si="13"/>
        <v>279000</v>
      </c>
      <c r="J12" s="652">
        <f t="shared" si="13"/>
        <v>860000</v>
      </c>
      <c r="K12" s="652">
        <f t="shared" si="13"/>
        <v>3406000</v>
      </c>
      <c r="L12" s="652">
        <f t="shared" si="13"/>
        <v>5365000</v>
      </c>
      <c r="M12" s="652">
        <f t="shared" si="13"/>
        <v>7681000</v>
      </c>
      <c r="N12" s="652"/>
      <c r="O12" s="652"/>
      <c r="P12" s="652"/>
      <c r="Q12" s="652"/>
    </row>
    <row r="13" spans="2:21">
      <c r="B13" t="s">
        <v>534</v>
      </c>
      <c r="C13" s="225" t="e">
        <f>C11-C12</f>
        <v>#REF!</v>
      </c>
      <c r="E13" t="s">
        <v>534</v>
      </c>
      <c r="F13" s="652">
        <f>F5</f>
        <v>0</v>
      </c>
      <c r="G13" s="652">
        <f t="shared" si="13"/>
        <v>0</v>
      </c>
      <c r="H13" s="652">
        <f t="shared" si="13"/>
        <v>0</v>
      </c>
      <c r="I13" s="652">
        <f t="shared" si="13"/>
        <v>-279000</v>
      </c>
      <c r="J13" s="652">
        <f t="shared" si="13"/>
        <v>-561000</v>
      </c>
      <c r="K13" s="652">
        <f t="shared" si="13"/>
        <v>-1785000</v>
      </c>
      <c r="L13" s="652">
        <f t="shared" si="13"/>
        <v>-74000</v>
      </c>
      <c r="M13" s="652">
        <f>L13+M5</f>
        <v>0</v>
      </c>
      <c r="N13" s="652"/>
      <c r="O13" s="652"/>
      <c r="P13" s="652"/>
      <c r="Q13" s="652"/>
    </row>
    <row r="14" spans="2:21">
      <c r="E14" t="s">
        <v>538</v>
      </c>
      <c r="F14" s="656"/>
      <c r="G14" s="652"/>
      <c r="H14" s="652"/>
      <c r="I14" s="652"/>
      <c r="J14" s="652"/>
      <c r="K14" s="652" t="e">
        <f>K6</f>
        <v>#REF!</v>
      </c>
      <c r="L14" s="652" t="e">
        <f t="shared" ref="K14:Q16" si="14">K14+L6</f>
        <v>#REF!</v>
      </c>
      <c r="M14" s="652" t="e">
        <f t="shared" si="14"/>
        <v>#REF!</v>
      </c>
      <c r="N14" s="652" t="e">
        <f t="shared" si="14"/>
        <v>#REF!</v>
      </c>
      <c r="O14" s="652" t="e">
        <f t="shared" si="14"/>
        <v>#REF!</v>
      </c>
      <c r="P14" s="652" t="e">
        <f t="shared" si="14"/>
        <v>#REF!</v>
      </c>
      <c r="Q14" s="652" t="e">
        <f t="shared" si="14"/>
        <v>#REF!</v>
      </c>
    </row>
    <row r="15" spans="2:21">
      <c r="E15" t="s">
        <v>539</v>
      </c>
      <c r="F15" s="656"/>
      <c r="G15" s="652"/>
      <c r="H15" s="652"/>
      <c r="I15" s="652"/>
      <c r="J15" s="652"/>
      <c r="K15" s="652" t="e">
        <f>K7</f>
        <v>#REF!</v>
      </c>
      <c r="L15" s="652" t="e">
        <f t="shared" si="14"/>
        <v>#REF!</v>
      </c>
      <c r="M15" s="652" t="e">
        <f t="shared" si="14"/>
        <v>#REF!</v>
      </c>
      <c r="N15" s="652" t="e">
        <f t="shared" si="14"/>
        <v>#REF!</v>
      </c>
      <c r="O15" s="652" t="e">
        <f t="shared" si="14"/>
        <v>#REF!</v>
      </c>
      <c r="P15" s="652" t="e">
        <f t="shared" si="14"/>
        <v>#REF!</v>
      </c>
      <c r="Q15" s="652" t="e">
        <f t="shared" si="14"/>
        <v>#REF!</v>
      </c>
    </row>
    <row r="16" spans="2:21">
      <c r="E16" t="s">
        <v>540</v>
      </c>
      <c r="F16" s="656"/>
      <c r="G16" s="652"/>
      <c r="H16" s="652"/>
      <c r="I16" s="652"/>
      <c r="J16" s="652"/>
      <c r="K16" s="652" t="e">
        <f t="shared" si="14"/>
        <v>#REF!</v>
      </c>
      <c r="L16" s="652" t="e">
        <f t="shared" si="14"/>
        <v>#REF!</v>
      </c>
      <c r="M16" s="652" t="e">
        <f t="shared" si="14"/>
        <v>#REF!</v>
      </c>
      <c r="N16" s="652" t="e">
        <f t="shared" si="14"/>
        <v>#REF!</v>
      </c>
      <c r="O16" s="652" t="e">
        <f t="shared" si="14"/>
        <v>#REF!</v>
      </c>
      <c r="P16" s="652" t="e">
        <f t="shared" si="14"/>
        <v>#REF!</v>
      </c>
      <c r="Q16" s="652" t="e">
        <f t="shared" si="14"/>
        <v>#REF!</v>
      </c>
    </row>
  </sheetData>
  <mergeCells count="2">
    <mergeCell ref="F1:Q1"/>
    <mergeCell ref="F9:Q9"/>
  </mergeCells>
  <phoneticPr fontId="3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topLeftCell="B16" zoomScale="85" zoomScaleNormal="85" workbookViewId="0">
      <selection activeCell="T14" sqref="T14"/>
    </sheetView>
  </sheetViews>
  <sheetFormatPr defaultRowHeight="13.5"/>
  <cols>
    <col min="3" max="3" width="11.375" bestFit="1" customWidth="1"/>
    <col min="5" max="5" width="13.875" bestFit="1" customWidth="1"/>
    <col min="6" max="6" width="13.875" hidden="1" customWidth="1"/>
    <col min="7" max="12" width="10.25" style="660" bestFit="1" customWidth="1"/>
    <col min="13" max="13" width="10.625" style="660" bestFit="1" customWidth="1"/>
    <col min="14" max="18" width="10.25" style="660" bestFit="1" customWidth="1"/>
    <col min="19" max="20" width="10.25" style="665" customWidth="1"/>
    <col min="21" max="21" width="11.375" bestFit="1" customWidth="1"/>
  </cols>
  <sheetData>
    <row r="1" spans="2:21">
      <c r="G1" s="870" t="s">
        <v>535</v>
      </c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</row>
    <row r="2" spans="2:21">
      <c r="C2" t="s">
        <v>537</v>
      </c>
      <c r="G2" s="659" t="s">
        <v>528</v>
      </c>
      <c r="H2" s="659" t="s">
        <v>529</v>
      </c>
      <c r="I2" s="659" t="s">
        <v>530</v>
      </c>
      <c r="J2" s="659" t="s">
        <v>531</v>
      </c>
      <c r="K2" s="659" t="s">
        <v>532</v>
      </c>
      <c r="L2" s="659" t="s">
        <v>533</v>
      </c>
      <c r="M2" s="659" t="s">
        <v>522</v>
      </c>
      <c r="N2" s="659" t="s">
        <v>523</v>
      </c>
      <c r="O2" s="659" t="s">
        <v>524</v>
      </c>
      <c r="P2" s="659" t="s">
        <v>525</v>
      </c>
      <c r="Q2" s="659" t="s">
        <v>526</v>
      </c>
      <c r="R2" s="659" t="s">
        <v>527</v>
      </c>
      <c r="S2" s="666" t="s">
        <v>528</v>
      </c>
      <c r="T2" s="666" t="s">
        <v>529</v>
      </c>
    </row>
    <row r="3" spans="2:21">
      <c r="B3" t="s">
        <v>246</v>
      </c>
      <c r="C3" s="653">
        <f>'事業別損益表（決算）'!D22</f>
        <v>240617000</v>
      </c>
      <c r="E3" t="s">
        <v>246</v>
      </c>
      <c r="G3" s="654">
        <f>16468000+1332000</f>
        <v>17800000</v>
      </c>
      <c r="H3" s="654">
        <f>49000+14449000</f>
        <v>14498000</v>
      </c>
      <c r="I3" s="654">
        <f>14289000+43000</f>
        <v>14332000</v>
      </c>
      <c r="J3" s="654">
        <f>108000+12673000</f>
        <v>12781000</v>
      </c>
      <c r="K3" s="654">
        <f>13393000+38000</f>
        <v>13431000</v>
      </c>
      <c r="L3" s="654">
        <f>1050000+16162000</f>
        <v>17212000</v>
      </c>
      <c r="M3" s="654">
        <f>14132000+414000</f>
        <v>14546000</v>
      </c>
      <c r="N3" s="654">
        <f>46000+15105000</f>
        <v>15151000</v>
      </c>
      <c r="O3" s="654">
        <f>13155000+185000</f>
        <v>13340000</v>
      </c>
      <c r="P3" s="654">
        <f>2718000+15000000</f>
        <v>17718000</v>
      </c>
      <c r="Q3" s="654">
        <f>13933000+396000</f>
        <v>14329000</v>
      </c>
      <c r="R3" s="654">
        <f>15931000+894000</f>
        <v>16825000</v>
      </c>
      <c r="S3" s="654">
        <f>21490000+93000</f>
        <v>21583000</v>
      </c>
      <c r="T3" s="654">
        <f>835000+15521000</f>
        <v>16356000</v>
      </c>
      <c r="U3" s="225">
        <f>SUM(M3:T3)</f>
        <v>129848000</v>
      </c>
    </row>
    <row r="4" spans="2:21">
      <c r="B4" t="s">
        <v>497</v>
      </c>
      <c r="C4" s="653">
        <f>'事業別損益表（決算）'!E22</f>
        <v>235092000</v>
      </c>
      <c r="E4" t="s">
        <v>497</v>
      </c>
      <c r="G4" s="654">
        <f>530000+13438000+1000</f>
        <v>13969000</v>
      </c>
      <c r="H4" s="654">
        <f>11679000+312000</f>
        <v>11991000</v>
      </c>
      <c r="I4" s="654">
        <f>772000+14758000+1000</f>
        <v>15531000</v>
      </c>
      <c r="J4" s="654">
        <f>1000+11367000+344000</f>
        <v>11712000</v>
      </c>
      <c r="K4" s="654">
        <f>475000+12607000+1000</f>
        <v>13083000</v>
      </c>
      <c r="L4" s="654">
        <f>2000+15325000+550000</f>
        <v>15877000</v>
      </c>
      <c r="M4" s="654">
        <f>477000+12350000+1000</f>
        <v>12828000</v>
      </c>
      <c r="N4" s="661">
        <f>12771000+461000</f>
        <v>13232000</v>
      </c>
      <c r="O4" s="654">
        <f>524000+13956000+1000</f>
        <v>14481000</v>
      </c>
      <c r="P4" s="654">
        <f>1000+13537000+649000</f>
        <v>14187000</v>
      </c>
      <c r="Q4" s="654">
        <f>341000+15225000+31000</f>
        <v>15597000</v>
      </c>
      <c r="R4" s="654">
        <f>604000+15148000-1000</f>
        <v>15751000</v>
      </c>
      <c r="S4" s="654">
        <f>16356000</f>
        <v>16356000</v>
      </c>
      <c r="T4" s="654">
        <f>14805000+56000</f>
        <v>14861000</v>
      </c>
      <c r="U4" s="225">
        <f>SUM(M4:T4)</f>
        <v>117293000</v>
      </c>
    </row>
    <row r="5" spans="2:21">
      <c r="B5" t="s">
        <v>534</v>
      </c>
      <c r="C5" s="225">
        <f>C3-C4</f>
        <v>5525000</v>
      </c>
      <c r="E5" t="s">
        <v>534</v>
      </c>
      <c r="G5" s="660">
        <f>G3-G4</f>
        <v>3831000</v>
      </c>
      <c r="H5" s="660">
        <f t="shared" ref="H5:L5" si="0">H3-H4</f>
        <v>2507000</v>
      </c>
      <c r="I5" s="660">
        <f t="shared" si="0"/>
        <v>-1199000</v>
      </c>
      <c r="J5" s="660">
        <f t="shared" si="0"/>
        <v>1069000</v>
      </c>
      <c r="K5" s="660">
        <f t="shared" si="0"/>
        <v>348000</v>
      </c>
      <c r="L5" s="660">
        <f t="shared" si="0"/>
        <v>1335000</v>
      </c>
      <c r="M5" s="660">
        <f>M3-M4</f>
        <v>1718000</v>
      </c>
      <c r="N5" s="660">
        <f t="shared" ref="N5:R5" si="1">N3-N4</f>
        <v>1919000</v>
      </c>
      <c r="O5" s="660">
        <f t="shared" si="1"/>
        <v>-1141000</v>
      </c>
      <c r="P5" s="660">
        <f t="shared" si="1"/>
        <v>3531000</v>
      </c>
      <c r="Q5" s="663">
        <f t="shared" si="1"/>
        <v>-1268000</v>
      </c>
      <c r="R5" s="664">
        <f t="shared" si="1"/>
        <v>1074000</v>
      </c>
      <c r="S5" s="665">
        <f>S3-S4</f>
        <v>5227000</v>
      </c>
      <c r="T5" s="665">
        <f>T3-T4</f>
        <v>1495000</v>
      </c>
    </row>
    <row r="6" spans="2:21">
      <c r="C6" s="225"/>
      <c r="E6" t="s">
        <v>538</v>
      </c>
      <c r="M6" s="654" t="e">
        <f>#REF!</f>
        <v>#REF!</v>
      </c>
      <c r="N6" s="660" t="e">
        <f>$M$6</f>
        <v>#REF!</v>
      </c>
      <c r="O6" s="660" t="e">
        <f>$M$6</f>
        <v>#REF!</v>
      </c>
      <c r="P6" s="660" t="e">
        <f>$M$6</f>
        <v>#REF!</v>
      </c>
      <c r="Q6" s="660" t="e">
        <f>$M$6</f>
        <v>#REF!</v>
      </c>
      <c r="R6" s="660" t="e">
        <f>$M$6</f>
        <v>#REF!</v>
      </c>
      <c r="S6" s="665" t="e">
        <f t="shared" ref="S6" si="2">$M$6</f>
        <v>#REF!</v>
      </c>
      <c r="T6" s="665" t="e">
        <f>$M$6</f>
        <v>#REF!</v>
      </c>
    </row>
    <row r="7" spans="2:21">
      <c r="C7" s="225"/>
      <c r="E7" t="s">
        <v>539</v>
      </c>
      <c r="M7" s="654" t="e">
        <f>#REF!</f>
        <v>#REF!</v>
      </c>
      <c r="N7" s="660" t="e">
        <f>$M$7</f>
        <v>#REF!</v>
      </c>
      <c r="O7" s="660" t="e">
        <f>$M$7</f>
        <v>#REF!</v>
      </c>
      <c r="P7" s="660" t="e">
        <f>$M$7</f>
        <v>#REF!</v>
      </c>
      <c r="Q7" s="660" t="e">
        <f>$M$7</f>
        <v>#REF!</v>
      </c>
      <c r="R7" s="660" t="e">
        <f>$M$7</f>
        <v>#REF!</v>
      </c>
      <c r="S7" s="665" t="e">
        <f t="shared" ref="S7:T7" si="3">$M$7</f>
        <v>#REF!</v>
      </c>
      <c r="T7" s="665" t="e">
        <f t="shared" si="3"/>
        <v>#REF!</v>
      </c>
    </row>
    <row r="8" spans="2:21">
      <c r="C8" s="225"/>
      <c r="E8" t="s">
        <v>540</v>
      </c>
      <c r="M8" s="655" t="e">
        <f>M6-M7</f>
        <v>#REF!</v>
      </c>
      <c r="N8" s="660" t="e">
        <f>$M$8</f>
        <v>#REF!</v>
      </c>
      <c r="O8" s="660" t="e">
        <f>$M$8</f>
        <v>#REF!</v>
      </c>
      <c r="P8" s="660" t="e">
        <f>$M$8</f>
        <v>#REF!</v>
      </c>
      <c r="Q8" s="660" t="e">
        <f>$M$8</f>
        <v>#REF!</v>
      </c>
      <c r="R8" s="660" t="e">
        <f>$M$8</f>
        <v>#REF!</v>
      </c>
      <c r="S8" s="665" t="e">
        <f t="shared" ref="S8:T8" si="4">$M$8</f>
        <v>#REF!</v>
      </c>
      <c r="T8" s="665" t="e">
        <f t="shared" si="4"/>
        <v>#REF!</v>
      </c>
    </row>
    <row r="9" spans="2:21">
      <c r="C9" s="225"/>
      <c r="G9" s="870" t="s">
        <v>536</v>
      </c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</row>
    <row r="10" spans="2:21">
      <c r="C10" t="s">
        <v>356</v>
      </c>
      <c r="G10" s="660" t="s">
        <v>528</v>
      </c>
      <c r="H10" s="660" t="s">
        <v>529</v>
      </c>
      <c r="I10" s="660" t="s">
        <v>530</v>
      </c>
      <c r="J10" s="660" t="s">
        <v>531</v>
      </c>
      <c r="K10" s="660" t="s">
        <v>532</v>
      </c>
      <c r="L10" s="660" t="s">
        <v>533</v>
      </c>
      <c r="M10" s="660" t="s">
        <v>522</v>
      </c>
      <c r="N10" s="660" t="s">
        <v>523</v>
      </c>
      <c r="O10" s="660" t="s">
        <v>524</v>
      </c>
      <c r="P10" s="660" t="s">
        <v>525</v>
      </c>
      <c r="Q10" s="660" t="s">
        <v>526</v>
      </c>
      <c r="R10" s="660" t="s">
        <v>527</v>
      </c>
      <c r="S10" s="665" t="s">
        <v>528</v>
      </c>
      <c r="T10" s="665" t="s">
        <v>529</v>
      </c>
    </row>
    <row r="11" spans="2:21">
      <c r="B11" t="s">
        <v>246</v>
      </c>
      <c r="C11" s="653" t="e">
        <f>#REF!</f>
        <v>#REF!</v>
      </c>
      <c r="E11" t="s">
        <v>246</v>
      </c>
      <c r="F11" s="662">
        <f>13181000+16122000+14348000+15532000+15226000+15251000+169000+49000+267000+352000+152000+37000</f>
        <v>90686000</v>
      </c>
      <c r="G11" s="652">
        <f t="shared" ref="G11:L13" si="5">G3+F11</f>
        <v>108486000</v>
      </c>
      <c r="H11" s="652">
        <f t="shared" si="5"/>
        <v>122984000</v>
      </c>
      <c r="I11" s="652">
        <f t="shared" si="5"/>
        <v>137316000</v>
      </c>
      <c r="J11" s="652">
        <f t="shared" si="5"/>
        <v>150097000</v>
      </c>
      <c r="K11" s="652">
        <f t="shared" si="5"/>
        <v>163528000</v>
      </c>
      <c r="L11" s="652">
        <f t="shared" si="5"/>
        <v>180740000</v>
      </c>
      <c r="M11" s="652">
        <f>M3</f>
        <v>14546000</v>
      </c>
      <c r="N11" s="652">
        <f t="shared" ref="N11:Q16" si="6">M11+N3</f>
        <v>29697000</v>
      </c>
      <c r="O11" s="652">
        <f t="shared" si="6"/>
        <v>43037000</v>
      </c>
      <c r="P11" s="652">
        <f t="shared" si="6"/>
        <v>60755000</v>
      </c>
      <c r="Q11" s="652">
        <f t="shared" si="6"/>
        <v>75084000</v>
      </c>
      <c r="R11" s="652">
        <f>Q11+R3</f>
        <v>91909000</v>
      </c>
      <c r="S11" s="652">
        <f>R11+S3</f>
        <v>113492000</v>
      </c>
      <c r="T11" s="652">
        <f t="shared" ref="T11" si="7">S11+T3</f>
        <v>129848000</v>
      </c>
    </row>
    <row r="12" spans="2:21">
      <c r="B12" t="s">
        <v>497</v>
      </c>
      <c r="C12" s="653" t="e">
        <f>#REF!</f>
        <v>#REF!</v>
      </c>
      <c r="E12" t="s">
        <v>497</v>
      </c>
      <c r="F12" s="662">
        <f>493000+323000+422000+505000+544000+431000+12257000+11468000+12364000+12573000+12891000+13191000</f>
        <v>77462000</v>
      </c>
      <c r="G12" s="652">
        <f t="shared" si="5"/>
        <v>91431000</v>
      </c>
      <c r="H12" s="652">
        <f t="shared" si="5"/>
        <v>103422000</v>
      </c>
      <c r="I12" s="652">
        <f t="shared" si="5"/>
        <v>118953000</v>
      </c>
      <c r="J12" s="652">
        <f t="shared" si="5"/>
        <v>130665000</v>
      </c>
      <c r="K12" s="652">
        <f t="shared" si="5"/>
        <v>143748000</v>
      </c>
      <c r="L12" s="652">
        <f t="shared" si="5"/>
        <v>159625000</v>
      </c>
      <c r="M12" s="652">
        <f>M4</f>
        <v>12828000</v>
      </c>
      <c r="N12" s="652">
        <f t="shared" si="6"/>
        <v>26060000</v>
      </c>
      <c r="O12" s="652">
        <f t="shared" si="6"/>
        <v>40541000</v>
      </c>
      <c r="P12" s="652">
        <f t="shared" si="6"/>
        <v>54728000</v>
      </c>
      <c r="Q12" s="652">
        <f t="shared" si="6"/>
        <v>70325000</v>
      </c>
      <c r="R12" s="652">
        <f>Q12+R4</f>
        <v>86076000</v>
      </c>
      <c r="S12" s="652">
        <f t="shared" ref="S12:T12" si="8">R12+S4</f>
        <v>102432000</v>
      </c>
      <c r="T12" s="652">
        <f t="shared" si="8"/>
        <v>117293000</v>
      </c>
    </row>
    <row r="13" spans="2:21">
      <c r="B13" t="s">
        <v>534</v>
      </c>
      <c r="C13" s="225" t="e">
        <f>C11-C12</f>
        <v>#REF!</v>
      </c>
      <c r="E13" t="s">
        <v>534</v>
      </c>
      <c r="F13">
        <f>F11-F12</f>
        <v>13224000</v>
      </c>
      <c r="G13" s="652">
        <f t="shared" si="5"/>
        <v>17055000</v>
      </c>
      <c r="H13" s="652">
        <f t="shared" si="5"/>
        <v>19562000</v>
      </c>
      <c r="I13" s="652">
        <f t="shared" si="5"/>
        <v>18363000</v>
      </c>
      <c r="J13" s="652">
        <f t="shared" si="5"/>
        <v>19432000</v>
      </c>
      <c r="K13" s="652">
        <f t="shared" si="5"/>
        <v>19780000</v>
      </c>
      <c r="L13" s="652">
        <f t="shared" si="5"/>
        <v>21115000</v>
      </c>
      <c r="M13" s="652">
        <f>M5</f>
        <v>1718000</v>
      </c>
      <c r="N13" s="652">
        <f t="shared" si="6"/>
        <v>3637000</v>
      </c>
      <c r="O13" s="652">
        <f t="shared" si="6"/>
        <v>2496000</v>
      </c>
      <c r="P13" s="652">
        <f t="shared" si="6"/>
        <v>6027000</v>
      </c>
      <c r="Q13" s="652">
        <f t="shared" si="6"/>
        <v>4759000</v>
      </c>
      <c r="R13" s="652">
        <f>Q13+R5</f>
        <v>5833000</v>
      </c>
      <c r="S13" s="652">
        <f t="shared" ref="S13" si="9">R13+S5</f>
        <v>11060000</v>
      </c>
      <c r="T13" s="652">
        <f>S13+T5</f>
        <v>12555000</v>
      </c>
    </row>
    <row r="14" spans="2:21">
      <c r="E14" t="s">
        <v>538</v>
      </c>
      <c r="M14" s="656" t="e">
        <f>M6</f>
        <v>#REF!</v>
      </c>
      <c r="N14" s="652" t="e">
        <f t="shared" si="6"/>
        <v>#REF!</v>
      </c>
      <c r="O14" s="652" t="e">
        <f t="shared" si="6"/>
        <v>#REF!</v>
      </c>
      <c r="P14" s="652" t="e">
        <f t="shared" si="6"/>
        <v>#REF!</v>
      </c>
      <c r="Q14" s="652" t="e">
        <f t="shared" si="6"/>
        <v>#REF!</v>
      </c>
      <c r="R14" s="652" t="e">
        <f>Q14+R6</f>
        <v>#REF!</v>
      </c>
      <c r="S14" s="652" t="e">
        <f t="shared" ref="S14:T14" si="10">R14+S6</f>
        <v>#REF!</v>
      </c>
      <c r="T14" s="652" t="e">
        <f t="shared" si="10"/>
        <v>#REF!</v>
      </c>
    </row>
    <row r="15" spans="2:21">
      <c r="E15" t="s">
        <v>539</v>
      </c>
      <c r="M15" s="656" t="e">
        <f>M7</f>
        <v>#REF!</v>
      </c>
      <c r="N15" s="652" t="e">
        <f t="shared" si="6"/>
        <v>#REF!</v>
      </c>
      <c r="O15" s="652" t="e">
        <f t="shared" si="6"/>
        <v>#REF!</v>
      </c>
      <c r="P15" s="652" t="e">
        <f t="shared" si="6"/>
        <v>#REF!</v>
      </c>
      <c r="Q15" s="652" t="e">
        <f t="shared" si="6"/>
        <v>#REF!</v>
      </c>
      <c r="R15" s="652" t="e">
        <f>Q15+R7</f>
        <v>#REF!</v>
      </c>
      <c r="S15" s="652" t="e">
        <f t="shared" ref="S15:T15" si="11">R15+S7</f>
        <v>#REF!</v>
      </c>
      <c r="T15" s="652" t="e">
        <f t="shared" si="11"/>
        <v>#REF!</v>
      </c>
    </row>
    <row r="16" spans="2:21">
      <c r="E16" t="s">
        <v>540</v>
      </c>
      <c r="M16" s="656" t="e">
        <f>M14-M15</f>
        <v>#REF!</v>
      </c>
      <c r="N16" s="652" t="e">
        <f t="shared" si="6"/>
        <v>#REF!</v>
      </c>
      <c r="O16" s="652" t="e">
        <f t="shared" si="6"/>
        <v>#REF!</v>
      </c>
      <c r="P16" s="652" t="e">
        <f t="shared" si="6"/>
        <v>#REF!</v>
      </c>
      <c r="Q16" s="652" t="e">
        <f t="shared" si="6"/>
        <v>#REF!</v>
      </c>
      <c r="R16" s="652" t="e">
        <f>Q16+R8</f>
        <v>#REF!</v>
      </c>
      <c r="S16" s="652" t="e">
        <f t="shared" ref="S16:T16" si="12">R16+S8</f>
        <v>#REF!</v>
      </c>
      <c r="T16" s="652" t="e">
        <f t="shared" si="12"/>
        <v>#REF!</v>
      </c>
    </row>
  </sheetData>
  <mergeCells count="2">
    <mergeCell ref="G1:R1"/>
    <mergeCell ref="G9:R9"/>
  </mergeCells>
  <phoneticPr fontId="3"/>
  <printOptions horizontalCentered="1"/>
  <pageMargins left="0.23622047244094491" right="0.23622047244094491" top="0.74803149606299213" bottom="0.35433070866141736" header="0.31496062992125984" footer="0.31496062992125984"/>
  <pageSetup paperSize="9" scale="69" orientation="landscape" r:id="rId1"/>
  <headerFooter>
    <oddHeader>&amp;C&amp;"メイリオ,ボールド"&amp;20&amp;A　経営状況報告書&amp;R出力：&amp;D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422"/>
  <sheetViews>
    <sheetView view="pageBreakPreview" topLeftCell="C389" zoomScale="70" zoomScaleNormal="115" zoomScaleSheetLayoutView="70" workbookViewId="0">
      <selection activeCell="G420" sqref="G420"/>
    </sheetView>
  </sheetViews>
  <sheetFormatPr defaultColWidth="9" defaultRowHeight="13.5"/>
  <cols>
    <col min="1" max="1" width="29.875" style="213" hidden="1" customWidth="1"/>
    <col min="2" max="2" width="5.75" style="213" hidden="1" customWidth="1"/>
    <col min="3" max="3" width="15.375" style="213" bestFit="1" customWidth="1"/>
    <col min="4" max="4" width="31.75" style="185" bestFit="1" customWidth="1"/>
    <col min="5" max="5" width="8" style="514" customWidth="1"/>
    <col min="6" max="6" width="15.75" style="514" customWidth="1"/>
    <col min="7" max="7" width="15.75" style="214" customWidth="1"/>
    <col min="8" max="8" width="7.875" style="299" customWidth="1"/>
    <col min="9" max="9" width="13.625" style="214" bestFit="1" customWidth="1"/>
    <col min="10" max="10" width="8.625" style="13" customWidth="1"/>
    <col min="11" max="11" width="3.875" style="514" customWidth="1"/>
    <col min="12" max="12" width="13.625" style="514" customWidth="1"/>
    <col min="13" max="13" width="13.625" style="214" bestFit="1" customWidth="1"/>
    <col min="14" max="14" width="7.75" style="215" customWidth="1"/>
    <col min="15" max="15" width="13" style="13" bestFit="1" customWidth="1"/>
    <col min="16" max="16" width="41.5" style="13" customWidth="1"/>
    <col min="17" max="17" width="9" style="13" customWidth="1"/>
    <col min="18" max="18" width="43.625" style="13" bestFit="1" customWidth="1"/>
    <col min="19" max="16384" width="9" style="13"/>
  </cols>
  <sheetData>
    <row r="1" spans="1:18">
      <c r="A1" s="871" t="s">
        <v>582</v>
      </c>
      <c r="B1" s="206"/>
      <c r="C1" s="871" t="s">
        <v>72</v>
      </c>
      <c r="D1" s="871" t="s">
        <v>73</v>
      </c>
      <c r="E1" s="175"/>
      <c r="F1" s="872" t="s">
        <v>385</v>
      </c>
      <c r="G1" s="872"/>
      <c r="H1" s="872"/>
      <c r="I1" s="872"/>
      <c r="J1" s="872"/>
      <c r="K1" s="13"/>
      <c r="L1" s="875" t="s">
        <v>541</v>
      </c>
      <c r="M1" s="875"/>
      <c r="N1" s="875"/>
      <c r="O1" s="875"/>
      <c r="P1" s="875"/>
    </row>
    <row r="2" spans="1:18" ht="13.5" customHeight="1">
      <c r="A2" s="871"/>
      <c r="B2" s="580"/>
      <c r="C2" s="871"/>
      <c r="D2" s="871"/>
      <c r="E2" s="176"/>
      <c r="F2" s="876" t="s">
        <v>74</v>
      </c>
      <c r="G2" s="877" t="s">
        <v>75</v>
      </c>
      <c r="H2" s="177"/>
      <c r="I2" s="878" t="s">
        <v>76</v>
      </c>
      <c r="J2" s="178"/>
      <c r="K2" s="13"/>
      <c r="L2" s="879" t="s">
        <v>77</v>
      </c>
      <c r="M2" s="879" t="s">
        <v>75</v>
      </c>
      <c r="N2" s="179"/>
      <c r="O2" s="880" t="s">
        <v>78</v>
      </c>
      <c r="P2" s="875" t="s">
        <v>79</v>
      </c>
    </row>
    <row r="3" spans="1:18">
      <c r="A3" s="871"/>
      <c r="B3" s="182"/>
      <c r="C3" s="871"/>
      <c r="D3" s="871"/>
      <c r="E3" s="180"/>
      <c r="F3" s="876"/>
      <c r="G3" s="877"/>
      <c r="H3" s="181" t="s">
        <v>80</v>
      </c>
      <c r="I3" s="878"/>
      <c r="J3" s="181" t="s">
        <v>80</v>
      </c>
      <c r="K3" s="13"/>
      <c r="L3" s="879"/>
      <c r="M3" s="879"/>
      <c r="N3" s="181" t="s">
        <v>80</v>
      </c>
      <c r="O3" s="880"/>
      <c r="P3" s="875"/>
    </row>
    <row r="4" spans="1:18" ht="18" customHeight="1">
      <c r="A4" s="8" t="s">
        <v>82</v>
      </c>
      <c r="B4" s="182" t="s">
        <v>16</v>
      </c>
      <c r="C4" s="182" t="s">
        <v>81</v>
      </c>
      <c r="D4" s="8" t="s">
        <v>82</v>
      </c>
      <c r="E4" s="183">
        <v>33998000</v>
      </c>
      <c r="F4" s="850">
        <f>3737500*12</f>
        <v>44850000</v>
      </c>
      <c r="G4" s="508"/>
      <c r="H4" s="184"/>
      <c r="I4" s="299"/>
      <c r="J4" s="186"/>
      <c r="K4" s="13"/>
      <c r="L4" s="508">
        <f>3737500*12</f>
        <v>44850000</v>
      </c>
      <c r="M4" s="508"/>
      <c r="N4" s="184"/>
      <c r="O4" s="187"/>
      <c r="P4" s="188"/>
    </row>
    <row r="5" spans="1:18" ht="18" customHeight="1">
      <c r="A5" s="7">
        <v>1</v>
      </c>
      <c r="B5" s="189"/>
      <c r="C5" s="182" t="s">
        <v>81</v>
      </c>
      <c r="D5" s="7" t="s">
        <v>438</v>
      </c>
      <c r="E5" s="190">
        <v>17008000</v>
      </c>
      <c r="F5" s="509"/>
      <c r="G5" s="851">
        <f>ROUND(2314104*12,-3)</f>
        <v>27769000</v>
      </c>
      <c r="H5" s="179">
        <f t="shared" ref="H5:H6" si="0">G5/$F$30</f>
        <v>0.61915273132664439</v>
      </c>
      <c r="I5" s="299"/>
      <c r="J5" s="186"/>
      <c r="K5" s="13"/>
      <c r="L5" s="509"/>
      <c r="M5" s="509">
        <f>ROUND(2244771*12,-3)</f>
        <v>26937000</v>
      </c>
      <c r="N5" s="216">
        <f>M5/$L$30</f>
        <v>0.60060200668896324</v>
      </c>
      <c r="O5" s="217"/>
      <c r="P5" s="189"/>
    </row>
    <row r="6" spans="1:18" ht="18" customHeight="1">
      <c r="A6" s="7">
        <v>1</v>
      </c>
      <c r="B6" s="189"/>
      <c r="C6" s="182" t="s">
        <v>110</v>
      </c>
      <c r="D6" s="7" t="s">
        <v>650</v>
      </c>
      <c r="E6" s="190">
        <v>3219000</v>
      </c>
      <c r="F6" s="509"/>
      <c r="G6" s="857">
        <f>800*6*2*15*12</f>
        <v>1728000</v>
      </c>
      <c r="H6" s="179">
        <f t="shared" si="0"/>
        <v>3.8528428093645484E-2</v>
      </c>
      <c r="I6" s="299"/>
      <c r="J6" s="186"/>
      <c r="K6" s="13"/>
      <c r="L6" s="509"/>
      <c r="M6" s="509">
        <f>800*6*2*15*12</f>
        <v>1728000</v>
      </c>
      <c r="N6" s="179">
        <f>M6/$L$342</f>
        <v>1.92</v>
      </c>
      <c r="O6" s="191"/>
      <c r="P6" s="192"/>
      <c r="R6" s="13" t="s">
        <v>604</v>
      </c>
    </row>
    <row r="7" spans="1:18" ht="18" customHeight="1">
      <c r="A7" s="7">
        <v>2</v>
      </c>
      <c r="B7" s="189"/>
      <c r="C7" s="182" t="s">
        <v>81</v>
      </c>
      <c r="D7" s="7" t="s">
        <v>436</v>
      </c>
      <c r="E7" s="190"/>
      <c r="F7" s="509"/>
      <c r="G7" s="509">
        <f t="shared" ref="G7:G16" si="1">ROUND(E7/9*12,-3)</f>
        <v>0</v>
      </c>
      <c r="H7" s="179">
        <f>G7/$F$30</f>
        <v>0</v>
      </c>
      <c r="I7" s="299"/>
      <c r="J7" s="186"/>
      <c r="K7" s="13"/>
      <c r="L7" s="509"/>
      <c r="M7" s="509">
        <f t="shared" ref="M7:M29" si="2">ROUND(G7,-3)</f>
        <v>0</v>
      </c>
      <c r="N7" s="216"/>
      <c r="O7" s="217"/>
      <c r="P7" s="189"/>
    </row>
    <row r="8" spans="1:18" ht="18" customHeight="1">
      <c r="A8" s="7">
        <v>3</v>
      </c>
      <c r="B8" s="189"/>
      <c r="C8" s="182" t="s">
        <v>81</v>
      </c>
      <c r="D8" s="7" t="s">
        <v>437</v>
      </c>
      <c r="E8" s="190"/>
      <c r="F8" s="509"/>
      <c r="G8" s="509">
        <f t="shared" si="1"/>
        <v>0</v>
      </c>
      <c r="H8" s="179">
        <f>G8/$F$30</f>
        <v>0</v>
      </c>
      <c r="I8" s="299"/>
      <c r="J8" s="186"/>
      <c r="K8" s="13"/>
      <c r="L8" s="509"/>
      <c r="M8" s="509">
        <f t="shared" si="2"/>
        <v>0</v>
      </c>
      <c r="N8" s="216"/>
      <c r="O8" s="217"/>
      <c r="P8" s="189"/>
    </row>
    <row r="9" spans="1:18" ht="18" customHeight="1">
      <c r="A9" s="7"/>
      <c r="B9" s="189"/>
      <c r="C9" s="667"/>
      <c r="D9" s="667" t="s">
        <v>639</v>
      </c>
      <c r="E9" s="190"/>
      <c r="F9" s="509"/>
      <c r="G9" s="509"/>
      <c r="H9" s="179"/>
      <c r="I9" s="299"/>
      <c r="J9" s="186"/>
      <c r="K9" s="13"/>
      <c r="L9" s="509"/>
      <c r="M9" s="509"/>
      <c r="N9" s="216"/>
      <c r="O9" s="217"/>
      <c r="P9" s="189"/>
    </row>
    <row r="10" spans="1:18" ht="18" customHeight="1">
      <c r="A10" s="7">
        <v>4</v>
      </c>
      <c r="B10" s="189"/>
      <c r="C10" s="182" t="s">
        <v>81</v>
      </c>
      <c r="D10" s="667" t="s">
        <v>84</v>
      </c>
      <c r="E10" s="190">
        <v>71000</v>
      </c>
      <c r="F10" s="509"/>
      <c r="G10" s="852">
        <v>95000</v>
      </c>
      <c r="H10" s="179">
        <f>G10/$F$30</f>
        <v>2.1181716833890748E-3</v>
      </c>
      <c r="I10" s="299"/>
      <c r="J10" s="186"/>
      <c r="K10" s="13"/>
      <c r="L10" s="509"/>
      <c r="M10" s="509">
        <f t="shared" si="2"/>
        <v>95000</v>
      </c>
      <c r="N10" s="216">
        <f>M10/$L$30</f>
        <v>2.1181716833890748E-3</v>
      </c>
      <c r="O10" s="217"/>
      <c r="P10" s="189" t="s">
        <v>166</v>
      </c>
    </row>
    <row r="11" spans="1:18" ht="18" customHeight="1">
      <c r="A11" s="7">
        <v>5</v>
      </c>
      <c r="B11" s="189"/>
      <c r="C11" s="182" t="s">
        <v>81</v>
      </c>
      <c r="D11" s="667" t="s">
        <v>132</v>
      </c>
      <c r="E11" s="190">
        <f>24190+35970</f>
        <v>60160</v>
      </c>
      <c r="F11" s="509"/>
      <c r="G11" s="852">
        <v>80000</v>
      </c>
      <c r="H11" s="179">
        <f>G11/$F$30</f>
        <v>1.7837235228539577E-3</v>
      </c>
      <c r="I11" s="299"/>
      <c r="J11" s="186"/>
      <c r="K11" s="13"/>
      <c r="L11" s="509"/>
      <c r="M11" s="509">
        <f t="shared" si="2"/>
        <v>80000</v>
      </c>
      <c r="N11" s="216"/>
      <c r="O11" s="217"/>
      <c r="P11" s="189"/>
      <c r="Q11" s="13" t="s">
        <v>553</v>
      </c>
    </row>
    <row r="12" spans="1:18" ht="18" customHeight="1">
      <c r="A12" s="7">
        <v>6</v>
      </c>
      <c r="B12" s="189"/>
      <c r="C12" s="182" t="s">
        <v>81</v>
      </c>
      <c r="D12" s="667" t="s">
        <v>85</v>
      </c>
      <c r="E12" s="190">
        <v>20000</v>
      </c>
      <c r="F12" s="509"/>
      <c r="G12" s="852">
        <v>27000</v>
      </c>
      <c r="H12" s="179">
        <f>G12/$F$30</f>
        <v>6.0200668896321068E-4</v>
      </c>
      <c r="I12" s="299"/>
      <c r="J12" s="186"/>
      <c r="K12" s="13"/>
      <c r="L12" s="509"/>
      <c r="M12" s="509">
        <f>ROUND(G12,-3)</f>
        <v>27000</v>
      </c>
      <c r="N12" s="216">
        <f>M12/$L$30</f>
        <v>6.0200668896321068E-4</v>
      </c>
      <c r="O12" s="217"/>
      <c r="P12" s="189" t="s">
        <v>166</v>
      </c>
    </row>
    <row r="13" spans="1:18" ht="18" customHeight="1">
      <c r="A13" s="7"/>
      <c r="B13" s="189"/>
      <c r="C13" s="667"/>
      <c r="D13" s="667" t="s">
        <v>133</v>
      </c>
      <c r="E13" s="190"/>
      <c r="F13" s="509"/>
      <c r="G13" s="509"/>
      <c r="H13" s="179"/>
      <c r="I13" s="299"/>
      <c r="J13" s="186"/>
      <c r="K13" s="13"/>
      <c r="L13" s="509"/>
      <c r="M13" s="509"/>
      <c r="N13" s="216"/>
      <c r="O13" s="217"/>
      <c r="P13" s="189"/>
    </row>
    <row r="14" spans="1:18" ht="18" customHeight="1">
      <c r="A14" s="7">
        <v>7</v>
      </c>
      <c r="B14" s="189"/>
      <c r="C14" s="182" t="s">
        <v>81</v>
      </c>
      <c r="D14" s="667" t="s">
        <v>86</v>
      </c>
      <c r="E14" s="190">
        <v>9000</v>
      </c>
      <c r="F14" s="509"/>
      <c r="G14" s="510">
        <v>9000</v>
      </c>
      <c r="H14" s="179">
        <f t="shared" ref="H14:H21" si="3">G14/$F$30</f>
        <v>2.0066889632107025E-4</v>
      </c>
      <c r="I14" s="299"/>
      <c r="J14" s="186"/>
      <c r="K14" s="13"/>
      <c r="L14" s="509"/>
      <c r="M14" s="509">
        <f t="shared" si="2"/>
        <v>9000</v>
      </c>
      <c r="N14" s="216">
        <f>M14/$L$30</f>
        <v>2.0066889632107025E-4</v>
      </c>
      <c r="O14" s="217"/>
      <c r="P14" s="189" t="s">
        <v>166</v>
      </c>
    </row>
    <row r="15" spans="1:18" ht="18" customHeight="1">
      <c r="A15" s="7">
        <v>8</v>
      </c>
      <c r="B15" s="189"/>
      <c r="C15" s="182" t="s">
        <v>81</v>
      </c>
      <c r="D15" s="667" t="s">
        <v>98</v>
      </c>
      <c r="E15" s="190"/>
      <c r="F15" s="509"/>
      <c r="G15" s="509">
        <f t="shared" si="1"/>
        <v>0</v>
      </c>
      <c r="H15" s="179">
        <f t="shared" si="3"/>
        <v>0</v>
      </c>
      <c r="I15" s="299"/>
      <c r="J15" s="186"/>
      <c r="K15" s="13"/>
      <c r="L15" s="509"/>
      <c r="M15" s="509">
        <f t="shared" si="2"/>
        <v>0</v>
      </c>
      <c r="N15" s="216">
        <f>M15/$L$30</f>
        <v>0</v>
      </c>
      <c r="O15" s="217"/>
      <c r="P15" s="189"/>
    </row>
    <row r="16" spans="1:18" ht="18" customHeight="1">
      <c r="A16" s="7">
        <v>9</v>
      </c>
      <c r="B16" s="189"/>
      <c r="C16" s="182" t="s">
        <v>81</v>
      </c>
      <c r="D16" s="667" t="s">
        <v>87</v>
      </c>
      <c r="E16" s="190"/>
      <c r="F16" s="509"/>
      <c r="G16" s="509">
        <f t="shared" si="1"/>
        <v>0</v>
      </c>
      <c r="H16" s="179">
        <f t="shared" si="3"/>
        <v>0</v>
      </c>
      <c r="I16" s="299"/>
      <c r="J16" s="186"/>
      <c r="K16" s="13"/>
      <c r="L16" s="509"/>
      <c r="M16" s="509">
        <f t="shared" si="2"/>
        <v>0</v>
      </c>
      <c r="N16" s="216">
        <f>M16/$L$30</f>
        <v>0</v>
      </c>
      <c r="O16" s="217"/>
      <c r="P16" s="189"/>
    </row>
    <row r="17" spans="1:18" ht="18" customHeight="1">
      <c r="A17" s="7">
        <v>10</v>
      </c>
      <c r="B17" s="189"/>
      <c r="C17" s="182" t="s">
        <v>81</v>
      </c>
      <c r="D17" s="667" t="s">
        <v>121</v>
      </c>
      <c r="E17" s="190"/>
      <c r="F17" s="509"/>
      <c r="G17" s="509">
        <f>ROUND(3436000*21%,-3)</f>
        <v>722000</v>
      </c>
      <c r="H17" s="179">
        <f t="shared" si="3"/>
        <v>1.6098104793756968E-2</v>
      </c>
      <c r="I17" s="299"/>
      <c r="J17" s="186"/>
      <c r="K17" s="13"/>
      <c r="L17" s="509"/>
      <c r="M17" s="509">
        <f t="shared" si="2"/>
        <v>722000</v>
      </c>
      <c r="N17" s="216"/>
      <c r="O17" s="217"/>
      <c r="P17" s="189"/>
    </row>
    <row r="18" spans="1:18" ht="18" customHeight="1">
      <c r="A18" s="7">
        <v>11</v>
      </c>
      <c r="B18" s="189"/>
      <c r="C18" s="182" t="s">
        <v>81</v>
      </c>
      <c r="D18" s="667" t="s">
        <v>88</v>
      </c>
      <c r="E18" s="190">
        <v>123000</v>
      </c>
      <c r="F18" s="509"/>
      <c r="G18" s="509">
        <v>164000</v>
      </c>
      <c r="H18" s="179">
        <f t="shared" si="3"/>
        <v>3.6566332218506132E-3</v>
      </c>
      <c r="I18" s="299"/>
      <c r="J18" s="186"/>
      <c r="K18" s="13"/>
      <c r="L18" s="509"/>
      <c r="M18" s="509">
        <f t="shared" si="2"/>
        <v>164000</v>
      </c>
      <c r="N18" s="216">
        <f>M18/$L$30</f>
        <v>3.6566332218506132E-3</v>
      </c>
      <c r="O18" s="217"/>
      <c r="P18" s="189" t="s">
        <v>166</v>
      </c>
    </row>
    <row r="19" spans="1:18" ht="18" customHeight="1">
      <c r="A19" s="7">
        <v>12</v>
      </c>
      <c r="B19" s="189"/>
      <c r="C19" s="182" t="s">
        <v>81</v>
      </c>
      <c r="D19" s="667" t="s">
        <v>89</v>
      </c>
      <c r="E19" s="190">
        <v>123000</v>
      </c>
      <c r="F19" s="509"/>
      <c r="G19" s="509">
        <v>164000</v>
      </c>
      <c r="H19" s="179">
        <f t="shared" si="3"/>
        <v>3.6566332218506132E-3</v>
      </c>
      <c r="I19" s="299"/>
      <c r="J19" s="186"/>
      <c r="K19" s="13"/>
      <c r="L19" s="509"/>
      <c r="M19" s="509">
        <f t="shared" si="2"/>
        <v>164000</v>
      </c>
      <c r="N19" s="216">
        <f>M19/$L$30</f>
        <v>3.6566332218506132E-3</v>
      </c>
      <c r="O19" s="217"/>
      <c r="P19" s="189"/>
    </row>
    <row r="20" spans="1:18" ht="18" customHeight="1">
      <c r="A20" s="7">
        <v>13</v>
      </c>
      <c r="B20" s="189"/>
      <c r="C20" s="182" t="s">
        <v>81</v>
      </c>
      <c r="D20" s="667" t="s">
        <v>101</v>
      </c>
      <c r="E20" s="190">
        <v>5000</v>
      </c>
      <c r="F20" s="509"/>
      <c r="G20" s="510">
        <v>5000</v>
      </c>
      <c r="H20" s="179">
        <f t="shared" si="3"/>
        <v>1.1148272017837236E-4</v>
      </c>
      <c r="I20" s="299"/>
      <c r="J20" s="186"/>
      <c r="K20" s="13"/>
      <c r="L20" s="509"/>
      <c r="M20" s="509">
        <f t="shared" si="2"/>
        <v>5000</v>
      </c>
      <c r="N20" s="216">
        <f>M20/$L$30</f>
        <v>1.1148272017837236E-4</v>
      </c>
      <c r="O20" s="217"/>
      <c r="P20" s="189"/>
    </row>
    <row r="21" spans="1:18" ht="18" customHeight="1">
      <c r="A21" s="7">
        <v>14</v>
      </c>
      <c r="B21" s="189"/>
      <c r="C21" s="182" t="s">
        <v>81</v>
      </c>
      <c r="D21" s="667" t="s">
        <v>90</v>
      </c>
      <c r="E21" s="190">
        <v>4000</v>
      </c>
      <c r="F21" s="509"/>
      <c r="G21" s="510">
        <v>4000</v>
      </c>
      <c r="H21" s="179">
        <f t="shared" si="3"/>
        <v>8.9186176142697876E-5</v>
      </c>
      <c r="I21" s="299"/>
      <c r="J21" s="186"/>
      <c r="K21" s="13"/>
      <c r="L21" s="509"/>
      <c r="M21" s="509">
        <f t="shared" si="2"/>
        <v>4000</v>
      </c>
      <c r="N21" s="216">
        <f>M21/$L$30</f>
        <v>8.9186176142697876E-5</v>
      </c>
      <c r="O21" s="217"/>
      <c r="P21" s="189"/>
    </row>
    <row r="22" spans="1:18" ht="18" customHeight="1">
      <c r="A22" s="7"/>
      <c r="B22" s="189"/>
      <c r="C22" s="667"/>
      <c r="D22" s="667" t="s">
        <v>173</v>
      </c>
      <c r="E22" s="190"/>
      <c r="F22" s="509"/>
      <c r="G22" s="510"/>
      <c r="H22" s="179"/>
      <c r="I22" s="299"/>
      <c r="J22" s="186"/>
      <c r="K22" s="13"/>
      <c r="L22" s="509"/>
      <c r="M22" s="509"/>
      <c r="N22" s="216"/>
      <c r="O22" s="217"/>
      <c r="P22" s="189"/>
    </row>
    <row r="23" spans="1:18" ht="18" customHeight="1">
      <c r="A23" s="7">
        <v>15</v>
      </c>
      <c r="B23" s="189"/>
      <c r="C23" s="182" t="s">
        <v>81</v>
      </c>
      <c r="D23" s="667" t="s">
        <v>91</v>
      </c>
      <c r="E23" s="190">
        <f>53241+60641</f>
        <v>113882</v>
      </c>
      <c r="F23" s="509"/>
      <c r="G23" s="670">
        <v>152000</v>
      </c>
      <c r="H23" s="179">
        <f>G23/$F$30</f>
        <v>3.3890746934225197E-3</v>
      </c>
      <c r="I23" s="299"/>
      <c r="J23" s="186"/>
      <c r="K23" s="13"/>
      <c r="L23" s="509"/>
      <c r="M23" s="509">
        <f t="shared" si="2"/>
        <v>152000</v>
      </c>
      <c r="N23" s="216">
        <f>M23/$L$30</f>
        <v>3.3890746934225197E-3</v>
      </c>
      <c r="O23" s="217"/>
      <c r="P23" s="189"/>
      <c r="Q23" s="13" t="s">
        <v>553</v>
      </c>
    </row>
    <row r="24" spans="1:18" ht="18" customHeight="1">
      <c r="A24" s="7">
        <v>19</v>
      </c>
      <c r="B24" s="189"/>
      <c r="C24" s="182" t="s">
        <v>81</v>
      </c>
      <c r="D24" s="667" t="s">
        <v>136</v>
      </c>
      <c r="E24" s="190"/>
      <c r="F24" s="509"/>
      <c r="G24" s="510">
        <f>ROUND(E24/9*12,-3)</f>
        <v>0</v>
      </c>
      <c r="H24" s="179">
        <f>G24/$F$30</f>
        <v>0</v>
      </c>
      <c r="I24" s="299"/>
      <c r="J24" s="186"/>
      <c r="K24" s="13"/>
      <c r="L24" s="509"/>
      <c r="M24" s="509">
        <f>ROUND(G24,-3)</f>
        <v>0</v>
      </c>
      <c r="N24" s="216">
        <f>M24/$L$30</f>
        <v>0</v>
      </c>
      <c r="O24" s="217"/>
      <c r="P24" s="189"/>
    </row>
    <row r="25" spans="1:18" ht="18" customHeight="1">
      <c r="A25" s="7">
        <v>18</v>
      </c>
      <c r="B25" s="189"/>
      <c r="C25" s="667"/>
      <c r="D25" s="667" t="s">
        <v>109</v>
      </c>
      <c r="E25" s="190"/>
      <c r="F25" s="509"/>
      <c r="G25" s="670"/>
      <c r="H25" s="179"/>
      <c r="I25" s="299"/>
      <c r="J25" s="186"/>
      <c r="K25" s="13"/>
      <c r="L25" s="509"/>
      <c r="M25" s="509"/>
      <c r="N25" s="216"/>
      <c r="O25" s="217"/>
      <c r="P25" s="189"/>
    </row>
    <row r="26" spans="1:18" ht="18" customHeight="1">
      <c r="A26" s="7">
        <v>16</v>
      </c>
      <c r="B26" s="189"/>
      <c r="C26" s="182" t="s">
        <v>81</v>
      </c>
      <c r="D26" s="667" t="s">
        <v>92</v>
      </c>
      <c r="E26" s="190">
        <v>414000</v>
      </c>
      <c r="F26" s="509"/>
      <c r="G26" s="509">
        <v>2352000</v>
      </c>
      <c r="H26" s="179">
        <f>G26/$F$30</f>
        <v>5.2441471571906352E-2</v>
      </c>
      <c r="I26" s="299"/>
      <c r="J26" s="186"/>
      <c r="K26" s="13"/>
      <c r="L26" s="509"/>
      <c r="M26" s="509">
        <f>ROUND(G26,-3)+(150000*12)</f>
        <v>4152000</v>
      </c>
      <c r="N26" s="216">
        <f>M26/$L$30</f>
        <v>9.2575250836120407E-2</v>
      </c>
      <c r="O26" s="217"/>
      <c r="P26" s="189" t="s">
        <v>166</v>
      </c>
    </row>
    <row r="27" spans="1:18" ht="18" customHeight="1">
      <c r="A27" s="7">
        <v>24</v>
      </c>
      <c r="B27" s="189"/>
      <c r="C27" s="667"/>
      <c r="D27" s="7" t="s">
        <v>607</v>
      </c>
      <c r="E27" s="190"/>
      <c r="F27" s="509"/>
      <c r="G27" s="670">
        <v>3600000</v>
      </c>
      <c r="H27" s="179"/>
      <c r="I27" s="299"/>
      <c r="J27" s="186"/>
      <c r="K27" s="13"/>
      <c r="L27" s="509"/>
      <c r="M27" s="509">
        <f>300000*12</f>
        <v>3600000</v>
      </c>
      <c r="N27" s="216"/>
      <c r="O27" s="217"/>
      <c r="P27" s="189"/>
    </row>
    <row r="28" spans="1:18" ht="18" customHeight="1">
      <c r="A28" s="7"/>
      <c r="B28" s="189"/>
      <c r="C28" s="667"/>
      <c r="D28" s="7" t="s">
        <v>677</v>
      </c>
      <c r="E28" s="190"/>
      <c r="F28" s="509"/>
      <c r="G28" s="670">
        <v>60000</v>
      </c>
      <c r="H28" s="179"/>
      <c r="I28" s="299"/>
      <c r="J28" s="186"/>
      <c r="K28" s="13"/>
      <c r="L28" s="509"/>
      <c r="M28" s="509"/>
      <c r="N28" s="216"/>
      <c r="O28" s="217"/>
      <c r="P28" s="189"/>
    </row>
    <row r="29" spans="1:18" ht="18" customHeight="1">
      <c r="A29" s="7">
        <v>17</v>
      </c>
      <c r="B29" s="189"/>
      <c r="C29" s="182" t="s">
        <v>81</v>
      </c>
      <c r="D29" s="7" t="s">
        <v>93</v>
      </c>
      <c r="E29" s="190">
        <v>5000</v>
      </c>
      <c r="F29" s="509"/>
      <c r="G29" s="509">
        <v>7000</v>
      </c>
      <c r="H29" s="179">
        <f>G29/$F$30</f>
        <v>1.5607580824972129E-4</v>
      </c>
      <c r="I29" s="299"/>
      <c r="J29" s="186"/>
      <c r="K29" s="13"/>
      <c r="L29" s="509"/>
      <c r="M29" s="509">
        <f t="shared" si="2"/>
        <v>7000</v>
      </c>
      <c r="N29" s="179">
        <f>M29/$L$30</f>
        <v>1.5607580824972129E-4</v>
      </c>
      <c r="O29" s="191"/>
      <c r="P29" s="192"/>
    </row>
    <row r="30" spans="1:18" ht="18" customHeight="1">
      <c r="A30" s="506"/>
      <c r="B30" s="193"/>
      <c r="C30" s="807" t="s">
        <v>94</v>
      </c>
      <c r="D30" s="189"/>
      <c r="E30" s="190"/>
      <c r="F30" s="511">
        <f>SUM(F4:F29)</f>
        <v>44850000</v>
      </c>
      <c r="G30" s="511">
        <f>SUM(G4:G29)</f>
        <v>36938000</v>
      </c>
      <c r="H30" s="194">
        <f>G30/$F$30</f>
        <v>0.82358974358974357</v>
      </c>
      <c r="I30" s="300">
        <f>F30-G30</f>
        <v>7912000</v>
      </c>
      <c r="J30" s="195">
        <f>I30/F30</f>
        <v>0.1764102564102564</v>
      </c>
      <c r="K30" s="13"/>
      <c r="L30" s="517">
        <f>SUM(L4:L29)</f>
        <v>44850000</v>
      </c>
      <c r="M30" s="517">
        <f>SUM(M4:M29)</f>
        <v>37846000</v>
      </c>
      <c r="N30" s="196">
        <f>M30/$L$30</f>
        <v>0.84383500557413604</v>
      </c>
      <c r="O30" s="197">
        <f>L30-M30</f>
        <v>7004000</v>
      </c>
      <c r="P30" s="198"/>
    </row>
    <row r="31" spans="1:18" ht="18" customHeight="1">
      <c r="A31" s="7" t="s">
        <v>96</v>
      </c>
      <c r="B31" s="189" t="s">
        <v>17</v>
      </c>
      <c r="C31" s="189" t="s">
        <v>95</v>
      </c>
      <c r="D31" s="7" t="s">
        <v>96</v>
      </c>
      <c r="E31" s="190">
        <v>25466000</v>
      </c>
      <c r="F31" s="509">
        <v>38000000</v>
      </c>
      <c r="G31" s="509"/>
      <c r="H31" s="179"/>
      <c r="I31" s="299"/>
      <c r="J31" s="186"/>
      <c r="K31" s="13"/>
      <c r="L31" s="509">
        <f>ROUND((9500*11*7*26)+(9500*15*7*26),-3)</f>
        <v>44954000</v>
      </c>
      <c r="M31" s="509"/>
      <c r="N31" s="179"/>
      <c r="O31" s="191"/>
      <c r="P31" s="199"/>
      <c r="R31" s="509" t="s">
        <v>616</v>
      </c>
    </row>
    <row r="32" spans="1:18" ht="18" customHeight="1">
      <c r="A32" s="7" t="s">
        <v>415</v>
      </c>
      <c r="B32" s="189"/>
      <c r="C32" s="189" t="s">
        <v>95</v>
      </c>
      <c r="D32" s="7" t="s">
        <v>415</v>
      </c>
      <c r="E32" s="190"/>
      <c r="F32" s="509"/>
      <c r="G32" s="509"/>
      <c r="H32" s="179"/>
      <c r="I32" s="299"/>
      <c r="J32" s="186"/>
      <c r="K32" s="13"/>
      <c r="L32" s="509"/>
      <c r="M32" s="509"/>
      <c r="N32" s="179"/>
      <c r="O32" s="191"/>
      <c r="P32" s="199"/>
    </row>
    <row r="33" spans="1:17" ht="18" customHeight="1">
      <c r="A33" s="7">
        <v>1</v>
      </c>
      <c r="B33" s="189"/>
      <c r="C33" s="189" t="s">
        <v>95</v>
      </c>
      <c r="D33" s="7" t="s">
        <v>438</v>
      </c>
      <c r="E33" s="190">
        <v>13438000</v>
      </c>
      <c r="F33" s="509"/>
      <c r="G33" s="509">
        <f>ROUND(1752842*12,-3)</f>
        <v>21034000</v>
      </c>
      <c r="H33" s="179">
        <f t="shared" ref="H33:H46" si="4">G33/$F$57</f>
        <v>0.55352631578947364</v>
      </c>
      <c r="I33" s="299"/>
      <c r="J33" s="186"/>
      <c r="K33" s="13"/>
      <c r="L33" s="509"/>
      <c r="M33" s="509">
        <f>ROUND(1700842*12,-3)</f>
        <v>20410000</v>
      </c>
      <c r="N33" s="179">
        <f>M33/$L$57</f>
        <v>0.45401966454598036</v>
      </c>
      <c r="O33" s="191"/>
      <c r="P33" s="192"/>
    </row>
    <row r="34" spans="1:17" ht="18" customHeight="1">
      <c r="A34" s="7">
        <v>2</v>
      </c>
      <c r="B34" s="189"/>
      <c r="C34" s="189" t="s">
        <v>95</v>
      </c>
      <c r="D34" s="7" t="s">
        <v>436</v>
      </c>
      <c r="E34" s="190"/>
      <c r="F34" s="509"/>
      <c r="G34" s="509">
        <f t="shared" ref="G34:G35" si="5">ROUND(E34/9*12,-3)</f>
        <v>0</v>
      </c>
      <c r="H34" s="179">
        <f t="shared" si="4"/>
        <v>0</v>
      </c>
      <c r="I34" s="299"/>
      <c r="J34" s="186"/>
      <c r="K34" s="13"/>
      <c r="L34" s="509"/>
      <c r="M34" s="509">
        <f t="shared" ref="M34:M56" si="6">ROUND(G34,-3)</f>
        <v>0</v>
      </c>
      <c r="N34" s="179"/>
      <c r="O34" s="191"/>
      <c r="P34" s="192"/>
    </row>
    <row r="35" spans="1:17" ht="18" customHeight="1">
      <c r="A35" s="7">
        <v>3</v>
      </c>
      <c r="B35" s="189"/>
      <c r="C35" s="189" t="s">
        <v>95</v>
      </c>
      <c r="D35" s="7" t="s">
        <v>437</v>
      </c>
      <c r="E35" s="190"/>
      <c r="F35" s="509"/>
      <c r="G35" s="509">
        <f t="shared" si="5"/>
        <v>0</v>
      </c>
      <c r="H35" s="179">
        <f t="shared" si="4"/>
        <v>0</v>
      </c>
      <c r="I35" s="299"/>
      <c r="J35" s="186"/>
      <c r="K35" s="13"/>
      <c r="L35" s="509"/>
      <c r="M35" s="509">
        <f t="shared" si="6"/>
        <v>0</v>
      </c>
      <c r="N35" s="179"/>
      <c r="O35" s="191"/>
      <c r="P35" s="192"/>
    </row>
    <row r="36" spans="1:17" ht="18" customHeight="1">
      <c r="A36" s="7">
        <v>18</v>
      </c>
      <c r="B36" s="189"/>
      <c r="C36" s="189" t="s">
        <v>95</v>
      </c>
      <c r="D36" s="189" t="s">
        <v>639</v>
      </c>
      <c r="E36" s="190">
        <v>1101000</v>
      </c>
      <c r="F36" s="509"/>
      <c r="G36" s="509">
        <v>1468000</v>
      </c>
      <c r="H36" s="179">
        <f t="shared" si="4"/>
        <v>3.863157894736842E-2</v>
      </c>
      <c r="I36" s="299"/>
      <c r="J36" s="186"/>
      <c r="K36" s="13"/>
      <c r="L36" s="509"/>
      <c r="M36" s="509">
        <f t="shared" si="6"/>
        <v>1468000</v>
      </c>
      <c r="N36" s="179">
        <f>M36/$L$57</f>
        <v>3.2655603505805937E-2</v>
      </c>
      <c r="O36" s="191"/>
      <c r="P36" s="192"/>
    </row>
    <row r="37" spans="1:17" ht="18" customHeight="1">
      <c r="A37" s="7">
        <v>4</v>
      </c>
      <c r="B37" s="189"/>
      <c r="C37" s="189" t="s">
        <v>95</v>
      </c>
      <c r="D37" s="189" t="s">
        <v>84</v>
      </c>
      <c r="E37" s="190">
        <v>374000</v>
      </c>
      <c r="F37" s="509"/>
      <c r="G37" s="853">
        <v>499000</v>
      </c>
      <c r="H37" s="179">
        <f t="shared" si="4"/>
        <v>1.3131578947368421E-2</v>
      </c>
      <c r="I37" s="299"/>
      <c r="J37" s="186"/>
      <c r="K37" s="13"/>
      <c r="L37" s="509"/>
      <c r="M37" s="509">
        <f t="shared" si="6"/>
        <v>499000</v>
      </c>
      <c r="N37" s="179">
        <f>M37/$L$57</f>
        <v>1.1100235796592072E-2</v>
      </c>
      <c r="O37" s="191"/>
      <c r="P37" s="192"/>
    </row>
    <row r="38" spans="1:17" ht="18" customHeight="1">
      <c r="A38" s="7">
        <v>5</v>
      </c>
      <c r="B38" s="189"/>
      <c r="C38" s="189" t="s">
        <v>95</v>
      </c>
      <c r="D38" s="189" t="s">
        <v>132</v>
      </c>
      <c r="E38" s="190">
        <f>130410+33020+73360+13520</f>
        <v>250310</v>
      </c>
      <c r="F38" s="509"/>
      <c r="G38" s="853">
        <v>334000</v>
      </c>
      <c r="H38" s="179">
        <f t="shared" si="4"/>
        <v>8.7894736842105258E-3</v>
      </c>
      <c r="I38" s="299"/>
      <c r="J38" s="186"/>
      <c r="K38" s="13"/>
      <c r="L38" s="509"/>
      <c r="M38" s="509">
        <f t="shared" si="6"/>
        <v>334000</v>
      </c>
      <c r="N38" s="179"/>
      <c r="O38" s="191"/>
      <c r="P38" s="192"/>
      <c r="Q38" s="13" t="s">
        <v>554</v>
      </c>
    </row>
    <row r="39" spans="1:17" ht="18" customHeight="1">
      <c r="A39" s="7">
        <v>6</v>
      </c>
      <c r="B39" s="189"/>
      <c r="C39" s="189" t="s">
        <v>95</v>
      </c>
      <c r="D39" s="189" t="s">
        <v>85</v>
      </c>
      <c r="E39" s="190">
        <v>119000</v>
      </c>
      <c r="F39" s="509"/>
      <c r="G39" s="853">
        <v>159000</v>
      </c>
      <c r="H39" s="179">
        <f t="shared" si="4"/>
        <v>4.1842105263157894E-3</v>
      </c>
      <c r="I39" s="299"/>
      <c r="J39" s="186"/>
      <c r="K39" s="13"/>
      <c r="L39" s="509"/>
      <c r="M39" s="509">
        <f t="shared" si="6"/>
        <v>159000</v>
      </c>
      <c r="N39" s="179">
        <f>M39/$L$57</f>
        <v>3.5369488810784357E-3</v>
      </c>
      <c r="O39" s="191"/>
      <c r="P39" s="192"/>
    </row>
    <row r="40" spans="1:17" ht="18" customHeight="1">
      <c r="A40" s="7">
        <v>20</v>
      </c>
      <c r="B40" s="189"/>
      <c r="C40" s="189"/>
      <c r="D40" s="189" t="s">
        <v>133</v>
      </c>
      <c r="E40" s="190">
        <v>9000</v>
      </c>
      <c r="F40" s="509"/>
      <c r="G40" s="510"/>
      <c r="H40" s="179">
        <f t="shared" si="4"/>
        <v>0</v>
      </c>
      <c r="I40" s="299"/>
      <c r="J40" s="186"/>
      <c r="K40" s="13"/>
      <c r="L40" s="509"/>
      <c r="M40" s="509"/>
      <c r="N40" s="179"/>
      <c r="O40" s="191"/>
      <c r="P40" s="192"/>
    </row>
    <row r="41" spans="1:17" ht="18" customHeight="1">
      <c r="A41" s="7">
        <v>7</v>
      </c>
      <c r="B41" s="189"/>
      <c r="C41" s="189" t="s">
        <v>95</v>
      </c>
      <c r="D41" s="189" t="s">
        <v>86</v>
      </c>
      <c r="E41" s="190">
        <v>26000</v>
      </c>
      <c r="F41" s="509"/>
      <c r="G41" s="510">
        <v>26000</v>
      </c>
      <c r="H41" s="179">
        <f t="shared" si="4"/>
        <v>6.8421052631578944E-4</v>
      </c>
      <c r="I41" s="299"/>
      <c r="J41" s="186"/>
      <c r="K41" s="13"/>
      <c r="L41" s="509"/>
      <c r="M41" s="509">
        <f t="shared" si="6"/>
        <v>26000</v>
      </c>
      <c r="N41" s="179">
        <f>M41/$L$57</f>
        <v>5.7836899942163096E-4</v>
      </c>
      <c r="O41" s="191"/>
      <c r="P41" s="192"/>
    </row>
    <row r="42" spans="1:17" ht="18" customHeight="1">
      <c r="A42" s="7">
        <v>8</v>
      </c>
      <c r="B42" s="189"/>
      <c r="C42" s="189" t="s">
        <v>95</v>
      </c>
      <c r="D42" s="189" t="s">
        <v>98</v>
      </c>
      <c r="E42" s="190">
        <v>1000</v>
      </c>
      <c r="F42" s="509"/>
      <c r="G42" s="510">
        <v>1000</v>
      </c>
      <c r="H42" s="179">
        <f t="shared" si="4"/>
        <v>2.6315789473684212E-5</v>
      </c>
      <c r="I42" s="299"/>
      <c r="J42" s="186"/>
      <c r="K42" s="13"/>
      <c r="L42" s="509"/>
      <c r="M42" s="509">
        <f t="shared" si="6"/>
        <v>1000</v>
      </c>
      <c r="N42" s="179">
        <f>M42/$L$57</f>
        <v>2.2244961516216577E-5</v>
      </c>
      <c r="O42" s="191"/>
      <c r="P42" s="192"/>
    </row>
    <row r="43" spans="1:17" ht="18" customHeight="1">
      <c r="A43" s="7">
        <v>9</v>
      </c>
      <c r="B43" s="189"/>
      <c r="C43" s="189" t="s">
        <v>95</v>
      </c>
      <c r="D43" s="189" t="s">
        <v>87</v>
      </c>
      <c r="E43" s="190"/>
      <c r="F43" s="509"/>
      <c r="G43" s="509"/>
      <c r="H43" s="179">
        <f t="shared" si="4"/>
        <v>0</v>
      </c>
      <c r="I43" s="299"/>
      <c r="J43" s="186"/>
      <c r="K43" s="13"/>
      <c r="L43" s="509"/>
      <c r="M43" s="509">
        <f t="shared" si="6"/>
        <v>0</v>
      </c>
      <c r="N43" s="179">
        <f>M43/$L$57</f>
        <v>0</v>
      </c>
      <c r="O43" s="191"/>
      <c r="P43" s="192"/>
    </row>
    <row r="44" spans="1:17" ht="18" customHeight="1">
      <c r="A44" s="7">
        <v>10</v>
      </c>
      <c r="B44" s="189"/>
      <c r="C44" s="189" t="s">
        <v>95</v>
      </c>
      <c r="D44" s="189" t="s">
        <v>121</v>
      </c>
      <c r="E44" s="190"/>
      <c r="F44" s="509"/>
      <c r="G44" s="509">
        <f>ROUND(3436000*14%,-3)</f>
        <v>481000</v>
      </c>
      <c r="H44" s="179">
        <f t="shared" si="4"/>
        <v>1.2657894736842106E-2</v>
      </c>
      <c r="I44" s="299"/>
      <c r="J44" s="186"/>
      <c r="K44" s="13"/>
      <c r="L44" s="509"/>
      <c r="M44" s="509">
        <f t="shared" si="6"/>
        <v>481000</v>
      </c>
      <c r="N44" s="179"/>
      <c r="O44" s="191"/>
      <c r="P44" s="192"/>
    </row>
    <row r="45" spans="1:17" ht="18" customHeight="1">
      <c r="A45" s="7">
        <v>11</v>
      </c>
      <c r="B45" s="189"/>
      <c r="C45" s="189" t="s">
        <v>95</v>
      </c>
      <c r="D45" s="189" t="s">
        <v>88</v>
      </c>
      <c r="E45" s="190">
        <v>79000</v>
      </c>
      <c r="F45" s="509"/>
      <c r="G45" s="509">
        <v>105000</v>
      </c>
      <c r="H45" s="179">
        <f t="shared" si="4"/>
        <v>2.7631578947368419E-3</v>
      </c>
      <c r="I45" s="299"/>
      <c r="J45" s="186"/>
      <c r="K45" s="13"/>
      <c r="L45" s="509"/>
      <c r="M45" s="509">
        <f t="shared" si="6"/>
        <v>105000</v>
      </c>
      <c r="N45" s="179">
        <f>M45/$L$57</f>
        <v>2.3357209592027406E-3</v>
      </c>
      <c r="O45" s="191"/>
      <c r="P45" s="192"/>
    </row>
    <row r="46" spans="1:17" ht="18" customHeight="1">
      <c r="A46" s="7">
        <v>12</v>
      </c>
      <c r="B46" s="189"/>
      <c r="C46" s="189" t="s">
        <v>95</v>
      </c>
      <c r="D46" s="189" t="s">
        <v>89</v>
      </c>
      <c r="E46" s="190">
        <v>44000</v>
      </c>
      <c r="F46" s="509"/>
      <c r="G46" s="509">
        <v>59000</v>
      </c>
      <c r="H46" s="179">
        <f t="shared" si="4"/>
        <v>1.5526315789473684E-3</v>
      </c>
      <c r="I46" s="299"/>
      <c r="J46" s="186"/>
      <c r="K46" s="13"/>
      <c r="L46" s="509"/>
      <c r="M46" s="509">
        <f t="shared" si="6"/>
        <v>59000</v>
      </c>
      <c r="N46" s="179">
        <f>M46/$L$57</f>
        <v>1.3124527294567779E-3</v>
      </c>
      <c r="O46" s="191"/>
      <c r="P46" s="192"/>
    </row>
    <row r="47" spans="1:17" ht="18" customHeight="1">
      <c r="A47" s="7">
        <v>13</v>
      </c>
      <c r="B47" s="189"/>
      <c r="C47" s="189"/>
      <c r="D47" s="189" t="s">
        <v>101</v>
      </c>
      <c r="E47" s="190"/>
      <c r="F47" s="509"/>
      <c r="G47" s="509"/>
      <c r="H47" s="179"/>
      <c r="I47" s="299"/>
      <c r="J47" s="186"/>
      <c r="K47" s="13"/>
      <c r="L47" s="509"/>
      <c r="M47" s="509"/>
      <c r="N47" s="179"/>
      <c r="O47" s="191"/>
      <c r="P47" s="192"/>
    </row>
    <row r="48" spans="1:17" ht="18" customHeight="1">
      <c r="A48" s="7">
        <v>14</v>
      </c>
      <c r="B48" s="189"/>
      <c r="C48" s="189" t="s">
        <v>95</v>
      </c>
      <c r="D48" s="189" t="s">
        <v>90</v>
      </c>
      <c r="E48" s="190"/>
      <c r="F48" s="509"/>
      <c r="G48" s="509"/>
      <c r="H48" s="179">
        <f>G48/$F$57</f>
        <v>0</v>
      </c>
      <c r="I48" s="299"/>
      <c r="J48" s="186"/>
      <c r="K48" s="13"/>
      <c r="L48" s="509"/>
      <c r="M48" s="509">
        <f t="shared" si="6"/>
        <v>0</v>
      </c>
      <c r="N48" s="179">
        <f>M48/$L$57</f>
        <v>0</v>
      </c>
      <c r="O48" s="191"/>
      <c r="P48" s="192"/>
    </row>
    <row r="49" spans="1:18" ht="18" customHeight="1">
      <c r="A49" s="7"/>
      <c r="B49" s="189"/>
      <c r="C49" s="189"/>
      <c r="D49" s="189" t="s">
        <v>173</v>
      </c>
      <c r="E49" s="190"/>
      <c r="F49" s="509"/>
      <c r="G49" s="509">
        <v>60000</v>
      </c>
      <c r="H49" s="179"/>
      <c r="I49" s="299"/>
      <c r="J49" s="186"/>
      <c r="K49" s="13"/>
      <c r="L49" s="509"/>
      <c r="M49" s="509"/>
      <c r="N49" s="179"/>
      <c r="O49" s="191"/>
      <c r="P49" s="192"/>
    </row>
    <row r="50" spans="1:18" ht="18" customHeight="1">
      <c r="A50" s="7">
        <v>15</v>
      </c>
      <c r="B50" s="189"/>
      <c r="C50" s="189" t="s">
        <v>95</v>
      </c>
      <c r="D50" s="189" t="s">
        <v>91</v>
      </c>
      <c r="E50" s="190">
        <f>337251+134126+245397+127347</f>
        <v>844121</v>
      </c>
      <c r="F50" s="509"/>
      <c r="G50" s="670">
        <v>1125000</v>
      </c>
      <c r="H50" s="179">
        <f>G50/$F$57</f>
        <v>2.9605263157894735E-2</v>
      </c>
      <c r="I50" s="299"/>
      <c r="J50" s="186"/>
      <c r="K50" s="13"/>
      <c r="L50" s="509"/>
      <c r="M50" s="509">
        <f t="shared" si="6"/>
        <v>1125000</v>
      </c>
      <c r="N50" s="179"/>
      <c r="O50" s="191"/>
      <c r="P50" s="192"/>
      <c r="Q50" s="13" t="s">
        <v>554</v>
      </c>
    </row>
    <row r="51" spans="1:18" ht="18" customHeight="1">
      <c r="A51" s="7">
        <v>19</v>
      </c>
      <c r="B51" s="189"/>
      <c r="C51" s="189"/>
      <c r="D51" s="189" t="s">
        <v>136</v>
      </c>
      <c r="E51" s="190"/>
      <c r="F51" s="509"/>
      <c r="G51" s="670"/>
      <c r="H51" s="179"/>
      <c r="I51" s="299"/>
      <c r="J51" s="186"/>
      <c r="K51" s="13"/>
      <c r="L51" s="509"/>
      <c r="M51" s="509"/>
      <c r="N51" s="179"/>
      <c r="O51" s="191"/>
      <c r="P51" s="192"/>
    </row>
    <row r="52" spans="1:18" ht="18" customHeight="1">
      <c r="A52" s="7">
        <v>21</v>
      </c>
      <c r="B52" s="189"/>
      <c r="C52" s="189" t="s">
        <v>95</v>
      </c>
      <c r="D52" s="189" t="s">
        <v>109</v>
      </c>
      <c r="E52" s="190"/>
      <c r="F52" s="509"/>
      <c r="G52" s="509"/>
      <c r="H52" s="179">
        <f>G52/$F$57</f>
        <v>0</v>
      </c>
      <c r="I52" s="299"/>
      <c r="J52" s="186"/>
      <c r="K52" s="13"/>
      <c r="L52" s="509"/>
      <c r="M52" s="509">
        <f t="shared" si="6"/>
        <v>0</v>
      </c>
      <c r="N52" s="179">
        <f>M52/$L$57</f>
        <v>0</v>
      </c>
      <c r="O52" s="191"/>
      <c r="P52" s="192"/>
    </row>
    <row r="53" spans="1:18" ht="18" customHeight="1">
      <c r="A53" s="7">
        <v>16</v>
      </c>
      <c r="B53" s="189"/>
      <c r="C53" s="189" t="s">
        <v>95</v>
      </c>
      <c r="D53" s="189" t="s">
        <v>92</v>
      </c>
      <c r="E53" s="190">
        <v>522000</v>
      </c>
      <c r="F53" s="509"/>
      <c r="G53" s="509">
        <v>696000</v>
      </c>
      <c r="H53" s="179">
        <f>G53/$F$57</f>
        <v>1.8315789473684209E-2</v>
      </c>
      <c r="I53" s="299"/>
      <c r="J53" s="186"/>
      <c r="K53" s="13"/>
      <c r="L53" s="509"/>
      <c r="M53" s="509">
        <f>ROUND(G53,-3)</f>
        <v>696000</v>
      </c>
      <c r="N53" s="179">
        <f>M53/$L$57</f>
        <v>1.5482493215286738E-2</v>
      </c>
      <c r="O53" s="191"/>
      <c r="P53" s="192"/>
    </row>
    <row r="54" spans="1:18" ht="18" customHeight="1">
      <c r="A54" s="7">
        <v>24</v>
      </c>
      <c r="B54" s="189"/>
      <c r="C54" s="189"/>
      <c r="D54" s="189" t="s">
        <v>607</v>
      </c>
      <c r="E54" s="190"/>
      <c r="F54" s="509"/>
      <c r="G54" s="670">
        <v>3600000</v>
      </c>
      <c r="H54" s="179"/>
      <c r="I54" s="299"/>
      <c r="J54" s="186"/>
      <c r="K54" s="13"/>
      <c r="L54" s="509"/>
      <c r="M54" s="509">
        <f>300000*12</f>
        <v>3600000</v>
      </c>
      <c r="N54" s="179"/>
      <c r="O54" s="191"/>
      <c r="P54" s="192"/>
    </row>
    <row r="55" spans="1:18" ht="18" customHeight="1">
      <c r="A55" s="7"/>
      <c r="B55" s="189"/>
      <c r="C55" s="189"/>
      <c r="D55" s="7" t="s">
        <v>677</v>
      </c>
      <c r="E55" s="190"/>
      <c r="F55" s="509"/>
      <c r="G55" s="670"/>
      <c r="H55" s="179"/>
      <c r="I55" s="299"/>
      <c r="J55" s="186"/>
      <c r="K55" s="13"/>
      <c r="L55" s="509"/>
      <c r="M55" s="509"/>
      <c r="N55" s="179"/>
      <c r="O55" s="191"/>
      <c r="P55" s="192"/>
    </row>
    <row r="56" spans="1:18" ht="18" customHeight="1">
      <c r="A56" s="7">
        <v>17</v>
      </c>
      <c r="B56" s="189"/>
      <c r="C56" s="189" t="s">
        <v>95</v>
      </c>
      <c r="D56" s="189" t="s">
        <v>93</v>
      </c>
      <c r="E56" s="190">
        <v>79000</v>
      </c>
      <c r="F56" s="509"/>
      <c r="G56" s="509">
        <v>105000</v>
      </c>
      <c r="H56" s="179">
        <f>G56/$F$57</f>
        <v>2.7631578947368419E-3</v>
      </c>
      <c r="I56" s="299"/>
      <c r="J56" s="186"/>
      <c r="K56" s="13"/>
      <c r="L56" s="509"/>
      <c r="M56" s="509">
        <f t="shared" si="6"/>
        <v>105000</v>
      </c>
      <c r="N56" s="179">
        <f>M56/$L$57</f>
        <v>2.3357209592027406E-3</v>
      </c>
      <c r="O56" s="191"/>
      <c r="P56" s="192"/>
    </row>
    <row r="57" spans="1:18" ht="18" customHeight="1">
      <c r="A57" s="506"/>
      <c r="B57" s="193"/>
      <c r="C57" s="807" t="s">
        <v>94</v>
      </c>
      <c r="D57" s="189"/>
      <c r="E57" s="190"/>
      <c r="F57" s="511">
        <f>SUM(F31:F56)</f>
        <v>38000000</v>
      </c>
      <c r="G57" s="511">
        <f>SUM(G31:G56)</f>
        <v>29752000</v>
      </c>
      <c r="H57" s="194">
        <f>G57/$F$57</f>
        <v>0.78294736842105261</v>
      </c>
      <c r="I57" s="300">
        <f>F57-G57</f>
        <v>8248000</v>
      </c>
      <c r="J57" s="195">
        <f>I57/F57</f>
        <v>0.21705263157894736</v>
      </c>
      <c r="K57" s="13"/>
      <c r="L57" s="517">
        <f>SUM(L31:L56)</f>
        <v>44954000</v>
      </c>
      <c r="M57" s="517">
        <f>SUM(M31:M56)</f>
        <v>29068000</v>
      </c>
      <c r="N57" s="196">
        <f>M57/$L$57</f>
        <v>0.64661654135338342</v>
      </c>
      <c r="O57" s="197">
        <f>L57-M57</f>
        <v>15886000</v>
      </c>
      <c r="P57" s="198"/>
    </row>
    <row r="58" spans="1:18" ht="18" customHeight="1">
      <c r="A58" s="7" t="s">
        <v>96</v>
      </c>
      <c r="B58" s="189" t="s">
        <v>18</v>
      </c>
      <c r="C58" s="189" t="s">
        <v>546</v>
      </c>
      <c r="D58" s="7" t="s">
        <v>96</v>
      </c>
      <c r="E58" s="190">
        <v>10363000</v>
      </c>
      <c r="F58" s="509">
        <v>20800000</v>
      </c>
      <c r="G58" s="509"/>
      <c r="H58" s="179"/>
      <c r="I58" s="299"/>
      <c r="J58" s="186"/>
      <c r="K58" s="13"/>
      <c r="L58" s="509">
        <f>ROUND(1733333*12,-3)</f>
        <v>20800000</v>
      </c>
      <c r="M58" s="509"/>
      <c r="N58" s="179"/>
      <c r="O58" s="191"/>
      <c r="P58" s="192"/>
      <c r="R58" s="13" t="s">
        <v>617</v>
      </c>
    </row>
    <row r="59" spans="1:18" ht="18" customHeight="1">
      <c r="A59" s="7">
        <v>1</v>
      </c>
      <c r="B59" s="189"/>
      <c r="C59" s="189" t="s">
        <v>546</v>
      </c>
      <c r="D59" s="7" t="s">
        <v>438</v>
      </c>
      <c r="E59" s="190">
        <v>4559000</v>
      </c>
      <c r="F59" s="509"/>
      <c r="G59" s="509">
        <v>9075000</v>
      </c>
      <c r="H59" s="179">
        <f t="shared" ref="H59:H66" si="7">G59/$F$83</f>
        <v>0.43629807692307693</v>
      </c>
      <c r="I59" s="299"/>
      <c r="J59" s="186"/>
      <c r="K59" s="13"/>
      <c r="L59" s="509"/>
      <c r="M59" s="509">
        <f>ROUND(756258*12,-3)</f>
        <v>9075000</v>
      </c>
      <c r="N59" s="179">
        <f>M59/$L$83</f>
        <v>0.43629807692307693</v>
      </c>
      <c r="O59" s="191"/>
      <c r="P59" s="192"/>
    </row>
    <row r="60" spans="1:18" ht="18" customHeight="1">
      <c r="A60" s="7">
        <v>2</v>
      </c>
      <c r="B60" s="189"/>
      <c r="C60" s="189" t="s">
        <v>546</v>
      </c>
      <c r="D60" s="7" t="s">
        <v>436</v>
      </c>
      <c r="E60" s="190"/>
      <c r="F60" s="509"/>
      <c r="G60" s="509">
        <f t="shared" ref="G60:G69" si="8">ROUND(E60/9*12,-3)</f>
        <v>0</v>
      </c>
      <c r="H60" s="179">
        <f t="shared" si="7"/>
        <v>0</v>
      </c>
      <c r="I60" s="299"/>
      <c r="J60" s="186"/>
      <c r="K60" s="13"/>
      <c r="L60" s="509"/>
      <c r="M60" s="509">
        <f t="shared" ref="M60:M82" si="9">ROUND(G60,-3)</f>
        <v>0</v>
      </c>
      <c r="N60" s="179"/>
      <c r="O60" s="191"/>
      <c r="P60" s="192"/>
    </row>
    <row r="61" spans="1:18" ht="18" customHeight="1">
      <c r="A61" s="7">
        <v>3</v>
      </c>
      <c r="B61" s="189"/>
      <c r="C61" s="189" t="s">
        <v>546</v>
      </c>
      <c r="D61" s="7" t="s">
        <v>130</v>
      </c>
      <c r="E61" s="190"/>
      <c r="F61" s="509"/>
      <c r="G61" s="509">
        <f t="shared" si="8"/>
        <v>0</v>
      </c>
      <c r="H61" s="179">
        <f t="shared" si="7"/>
        <v>0</v>
      </c>
      <c r="I61" s="299"/>
      <c r="J61" s="186"/>
      <c r="K61" s="13"/>
      <c r="L61" s="509"/>
      <c r="M61" s="509">
        <f t="shared" si="9"/>
        <v>0</v>
      </c>
      <c r="N61" s="179"/>
      <c r="O61" s="191"/>
      <c r="P61" s="192"/>
    </row>
    <row r="62" spans="1:18" ht="18" customHeight="1">
      <c r="A62" s="7">
        <v>18</v>
      </c>
      <c r="B62" s="189"/>
      <c r="C62" s="189" t="s">
        <v>546</v>
      </c>
      <c r="D62" s="189" t="s">
        <v>639</v>
      </c>
      <c r="E62" s="190">
        <v>637000</v>
      </c>
      <c r="F62" s="509"/>
      <c r="G62" s="510">
        <v>1030000</v>
      </c>
      <c r="H62" s="179">
        <f t="shared" si="7"/>
        <v>4.9519230769230767E-2</v>
      </c>
      <c r="I62" s="299"/>
      <c r="J62" s="186"/>
      <c r="K62" s="13"/>
      <c r="L62" s="509"/>
      <c r="M62" s="509">
        <f t="shared" si="9"/>
        <v>1030000</v>
      </c>
      <c r="N62" s="179">
        <f>M62/$L$83</f>
        <v>4.9519230769230767E-2</v>
      </c>
      <c r="O62" s="191"/>
      <c r="P62" s="192"/>
    </row>
    <row r="63" spans="1:18" ht="18" customHeight="1">
      <c r="A63" s="7">
        <v>4</v>
      </c>
      <c r="B63" s="189"/>
      <c r="C63" s="189" t="s">
        <v>546</v>
      </c>
      <c r="D63" s="189" t="s">
        <v>84</v>
      </c>
      <c r="E63" s="190">
        <v>276000</v>
      </c>
      <c r="F63" s="509"/>
      <c r="G63" s="802">
        <v>736000</v>
      </c>
      <c r="H63" s="179">
        <f t="shared" si="7"/>
        <v>3.5384615384615382E-2</v>
      </c>
      <c r="I63" s="299"/>
      <c r="J63" s="186"/>
      <c r="K63" s="13"/>
      <c r="L63" s="509"/>
      <c r="M63" s="509">
        <f t="shared" si="9"/>
        <v>736000</v>
      </c>
      <c r="N63" s="179">
        <f>M63/$L$83</f>
        <v>3.5384615384615382E-2</v>
      </c>
      <c r="O63" s="191"/>
      <c r="P63" s="192"/>
    </row>
    <row r="64" spans="1:18" ht="18" customHeight="1">
      <c r="A64" s="7">
        <v>5</v>
      </c>
      <c r="B64" s="189"/>
      <c r="C64" s="189" t="s">
        <v>546</v>
      </c>
      <c r="D64" s="189" t="s">
        <v>132</v>
      </c>
      <c r="E64" s="190">
        <f>15860+250270</f>
        <v>266130</v>
      </c>
      <c r="F64" s="509"/>
      <c r="G64" s="670">
        <v>355000</v>
      </c>
      <c r="H64" s="179">
        <f t="shared" si="7"/>
        <v>1.7067307692307691E-2</v>
      </c>
      <c r="I64" s="299"/>
      <c r="J64" s="186"/>
      <c r="K64" s="13"/>
      <c r="L64" s="509"/>
      <c r="M64" s="509">
        <f t="shared" si="9"/>
        <v>355000</v>
      </c>
      <c r="N64" s="179"/>
      <c r="O64" s="191"/>
      <c r="P64" s="192"/>
      <c r="Q64" s="13" t="s">
        <v>555</v>
      </c>
    </row>
    <row r="65" spans="1:17" ht="18" customHeight="1">
      <c r="A65" s="7">
        <v>6</v>
      </c>
      <c r="B65" s="189"/>
      <c r="C65" s="189" t="s">
        <v>546</v>
      </c>
      <c r="D65" s="189" t="s">
        <v>85</v>
      </c>
      <c r="E65" s="190">
        <v>17000</v>
      </c>
      <c r="F65" s="509"/>
      <c r="G65" s="509">
        <v>23000</v>
      </c>
      <c r="H65" s="179">
        <f t="shared" si="7"/>
        <v>1.1057692307692307E-3</v>
      </c>
      <c r="I65" s="299"/>
      <c r="J65" s="186"/>
      <c r="K65" s="13"/>
      <c r="L65" s="509"/>
      <c r="M65" s="509">
        <f t="shared" si="9"/>
        <v>23000</v>
      </c>
      <c r="N65" s="179">
        <f>M65/$L$83</f>
        <v>1.1057692307692307E-3</v>
      </c>
      <c r="O65" s="191"/>
      <c r="P65" s="192"/>
    </row>
    <row r="66" spans="1:17" ht="18" customHeight="1">
      <c r="A66" s="7">
        <v>20</v>
      </c>
      <c r="B66" s="189"/>
      <c r="C66" s="189" t="s">
        <v>546</v>
      </c>
      <c r="D66" s="189" t="s">
        <v>133</v>
      </c>
      <c r="E66" s="190">
        <v>207000</v>
      </c>
      <c r="F66" s="509"/>
      <c r="G66" s="510">
        <v>0</v>
      </c>
      <c r="H66" s="179">
        <f t="shared" si="7"/>
        <v>0</v>
      </c>
      <c r="I66" s="299"/>
      <c r="J66" s="186"/>
      <c r="K66" s="13"/>
      <c r="L66" s="509"/>
      <c r="M66" s="509"/>
      <c r="N66" s="179"/>
      <c r="O66" s="191"/>
      <c r="P66" s="192"/>
    </row>
    <row r="67" spans="1:17" ht="18" customHeight="1">
      <c r="A67" s="7"/>
      <c r="B67" s="189"/>
      <c r="C67" s="189"/>
      <c r="D67" s="189" t="s">
        <v>86</v>
      </c>
      <c r="E67" s="190"/>
      <c r="F67" s="509"/>
      <c r="G67" s="510"/>
      <c r="H67" s="179"/>
      <c r="I67" s="299"/>
      <c r="J67" s="186"/>
      <c r="K67" s="13"/>
      <c r="L67" s="509"/>
      <c r="M67" s="509"/>
      <c r="N67" s="179"/>
      <c r="O67" s="191"/>
      <c r="P67" s="192"/>
    </row>
    <row r="68" spans="1:17" ht="18" customHeight="1">
      <c r="A68" s="7">
        <v>8</v>
      </c>
      <c r="B68" s="189"/>
      <c r="C68" s="189" t="s">
        <v>546</v>
      </c>
      <c r="D68" s="189" t="s">
        <v>98</v>
      </c>
      <c r="E68" s="190">
        <v>60000</v>
      </c>
      <c r="F68" s="509"/>
      <c r="G68" s="510">
        <v>60000</v>
      </c>
      <c r="H68" s="179">
        <f>G68/$F$83</f>
        <v>2.8846153846153848E-3</v>
      </c>
      <c r="I68" s="299"/>
      <c r="J68" s="186"/>
      <c r="K68" s="13"/>
      <c r="L68" s="509"/>
      <c r="M68" s="509">
        <f t="shared" si="9"/>
        <v>60000</v>
      </c>
      <c r="N68" s="179">
        <f>M68/$L$83</f>
        <v>2.8846153846153848E-3</v>
      </c>
      <c r="O68" s="191"/>
      <c r="P68" s="192"/>
    </row>
    <row r="69" spans="1:17" ht="18" customHeight="1">
      <c r="A69" s="7">
        <v>9</v>
      </c>
      <c r="B69" s="189"/>
      <c r="C69" s="189" t="s">
        <v>546</v>
      </c>
      <c r="D69" s="189" t="s">
        <v>87</v>
      </c>
      <c r="E69" s="190"/>
      <c r="F69" s="509"/>
      <c r="G69" s="509">
        <f t="shared" si="8"/>
        <v>0</v>
      </c>
      <c r="H69" s="179">
        <f>G69/$F$83</f>
        <v>0</v>
      </c>
      <c r="I69" s="299"/>
      <c r="J69" s="186"/>
      <c r="K69" s="13"/>
      <c r="L69" s="509"/>
      <c r="M69" s="509">
        <f t="shared" si="9"/>
        <v>0</v>
      </c>
      <c r="N69" s="179">
        <f>M69/$L$83</f>
        <v>0</v>
      </c>
      <c r="O69" s="191"/>
      <c r="P69" s="192"/>
    </row>
    <row r="70" spans="1:17" ht="18" customHeight="1">
      <c r="A70" s="7">
        <v>10</v>
      </c>
      <c r="B70" s="189"/>
      <c r="C70" s="189" t="s">
        <v>546</v>
      </c>
      <c r="D70" s="189" t="s">
        <v>121</v>
      </c>
      <c r="E70" s="190"/>
      <c r="F70" s="509"/>
      <c r="G70" s="509">
        <f>ROUND(3436000*5%,-3)</f>
        <v>172000</v>
      </c>
      <c r="H70" s="179">
        <f>G70/$F$83</f>
        <v>8.26923076923077E-3</v>
      </c>
      <c r="I70" s="299"/>
      <c r="J70" s="186"/>
      <c r="K70" s="13"/>
      <c r="L70" s="509"/>
      <c r="M70" s="509">
        <f t="shared" si="9"/>
        <v>172000</v>
      </c>
      <c r="N70" s="179"/>
      <c r="O70" s="191"/>
      <c r="P70" s="192"/>
    </row>
    <row r="71" spans="1:17" ht="18" customHeight="1">
      <c r="A71" s="7">
        <v>11</v>
      </c>
      <c r="B71" s="189"/>
      <c r="C71" s="189" t="s">
        <v>546</v>
      </c>
      <c r="D71" s="189" t="s">
        <v>88</v>
      </c>
      <c r="E71" s="190">
        <v>15000</v>
      </c>
      <c r="F71" s="509"/>
      <c r="G71" s="510">
        <v>15000</v>
      </c>
      <c r="H71" s="179">
        <f>G71/$F$83</f>
        <v>7.2115384615384619E-4</v>
      </c>
      <c r="I71" s="299"/>
      <c r="J71" s="186"/>
      <c r="K71" s="13"/>
      <c r="L71" s="509"/>
      <c r="M71" s="509">
        <f t="shared" si="9"/>
        <v>15000</v>
      </c>
      <c r="N71" s="179">
        <f>M71/$L$83</f>
        <v>7.2115384615384619E-4</v>
      </c>
      <c r="O71" s="191"/>
      <c r="P71" s="192"/>
    </row>
    <row r="72" spans="1:17" ht="18" customHeight="1">
      <c r="A72" s="7">
        <v>12</v>
      </c>
      <c r="B72" s="189"/>
      <c r="C72" s="189" t="s">
        <v>546</v>
      </c>
      <c r="D72" s="189" t="s">
        <v>89</v>
      </c>
      <c r="E72" s="190">
        <v>3000</v>
      </c>
      <c r="F72" s="509"/>
      <c r="G72" s="509">
        <v>4000</v>
      </c>
      <c r="H72" s="179">
        <f>G72/$F$83</f>
        <v>1.9230769230769231E-4</v>
      </c>
      <c r="I72" s="299"/>
      <c r="J72" s="186"/>
      <c r="K72" s="13"/>
      <c r="L72" s="509"/>
      <c r="M72" s="509">
        <f t="shared" si="9"/>
        <v>4000</v>
      </c>
      <c r="N72" s="179">
        <f>M72/$L$83</f>
        <v>1.9230769230769231E-4</v>
      </c>
      <c r="O72" s="191"/>
      <c r="P72" s="192"/>
    </row>
    <row r="73" spans="1:17" ht="18" customHeight="1">
      <c r="A73" s="7"/>
      <c r="B73" s="189"/>
      <c r="C73" s="189"/>
      <c r="D73" s="189" t="s">
        <v>101</v>
      </c>
      <c r="E73" s="190"/>
      <c r="F73" s="509"/>
      <c r="G73" s="509"/>
      <c r="H73" s="179"/>
      <c r="I73" s="299"/>
      <c r="J73" s="186"/>
      <c r="K73" s="13"/>
      <c r="L73" s="509"/>
      <c r="M73" s="509"/>
      <c r="N73" s="179"/>
      <c r="O73" s="191"/>
      <c r="P73" s="192"/>
    </row>
    <row r="74" spans="1:17" ht="18" customHeight="1">
      <c r="A74" s="7">
        <v>14</v>
      </c>
      <c r="B74" s="189"/>
      <c r="C74" s="189" t="s">
        <v>546</v>
      </c>
      <c r="D74" s="189" t="s">
        <v>90</v>
      </c>
      <c r="E74" s="190">
        <v>1000</v>
      </c>
      <c r="F74" s="509"/>
      <c r="G74" s="510">
        <v>1000</v>
      </c>
      <c r="H74" s="179">
        <f>G74/$F$83</f>
        <v>4.8076923076923077E-5</v>
      </c>
      <c r="I74" s="299"/>
      <c r="J74" s="186"/>
      <c r="K74" s="13"/>
      <c r="L74" s="509"/>
      <c r="M74" s="509">
        <f t="shared" si="9"/>
        <v>1000</v>
      </c>
      <c r="N74" s="179">
        <f>M74/$L$83</f>
        <v>4.8076923076923077E-5</v>
      </c>
      <c r="O74" s="191"/>
      <c r="P74" s="192"/>
    </row>
    <row r="75" spans="1:17" ht="18" customHeight="1">
      <c r="A75" s="7">
        <v>7</v>
      </c>
      <c r="B75" s="189"/>
      <c r="C75" s="189"/>
      <c r="D75" s="189" t="s">
        <v>173</v>
      </c>
      <c r="E75" s="190"/>
      <c r="F75" s="509"/>
      <c r="G75" s="510"/>
      <c r="H75" s="179"/>
      <c r="I75" s="299"/>
      <c r="J75" s="186"/>
      <c r="K75" s="13"/>
      <c r="L75" s="509"/>
      <c r="M75" s="509"/>
      <c r="N75" s="179"/>
      <c r="O75" s="191"/>
      <c r="P75" s="192"/>
    </row>
    <row r="76" spans="1:17" ht="18" customHeight="1">
      <c r="A76" s="7">
        <v>15</v>
      </c>
      <c r="B76" s="189"/>
      <c r="C76" s="189" t="s">
        <v>546</v>
      </c>
      <c r="D76" s="189" t="s">
        <v>91</v>
      </c>
      <c r="E76" s="190">
        <f>129597+5000</f>
        <v>134597</v>
      </c>
      <c r="F76" s="509"/>
      <c r="G76" s="670">
        <v>179000</v>
      </c>
      <c r="H76" s="179">
        <f>G76/$F$83</f>
        <v>8.6057692307692311E-3</v>
      </c>
      <c r="I76" s="299"/>
      <c r="J76" s="186"/>
      <c r="K76" s="13"/>
      <c r="L76" s="509"/>
      <c r="M76" s="509">
        <f>ROUND(G76,-3)</f>
        <v>179000</v>
      </c>
      <c r="N76" s="179"/>
      <c r="O76" s="191"/>
      <c r="P76" s="192"/>
      <c r="Q76" s="13" t="s">
        <v>555</v>
      </c>
    </row>
    <row r="77" spans="1:17" ht="18" customHeight="1">
      <c r="A77" s="7">
        <v>13</v>
      </c>
      <c r="B77" s="189"/>
      <c r="C77" s="189"/>
      <c r="D77" s="189" t="s">
        <v>136</v>
      </c>
      <c r="E77" s="190"/>
      <c r="F77" s="509"/>
      <c r="G77" s="510"/>
      <c r="H77" s="179"/>
      <c r="I77" s="299"/>
      <c r="J77" s="186"/>
      <c r="K77" s="13"/>
      <c r="L77" s="509"/>
      <c r="M77" s="509"/>
      <c r="N77" s="179"/>
      <c r="O77" s="191"/>
      <c r="P77" s="192"/>
    </row>
    <row r="78" spans="1:17" ht="18" customHeight="1">
      <c r="A78" s="7">
        <v>19</v>
      </c>
      <c r="B78" s="189"/>
      <c r="C78" s="189"/>
      <c r="D78" s="189" t="s">
        <v>109</v>
      </c>
      <c r="E78" s="190"/>
      <c r="F78" s="509"/>
      <c r="G78" s="510"/>
      <c r="H78" s="179"/>
      <c r="I78" s="299"/>
      <c r="J78" s="186"/>
      <c r="K78" s="13"/>
      <c r="L78" s="509"/>
      <c r="M78" s="509"/>
      <c r="N78" s="179"/>
      <c r="O78" s="191"/>
      <c r="P78" s="192"/>
    </row>
    <row r="79" spans="1:17" ht="18" customHeight="1">
      <c r="A79" s="7">
        <v>16</v>
      </c>
      <c r="B79" s="189"/>
      <c r="C79" s="189" t="s">
        <v>546</v>
      </c>
      <c r="D79" s="189" t="s">
        <v>92</v>
      </c>
      <c r="E79" s="190">
        <v>733000</v>
      </c>
      <c r="F79" s="509"/>
      <c r="G79" s="510">
        <v>1024000</v>
      </c>
      <c r="H79" s="179">
        <f>G79/$F$83</f>
        <v>4.9230769230769231E-2</v>
      </c>
      <c r="I79" s="299"/>
      <c r="J79" s="186"/>
      <c r="K79" s="13"/>
      <c r="L79" s="509"/>
      <c r="M79" s="509">
        <f t="shared" si="9"/>
        <v>1024000</v>
      </c>
      <c r="N79" s="179">
        <f>M79/$L$83</f>
        <v>4.9230769230769231E-2</v>
      </c>
      <c r="O79" s="191"/>
      <c r="P79" s="192"/>
    </row>
    <row r="80" spans="1:17" ht="18" customHeight="1">
      <c r="A80" s="7"/>
      <c r="B80" s="189"/>
      <c r="C80" s="189"/>
      <c r="D80" s="189" t="s">
        <v>386</v>
      </c>
      <c r="E80" s="190"/>
      <c r="F80" s="509"/>
      <c r="G80" s="510"/>
      <c r="H80" s="179"/>
      <c r="I80" s="299"/>
      <c r="J80" s="186"/>
      <c r="K80" s="13"/>
      <c r="L80" s="509"/>
      <c r="M80" s="509"/>
      <c r="N80" s="179"/>
      <c r="O80" s="191"/>
      <c r="P80" s="192"/>
    </row>
    <row r="81" spans="1:17" ht="18" customHeight="1">
      <c r="A81" s="7"/>
      <c r="B81" s="189"/>
      <c r="C81" s="189"/>
      <c r="D81" s="7" t="s">
        <v>677</v>
      </c>
      <c r="E81" s="190"/>
      <c r="F81" s="509"/>
      <c r="G81" s="510">
        <v>60000</v>
      </c>
      <c r="H81" s="179"/>
      <c r="I81" s="299"/>
      <c r="J81" s="186"/>
      <c r="K81" s="13"/>
      <c r="L81" s="509"/>
      <c r="M81" s="509"/>
      <c r="N81" s="179"/>
      <c r="O81" s="191"/>
      <c r="P81" s="192"/>
    </row>
    <row r="82" spans="1:17" ht="18" customHeight="1">
      <c r="A82" s="7">
        <v>17</v>
      </c>
      <c r="B82" s="189"/>
      <c r="C82" s="189" t="s">
        <v>546</v>
      </c>
      <c r="D82" s="189" t="s">
        <v>93</v>
      </c>
      <c r="E82" s="190">
        <v>19000</v>
      </c>
      <c r="F82" s="509"/>
      <c r="G82" s="509">
        <v>25000</v>
      </c>
      <c r="H82" s="179">
        <f>G82/$F$83</f>
        <v>1.201923076923077E-3</v>
      </c>
      <c r="I82" s="299"/>
      <c r="J82" s="186"/>
      <c r="K82" s="13"/>
      <c r="L82" s="509"/>
      <c r="M82" s="509">
        <f t="shared" si="9"/>
        <v>25000</v>
      </c>
      <c r="N82" s="179">
        <f>M82/$L$83</f>
        <v>1.201923076923077E-3</v>
      </c>
      <c r="O82" s="191"/>
      <c r="P82" s="192"/>
    </row>
    <row r="83" spans="1:17" ht="18" customHeight="1">
      <c r="A83" s="506"/>
      <c r="B83" s="193"/>
      <c r="C83" s="807" t="s">
        <v>94</v>
      </c>
      <c r="D83" s="189"/>
      <c r="E83" s="190"/>
      <c r="F83" s="512">
        <f>SUM(F58:F82)</f>
        <v>20800000</v>
      </c>
      <c r="G83" s="512">
        <f>SUM(G58:G82)</f>
        <v>12759000</v>
      </c>
      <c r="H83" s="194">
        <f>G83/$F$83</f>
        <v>0.61341346153846155</v>
      </c>
      <c r="I83" s="300">
        <f>F83-G83</f>
        <v>8041000</v>
      </c>
      <c r="J83" s="195">
        <f>I83/F83</f>
        <v>0.38658653846153845</v>
      </c>
      <c r="K83" s="13"/>
      <c r="L83" s="517">
        <f>SUM(L58:L82)</f>
        <v>20800000</v>
      </c>
      <c r="M83" s="517">
        <f>SUM(M58:M82)</f>
        <v>12699000</v>
      </c>
      <c r="N83" s="196">
        <f>M83/$L$83</f>
        <v>0.61052884615384617</v>
      </c>
      <c r="O83" s="197">
        <f>L83-M83</f>
        <v>8101000</v>
      </c>
      <c r="P83" s="198"/>
    </row>
    <row r="84" spans="1:17" ht="18" customHeight="1">
      <c r="A84" s="6" t="s">
        <v>100</v>
      </c>
      <c r="B84" s="182" t="s">
        <v>19</v>
      </c>
      <c r="C84" s="182" t="s">
        <v>99</v>
      </c>
      <c r="D84" s="6" t="s">
        <v>100</v>
      </c>
      <c r="E84" s="183">
        <v>12279000</v>
      </c>
      <c r="F84" s="508">
        <v>17616000</v>
      </c>
      <c r="G84" s="508"/>
      <c r="H84" s="184"/>
      <c r="I84" s="299"/>
      <c r="J84" s="186"/>
      <c r="K84" s="13"/>
      <c r="L84" s="509">
        <v>17616000</v>
      </c>
      <c r="M84" s="509"/>
      <c r="N84" s="179"/>
      <c r="O84" s="191"/>
      <c r="P84" s="192"/>
    </row>
    <row r="85" spans="1:17" ht="18" customHeight="1">
      <c r="A85" s="7">
        <v>1</v>
      </c>
      <c r="B85" s="189"/>
      <c r="C85" s="182" t="s">
        <v>99</v>
      </c>
      <c r="D85" s="7" t="s">
        <v>438</v>
      </c>
      <c r="E85" s="190">
        <v>6927000</v>
      </c>
      <c r="F85" s="509"/>
      <c r="G85" s="509">
        <f>ROUND(1050125*12,-3)</f>
        <v>12602000</v>
      </c>
      <c r="H85" s="179">
        <f>G85/$F$109</f>
        <v>0.7153723887375113</v>
      </c>
      <c r="I85" s="299"/>
      <c r="J85" s="186"/>
      <c r="K85" s="13"/>
      <c r="L85" s="509"/>
      <c r="M85" s="509">
        <f>ROUND(998125*12,-3)</f>
        <v>11978000</v>
      </c>
      <c r="N85" s="179">
        <f>M85/$L$109</f>
        <v>0.67995004541326065</v>
      </c>
      <c r="O85" s="191"/>
      <c r="P85" s="192"/>
    </row>
    <row r="86" spans="1:17" ht="18" customHeight="1">
      <c r="A86" s="7">
        <v>2</v>
      </c>
      <c r="B86" s="189"/>
      <c r="C86" s="182" t="s">
        <v>99</v>
      </c>
      <c r="D86" s="7" t="s">
        <v>436</v>
      </c>
      <c r="E86" s="190"/>
      <c r="F86" s="509"/>
      <c r="G86" s="509">
        <v>0</v>
      </c>
      <c r="H86" s="179">
        <f>G86/$F$109</f>
        <v>0</v>
      </c>
      <c r="I86" s="299"/>
      <c r="J86" s="186"/>
      <c r="K86" s="13"/>
      <c r="L86" s="509"/>
      <c r="M86" s="509">
        <f t="shared" ref="M86:M108" si="10">ROUND(G86,-3)</f>
        <v>0</v>
      </c>
      <c r="N86" s="179"/>
      <c r="O86" s="191"/>
      <c r="P86" s="192"/>
    </row>
    <row r="87" spans="1:17" ht="18" customHeight="1">
      <c r="A87" s="7">
        <v>3</v>
      </c>
      <c r="B87" s="189"/>
      <c r="C87" s="182" t="s">
        <v>99</v>
      </c>
      <c r="D87" s="7" t="s">
        <v>130</v>
      </c>
      <c r="E87" s="190"/>
      <c r="F87" s="509"/>
      <c r="G87" s="509">
        <v>0</v>
      </c>
      <c r="H87" s="179">
        <f>G87/$F$109</f>
        <v>0</v>
      </c>
      <c r="I87" s="299"/>
      <c r="J87" s="186"/>
      <c r="K87" s="13"/>
      <c r="L87" s="509"/>
      <c r="M87" s="509">
        <f t="shared" si="10"/>
        <v>0</v>
      </c>
      <c r="N87" s="179"/>
      <c r="O87" s="191"/>
      <c r="P87" s="192"/>
    </row>
    <row r="88" spans="1:17" ht="18" customHeight="1">
      <c r="A88" s="7">
        <v>4</v>
      </c>
      <c r="B88" s="189"/>
      <c r="C88" s="667"/>
      <c r="D88" s="667" t="s">
        <v>639</v>
      </c>
      <c r="E88" s="190"/>
      <c r="F88" s="509"/>
      <c r="G88" s="509"/>
      <c r="H88" s="179"/>
      <c r="I88" s="299"/>
      <c r="J88" s="186"/>
      <c r="K88" s="13"/>
      <c r="L88" s="509"/>
      <c r="M88" s="509"/>
      <c r="N88" s="179"/>
      <c r="O88" s="191"/>
      <c r="P88" s="192"/>
    </row>
    <row r="89" spans="1:17" ht="18" customHeight="1">
      <c r="A89" s="7"/>
      <c r="B89" s="189"/>
      <c r="C89" s="667"/>
      <c r="D89" s="667" t="s">
        <v>84</v>
      </c>
      <c r="E89" s="190"/>
      <c r="F89" s="509"/>
      <c r="G89" s="509">
        <v>0</v>
      </c>
      <c r="H89" s="179"/>
      <c r="I89" s="299"/>
      <c r="J89" s="186"/>
      <c r="K89" s="13"/>
      <c r="L89" s="509"/>
      <c r="M89" s="509"/>
      <c r="N89" s="179"/>
      <c r="O89" s="191"/>
      <c r="P89" s="192"/>
    </row>
    <row r="90" spans="1:17" ht="18" customHeight="1">
      <c r="A90" s="7">
        <v>5</v>
      </c>
      <c r="B90" s="189"/>
      <c r="C90" s="182" t="s">
        <v>99</v>
      </c>
      <c r="D90" s="667" t="s">
        <v>132</v>
      </c>
      <c r="E90" s="190">
        <v>24780</v>
      </c>
      <c r="F90" s="509"/>
      <c r="G90" s="670">
        <v>33000</v>
      </c>
      <c r="H90" s="179">
        <f>G90/$F$109</f>
        <v>1.8732970027247955E-3</v>
      </c>
      <c r="I90" s="299"/>
      <c r="J90" s="186"/>
      <c r="K90" s="13"/>
      <c r="L90" s="509"/>
      <c r="M90" s="509">
        <f>ROUND(G90*3,-3)</f>
        <v>99000</v>
      </c>
      <c r="N90" s="179"/>
      <c r="O90" s="191"/>
      <c r="P90" s="192"/>
      <c r="Q90" s="13" t="s">
        <v>556</v>
      </c>
    </row>
    <row r="91" spans="1:17" ht="18" customHeight="1">
      <c r="A91" s="7">
        <v>6</v>
      </c>
      <c r="B91" s="189"/>
      <c r="C91" s="182" t="s">
        <v>99</v>
      </c>
      <c r="D91" s="667" t="s">
        <v>85</v>
      </c>
      <c r="E91" s="190">
        <v>9000</v>
      </c>
      <c r="F91" s="509"/>
      <c r="G91" s="510">
        <v>9000</v>
      </c>
      <c r="H91" s="179">
        <f>G91/$F$109</f>
        <v>5.1089918256130786E-4</v>
      </c>
      <c r="I91" s="299"/>
      <c r="J91" s="186"/>
      <c r="K91" s="13"/>
      <c r="L91" s="509"/>
      <c r="M91" s="509">
        <f t="shared" si="10"/>
        <v>9000</v>
      </c>
      <c r="N91" s="179">
        <f>M91/$L$109</f>
        <v>5.1089918256130786E-4</v>
      </c>
      <c r="O91" s="191"/>
      <c r="P91" s="192"/>
    </row>
    <row r="92" spans="1:17" ht="18" customHeight="1">
      <c r="A92" s="7">
        <v>7</v>
      </c>
      <c r="B92" s="189"/>
      <c r="C92" s="667"/>
      <c r="D92" s="667" t="s">
        <v>133</v>
      </c>
      <c r="E92" s="190"/>
      <c r="F92" s="509"/>
      <c r="G92" s="510"/>
      <c r="H92" s="179"/>
      <c r="I92" s="299"/>
      <c r="J92" s="186"/>
      <c r="K92" s="13"/>
      <c r="L92" s="509"/>
      <c r="M92" s="509"/>
      <c r="N92" s="179"/>
      <c r="O92" s="191"/>
      <c r="P92" s="192"/>
    </row>
    <row r="93" spans="1:17" ht="18" customHeight="1">
      <c r="A93" s="7">
        <v>8</v>
      </c>
      <c r="B93" s="189"/>
      <c r="C93" s="667"/>
      <c r="D93" s="667" t="s">
        <v>86</v>
      </c>
      <c r="E93" s="190"/>
      <c r="F93" s="509"/>
      <c r="G93" s="510"/>
      <c r="H93" s="179"/>
      <c r="I93" s="299"/>
      <c r="J93" s="186"/>
      <c r="K93" s="13"/>
      <c r="L93" s="509"/>
      <c r="M93" s="509"/>
      <c r="N93" s="179"/>
      <c r="O93" s="191"/>
      <c r="P93" s="192"/>
    </row>
    <row r="94" spans="1:17" ht="18" customHeight="1">
      <c r="A94" s="7"/>
      <c r="B94" s="189"/>
      <c r="C94" s="667"/>
      <c r="D94" s="667" t="s">
        <v>98</v>
      </c>
      <c r="E94" s="190"/>
      <c r="F94" s="509"/>
      <c r="G94" s="510"/>
      <c r="H94" s="179"/>
      <c r="I94" s="299"/>
      <c r="J94" s="186"/>
      <c r="K94" s="13"/>
      <c r="L94" s="509"/>
      <c r="M94" s="509"/>
      <c r="N94" s="179"/>
      <c r="O94" s="191"/>
      <c r="P94" s="192"/>
    </row>
    <row r="95" spans="1:17" ht="18" customHeight="1">
      <c r="A95" s="7">
        <v>9</v>
      </c>
      <c r="B95" s="189"/>
      <c r="C95" s="182" t="s">
        <v>99</v>
      </c>
      <c r="D95" s="667" t="s">
        <v>87</v>
      </c>
      <c r="E95" s="190"/>
      <c r="F95" s="509"/>
      <c r="G95" s="509">
        <v>0</v>
      </c>
      <c r="H95" s="179">
        <f t="shared" ref="H95:H100" si="11">G95/$F$109</f>
        <v>0</v>
      </c>
      <c r="I95" s="299"/>
      <c r="J95" s="186"/>
      <c r="K95" s="13"/>
      <c r="L95" s="509"/>
      <c r="M95" s="509">
        <f t="shared" si="10"/>
        <v>0</v>
      </c>
      <c r="N95" s="179"/>
      <c r="O95" s="191"/>
      <c r="P95" s="192"/>
    </row>
    <row r="96" spans="1:17" ht="18" customHeight="1">
      <c r="A96" s="7">
        <v>10</v>
      </c>
      <c r="B96" s="189"/>
      <c r="C96" s="182" t="s">
        <v>99</v>
      </c>
      <c r="D96" s="667" t="s">
        <v>121</v>
      </c>
      <c r="E96" s="190"/>
      <c r="F96" s="509"/>
      <c r="G96" s="509">
        <f>ROUND(3436000*5%,-3)</f>
        <v>172000</v>
      </c>
      <c r="H96" s="179">
        <f t="shared" si="11"/>
        <v>9.7638510445049956E-3</v>
      </c>
      <c r="I96" s="299"/>
      <c r="J96" s="186"/>
      <c r="K96" s="13"/>
      <c r="L96" s="509"/>
      <c r="M96" s="509">
        <f t="shared" si="10"/>
        <v>172000</v>
      </c>
      <c r="N96" s="179"/>
      <c r="O96" s="191"/>
      <c r="P96" s="192"/>
    </row>
    <row r="97" spans="1:17" ht="18" customHeight="1">
      <c r="A97" s="7">
        <v>11</v>
      </c>
      <c r="B97" s="189"/>
      <c r="C97" s="182" t="s">
        <v>99</v>
      </c>
      <c r="D97" s="667" t="s">
        <v>88</v>
      </c>
      <c r="E97" s="190">
        <v>85000</v>
      </c>
      <c r="F97" s="509"/>
      <c r="G97" s="509">
        <v>13000</v>
      </c>
      <c r="H97" s="179">
        <f t="shared" si="11"/>
        <v>7.3796548592188914E-4</v>
      </c>
      <c r="I97" s="299"/>
      <c r="J97" s="186"/>
      <c r="K97" s="13"/>
      <c r="L97" s="509"/>
      <c r="M97" s="509">
        <f t="shared" si="10"/>
        <v>13000</v>
      </c>
      <c r="N97" s="179">
        <f>M97/$L$109</f>
        <v>7.3796548592188914E-4</v>
      </c>
      <c r="O97" s="191"/>
      <c r="P97" s="192"/>
    </row>
    <row r="98" spans="1:17" ht="18" customHeight="1">
      <c r="A98" s="7">
        <v>12</v>
      </c>
      <c r="B98" s="189"/>
      <c r="C98" s="182" t="s">
        <v>99</v>
      </c>
      <c r="D98" s="667" t="s">
        <v>89</v>
      </c>
      <c r="E98" s="190"/>
      <c r="F98" s="509"/>
      <c r="G98" s="509">
        <v>0</v>
      </c>
      <c r="H98" s="179">
        <f t="shared" si="11"/>
        <v>0</v>
      </c>
      <c r="I98" s="299"/>
      <c r="J98" s="186"/>
      <c r="K98" s="13"/>
      <c r="L98" s="509"/>
      <c r="M98" s="509">
        <f t="shared" si="10"/>
        <v>0</v>
      </c>
      <c r="N98" s="179">
        <f>M98/$L$109</f>
        <v>0</v>
      </c>
      <c r="O98" s="191"/>
      <c r="P98" s="192"/>
    </row>
    <row r="99" spans="1:17" ht="18" customHeight="1">
      <c r="A99" s="7">
        <v>13</v>
      </c>
      <c r="B99" s="189"/>
      <c r="C99" s="182" t="s">
        <v>99</v>
      </c>
      <c r="D99" s="667" t="s">
        <v>101</v>
      </c>
      <c r="E99" s="190">
        <v>10000</v>
      </c>
      <c r="F99" s="509"/>
      <c r="G99" s="510">
        <f>E99</f>
        <v>10000</v>
      </c>
      <c r="H99" s="179">
        <f t="shared" si="11"/>
        <v>5.6766575840145326E-4</v>
      </c>
      <c r="I99" s="299"/>
      <c r="J99" s="186"/>
      <c r="K99" s="13"/>
      <c r="L99" s="509"/>
      <c r="M99" s="509">
        <f t="shared" si="10"/>
        <v>10000</v>
      </c>
      <c r="N99" s="179">
        <f>M99/$L$109</f>
        <v>5.6766575840145326E-4</v>
      </c>
      <c r="O99" s="191"/>
      <c r="P99" s="192"/>
    </row>
    <row r="100" spans="1:17" ht="18" customHeight="1">
      <c r="A100" s="7">
        <v>14</v>
      </c>
      <c r="B100" s="189"/>
      <c r="C100" s="182" t="s">
        <v>99</v>
      </c>
      <c r="D100" s="667" t="s">
        <v>90</v>
      </c>
      <c r="E100" s="190">
        <v>2000</v>
      </c>
      <c r="F100" s="509"/>
      <c r="G100" s="509">
        <v>3000</v>
      </c>
      <c r="H100" s="179">
        <f t="shared" si="11"/>
        <v>1.7029972752043596E-4</v>
      </c>
      <c r="I100" s="299"/>
      <c r="J100" s="186"/>
      <c r="K100" s="13"/>
      <c r="L100" s="509"/>
      <c r="M100" s="509">
        <f t="shared" si="10"/>
        <v>3000</v>
      </c>
      <c r="N100" s="179">
        <f>M100/$L$109</f>
        <v>1.7029972752043596E-4</v>
      </c>
      <c r="O100" s="191"/>
      <c r="P100" s="192"/>
    </row>
    <row r="101" spans="1:17" ht="18" customHeight="1">
      <c r="A101" s="7"/>
      <c r="B101" s="189"/>
      <c r="C101" s="667"/>
      <c r="D101" s="667" t="s">
        <v>173</v>
      </c>
      <c r="E101" s="190"/>
      <c r="F101" s="509"/>
      <c r="G101" s="509"/>
      <c r="H101" s="179"/>
      <c r="I101" s="299"/>
      <c r="J101" s="186"/>
      <c r="K101" s="13"/>
      <c r="L101" s="509"/>
      <c r="M101" s="509"/>
      <c r="N101" s="179"/>
      <c r="O101" s="191"/>
      <c r="P101" s="192"/>
    </row>
    <row r="102" spans="1:17" ht="18" customHeight="1">
      <c r="A102" s="7">
        <v>15</v>
      </c>
      <c r="B102" s="189"/>
      <c r="C102" s="182" t="s">
        <v>99</v>
      </c>
      <c r="D102" s="667" t="s">
        <v>91</v>
      </c>
      <c r="E102" s="190">
        <v>66941</v>
      </c>
      <c r="F102" s="509"/>
      <c r="G102" s="670">
        <v>267000</v>
      </c>
      <c r="H102" s="179">
        <f>G102/$F$109</f>
        <v>1.5156675749318801E-2</v>
      </c>
      <c r="I102" s="299"/>
      <c r="J102" s="186"/>
      <c r="K102" s="13"/>
      <c r="L102" s="509"/>
      <c r="M102" s="509">
        <f>ROUND(G102*3,-3)</f>
        <v>801000</v>
      </c>
      <c r="N102" s="179">
        <f>M102/$L$109</f>
        <v>4.5470027247956402E-2</v>
      </c>
      <c r="O102" s="191"/>
      <c r="P102" s="192"/>
      <c r="Q102" s="13" t="s">
        <v>556</v>
      </c>
    </row>
    <row r="103" spans="1:17" ht="18" customHeight="1">
      <c r="A103" s="7">
        <v>19</v>
      </c>
      <c r="B103" s="189"/>
      <c r="C103" s="182" t="s">
        <v>99</v>
      </c>
      <c r="D103" s="667" t="s">
        <v>136</v>
      </c>
      <c r="E103" s="190">
        <v>20000</v>
      </c>
      <c r="F103" s="509"/>
      <c r="G103" s="509">
        <v>27000</v>
      </c>
      <c r="H103" s="179">
        <f>G103/$F$109</f>
        <v>1.5326975476839238E-3</v>
      </c>
      <c r="I103" s="299"/>
      <c r="J103" s="186"/>
      <c r="K103" s="13"/>
      <c r="L103" s="509"/>
      <c r="M103" s="509">
        <f>ROUND(G103,-3)</f>
        <v>27000</v>
      </c>
      <c r="N103" s="179"/>
      <c r="O103" s="191"/>
      <c r="P103" s="192"/>
    </row>
    <row r="104" spans="1:17" ht="18" customHeight="1">
      <c r="A104" s="7">
        <v>16</v>
      </c>
      <c r="B104" s="189"/>
      <c r="C104" s="667"/>
      <c r="D104" s="667" t="s">
        <v>109</v>
      </c>
      <c r="E104" s="190"/>
      <c r="F104" s="509"/>
      <c r="G104" s="670"/>
      <c r="H104" s="179"/>
      <c r="I104" s="299"/>
      <c r="J104" s="186"/>
      <c r="K104" s="13"/>
      <c r="L104" s="509"/>
      <c r="M104" s="509"/>
      <c r="N104" s="179"/>
      <c r="O104" s="191"/>
      <c r="P104" s="192"/>
    </row>
    <row r="105" spans="1:17" ht="18" customHeight="1">
      <c r="A105" s="7">
        <v>20</v>
      </c>
      <c r="B105" s="189"/>
      <c r="C105" s="667"/>
      <c r="D105" s="667" t="s">
        <v>92</v>
      </c>
      <c r="E105" s="190"/>
      <c r="F105" s="509"/>
      <c r="G105" s="509">
        <f>50000*12</f>
        <v>600000</v>
      </c>
      <c r="H105" s="179"/>
      <c r="I105" s="299"/>
      <c r="J105" s="186"/>
      <c r="K105" s="13"/>
      <c r="L105" s="509"/>
      <c r="M105" s="509"/>
      <c r="N105" s="179"/>
      <c r="O105" s="191"/>
      <c r="P105" s="192"/>
    </row>
    <row r="106" spans="1:17" ht="18" customHeight="1">
      <c r="A106" s="7">
        <v>21</v>
      </c>
      <c r="B106" s="189"/>
      <c r="C106" s="667"/>
      <c r="D106" s="667" t="s">
        <v>386</v>
      </c>
      <c r="E106" s="190"/>
      <c r="F106" s="509"/>
      <c r="G106" s="509"/>
      <c r="H106" s="179"/>
      <c r="I106" s="299"/>
      <c r="J106" s="186"/>
      <c r="K106" s="13"/>
      <c r="L106" s="509"/>
      <c r="M106" s="509"/>
      <c r="N106" s="179"/>
      <c r="O106" s="191"/>
      <c r="P106" s="192"/>
    </row>
    <row r="107" spans="1:17" ht="18" customHeight="1">
      <c r="A107" s="7"/>
      <c r="B107" s="189"/>
      <c r="C107" s="667"/>
      <c r="D107" s="7" t="s">
        <v>677</v>
      </c>
      <c r="E107" s="190"/>
      <c r="F107" s="509"/>
      <c r="G107" s="509">
        <v>60000</v>
      </c>
      <c r="H107" s="179"/>
      <c r="I107" s="299"/>
      <c r="J107" s="186"/>
      <c r="K107" s="13"/>
      <c r="L107" s="509"/>
      <c r="M107" s="509"/>
      <c r="N107" s="179"/>
      <c r="O107" s="191"/>
      <c r="P107" s="192"/>
    </row>
    <row r="108" spans="1:17" ht="18" customHeight="1">
      <c r="A108" s="7">
        <v>17</v>
      </c>
      <c r="B108" s="189"/>
      <c r="C108" s="182" t="s">
        <v>99</v>
      </c>
      <c r="D108" s="667" t="s">
        <v>93</v>
      </c>
      <c r="E108" s="190"/>
      <c r="F108" s="509"/>
      <c r="G108" s="509">
        <f t="shared" ref="G108" si="12">ROUND(E108/9*12,-3)</f>
        <v>0</v>
      </c>
      <c r="H108" s="179">
        <f>G108/$F$109</f>
        <v>0</v>
      </c>
      <c r="I108" s="299"/>
      <c r="J108" s="186"/>
      <c r="K108" s="13"/>
      <c r="L108" s="509"/>
      <c r="M108" s="509">
        <f t="shared" si="10"/>
        <v>0</v>
      </c>
      <c r="N108" s="179">
        <f>M108/$L$109</f>
        <v>0</v>
      </c>
      <c r="O108" s="191"/>
      <c r="P108" s="192"/>
    </row>
    <row r="109" spans="1:17" ht="18" customHeight="1">
      <c r="A109" s="506"/>
      <c r="B109" s="193"/>
      <c r="C109" s="807" t="s">
        <v>94</v>
      </c>
      <c r="D109" s="189"/>
      <c r="E109" s="190"/>
      <c r="F109" s="511">
        <f>SUM(F84:F108)</f>
        <v>17616000</v>
      </c>
      <c r="G109" s="511">
        <f>SUM(G84:G108)</f>
        <v>13796000</v>
      </c>
      <c r="H109" s="194">
        <f>G109/$F$109</f>
        <v>0.78315168029064486</v>
      </c>
      <c r="I109" s="300">
        <f>F109-G109</f>
        <v>3820000</v>
      </c>
      <c r="J109" s="195">
        <f>I109/F109</f>
        <v>0.21684831970935514</v>
      </c>
      <c r="K109" s="13"/>
      <c r="L109" s="517">
        <f>SUM(L84:L108)</f>
        <v>17616000</v>
      </c>
      <c r="M109" s="517">
        <f>SUM(M84:M108)</f>
        <v>13112000</v>
      </c>
      <c r="N109" s="196">
        <f>M109/$L$109</f>
        <v>0.74432334241598552</v>
      </c>
      <c r="O109" s="197">
        <f>L109-M109</f>
        <v>4504000</v>
      </c>
      <c r="P109" s="198"/>
    </row>
    <row r="110" spans="1:17" ht="18" customHeight="1">
      <c r="A110" s="7" t="s">
        <v>103</v>
      </c>
      <c r="B110" s="189" t="s">
        <v>20</v>
      </c>
      <c r="C110" s="189" t="s">
        <v>102</v>
      </c>
      <c r="D110" s="7" t="s">
        <v>103</v>
      </c>
      <c r="E110" s="190">
        <v>13743000</v>
      </c>
      <c r="F110" s="509">
        <v>20808000</v>
      </c>
      <c r="G110" s="509"/>
      <c r="H110" s="179"/>
      <c r="I110" s="299"/>
      <c r="J110" s="186"/>
      <c r="K110" s="13"/>
      <c r="L110" s="518">
        <f>1700000*12*102%</f>
        <v>20808000</v>
      </c>
      <c r="M110" s="509"/>
      <c r="N110" s="179"/>
      <c r="O110" s="191"/>
      <c r="P110" s="192"/>
    </row>
    <row r="111" spans="1:17" ht="18" customHeight="1">
      <c r="A111" s="7">
        <v>1</v>
      </c>
      <c r="B111" s="189"/>
      <c r="C111" s="189" t="s">
        <v>102</v>
      </c>
      <c r="D111" s="7" t="s">
        <v>438</v>
      </c>
      <c r="E111" s="190">
        <v>10020000</v>
      </c>
      <c r="F111" s="509"/>
      <c r="G111" s="509">
        <f>ROUND(1375068*12,-3)</f>
        <v>16501000</v>
      </c>
      <c r="H111" s="179">
        <f>G111/$F$135</f>
        <v>0.79301230296039982</v>
      </c>
      <c r="I111" s="299"/>
      <c r="J111" s="186"/>
      <c r="K111" s="13"/>
      <c r="L111" s="509"/>
      <c r="M111" s="509">
        <f>ROUND(1375068*12,-3)</f>
        <v>16501000</v>
      </c>
      <c r="N111" s="179">
        <f>M111/$L$135</f>
        <v>0.79301230296039982</v>
      </c>
      <c r="O111" s="191"/>
      <c r="P111" s="192"/>
    </row>
    <row r="112" spans="1:17" ht="18" customHeight="1">
      <c r="A112" s="7">
        <v>2</v>
      </c>
      <c r="B112" s="189"/>
      <c r="C112" s="189" t="s">
        <v>102</v>
      </c>
      <c r="D112" s="7" t="s">
        <v>436</v>
      </c>
      <c r="E112" s="190"/>
      <c r="F112" s="509"/>
      <c r="G112" s="509">
        <v>0</v>
      </c>
      <c r="H112" s="179">
        <f>G112/$F$135</f>
        <v>0</v>
      </c>
      <c r="I112" s="299"/>
      <c r="J112" s="186"/>
      <c r="K112" s="13"/>
      <c r="L112" s="509"/>
      <c r="M112" s="509">
        <f t="shared" ref="M112:M134" si="13">ROUND(G112,-3)</f>
        <v>0</v>
      </c>
      <c r="N112" s="179"/>
      <c r="O112" s="191"/>
      <c r="P112" s="192"/>
    </row>
    <row r="113" spans="1:17" ht="18" customHeight="1">
      <c r="A113" s="7">
        <v>3</v>
      </c>
      <c r="B113" s="189"/>
      <c r="C113" s="189" t="s">
        <v>102</v>
      </c>
      <c r="D113" s="7" t="s">
        <v>130</v>
      </c>
      <c r="E113" s="190"/>
      <c r="F113" s="509"/>
      <c r="G113" s="509">
        <v>0</v>
      </c>
      <c r="H113" s="179">
        <f>G113/$F$135</f>
        <v>0</v>
      </c>
      <c r="I113" s="299"/>
      <c r="J113" s="186"/>
      <c r="K113" s="13"/>
      <c r="L113" s="509"/>
      <c r="M113" s="509">
        <f t="shared" si="13"/>
        <v>0</v>
      </c>
      <c r="N113" s="179"/>
      <c r="O113" s="191"/>
      <c r="P113" s="192"/>
    </row>
    <row r="114" spans="1:17" ht="18" customHeight="1">
      <c r="A114" s="7"/>
      <c r="B114" s="189"/>
      <c r="C114" s="189"/>
      <c r="D114" s="189" t="s">
        <v>639</v>
      </c>
      <c r="E114" s="190"/>
      <c r="F114" s="509"/>
      <c r="G114" s="509"/>
      <c r="H114" s="179"/>
      <c r="I114" s="299"/>
      <c r="J114" s="186"/>
      <c r="K114" s="13"/>
      <c r="L114" s="509"/>
      <c r="M114" s="509"/>
      <c r="N114" s="179"/>
      <c r="O114" s="191"/>
      <c r="P114" s="192"/>
    </row>
    <row r="115" spans="1:17" ht="18" customHeight="1">
      <c r="A115" s="7">
        <v>4</v>
      </c>
      <c r="B115" s="189"/>
      <c r="C115" s="189" t="s">
        <v>102</v>
      </c>
      <c r="D115" s="189" t="s">
        <v>84</v>
      </c>
      <c r="E115" s="190">
        <v>48000</v>
      </c>
      <c r="F115" s="509"/>
      <c r="G115" s="509">
        <v>64000</v>
      </c>
      <c r="H115" s="179">
        <f t="shared" ref="H115:H121" si="14">G115/$F$135</f>
        <v>3.0757400999615533E-3</v>
      </c>
      <c r="I115" s="299"/>
      <c r="J115" s="186"/>
      <c r="K115" s="13"/>
      <c r="L115" s="509"/>
      <c r="M115" s="509">
        <f t="shared" si="13"/>
        <v>64000</v>
      </c>
      <c r="N115" s="179">
        <f>M115/$L$135</f>
        <v>3.0757400999615533E-3</v>
      </c>
      <c r="O115" s="191"/>
      <c r="P115" s="192"/>
    </row>
    <row r="116" spans="1:17" ht="18" customHeight="1">
      <c r="A116" s="7">
        <v>5</v>
      </c>
      <c r="B116" s="189"/>
      <c r="C116" s="189" t="s">
        <v>102</v>
      </c>
      <c r="D116" s="189" t="s">
        <v>132</v>
      </c>
      <c r="E116" s="190">
        <f>175730+177830</f>
        <v>353560</v>
      </c>
      <c r="F116" s="509"/>
      <c r="G116" s="670">
        <v>50000</v>
      </c>
      <c r="H116" s="179">
        <f t="shared" si="14"/>
        <v>2.4029219530949633E-3</v>
      </c>
      <c r="I116" s="299"/>
      <c r="J116" s="186"/>
      <c r="K116" s="13"/>
      <c r="L116" s="509"/>
      <c r="M116" s="509">
        <f>ROUND(25000+25000,-3)</f>
        <v>50000</v>
      </c>
      <c r="N116" s="179"/>
      <c r="O116" s="191"/>
      <c r="P116" s="192"/>
      <c r="Q116" s="13" t="s">
        <v>557</v>
      </c>
    </row>
    <row r="117" spans="1:17" ht="18" customHeight="1">
      <c r="A117" s="7">
        <v>6</v>
      </c>
      <c r="B117" s="189"/>
      <c r="C117" s="189" t="s">
        <v>102</v>
      </c>
      <c r="D117" s="189" t="s">
        <v>85</v>
      </c>
      <c r="E117" s="190">
        <v>5000</v>
      </c>
      <c r="F117" s="509"/>
      <c r="G117" s="509">
        <v>47000</v>
      </c>
      <c r="H117" s="179">
        <f t="shared" si="14"/>
        <v>2.2587466359092656E-3</v>
      </c>
      <c r="I117" s="299"/>
      <c r="J117" s="186"/>
      <c r="K117" s="13"/>
      <c r="L117" s="509"/>
      <c r="M117" s="509">
        <f t="shared" si="13"/>
        <v>47000</v>
      </c>
      <c r="N117" s="179">
        <f>M117/$L$135</f>
        <v>2.2587466359092656E-3</v>
      </c>
      <c r="O117" s="191"/>
      <c r="P117" s="192"/>
    </row>
    <row r="118" spans="1:17" ht="18" customHeight="1">
      <c r="A118" s="7">
        <v>20</v>
      </c>
      <c r="B118" s="189"/>
      <c r="C118" s="189"/>
      <c r="D118" s="189" t="s">
        <v>133</v>
      </c>
      <c r="E118" s="190">
        <v>22000</v>
      </c>
      <c r="F118" s="509"/>
      <c r="G118" s="509">
        <v>0</v>
      </c>
      <c r="H118" s="179">
        <f t="shared" si="14"/>
        <v>0</v>
      </c>
      <c r="I118" s="299"/>
      <c r="J118" s="186"/>
      <c r="K118" s="13"/>
      <c r="L118" s="509"/>
      <c r="M118" s="509"/>
      <c r="N118" s="179"/>
      <c r="O118" s="191"/>
      <c r="P118" s="192"/>
    </row>
    <row r="119" spans="1:17" ht="18" customHeight="1">
      <c r="A119" s="7">
        <v>7</v>
      </c>
      <c r="B119" s="189"/>
      <c r="C119" s="189" t="s">
        <v>102</v>
      </c>
      <c r="D119" s="189" t="s">
        <v>86</v>
      </c>
      <c r="E119" s="190">
        <v>34000</v>
      </c>
      <c r="F119" s="509"/>
      <c r="G119" s="510">
        <v>0</v>
      </c>
      <c r="H119" s="179">
        <f t="shared" si="14"/>
        <v>0</v>
      </c>
      <c r="I119" s="299"/>
      <c r="J119" s="186"/>
      <c r="K119" s="13"/>
      <c r="L119" s="509"/>
      <c r="M119" s="509">
        <v>0</v>
      </c>
      <c r="N119" s="179">
        <f>M119/$L$135</f>
        <v>0</v>
      </c>
      <c r="O119" s="191"/>
      <c r="P119" s="192"/>
    </row>
    <row r="120" spans="1:17" ht="18" customHeight="1">
      <c r="A120" s="7">
        <v>8</v>
      </c>
      <c r="B120" s="189"/>
      <c r="C120" s="189" t="s">
        <v>102</v>
      </c>
      <c r="D120" s="189" t="s">
        <v>98</v>
      </c>
      <c r="E120" s="190"/>
      <c r="F120" s="509"/>
      <c r="G120" s="509">
        <v>0</v>
      </c>
      <c r="H120" s="179">
        <f t="shared" si="14"/>
        <v>0</v>
      </c>
      <c r="I120" s="299"/>
      <c r="J120" s="186"/>
      <c r="K120" s="13"/>
      <c r="L120" s="509"/>
      <c r="M120" s="509">
        <f t="shared" si="13"/>
        <v>0</v>
      </c>
      <c r="N120" s="179">
        <f>M120/$L$135</f>
        <v>0</v>
      </c>
      <c r="O120" s="191"/>
      <c r="P120" s="192"/>
    </row>
    <row r="121" spans="1:17" ht="18" customHeight="1">
      <c r="A121" s="7"/>
      <c r="B121" s="189"/>
      <c r="C121" s="189"/>
      <c r="D121" s="189" t="s">
        <v>87</v>
      </c>
      <c r="E121" s="190"/>
      <c r="F121" s="509"/>
      <c r="G121" s="509">
        <v>0</v>
      </c>
      <c r="H121" s="179">
        <f t="shared" si="14"/>
        <v>0</v>
      </c>
      <c r="I121" s="299"/>
      <c r="J121" s="186"/>
      <c r="K121" s="13"/>
      <c r="L121" s="509"/>
      <c r="M121" s="509"/>
      <c r="N121" s="179"/>
      <c r="O121" s="191"/>
      <c r="P121" s="192"/>
    </row>
    <row r="122" spans="1:17" ht="18" customHeight="1">
      <c r="A122" s="7">
        <v>10</v>
      </c>
      <c r="B122" s="189"/>
      <c r="C122" s="189" t="s">
        <v>102</v>
      </c>
      <c r="D122" s="189" t="s">
        <v>121</v>
      </c>
      <c r="E122" s="190"/>
      <c r="F122" s="509"/>
      <c r="G122" s="509">
        <f>ROUND(3436000*16%,-3)</f>
        <v>550000</v>
      </c>
      <c r="H122" s="179">
        <f>G122/$F$135</f>
        <v>2.6432141484044599E-2</v>
      </c>
      <c r="I122" s="299"/>
      <c r="J122" s="186"/>
      <c r="K122" s="13"/>
      <c r="L122" s="509"/>
      <c r="M122" s="509">
        <f t="shared" si="13"/>
        <v>550000</v>
      </c>
      <c r="N122" s="179"/>
      <c r="O122" s="191"/>
      <c r="P122" s="192"/>
    </row>
    <row r="123" spans="1:17" ht="18" customHeight="1">
      <c r="A123" s="7">
        <v>11</v>
      </c>
      <c r="B123" s="189"/>
      <c r="C123" s="189" t="s">
        <v>102</v>
      </c>
      <c r="D123" s="189" t="s">
        <v>88</v>
      </c>
      <c r="E123" s="190">
        <v>80000</v>
      </c>
      <c r="F123" s="509"/>
      <c r="G123" s="509">
        <v>107000</v>
      </c>
      <c r="H123" s="179">
        <f>G123/$F$135</f>
        <v>5.1422529796232219E-3</v>
      </c>
      <c r="I123" s="299"/>
      <c r="J123" s="186"/>
      <c r="K123" s="13"/>
      <c r="L123" s="509"/>
      <c r="M123" s="509">
        <f t="shared" si="13"/>
        <v>107000</v>
      </c>
      <c r="N123" s="179">
        <f>M123/$L$135</f>
        <v>5.1422529796232219E-3</v>
      </c>
      <c r="O123" s="191"/>
      <c r="P123" s="192"/>
    </row>
    <row r="124" spans="1:17" ht="18" customHeight="1">
      <c r="A124" s="7">
        <v>12</v>
      </c>
      <c r="B124" s="189"/>
      <c r="C124" s="189" t="s">
        <v>102</v>
      </c>
      <c r="D124" s="189" t="s">
        <v>89</v>
      </c>
      <c r="E124" s="190">
        <v>4000</v>
      </c>
      <c r="F124" s="509"/>
      <c r="G124" s="509">
        <v>0</v>
      </c>
      <c r="H124" s="179">
        <f>G124/$F$135</f>
        <v>0</v>
      </c>
      <c r="I124" s="299"/>
      <c r="J124" s="186"/>
      <c r="K124" s="13"/>
      <c r="L124" s="509"/>
      <c r="M124" s="509">
        <v>0</v>
      </c>
      <c r="N124" s="179">
        <f>M124/$L$135</f>
        <v>0</v>
      </c>
      <c r="O124" s="191"/>
      <c r="P124" s="192"/>
    </row>
    <row r="125" spans="1:17" ht="18" customHeight="1">
      <c r="A125" s="7">
        <v>13</v>
      </c>
      <c r="B125" s="189"/>
      <c r="C125" s="189" t="s">
        <v>102</v>
      </c>
      <c r="D125" s="189" t="s">
        <v>101</v>
      </c>
      <c r="E125" s="190">
        <v>5000</v>
      </c>
      <c r="F125" s="509"/>
      <c r="G125" s="510">
        <f>E125</f>
        <v>5000</v>
      </c>
      <c r="H125" s="179">
        <f>G125/$F$135</f>
        <v>2.4029219530949635E-4</v>
      </c>
      <c r="I125" s="299"/>
      <c r="J125" s="186"/>
      <c r="K125" s="13"/>
      <c r="L125" s="509"/>
      <c r="M125" s="509">
        <f t="shared" si="13"/>
        <v>5000</v>
      </c>
      <c r="N125" s="179">
        <f>M125/$L$135</f>
        <v>2.4029219530949635E-4</v>
      </c>
      <c r="O125" s="191"/>
      <c r="P125" s="192"/>
    </row>
    <row r="126" spans="1:17" ht="18" customHeight="1">
      <c r="A126" s="7">
        <v>14</v>
      </c>
      <c r="B126" s="189"/>
      <c r="C126" s="189" t="s">
        <v>102</v>
      </c>
      <c r="D126" s="189" t="s">
        <v>90</v>
      </c>
      <c r="E126" s="190">
        <v>18000</v>
      </c>
      <c r="F126" s="509"/>
      <c r="G126" s="509">
        <v>0</v>
      </c>
      <c r="H126" s="179">
        <f>G126/$F$135</f>
        <v>0</v>
      </c>
      <c r="I126" s="299"/>
      <c r="J126" s="186"/>
      <c r="K126" s="13"/>
      <c r="L126" s="509"/>
      <c r="M126" s="509">
        <v>0</v>
      </c>
      <c r="N126" s="179">
        <f>M126/$L$135</f>
        <v>0</v>
      </c>
      <c r="O126" s="191"/>
      <c r="P126" s="192"/>
    </row>
    <row r="127" spans="1:17" ht="18" customHeight="1">
      <c r="A127" s="7"/>
      <c r="B127" s="189"/>
      <c r="C127" s="189"/>
      <c r="D127" s="189" t="s">
        <v>173</v>
      </c>
      <c r="E127" s="190"/>
      <c r="F127" s="509"/>
      <c r="G127" s="509"/>
      <c r="H127" s="179"/>
      <c r="I127" s="299"/>
      <c r="J127" s="186"/>
      <c r="K127" s="13"/>
      <c r="L127" s="509"/>
      <c r="M127" s="509"/>
      <c r="N127" s="179"/>
      <c r="O127" s="191"/>
      <c r="P127" s="192"/>
    </row>
    <row r="128" spans="1:17" ht="18" customHeight="1">
      <c r="A128" s="7">
        <v>15</v>
      </c>
      <c r="B128" s="189"/>
      <c r="C128" s="189" t="s">
        <v>102</v>
      </c>
      <c r="D128" s="189" t="s">
        <v>91</v>
      </c>
      <c r="E128" s="190">
        <f>138100+124875</f>
        <v>262975</v>
      </c>
      <c r="F128" s="509"/>
      <c r="G128" s="670">
        <v>162000</v>
      </c>
      <c r="H128" s="179">
        <f>G128/$F$135</f>
        <v>7.7854671280276812E-3</v>
      </c>
      <c r="I128" s="299"/>
      <c r="J128" s="186"/>
      <c r="K128" s="13"/>
      <c r="L128" s="509"/>
      <c r="M128" s="509">
        <f>ROUND(13500*12,-3)</f>
        <v>162000</v>
      </c>
      <c r="N128" s="179">
        <f>M128/$L$135</f>
        <v>7.7854671280276812E-3</v>
      </c>
      <c r="O128" s="191"/>
      <c r="P128" s="192"/>
      <c r="Q128" s="13" t="s">
        <v>557</v>
      </c>
    </row>
    <row r="129" spans="1:18" ht="18" customHeight="1">
      <c r="A129" s="7"/>
      <c r="B129" s="189"/>
      <c r="C129" s="189"/>
      <c r="D129" s="189" t="s">
        <v>136</v>
      </c>
      <c r="E129" s="190"/>
      <c r="F129" s="509"/>
      <c r="G129" s="670"/>
      <c r="H129" s="179"/>
      <c r="I129" s="299"/>
      <c r="J129" s="186"/>
      <c r="K129" s="13"/>
      <c r="L129" s="509"/>
      <c r="M129" s="509"/>
      <c r="N129" s="179"/>
      <c r="O129" s="191"/>
      <c r="P129" s="192"/>
    </row>
    <row r="130" spans="1:18" ht="18" customHeight="1">
      <c r="A130" s="7">
        <v>21</v>
      </c>
      <c r="B130" s="189"/>
      <c r="C130" s="189" t="s">
        <v>102</v>
      </c>
      <c r="D130" s="189" t="s">
        <v>109</v>
      </c>
      <c r="E130" s="190"/>
      <c r="F130" s="509"/>
      <c r="G130" s="509">
        <f t="shared" ref="G130" si="15">ROUND(E130/9*12,-3)</f>
        <v>0</v>
      </c>
      <c r="H130" s="179">
        <f>G130/$F$135</f>
        <v>0</v>
      </c>
      <c r="I130" s="299"/>
      <c r="J130" s="186"/>
      <c r="K130" s="13"/>
      <c r="L130" s="509"/>
      <c r="M130" s="509">
        <f t="shared" si="13"/>
        <v>0</v>
      </c>
      <c r="N130" s="179">
        <f>M130/$L$135</f>
        <v>0</v>
      </c>
      <c r="O130" s="191"/>
      <c r="P130" s="192"/>
    </row>
    <row r="131" spans="1:18" ht="18" customHeight="1">
      <c r="A131" s="7">
        <v>16</v>
      </c>
      <c r="B131" s="189"/>
      <c r="C131" s="189" t="s">
        <v>102</v>
      </c>
      <c r="D131" s="189" t="s">
        <v>92</v>
      </c>
      <c r="E131" s="190">
        <v>450000</v>
      </c>
      <c r="F131" s="509"/>
      <c r="G131" s="509">
        <v>240000</v>
      </c>
      <c r="H131" s="179">
        <f>G131/$F$135</f>
        <v>1.1534025374855825E-2</v>
      </c>
      <c r="I131" s="299"/>
      <c r="J131" s="186"/>
      <c r="K131" s="13"/>
      <c r="L131" s="509"/>
      <c r="M131" s="509">
        <f>20000*12</f>
        <v>240000</v>
      </c>
      <c r="N131" s="179">
        <f>M131/$L$135</f>
        <v>1.1534025374855825E-2</v>
      </c>
      <c r="O131" s="191"/>
      <c r="P131" s="192"/>
      <c r="R131" s="13" t="s">
        <v>614</v>
      </c>
    </row>
    <row r="132" spans="1:18" ht="18" customHeight="1">
      <c r="A132" s="7"/>
      <c r="B132" s="189"/>
      <c r="C132" s="189"/>
      <c r="D132" s="189" t="s">
        <v>386</v>
      </c>
      <c r="E132" s="190"/>
      <c r="F132" s="509"/>
      <c r="G132" s="509"/>
      <c r="H132" s="179"/>
      <c r="I132" s="299"/>
      <c r="J132" s="186"/>
      <c r="K132" s="13"/>
      <c r="L132" s="509"/>
      <c r="M132" s="509"/>
      <c r="N132" s="179"/>
      <c r="O132" s="191"/>
      <c r="P132" s="192"/>
    </row>
    <row r="133" spans="1:18" ht="18" customHeight="1">
      <c r="A133" s="7"/>
      <c r="B133" s="189"/>
      <c r="C133" s="189"/>
      <c r="D133" s="7" t="s">
        <v>677</v>
      </c>
      <c r="E133" s="190"/>
      <c r="F133" s="509"/>
      <c r="G133" s="509">
        <v>60000</v>
      </c>
      <c r="H133" s="179"/>
      <c r="I133" s="299"/>
      <c r="J133" s="186"/>
      <c r="K133" s="13"/>
      <c r="L133" s="509"/>
      <c r="M133" s="509"/>
      <c r="N133" s="179"/>
      <c r="O133" s="191"/>
      <c r="P133" s="192"/>
    </row>
    <row r="134" spans="1:18" ht="18" customHeight="1">
      <c r="A134" s="7">
        <v>17</v>
      </c>
      <c r="B134" s="189"/>
      <c r="C134" s="189" t="s">
        <v>102</v>
      </c>
      <c r="D134" s="189" t="s">
        <v>93</v>
      </c>
      <c r="E134" s="190">
        <v>5000</v>
      </c>
      <c r="F134" s="509"/>
      <c r="G134" s="509">
        <v>7000</v>
      </c>
      <c r="H134" s="179">
        <f>G134/$F$135</f>
        <v>3.364090734332949E-4</v>
      </c>
      <c r="I134" s="299"/>
      <c r="J134" s="186"/>
      <c r="K134" s="13"/>
      <c r="L134" s="509"/>
      <c r="M134" s="509">
        <f t="shared" si="13"/>
        <v>7000</v>
      </c>
      <c r="N134" s="179">
        <f>M134/$L$135</f>
        <v>3.364090734332949E-4</v>
      </c>
      <c r="O134" s="191"/>
      <c r="P134" s="192"/>
    </row>
    <row r="135" spans="1:18" ht="18" customHeight="1">
      <c r="A135" s="506"/>
      <c r="B135" s="193"/>
      <c r="C135" s="189"/>
      <c r="D135" s="189"/>
      <c r="E135" s="190"/>
      <c r="F135" s="511">
        <f>SUM(F110:F134)</f>
        <v>20808000</v>
      </c>
      <c r="G135" s="511">
        <f>SUM(G110:G134)</f>
        <v>17793000</v>
      </c>
      <c r="H135" s="194">
        <f>G135/$F$135</f>
        <v>0.85510380622837368</v>
      </c>
      <c r="I135" s="300">
        <f>F135-G135</f>
        <v>3015000</v>
      </c>
      <c r="J135" s="195">
        <f>I135/F135</f>
        <v>0.1448961937716263</v>
      </c>
      <c r="K135" s="13"/>
      <c r="L135" s="517">
        <f>SUM(L110:L134)</f>
        <v>20808000</v>
      </c>
      <c r="M135" s="517">
        <f>SUM(M110:M134)</f>
        <v>17733000</v>
      </c>
      <c r="N135" s="196">
        <f>M135/$L$135</f>
        <v>0.85222029988465975</v>
      </c>
      <c r="O135" s="197">
        <f>L135-M135</f>
        <v>3075000</v>
      </c>
      <c r="P135" s="198"/>
    </row>
    <row r="136" spans="1:18" ht="18" customHeight="1">
      <c r="A136" s="8" t="s">
        <v>347</v>
      </c>
      <c r="B136" s="182" t="s">
        <v>104</v>
      </c>
      <c r="C136" s="206" t="s">
        <v>486</v>
      </c>
      <c r="D136" s="718" t="s">
        <v>347</v>
      </c>
      <c r="E136" s="719">
        <v>8186000</v>
      </c>
      <c r="F136" s="509">
        <f>14*5800*5*50</f>
        <v>20300000</v>
      </c>
      <c r="G136" s="720"/>
      <c r="H136" s="721"/>
      <c r="I136" s="299"/>
      <c r="J136" s="186"/>
      <c r="K136" s="723"/>
      <c r="L136" s="509">
        <f>(5800*15*5*50)</f>
        <v>21750000</v>
      </c>
      <c r="M136" s="509"/>
      <c r="N136" s="179"/>
      <c r="O136" s="191"/>
      <c r="P136" s="192"/>
      <c r="R136" s="13" t="s">
        <v>618</v>
      </c>
    </row>
    <row r="137" spans="1:18" ht="18" customHeight="1">
      <c r="A137" s="8" t="s">
        <v>348</v>
      </c>
      <c r="B137" s="182"/>
      <c r="C137" s="580"/>
      <c r="D137" s="718" t="s">
        <v>348</v>
      </c>
      <c r="E137" s="719">
        <v>4797000</v>
      </c>
      <c r="F137" s="509">
        <f>(500000+(700*5*20*4)+300000)*12</f>
        <v>12960000</v>
      </c>
      <c r="G137" s="720"/>
      <c r="H137" s="721"/>
      <c r="I137" s="299"/>
      <c r="J137" s="186"/>
      <c r="K137" s="723"/>
      <c r="L137" s="509">
        <f>ROUND(((3102496+34100+154600)/9*12)+4262000,-3)</f>
        <v>8650000</v>
      </c>
      <c r="M137" s="509"/>
      <c r="N137" s="179"/>
      <c r="O137" s="191"/>
      <c r="P137" s="192"/>
    </row>
    <row r="138" spans="1:18" ht="18" customHeight="1">
      <c r="A138" s="200" t="s">
        <v>105</v>
      </c>
      <c r="B138" s="189"/>
      <c r="C138" s="580"/>
      <c r="D138" s="724" t="s">
        <v>105</v>
      </c>
      <c r="E138" s="725">
        <v>528000</v>
      </c>
      <c r="F138" s="726">
        <v>0</v>
      </c>
      <c r="G138" s="726"/>
      <c r="H138" s="727"/>
      <c r="I138" s="728"/>
      <c r="J138" s="729"/>
      <c r="K138" s="730"/>
      <c r="L138" s="726">
        <f t="shared" ref="L138" si="16">ROUND(F138,-3)</f>
        <v>0</v>
      </c>
      <c r="M138" s="726"/>
      <c r="N138" s="727"/>
      <c r="O138" s="731"/>
      <c r="P138" s="192"/>
    </row>
    <row r="139" spans="1:18" ht="18" customHeight="1">
      <c r="A139" s="7" t="s">
        <v>584</v>
      </c>
      <c r="B139" s="189"/>
      <c r="C139" s="580"/>
      <c r="D139" s="718" t="s">
        <v>543</v>
      </c>
      <c r="E139" s="719">
        <f>11990000-E140</f>
        <v>7800000</v>
      </c>
      <c r="F139" s="720"/>
      <c r="G139" s="720">
        <f>ROUND(984958*12,-3)+((50000+50000+120000+80000)*12)</f>
        <v>15419000</v>
      </c>
      <c r="H139" s="721">
        <f t="shared" ref="H139:H164" si="17">G139/$F$164</f>
        <v>0.46358989777510523</v>
      </c>
      <c r="I139" s="299"/>
      <c r="J139" s="186"/>
      <c r="K139" s="13"/>
      <c r="L139" s="720"/>
      <c r="M139" s="720">
        <f>ROUND(984958*12,-3)+((200000+50000+120000+80000)*12)</f>
        <v>17219000</v>
      </c>
      <c r="N139" s="721">
        <f>M139/$L$164</f>
        <v>0.5664144736842105</v>
      </c>
      <c r="O139" s="722"/>
      <c r="P139" s="192"/>
      <c r="R139" s="13" t="s">
        <v>620</v>
      </c>
    </row>
    <row r="140" spans="1:18" ht="18" customHeight="1">
      <c r="A140" s="7" t="s">
        <v>585</v>
      </c>
      <c r="B140" s="189"/>
      <c r="C140" s="580"/>
      <c r="D140" s="7" t="s">
        <v>544</v>
      </c>
      <c r="E140" s="190">
        <v>4190000</v>
      </c>
      <c r="F140" s="509"/>
      <c r="G140" s="509">
        <f>700*5*20*12*14</f>
        <v>11760000</v>
      </c>
      <c r="H140" s="179">
        <f t="shared" si="17"/>
        <v>0.35357787131689716</v>
      </c>
      <c r="I140" s="299"/>
      <c r="J140" s="186"/>
      <c r="K140" s="13"/>
      <c r="L140" s="509"/>
      <c r="M140" s="509">
        <f>ROUND(700*12*4*5*50,-3)</f>
        <v>8400000</v>
      </c>
      <c r="N140" s="179">
        <f>M140/$L$164</f>
        <v>0.27631578947368424</v>
      </c>
      <c r="O140" s="191"/>
      <c r="P140" s="192"/>
      <c r="R140" s="13" t="s">
        <v>603</v>
      </c>
    </row>
    <row r="141" spans="1:18" ht="18" hidden="1" customHeight="1">
      <c r="A141" s="7">
        <v>2</v>
      </c>
      <c r="B141" s="189"/>
      <c r="C141" s="580"/>
      <c r="D141" s="7" t="s">
        <v>436</v>
      </c>
      <c r="E141" s="190"/>
      <c r="F141" s="509"/>
      <c r="G141" s="509">
        <f t="shared" ref="G141:G159" si="18">ROUND(E141/9*12,-3)</f>
        <v>0</v>
      </c>
      <c r="H141" s="179">
        <f t="shared" si="17"/>
        <v>0</v>
      </c>
      <c r="I141" s="299"/>
      <c r="J141" s="186"/>
      <c r="K141" s="13"/>
      <c r="L141" s="509"/>
      <c r="M141" s="509">
        <f t="shared" ref="M141:M159" si="19">ROUND(G141,-3)</f>
        <v>0</v>
      </c>
      <c r="N141" s="179"/>
      <c r="O141" s="191"/>
      <c r="P141" s="192"/>
    </row>
    <row r="142" spans="1:18" ht="18" hidden="1" customHeight="1">
      <c r="A142" s="7">
        <v>3</v>
      </c>
      <c r="B142" s="189"/>
      <c r="C142" s="580"/>
      <c r="D142" s="7" t="s">
        <v>130</v>
      </c>
      <c r="E142" s="190"/>
      <c r="F142" s="509"/>
      <c r="G142" s="509">
        <f t="shared" si="18"/>
        <v>0</v>
      </c>
      <c r="H142" s="179">
        <f t="shared" si="17"/>
        <v>0</v>
      </c>
      <c r="I142" s="299"/>
      <c r="J142" s="186"/>
      <c r="K142" s="13"/>
      <c r="L142" s="509"/>
      <c r="M142" s="509">
        <f t="shared" si="19"/>
        <v>0</v>
      </c>
      <c r="N142" s="179"/>
      <c r="O142" s="191"/>
      <c r="P142" s="192"/>
    </row>
    <row r="143" spans="1:18" ht="18" customHeight="1">
      <c r="A143" s="7">
        <v>18</v>
      </c>
      <c r="B143" s="189"/>
      <c r="C143" s="580"/>
      <c r="D143" s="189" t="s">
        <v>639</v>
      </c>
      <c r="E143" s="190">
        <v>706000</v>
      </c>
      <c r="F143" s="509"/>
      <c r="G143" s="509">
        <v>941000</v>
      </c>
      <c r="H143" s="179">
        <f t="shared" si="17"/>
        <v>2.8292242934455803E-2</v>
      </c>
      <c r="I143" s="299"/>
      <c r="J143" s="186"/>
      <c r="K143" s="13"/>
      <c r="L143" s="509"/>
      <c r="M143" s="509">
        <f t="shared" si="19"/>
        <v>941000</v>
      </c>
      <c r="N143" s="179">
        <f>M143/$L$164</f>
        <v>3.0953947368421053E-2</v>
      </c>
      <c r="O143" s="191"/>
      <c r="P143" s="192"/>
    </row>
    <row r="144" spans="1:18" ht="18" customHeight="1">
      <c r="A144" s="7">
        <v>4</v>
      </c>
      <c r="B144" s="189"/>
      <c r="C144" s="580"/>
      <c r="D144" s="189" t="s">
        <v>84</v>
      </c>
      <c r="E144" s="190">
        <v>220000</v>
      </c>
      <c r="F144" s="509"/>
      <c r="G144" s="509">
        <v>293000</v>
      </c>
      <c r="H144" s="179">
        <f t="shared" si="17"/>
        <v>8.8093806374022858E-3</v>
      </c>
      <c r="I144" s="299"/>
      <c r="J144" s="186"/>
      <c r="K144" s="13"/>
      <c r="L144" s="509"/>
      <c r="M144" s="509">
        <f t="shared" si="19"/>
        <v>293000</v>
      </c>
      <c r="N144" s="179">
        <f>M144/$L$164</f>
        <v>9.6381578947368415E-3</v>
      </c>
      <c r="O144" s="191"/>
      <c r="P144" s="192"/>
    </row>
    <row r="145" spans="1:17" ht="18" customHeight="1">
      <c r="A145" s="7">
        <v>5</v>
      </c>
      <c r="B145" s="189"/>
      <c r="C145" s="580"/>
      <c r="D145" s="189" t="s">
        <v>132</v>
      </c>
      <c r="E145" s="190">
        <f>10000+85880+289340+36180</f>
        <v>421400</v>
      </c>
      <c r="F145" s="509"/>
      <c r="G145" s="670">
        <v>562000</v>
      </c>
      <c r="H145" s="179">
        <f t="shared" si="17"/>
        <v>1.6897173782321105E-2</v>
      </c>
      <c r="I145" s="299"/>
      <c r="J145" s="186"/>
      <c r="K145" s="13"/>
      <c r="L145" s="509"/>
      <c r="M145" s="509">
        <f t="shared" si="19"/>
        <v>562000</v>
      </c>
      <c r="N145" s="179"/>
      <c r="O145" s="191"/>
      <c r="P145" s="192"/>
      <c r="Q145" s="13" t="s">
        <v>558</v>
      </c>
    </row>
    <row r="146" spans="1:17" ht="18" customHeight="1">
      <c r="A146" s="7">
        <v>6</v>
      </c>
      <c r="B146" s="189"/>
      <c r="C146" s="580"/>
      <c r="D146" s="189" t="s">
        <v>85</v>
      </c>
      <c r="E146" s="190">
        <v>484000</v>
      </c>
      <c r="F146" s="509"/>
      <c r="G146" s="509">
        <v>0</v>
      </c>
      <c r="H146" s="179">
        <f t="shared" si="17"/>
        <v>0</v>
      </c>
      <c r="I146" s="299"/>
      <c r="J146" s="186"/>
      <c r="K146" s="13"/>
      <c r="L146" s="509"/>
      <c r="M146" s="509">
        <f t="shared" si="19"/>
        <v>0</v>
      </c>
      <c r="N146" s="179">
        <f t="shared" ref="N146:N164" si="20">M146/$L$164</f>
        <v>0</v>
      </c>
      <c r="O146" s="191"/>
      <c r="P146" s="192"/>
    </row>
    <row r="147" spans="1:17" ht="18" customHeight="1">
      <c r="A147" s="7">
        <v>20</v>
      </c>
      <c r="B147" s="189"/>
      <c r="C147" s="580"/>
      <c r="D147" s="189" t="s">
        <v>133</v>
      </c>
      <c r="E147" s="190">
        <v>13000</v>
      </c>
      <c r="F147" s="509"/>
      <c r="G147" s="509">
        <v>17000</v>
      </c>
      <c r="H147" s="179">
        <f t="shared" si="17"/>
        <v>5.111244738424534E-4</v>
      </c>
      <c r="I147" s="299"/>
      <c r="J147" s="186"/>
      <c r="K147" s="13"/>
      <c r="L147" s="509"/>
      <c r="M147" s="509">
        <f t="shared" si="19"/>
        <v>17000</v>
      </c>
      <c r="N147" s="179">
        <f t="shared" si="20"/>
        <v>5.5921052631578943E-4</v>
      </c>
      <c r="O147" s="191"/>
      <c r="P147" s="192"/>
    </row>
    <row r="148" spans="1:17" ht="18" customHeight="1">
      <c r="A148" s="7">
        <v>7</v>
      </c>
      <c r="B148" s="189"/>
      <c r="C148" s="580"/>
      <c r="D148" s="189" t="s">
        <v>86</v>
      </c>
      <c r="E148" s="190">
        <v>25000</v>
      </c>
      <c r="F148" s="509"/>
      <c r="G148" s="510">
        <v>25000</v>
      </c>
      <c r="H148" s="179">
        <f t="shared" si="17"/>
        <v>7.5165363800360797E-4</v>
      </c>
      <c r="I148" s="299"/>
      <c r="J148" s="186"/>
      <c r="K148" s="13"/>
      <c r="L148" s="509"/>
      <c r="M148" s="509">
        <f t="shared" si="19"/>
        <v>25000</v>
      </c>
      <c r="N148" s="179">
        <f t="shared" si="20"/>
        <v>8.2236842105263153E-4</v>
      </c>
      <c r="O148" s="191"/>
      <c r="P148" s="192"/>
    </row>
    <row r="149" spans="1:17" ht="18" customHeight="1">
      <c r="A149" s="7">
        <v>8</v>
      </c>
      <c r="B149" s="189"/>
      <c r="C149" s="580"/>
      <c r="D149" s="189" t="s">
        <v>98</v>
      </c>
      <c r="E149" s="190">
        <v>58000</v>
      </c>
      <c r="F149" s="509"/>
      <c r="G149" s="510">
        <v>58000</v>
      </c>
      <c r="H149" s="179">
        <f t="shared" si="17"/>
        <v>1.7438364401683704E-3</v>
      </c>
      <c r="I149" s="299"/>
      <c r="J149" s="186"/>
      <c r="K149" s="13"/>
      <c r="L149" s="509"/>
      <c r="M149" s="509">
        <f t="shared" si="19"/>
        <v>58000</v>
      </c>
      <c r="N149" s="179">
        <f t="shared" si="20"/>
        <v>1.9078947368421052E-3</v>
      </c>
      <c r="O149" s="191"/>
      <c r="P149" s="192"/>
    </row>
    <row r="150" spans="1:17" ht="18" customHeight="1">
      <c r="A150" s="7"/>
      <c r="B150" s="189"/>
      <c r="C150" s="580"/>
      <c r="D150" s="189" t="s">
        <v>87</v>
      </c>
      <c r="E150" s="190"/>
      <c r="F150" s="509"/>
      <c r="G150" s="510"/>
      <c r="H150" s="179"/>
      <c r="I150" s="299"/>
      <c r="J150" s="186"/>
      <c r="K150" s="13"/>
      <c r="L150" s="509"/>
      <c r="M150" s="509"/>
      <c r="N150" s="179"/>
      <c r="O150" s="191"/>
      <c r="P150" s="192"/>
    </row>
    <row r="151" spans="1:17" ht="18" customHeight="1">
      <c r="A151" s="7">
        <v>10</v>
      </c>
      <c r="B151" s="189"/>
      <c r="C151" s="580"/>
      <c r="D151" s="189" t="s">
        <v>121</v>
      </c>
      <c r="E151" s="190">
        <v>7000</v>
      </c>
      <c r="F151" s="509"/>
      <c r="G151" s="509">
        <f>ROUND(3436000*10%,-3)+9000</f>
        <v>353000</v>
      </c>
      <c r="H151" s="179">
        <f t="shared" si="17"/>
        <v>1.0613349368610945E-2</v>
      </c>
      <c r="I151" s="299"/>
      <c r="J151" s="186"/>
      <c r="K151" s="13"/>
      <c r="L151" s="509"/>
      <c r="M151" s="509">
        <f t="shared" si="19"/>
        <v>353000</v>
      </c>
      <c r="N151" s="179">
        <f t="shared" si="20"/>
        <v>1.1611842105263158E-2</v>
      </c>
      <c r="O151" s="191"/>
      <c r="P151" s="192"/>
    </row>
    <row r="152" spans="1:17" ht="18" customHeight="1">
      <c r="A152" s="7">
        <v>11</v>
      </c>
      <c r="B152" s="189"/>
      <c r="C152" s="580"/>
      <c r="D152" s="189" t="s">
        <v>88</v>
      </c>
      <c r="E152" s="190">
        <v>82000</v>
      </c>
      <c r="F152" s="509"/>
      <c r="G152" s="509">
        <v>109000</v>
      </c>
      <c r="H152" s="179">
        <f t="shared" si="17"/>
        <v>3.2772098616957305E-3</v>
      </c>
      <c r="I152" s="299"/>
      <c r="J152" s="186"/>
      <c r="K152" s="13"/>
      <c r="L152" s="509"/>
      <c r="M152" s="509">
        <f t="shared" si="19"/>
        <v>109000</v>
      </c>
      <c r="N152" s="179">
        <f t="shared" si="20"/>
        <v>3.5855263157894735E-3</v>
      </c>
      <c r="O152" s="191"/>
      <c r="P152" s="192"/>
    </row>
    <row r="153" spans="1:17" ht="18" customHeight="1">
      <c r="A153" s="7">
        <v>12</v>
      </c>
      <c r="B153" s="189"/>
      <c r="C153" s="580"/>
      <c r="D153" s="189" t="s">
        <v>89</v>
      </c>
      <c r="E153" s="190">
        <v>53000</v>
      </c>
      <c r="F153" s="509"/>
      <c r="G153" s="509">
        <v>71000</v>
      </c>
      <c r="H153" s="179">
        <f t="shared" si="17"/>
        <v>2.1346963319302465E-3</v>
      </c>
      <c r="I153" s="299"/>
      <c r="J153" s="186"/>
      <c r="K153" s="13"/>
      <c r="L153" s="509"/>
      <c r="M153" s="509">
        <f t="shared" si="19"/>
        <v>71000</v>
      </c>
      <c r="N153" s="179">
        <f t="shared" si="20"/>
        <v>2.3355263157894737E-3</v>
      </c>
      <c r="O153" s="191"/>
      <c r="P153" s="192"/>
    </row>
    <row r="154" spans="1:17" ht="18" customHeight="1">
      <c r="A154" s="7">
        <v>13</v>
      </c>
      <c r="B154" s="189"/>
      <c r="C154" s="580"/>
      <c r="D154" s="189" t="s">
        <v>101</v>
      </c>
      <c r="E154" s="190"/>
      <c r="F154" s="509"/>
      <c r="G154" s="509">
        <v>0</v>
      </c>
      <c r="H154" s="179">
        <f t="shared" si="17"/>
        <v>0</v>
      </c>
      <c r="I154" s="299"/>
      <c r="J154" s="186"/>
      <c r="K154" s="13"/>
      <c r="L154" s="509"/>
      <c r="M154" s="509">
        <f t="shared" si="19"/>
        <v>0</v>
      </c>
      <c r="N154" s="179">
        <f t="shared" si="20"/>
        <v>0</v>
      </c>
      <c r="O154" s="191"/>
      <c r="P154" s="192"/>
    </row>
    <row r="155" spans="1:17" ht="18" customHeight="1">
      <c r="A155" s="7">
        <v>14</v>
      </c>
      <c r="B155" s="189"/>
      <c r="C155" s="580"/>
      <c r="D155" s="189" t="s">
        <v>90</v>
      </c>
      <c r="E155" s="190"/>
      <c r="F155" s="509"/>
      <c r="G155" s="509">
        <v>0</v>
      </c>
      <c r="H155" s="179">
        <f t="shared" si="17"/>
        <v>0</v>
      </c>
      <c r="I155" s="299"/>
      <c r="J155" s="186"/>
      <c r="K155" s="13"/>
      <c r="L155" s="509"/>
      <c r="M155" s="509">
        <f t="shared" si="19"/>
        <v>0</v>
      </c>
      <c r="N155" s="179">
        <f t="shared" si="20"/>
        <v>0</v>
      </c>
      <c r="O155" s="191"/>
      <c r="P155" s="192"/>
    </row>
    <row r="156" spans="1:17" ht="18" customHeight="1">
      <c r="A156" s="7"/>
      <c r="B156" s="189"/>
      <c r="C156" s="580"/>
      <c r="D156" s="189" t="s">
        <v>173</v>
      </c>
      <c r="E156" s="190"/>
      <c r="F156" s="509"/>
      <c r="G156" s="509"/>
      <c r="H156" s="179"/>
      <c r="I156" s="299"/>
      <c r="J156" s="186"/>
      <c r="K156" s="13"/>
      <c r="L156" s="509"/>
      <c r="M156" s="509"/>
      <c r="N156" s="179"/>
      <c r="O156" s="191"/>
      <c r="P156" s="192"/>
    </row>
    <row r="157" spans="1:17" ht="18" customHeight="1">
      <c r="A157" s="7">
        <v>15</v>
      </c>
      <c r="B157" s="189"/>
      <c r="C157" s="580"/>
      <c r="D157" s="189" t="s">
        <v>91</v>
      </c>
      <c r="E157" s="190">
        <f>63000+99756+368807+62674</f>
        <v>594237</v>
      </c>
      <c r="F157" s="509"/>
      <c r="G157" s="670">
        <v>396000</v>
      </c>
      <c r="H157" s="179">
        <f t="shared" si="17"/>
        <v>1.1906193625977149E-2</v>
      </c>
      <c r="I157" s="299"/>
      <c r="J157" s="186"/>
      <c r="K157" s="13"/>
      <c r="L157" s="509"/>
      <c r="M157" s="509">
        <f t="shared" si="19"/>
        <v>396000</v>
      </c>
      <c r="N157" s="179">
        <f t="shared" si="20"/>
        <v>1.3026315789473684E-2</v>
      </c>
      <c r="O157" s="191"/>
      <c r="P157" s="192"/>
      <c r="Q157" s="13" t="s">
        <v>558</v>
      </c>
    </row>
    <row r="158" spans="1:17" ht="18" customHeight="1">
      <c r="A158" s="7"/>
      <c r="B158" s="189"/>
      <c r="C158" s="580"/>
      <c r="D158" s="189" t="s">
        <v>136</v>
      </c>
      <c r="E158" s="190"/>
      <c r="F158" s="509"/>
      <c r="G158" s="670"/>
      <c r="H158" s="179"/>
      <c r="I158" s="299"/>
      <c r="J158" s="186"/>
      <c r="K158" s="13"/>
      <c r="L158" s="509"/>
      <c r="M158" s="509"/>
      <c r="N158" s="179"/>
      <c r="O158" s="191"/>
      <c r="P158" s="192"/>
    </row>
    <row r="159" spans="1:17" ht="18" customHeight="1">
      <c r="A159" s="7">
        <v>21</v>
      </c>
      <c r="B159" s="189"/>
      <c r="C159" s="580"/>
      <c r="D159" s="189" t="s">
        <v>109</v>
      </c>
      <c r="E159" s="190"/>
      <c r="F159" s="509"/>
      <c r="G159" s="509">
        <f t="shared" si="18"/>
        <v>0</v>
      </c>
      <c r="H159" s="179">
        <f t="shared" si="17"/>
        <v>0</v>
      </c>
      <c r="I159" s="299"/>
      <c r="J159" s="186"/>
      <c r="K159" s="13"/>
      <c r="L159" s="509"/>
      <c r="M159" s="509">
        <f t="shared" si="19"/>
        <v>0</v>
      </c>
      <c r="N159" s="179">
        <f t="shared" si="20"/>
        <v>0</v>
      </c>
      <c r="O159" s="191"/>
      <c r="P159" s="192"/>
    </row>
    <row r="160" spans="1:17" ht="18" customHeight="1">
      <c r="A160" s="7">
        <v>16</v>
      </c>
      <c r="B160" s="189"/>
      <c r="C160" s="580"/>
      <c r="D160" s="189" t="s">
        <v>92</v>
      </c>
      <c r="E160" s="190">
        <v>260000</v>
      </c>
      <c r="F160" s="509"/>
      <c r="G160" s="509">
        <v>600000</v>
      </c>
      <c r="H160" s="179">
        <f t="shared" si="17"/>
        <v>1.8039687312086591E-2</v>
      </c>
      <c r="I160" s="299"/>
      <c r="J160" s="186"/>
      <c r="K160" s="13"/>
      <c r="L160" s="509"/>
      <c r="M160" s="509">
        <f>50000*12</f>
        <v>600000</v>
      </c>
      <c r="N160" s="179">
        <f t="shared" si="20"/>
        <v>1.9736842105263157E-2</v>
      </c>
      <c r="O160" s="191"/>
      <c r="P160" s="192"/>
    </row>
    <row r="161" spans="1:18" ht="18" customHeight="1">
      <c r="A161" s="7"/>
      <c r="B161" s="189"/>
      <c r="C161" s="580"/>
      <c r="D161" s="189" t="s">
        <v>386</v>
      </c>
      <c r="E161" s="190"/>
      <c r="F161" s="509"/>
      <c r="G161" s="509"/>
      <c r="H161" s="179"/>
      <c r="I161" s="299"/>
      <c r="J161" s="186"/>
      <c r="K161" s="13"/>
      <c r="L161" s="509"/>
      <c r="M161" s="509"/>
      <c r="N161" s="179"/>
      <c r="O161" s="191"/>
      <c r="P161" s="192"/>
    </row>
    <row r="162" spans="1:18" ht="18" customHeight="1">
      <c r="A162" s="7"/>
      <c r="B162" s="189"/>
      <c r="C162" s="580"/>
      <c r="D162" s="7" t="s">
        <v>677</v>
      </c>
      <c r="E162" s="190"/>
      <c r="F162" s="509"/>
      <c r="G162" s="509">
        <v>60000</v>
      </c>
      <c r="H162" s="179"/>
      <c r="I162" s="299"/>
      <c r="J162" s="186"/>
      <c r="K162" s="13"/>
      <c r="L162" s="509"/>
      <c r="M162" s="509"/>
      <c r="N162" s="179"/>
      <c r="O162" s="191"/>
      <c r="P162" s="192"/>
    </row>
    <row r="163" spans="1:18" ht="18" customHeight="1">
      <c r="A163" s="7">
        <v>17</v>
      </c>
      <c r="B163" s="189"/>
      <c r="C163" s="667"/>
      <c r="D163" s="189" t="s">
        <v>93</v>
      </c>
      <c r="E163" s="190">
        <v>446000</v>
      </c>
      <c r="F163" s="509"/>
      <c r="G163" s="509">
        <v>0</v>
      </c>
      <c r="H163" s="179">
        <f t="shared" si="17"/>
        <v>0</v>
      </c>
      <c r="I163" s="299"/>
      <c r="J163" s="186"/>
      <c r="K163" s="13"/>
      <c r="L163" s="509"/>
      <c r="M163" s="509">
        <v>0</v>
      </c>
      <c r="N163" s="179">
        <f t="shared" si="20"/>
        <v>0</v>
      </c>
      <c r="O163" s="191"/>
      <c r="P163" s="192"/>
    </row>
    <row r="164" spans="1:18" ht="18" customHeight="1">
      <c r="A164" s="506"/>
      <c r="B164" s="193"/>
      <c r="C164" s="807" t="s">
        <v>94</v>
      </c>
      <c r="D164" s="189"/>
      <c r="E164" s="711"/>
      <c r="F164" s="712">
        <f>SUM(F136:F163)</f>
        <v>33260000</v>
      </c>
      <c r="G164" s="712">
        <f>SUM(G136:G163)</f>
        <v>30664000</v>
      </c>
      <c r="H164" s="713">
        <f t="shared" si="17"/>
        <v>0.92194828622970537</v>
      </c>
      <c r="I164" s="714">
        <f>F164-G164</f>
        <v>2596000</v>
      </c>
      <c r="J164" s="195">
        <f>I164/F164</f>
        <v>7.8051713770294642E-2</v>
      </c>
      <c r="K164" s="13"/>
      <c r="L164" s="715">
        <f>SUM(L136:L163)</f>
        <v>30400000</v>
      </c>
      <c r="M164" s="715">
        <f>SUM(M136:M163)</f>
        <v>29044000</v>
      </c>
      <c r="N164" s="716">
        <f t="shared" si="20"/>
        <v>0.9553947368421053</v>
      </c>
      <c r="O164" s="717">
        <f>L164-M164</f>
        <v>1356000</v>
      </c>
      <c r="P164" s="198"/>
    </row>
    <row r="165" spans="1:18" ht="18" customHeight="1">
      <c r="A165" s="182" t="s">
        <v>496</v>
      </c>
      <c r="B165" s="182" t="s">
        <v>12</v>
      </c>
      <c r="C165" s="182" t="s">
        <v>495</v>
      </c>
      <c r="D165" s="182" t="s">
        <v>496</v>
      </c>
      <c r="E165" s="183">
        <v>6554000</v>
      </c>
      <c r="F165" s="508">
        <v>17424000</v>
      </c>
      <c r="G165" s="508"/>
      <c r="H165" s="184"/>
      <c r="I165" s="299"/>
      <c r="J165" s="186"/>
      <c r="K165" s="13"/>
      <c r="L165" s="509">
        <f>(((60000*16)+(56000*2))+380000)*12</f>
        <v>17424000</v>
      </c>
      <c r="M165" s="509"/>
      <c r="N165" s="179"/>
      <c r="O165" s="191"/>
      <c r="P165" s="192"/>
      <c r="R165" s="509" t="s">
        <v>608</v>
      </c>
    </row>
    <row r="166" spans="1:18" ht="18" customHeight="1">
      <c r="A166" s="182" t="s">
        <v>416</v>
      </c>
      <c r="B166" s="182"/>
      <c r="C166" s="182" t="s">
        <v>495</v>
      </c>
      <c r="D166" s="182" t="s">
        <v>416</v>
      </c>
      <c r="E166" s="183"/>
      <c r="F166" s="508"/>
      <c r="G166" s="508"/>
      <c r="H166" s="184"/>
      <c r="I166" s="299"/>
      <c r="J166" s="186"/>
      <c r="K166" s="13"/>
      <c r="L166" s="509"/>
      <c r="M166" s="509"/>
      <c r="N166" s="179"/>
      <c r="O166" s="191"/>
      <c r="P166" s="192"/>
    </row>
    <row r="167" spans="1:18" ht="18" customHeight="1">
      <c r="A167" s="7">
        <v>1</v>
      </c>
      <c r="B167" s="189"/>
      <c r="C167" s="182" t="s">
        <v>495</v>
      </c>
      <c r="D167" s="7" t="s">
        <v>354</v>
      </c>
      <c r="E167" s="190">
        <v>2657000</v>
      </c>
      <c r="F167" s="509"/>
      <c r="G167" s="509">
        <f>ROUND(453792*12,-3)</f>
        <v>5446000</v>
      </c>
      <c r="H167" s="179">
        <f>G167/$F$191</f>
        <v>0.31255739210284667</v>
      </c>
      <c r="I167" s="299"/>
      <c r="J167" s="186"/>
      <c r="K167" s="13"/>
      <c r="L167" s="509"/>
      <c r="M167" s="509">
        <f>ROUND(453792*12,-3)</f>
        <v>5446000</v>
      </c>
      <c r="N167" s="179">
        <f>M167/$L$191</f>
        <v>0.31255739210284667</v>
      </c>
      <c r="O167" s="191"/>
      <c r="P167" s="192"/>
    </row>
    <row r="168" spans="1:18" ht="18" customHeight="1">
      <c r="A168" s="7">
        <v>2</v>
      </c>
      <c r="B168" s="189"/>
      <c r="C168" s="182" t="s">
        <v>495</v>
      </c>
      <c r="D168" s="7" t="s">
        <v>436</v>
      </c>
      <c r="E168" s="190"/>
      <c r="F168" s="509"/>
      <c r="G168" s="509">
        <v>0</v>
      </c>
      <c r="H168" s="179">
        <f>G168/$F$191</f>
        <v>0</v>
      </c>
      <c r="I168" s="299"/>
      <c r="J168" s="186"/>
      <c r="K168" s="13"/>
      <c r="L168" s="509"/>
      <c r="M168" s="509"/>
      <c r="N168" s="179">
        <f>M168/$L$191</f>
        <v>0</v>
      </c>
      <c r="O168" s="191"/>
      <c r="P168" s="192"/>
    </row>
    <row r="169" spans="1:18" ht="18" customHeight="1">
      <c r="A169" s="7">
        <v>3</v>
      </c>
      <c r="B169" s="189"/>
      <c r="C169" s="182" t="s">
        <v>495</v>
      </c>
      <c r="D169" s="7" t="s">
        <v>130</v>
      </c>
      <c r="E169" s="190"/>
      <c r="F169" s="509"/>
      <c r="G169" s="509">
        <v>0</v>
      </c>
      <c r="H169" s="179">
        <f>G169/$F$191</f>
        <v>0</v>
      </c>
      <c r="I169" s="299"/>
      <c r="J169" s="186"/>
      <c r="K169" s="13"/>
      <c r="L169" s="509"/>
      <c r="M169" s="509"/>
      <c r="N169" s="179">
        <f>M169/$L$191</f>
        <v>0</v>
      </c>
      <c r="O169" s="191"/>
      <c r="P169" s="192"/>
    </row>
    <row r="170" spans="1:18" ht="18" customHeight="1">
      <c r="A170" s="7">
        <v>18</v>
      </c>
      <c r="B170" s="189"/>
      <c r="C170" s="182" t="s">
        <v>495</v>
      </c>
      <c r="D170" s="667" t="s">
        <v>367</v>
      </c>
      <c r="E170" s="190"/>
      <c r="F170" s="509"/>
      <c r="G170" s="509">
        <v>0</v>
      </c>
      <c r="H170" s="179">
        <f>G170/$F$191</f>
        <v>0</v>
      </c>
      <c r="I170" s="299"/>
      <c r="J170" s="186"/>
      <c r="K170" s="13"/>
      <c r="L170" s="509"/>
      <c r="M170" s="509"/>
      <c r="N170" s="179">
        <f>M170/$L$191</f>
        <v>0</v>
      </c>
      <c r="O170" s="191"/>
      <c r="P170" s="192"/>
    </row>
    <row r="171" spans="1:18" ht="18" customHeight="1">
      <c r="A171" s="7">
        <v>4</v>
      </c>
      <c r="B171" s="189"/>
      <c r="C171" s="182" t="s">
        <v>495</v>
      </c>
      <c r="D171" s="667" t="s">
        <v>84</v>
      </c>
      <c r="E171" s="190">
        <v>804000</v>
      </c>
      <c r="F171" s="509"/>
      <c r="G171" s="509">
        <v>2621000</v>
      </c>
      <c r="H171" s="179">
        <f>G171/$F$191</f>
        <v>0.15042470156106519</v>
      </c>
      <c r="I171" s="299"/>
      <c r="J171" s="186"/>
      <c r="K171" s="13"/>
      <c r="L171" s="509"/>
      <c r="M171" s="509">
        <f>1092000/5*12</f>
        <v>2620800</v>
      </c>
      <c r="N171" s="179">
        <f>M171/$L$191</f>
        <v>0.15041322314049588</v>
      </c>
      <c r="O171" s="191"/>
      <c r="P171" s="192"/>
    </row>
    <row r="172" spans="1:18" ht="18" customHeight="1">
      <c r="A172" s="7"/>
      <c r="B172" s="189"/>
      <c r="C172" s="667"/>
      <c r="D172" s="667" t="s">
        <v>132</v>
      </c>
      <c r="E172" s="190"/>
      <c r="F172" s="509"/>
      <c r="G172" s="509"/>
      <c r="H172" s="179"/>
      <c r="I172" s="299"/>
      <c r="J172" s="186"/>
      <c r="K172" s="13"/>
      <c r="L172" s="509"/>
      <c r="M172" s="509"/>
      <c r="N172" s="179"/>
      <c r="O172" s="191"/>
      <c r="P172" s="192"/>
    </row>
    <row r="173" spans="1:18" ht="18" customHeight="1">
      <c r="A173" s="7">
        <v>6</v>
      </c>
      <c r="B173" s="189"/>
      <c r="C173" s="182" t="s">
        <v>495</v>
      </c>
      <c r="D173" s="667" t="s">
        <v>85</v>
      </c>
      <c r="E173" s="190">
        <v>75000</v>
      </c>
      <c r="F173" s="509"/>
      <c r="G173" s="509">
        <v>240000</v>
      </c>
      <c r="H173" s="179">
        <f>G173/$F$191</f>
        <v>1.3774104683195593E-2</v>
      </c>
      <c r="I173" s="299"/>
      <c r="J173" s="186"/>
      <c r="K173" s="13"/>
      <c r="L173" s="509"/>
      <c r="M173" s="509">
        <f>G173/5*12</f>
        <v>576000</v>
      </c>
      <c r="N173" s="179">
        <f>M173/$L$191</f>
        <v>3.3057851239669422E-2</v>
      </c>
      <c r="O173" s="191"/>
      <c r="P173" s="192"/>
    </row>
    <row r="174" spans="1:18" ht="18" customHeight="1">
      <c r="A174" s="7"/>
      <c r="B174" s="189"/>
      <c r="C174" s="667"/>
      <c r="D174" s="667" t="s">
        <v>133</v>
      </c>
      <c r="E174" s="190"/>
      <c r="F174" s="509"/>
      <c r="G174" s="509">
        <v>0</v>
      </c>
      <c r="H174" s="179"/>
      <c r="I174" s="299"/>
      <c r="J174" s="186"/>
      <c r="K174" s="13"/>
      <c r="L174" s="509"/>
      <c r="M174" s="509"/>
      <c r="N174" s="179"/>
      <c r="O174" s="191"/>
      <c r="P174" s="192"/>
    </row>
    <row r="175" spans="1:18" ht="18" customHeight="1">
      <c r="A175" s="7">
        <v>7</v>
      </c>
      <c r="B175" s="189"/>
      <c r="C175" s="182" t="s">
        <v>495</v>
      </c>
      <c r="D175" s="667" t="s">
        <v>86</v>
      </c>
      <c r="E175" s="190">
        <v>18000</v>
      </c>
      <c r="F175" s="509"/>
      <c r="G175" s="510">
        <v>24000</v>
      </c>
      <c r="H175" s="179">
        <f>G175/$F$191</f>
        <v>1.3774104683195593E-3</v>
      </c>
      <c r="I175" s="299"/>
      <c r="J175" s="186"/>
      <c r="K175" s="13"/>
      <c r="L175" s="509"/>
      <c r="M175" s="509">
        <f t="shared" ref="M175:M186" si="21">G175</f>
        <v>24000</v>
      </c>
      <c r="N175" s="179">
        <f>M175/$L$191</f>
        <v>1.3774104683195593E-3</v>
      </c>
      <c r="O175" s="191"/>
      <c r="P175" s="192"/>
    </row>
    <row r="176" spans="1:18" ht="18" customHeight="1">
      <c r="A176" s="7">
        <v>8</v>
      </c>
      <c r="B176" s="189"/>
      <c r="C176" s="182" t="s">
        <v>495</v>
      </c>
      <c r="D176" s="667" t="s">
        <v>98</v>
      </c>
      <c r="E176" s="190"/>
      <c r="F176" s="509"/>
      <c r="G176" s="509">
        <v>0</v>
      </c>
      <c r="H176" s="179">
        <f>G176/$F$191</f>
        <v>0</v>
      </c>
      <c r="I176" s="299"/>
      <c r="J176" s="186"/>
      <c r="K176" s="13"/>
      <c r="L176" s="509"/>
      <c r="M176" s="509">
        <f t="shared" si="21"/>
        <v>0</v>
      </c>
      <c r="N176" s="179">
        <f>M176/$L$191</f>
        <v>0</v>
      </c>
      <c r="O176" s="191"/>
      <c r="P176" s="192"/>
    </row>
    <row r="177" spans="1:18" ht="18" customHeight="1">
      <c r="A177" s="7"/>
      <c r="B177" s="189"/>
      <c r="C177" s="667"/>
      <c r="D177" s="667" t="s">
        <v>87</v>
      </c>
      <c r="E177" s="190"/>
      <c r="F177" s="509"/>
      <c r="G177" s="509">
        <v>0</v>
      </c>
      <c r="H177" s="179"/>
      <c r="I177" s="299"/>
      <c r="J177" s="186"/>
      <c r="K177" s="13"/>
      <c r="L177" s="509"/>
      <c r="M177" s="509"/>
      <c r="N177" s="179"/>
      <c r="O177" s="191"/>
      <c r="P177" s="192"/>
    </row>
    <row r="178" spans="1:18" ht="18" customHeight="1">
      <c r="A178" s="7">
        <v>10</v>
      </c>
      <c r="B178" s="189"/>
      <c r="C178" s="182" t="s">
        <v>495</v>
      </c>
      <c r="D178" s="667" t="s">
        <v>121</v>
      </c>
      <c r="E178" s="190"/>
      <c r="F178" s="509"/>
      <c r="G178" s="509">
        <f>ROUND(3436000*4%,-3)</f>
        <v>137000</v>
      </c>
      <c r="H178" s="179">
        <f>G178/$F$191</f>
        <v>7.8627180899908181E-3</v>
      </c>
      <c r="I178" s="299"/>
      <c r="J178" s="186"/>
      <c r="K178" s="13"/>
      <c r="L178" s="509"/>
      <c r="M178" s="509">
        <f t="shared" si="21"/>
        <v>137000</v>
      </c>
      <c r="N178" s="179">
        <f>M178/$L$191</f>
        <v>7.8627180899908181E-3</v>
      </c>
      <c r="O178" s="191"/>
      <c r="P178" s="192"/>
    </row>
    <row r="179" spans="1:18" ht="18" customHeight="1">
      <c r="A179" s="7">
        <v>11</v>
      </c>
      <c r="B179" s="189"/>
      <c r="C179" s="182" t="s">
        <v>495</v>
      </c>
      <c r="D179" s="667" t="s">
        <v>88</v>
      </c>
      <c r="E179" s="190">
        <v>24000</v>
      </c>
      <c r="F179" s="509"/>
      <c r="G179" s="510">
        <v>766000</v>
      </c>
      <c r="H179" s="179">
        <f>G179/$F$191</f>
        <v>4.3962350780532601E-2</v>
      </c>
      <c r="I179" s="299"/>
      <c r="J179" s="186"/>
      <c r="K179" s="13"/>
      <c r="L179" s="509"/>
      <c r="M179" s="509">
        <f t="shared" ref="M179" si="22">G179/5*12</f>
        <v>1838400</v>
      </c>
      <c r="N179" s="179">
        <f>M179/$L$191</f>
        <v>0.10550964187327824</v>
      </c>
      <c r="O179" s="191"/>
      <c r="P179" s="192"/>
    </row>
    <row r="180" spans="1:18" ht="18" customHeight="1">
      <c r="A180" s="7">
        <v>12</v>
      </c>
      <c r="B180" s="189"/>
      <c r="C180" s="182" t="s">
        <v>495</v>
      </c>
      <c r="D180" s="667" t="s">
        <v>89</v>
      </c>
      <c r="E180" s="190">
        <v>158000</v>
      </c>
      <c r="F180" s="509"/>
      <c r="G180" s="510">
        <v>480000</v>
      </c>
      <c r="H180" s="179">
        <f>G180/$F$191</f>
        <v>2.7548209366391185E-2</v>
      </c>
      <c r="I180" s="299"/>
      <c r="J180" s="186"/>
      <c r="K180" s="13"/>
      <c r="L180" s="509"/>
      <c r="M180" s="509">
        <f>40000*12</f>
        <v>480000</v>
      </c>
      <c r="N180" s="179">
        <f>M180/$L$191</f>
        <v>2.7548209366391185E-2</v>
      </c>
      <c r="O180" s="191"/>
      <c r="P180" s="192"/>
      <c r="R180" s="13" t="s">
        <v>615</v>
      </c>
    </row>
    <row r="181" spans="1:18" ht="18" customHeight="1">
      <c r="A181" s="7">
        <v>13</v>
      </c>
      <c r="B181" s="189"/>
      <c r="C181" s="182" t="s">
        <v>495</v>
      </c>
      <c r="D181" s="667" t="s">
        <v>101</v>
      </c>
      <c r="E181" s="190"/>
      <c r="F181" s="509"/>
      <c r="G181" s="510">
        <v>7000</v>
      </c>
      <c r="H181" s="179">
        <f>G181/$F$191</f>
        <v>4.0174471992653808E-4</v>
      </c>
      <c r="I181" s="299"/>
      <c r="J181" s="186"/>
      <c r="K181" s="13"/>
      <c r="L181" s="509"/>
      <c r="M181" s="509">
        <f t="shared" si="21"/>
        <v>7000</v>
      </c>
      <c r="N181" s="179">
        <f>M181/$L$191</f>
        <v>4.0174471992653808E-4</v>
      </c>
      <c r="O181" s="191"/>
      <c r="P181" s="192"/>
    </row>
    <row r="182" spans="1:18" ht="18" customHeight="1">
      <c r="A182" s="7"/>
      <c r="B182" s="189"/>
      <c r="C182" s="667"/>
      <c r="D182" s="667" t="s">
        <v>90</v>
      </c>
      <c r="E182" s="190"/>
      <c r="F182" s="509"/>
      <c r="G182" s="510">
        <v>0</v>
      </c>
      <c r="H182" s="179"/>
      <c r="I182" s="299"/>
      <c r="J182" s="186"/>
      <c r="K182" s="13"/>
      <c r="L182" s="509"/>
      <c r="M182" s="509"/>
      <c r="N182" s="179"/>
      <c r="O182" s="191"/>
      <c r="P182" s="192"/>
    </row>
    <row r="183" spans="1:18" ht="18" customHeight="1">
      <c r="A183" s="7"/>
      <c r="B183" s="189"/>
      <c r="C183" s="667"/>
      <c r="D183" s="667" t="s">
        <v>173</v>
      </c>
      <c r="E183" s="190"/>
      <c r="F183" s="509"/>
      <c r="G183" s="510"/>
      <c r="H183" s="179"/>
      <c r="I183" s="299"/>
      <c r="J183" s="186"/>
      <c r="K183" s="13"/>
      <c r="L183" s="509"/>
      <c r="M183" s="509"/>
      <c r="N183" s="179"/>
      <c r="O183" s="191"/>
      <c r="P183" s="192"/>
    </row>
    <row r="184" spans="1:18" ht="18" customHeight="1">
      <c r="A184" s="7"/>
      <c r="B184" s="189"/>
      <c r="C184" s="667"/>
      <c r="D184" s="667" t="s">
        <v>91</v>
      </c>
      <c r="E184" s="190"/>
      <c r="F184" s="509"/>
      <c r="G184" s="510">
        <v>0</v>
      </c>
      <c r="H184" s="179"/>
      <c r="I184" s="299"/>
      <c r="J184" s="186"/>
      <c r="K184" s="13"/>
      <c r="L184" s="509"/>
      <c r="M184" s="509"/>
      <c r="N184" s="179"/>
      <c r="O184" s="191"/>
      <c r="P184" s="192"/>
    </row>
    <row r="185" spans="1:18" ht="18" customHeight="1">
      <c r="A185" s="7">
        <v>19</v>
      </c>
      <c r="B185" s="189"/>
      <c r="C185" s="182" t="s">
        <v>495</v>
      </c>
      <c r="D185" s="667" t="s">
        <v>136</v>
      </c>
      <c r="E185" s="190"/>
      <c r="F185" s="509"/>
      <c r="G185" s="509">
        <f>ROUND(E185/9*12,-3)</f>
        <v>0</v>
      </c>
      <c r="H185" s="179">
        <f>G185/$F$191</f>
        <v>0</v>
      </c>
      <c r="I185" s="299"/>
      <c r="J185" s="186"/>
      <c r="K185" s="13"/>
      <c r="L185" s="509"/>
      <c r="M185" s="509">
        <f>G185</f>
        <v>0</v>
      </c>
      <c r="N185" s="179">
        <f>M185/$L$191</f>
        <v>0</v>
      </c>
      <c r="O185" s="191"/>
      <c r="P185" s="192"/>
    </row>
    <row r="186" spans="1:18" ht="18" customHeight="1">
      <c r="A186" s="7">
        <v>21</v>
      </c>
      <c r="B186" s="189"/>
      <c r="C186" s="182" t="s">
        <v>495</v>
      </c>
      <c r="D186" s="667" t="s">
        <v>109</v>
      </c>
      <c r="E186" s="190">
        <v>5000</v>
      </c>
      <c r="F186" s="509"/>
      <c r="G186" s="510">
        <v>0</v>
      </c>
      <c r="H186" s="179">
        <f>G186/$F$191</f>
        <v>0</v>
      </c>
      <c r="I186" s="299"/>
      <c r="J186" s="186"/>
      <c r="K186" s="13"/>
      <c r="L186" s="509"/>
      <c r="M186" s="509">
        <f t="shared" si="21"/>
        <v>0</v>
      </c>
      <c r="N186" s="179">
        <f>M186/$L$191</f>
        <v>0</v>
      </c>
      <c r="O186" s="191"/>
      <c r="P186" s="192"/>
    </row>
    <row r="187" spans="1:18" ht="18" customHeight="1">
      <c r="A187" s="7">
        <v>16</v>
      </c>
      <c r="B187" s="189"/>
      <c r="C187" s="667"/>
      <c r="D187" s="667" t="s">
        <v>92</v>
      </c>
      <c r="E187" s="190">
        <v>3813000</v>
      </c>
      <c r="F187" s="509"/>
      <c r="G187" s="509">
        <v>9120000</v>
      </c>
      <c r="H187" s="179">
        <f>G187/$F$191</f>
        <v>0.52341597796143247</v>
      </c>
      <c r="I187" s="299"/>
      <c r="J187" s="186"/>
      <c r="K187" s="13"/>
      <c r="L187" s="509"/>
      <c r="M187" s="509">
        <f>760000*12</f>
        <v>9120000</v>
      </c>
      <c r="N187" s="179">
        <f>M187/$L$191</f>
        <v>0.52341597796143247</v>
      </c>
      <c r="O187" s="191"/>
      <c r="P187" s="192"/>
      <c r="R187" s="13" t="s">
        <v>605</v>
      </c>
    </row>
    <row r="188" spans="1:18" ht="18" customHeight="1">
      <c r="A188" s="7"/>
      <c r="B188" s="189"/>
      <c r="C188" s="667"/>
      <c r="D188" s="667" t="s">
        <v>386</v>
      </c>
      <c r="E188" s="190"/>
      <c r="F188" s="509"/>
      <c r="G188" s="509"/>
      <c r="H188" s="179"/>
      <c r="I188" s="299"/>
      <c r="J188" s="186"/>
      <c r="K188" s="13"/>
      <c r="L188" s="509"/>
      <c r="M188" s="509"/>
      <c r="N188" s="179"/>
      <c r="O188" s="191"/>
      <c r="P188" s="192"/>
    </row>
    <row r="189" spans="1:18" ht="18" customHeight="1">
      <c r="A189" s="7"/>
      <c r="B189" s="189"/>
      <c r="C189" s="667"/>
      <c r="D189" s="7" t="s">
        <v>677</v>
      </c>
      <c r="E189" s="190"/>
      <c r="F189" s="509"/>
      <c r="G189" s="509">
        <v>20000</v>
      </c>
      <c r="H189" s="179"/>
      <c r="I189" s="299"/>
      <c r="J189" s="186"/>
      <c r="K189" s="13"/>
      <c r="L189" s="509"/>
      <c r="M189" s="509"/>
      <c r="N189" s="179"/>
      <c r="O189" s="191"/>
      <c r="P189" s="192"/>
    </row>
    <row r="190" spans="1:18" ht="18" customHeight="1">
      <c r="A190" s="7">
        <v>17</v>
      </c>
      <c r="B190" s="189"/>
      <c r="C190" s="182" t="s">
        <v>495</v>
      </c>
      <c r="D190" s="667" t="s">
        <v>93</v>
      </c>
      <c r="E190" s="190">
        <v>20000</v>
      </c>
      <c r="F190" s="509"/>
      <c r="G190" s="509">
        <v>65000</v>
      </c>
      <c r="H190" s="179">
        <f>G190/$F$191</f>
        <v>3.7304866850321394E-3</v>
      </c>
      <c r="I190" s="299"/>
      <c r="J190" s="186"/>
      <c r="K190" s="13"/>
      <c r="L190" s="509"/>
      <c r="M190" s="509">
        <f t="shared" ref="M190" si="23">G190/5*12</f>
        <v>156000</v>
      </c>
      <c r="N190" s="179">
        <f>M190/$L$191</f>
        <v>8.9531680440771352E-3</v>
      </c>
      <c r="O190" s="191"/>
      <c r="P190" s="192"/>
    </row>
    <row r="191" spans="1:18" ht="18" customHeight="1">
      <c r="A191" s="507"/>
      <c r="B191" s="201"/>
      <c r="C191" s="808" t="s">
        <v>94</v>
      </c>
      <c r="D191" s="206"/>
      <c r="E191" s="203"/>
      <c r="F191" s="513">
        <f>SUM(F165:F190)</f>
        <v>17424000</v>
      </c>
      <c r="G191" s="513">
        <f>SUM(G165:G190)</f>
        <v>18926000</v>
      </c>
      <c r="H191" s="204">
        <f>G191/$F$191</f>
        <v>1.0862029384756657</v>
      </c>
      <c r="I191" s="300">
        <f>F191-G191</f>
        <v>-1502000</v>
      </c>
      <c r="J191" s="195">
        <f>I191/F191</f>
        <v>-8.620293847566575E-2</v>
      </c>
      <c r="K191" s="13"/>
      <c r="L191" s="517">
        <f>SUM(L165:L190)</f>
        <v>17424000</v>
      </c>
      <c r="M191" s="517">
        <f>SUM(M165:M190)</f>
        <v>20405200</v>
      </c>
      <c r="N191" s="196">
        <f>M191/$L$191</f>
        <v>1.1710973370064279</v>
      </c>
      <c r="O191" s="197">
        <f>L191-M191</f>
        <v>-2981200</v>
      </c>
      <c r="P191" s="198"/>
    </row>
    <row r="192" spans="1:18" ht="18" customHeight="1">
      <c r="A192" s="182" t="s">
        <v>246</v>
      </c>
      <c r="B192" s="182" t="s">
        <v>12</v>
      </c>
      <c r="C192" s="182" t="s">
        <v>545</v>
      </c>
      <c r="D192" s="182" t="s">
        <v>246</v>
      </c>
      <c r="E192" s="183">
        <v>3458000</v>
      </c>
      <c r="F192" s="669">
        <v>12900000</v>
      </c>
      <c r="G192" s="508"/>
      <c r="H192" s="184"/>
      <c r="I192" s="299"/>
      <c r="J192" s="186"/>
      <c r="K192" s="13"/>
      <c r="L192" s="669">
        <f>ROUND(1075000*12,-3)</f>
        <v>12900000</v>
      </c>
      <c r="M192" s="509"/>
      <c r="N192" s="179"/>
      <c r="O192" s="191"/>
      <c r="P192" s="192"/>
      <c r="R192" s="508" t="s">
        <v>606</v>
      </c>
    </row>
    <row r="193" spans="1:18" ht="18" customHeight="1">
      <c r="A193" s="182" t="s">
        <v>416</v>
      </c>
      <c r="B193" s="182"/>
      <c r="C193" s="182"/>
      <c r="D193" s="182" t="s">
        <v>416</v>
      </c>
      <c r="E193" s="183"/>
      <c r="F193" s="508"/>
      <c r="G193" s="508"/>
      <c r="H193" s="184"/>
      <c r="I193" s="299"/>
      <c r="J193" s="186"/>
      <c r="K193" s="13"/>
      <c r="L193" s="509"/>
      <c r="M193" s="509"/>
      <c r="N193" s="179"/>
      <c r="O193" s="191"/>
      <c r="P193" s="192"/>
    </row>
    <row r="194" spans="1:18" ht="18" customHeight="1">
      <c r="A194" s="7">
        <v>1</v>
      </c>
      <c r="B194" s="189"/>
      <c r="C194" s="182"/>
      <c r="D194" s="7" t="s">
        <v>354</v>
      </c>
      <c r="E194" s="190">
        <v>3077000</v>
      </c>
      <c r="F194" s="509"/>
      <c r="G194" s="509">
        <f>ROUND(561000*12,-3)-((120000+80000)*12)+(700*5*20*2*12)</f>
        <v>6012000</v>
      </c>
      <c r="H194" s="179">
        <f>G194/$F$218</f>
        <v>0.466046511627907</v>
      </c>
      <c r="I194" s="299"/>
      <c r="J194" s="186"/>
      <c r="K194" s="13"/>
      <c r="L194" s="509"/>
      <c r="M194" s="509">
        <f>ROUND(561000*12,-3)-((120000+80000)*12)</f>
        <v>4332000</v>
      </c>
      <c r="N194" s="179">
        <f>M194/$L$218</f>
        <v>0.33581395348837212</v>
      </c>
      <c r="O194" s="191"/>
      <c r="P194" s="192"/>
      <c r="R194" s="13" t="s">
        <v>619</v>
      </c>
    </row>
    <row r="195" spans="1:18" ht="18" customHeight="1">
      <c r="A195" s="7">
        <v>2</v>
      </c>
      <c r="B195" s="189"/>
      <c r="C195" s="182"/>
      <c r="D195" s="7" t="s">
        <v>436</v>
      </c>
      <c r="E195" s="190"/>
      <c r="F195" s="509"/>
      <c r="G195" s="509">
        <v>0</v>
      </c>
      <c r="H195" s="179">
        <f>G195/$F$218</f>
        <v>0</v>
      </c>
      <c r="I195" s="299"/>
      <c r="J195" s="186"/>
      <c r="K195" s="13"/>
      <c r="L195" s="509"/>
      <c r="M195" s="509">
        <f>G195</f>
        <v>0</v>
      </c>
      <c r="N195" s="179">
        <f>M195/$L$218</f>
        <v>0</v>
      </c>
      <c r="O195" s="191"/>
      <c r="P195" s="192"/>
    </row>
    <row r="196" spans="1:18" ht="18" customHeight="1">
      <c r="A196" s="7">
        <v>3</v>
      </c>
      <c r="B196" s="189"/>
      <c r="C196" s="182"/>
      <c r="D196" s="7" t="s">
        <v>130</v>
      </c>
      <c r="E196" s="190"/>
      <c r="F196" s="509"/>
      <c r="G196" s="509">
        <v>0</v>
      </c>
      <c r="H196" s="179">
        <f>G196/$F$218</f>
        <v>0</v>
      </c>
      <c r="I196" s="299"/>
      <c r="J196" s="186"/>
      <c r="K196" s="13"/>
      <c r="L196" s="509"/>
      <c r="M196" s="509">
        <f t="shared" ref="M196:M217" si="24">G196</f>
        <v>0</v>
      </c>
      <c r="N196" s="179">
        <f>M196/$L$218</f>
        <v>0</v>
      </c>
      <c r="O196" s="191"/>
      <c r="P196" s="192"/>
    </row>
    <row r="197" spans="1:18" ht="18" customHeight="1">
      <c r="A197" s="7">
        <v>18</v>
      </c>
      <c r="B197" s="189"/>
      <c r="C197" s="182"/>
      <c r="D197" s="667" t="s">
        <v>367</v>
      </c>
      <c r="E197" s="190">
        <v>1532000</v>
      </c>
      <c r="F197" s="509"/>
      <c r="G197" s="509">
        <v>4808000</v>
      </c>
      <c r="H197" s="179">
        <f>G197/$F$218</f>
        <v>0.37271317829457362</v>
      </c>
      <c r="I197" s="299"/>
      <c r="J197" s="186"/>
      <c r="K197" s="13"/>
      <c r="L197" s="509"/>
      <c r="M197" s="509">
        <f>G197/6*12</f>
        <v>9616000</v>
      </c>
      <c r="N197" s="179">
        <f>M197/$L$218</f>
        <v>0.74542635658914724</v>
      </c>
      <c r="O197" s="191"/>
      <c r="P197" s="192"/>
    </row>
    <row r="198" spans="1:18" ht="18" customHeight="1">
      <c r="A198" s="7">
        <v>4</v>
      </c>
      <c r="B198" s="189"/>
      <c r="C198" s="182"/>
      <c r="D198" s="667" t="s">
        <v>84</v>
      </c>
      <c r="E198" s="190"/>
      <c r="F198" s="509"/>
      <c r="G198" s="509">
        <v>0</v>
      </c>
      <c r="H198" s="179">
        <f>G198/$F$218</f>
        <v>0</v>
      </c>
      <c r="I198" s="299"/>
      <c r="J198" s="186"/>
      <c r="K198" s="13"/>
      <c r="L198" s="509"/>
      <c r="M198" s="509">
        <f t="shared" si="24"/>
        <v>0</v>
      </c>
      <c r="N198" s="179">
        <f>M198/$L$218</f>
        <v>0</v>
      </c>
      <c r="O198" s="191"/>
      <c r="P198" s="192"/>
    </row>
    <row r="199" spans="1:18" ht="18" customHeight="1">
      <c r="A199" s="7"/>
      <c r="B199" s="189"/>
      <c r="C199" s="667"/>
      <c r="D199" s="667" t="s">
        <v>132</v>
      </c>
      <c r="E199" s="190"/>
      <c r="F199" s="509"/>
      <c r="G199" s="509"/>
      <c r="H199" s="179"/>
      <c r="I199" s="299"/>
      <c r="J199" s="186"/>
      <c r="K199" s="13"/>
      <c r="L199" s="509"/>
      <c r="M199" s="509"/>
      <c r="N199" s="179"/>
      <c r="O199" s="191"/>
      <c r="P199" s="192"/>
    </row>
    <row r="200" spans="1:18" ht="18" customHeight="1">
      <c r="A200" s="7">
        <v>6</v>
      </c>
      <c r="B200" s="189"/>
      <c r="C200" s="182"/>
      <c r="D200" s="667" t="s">
        <v>85</v>
      </c>
      <c r="E200" s="190">
        <v>33000</v>
      </c>
      <c r="F200" s="509"/>
      <c r="G200" s="509">
        <v>29000</v>
      </c>
      <c r="H200" s="179">
        <f>G200/$F$218</f>
        <v>2.2480620155038759E-3</v>
      </c>
      <c r="I200" s="299"/>
      <c r="J200" s="186"/>
      <c r="K200" s="13"/>
      <c r="L200" s="509"/>
      <c r="M200" s="509">
        <f t="shared" si="24"/>
        <v>29000</v>
      </c>
      <c r="N200" s="179">
        <f>M200/$L$218</f>
        <v>2.2480620155038759E-3</v>
      </c>
      <c r="O200" s="191"/>
      <c r="P200" s="192"/>
    </row>
    <row r="201" spans="1:18" ht="18" customHeight="1">
      <c r="A201" s="7"/>
      <c r="B201" s="189"/>
      <c r="C201" s="667"/>
      <c r="D201" s="667" t="s">
        <v>133</v>
      </c>
      <c r="E201" s="190"/>
      <c r="F201" s="509"/>
      <c r="G201" s="509"/>
      <c r="H201" s="179"/>
      <c r="I201" s="299"/>
      <c r="J201" s="186"/>
      <c r="K201" s="13"/>
      <c r="L201" s="509"/>
      <c r="M201" s="509"/>
      <c r="N201" s="179"/>
      <c r="O201" s="191"/>
      <c r="P201" s="192"/>
    </row>
    <row r="202" spans="1:18" ht="18" customHeight="1">
      <c r="A202" s="7">
        <v>7</v>
      </c>
      <c r="B202" s="189"/>
      <c r="C202" s="182"/>
      <c r="D202" s="667" t="s">
        <v>86</v>
      </c>
      <c r="E202" s="190"/>
      <c r="F202" s="509"/>
      <c r="G202" s="510">
        <f t="shared" ref="G202" si="25">ROUND(E202/9*12,-3)</f>
        <v>0</v>
      </c>
      <c r="H202" s="179">
        <f>G202/$F$218</f>
        <v>0</v>
      </c>
      <c r="I202" s="299"/>
      <c r="J202" s="186"/>
      <c r="K202" s="13"/>
      <c r="L202" s="509"/>
      <c r="M202" s="509">
        <f t="shared" si="24"/>
        <v>0</v>
      </c>
      <c r="N202" s="179">
        <f>M202/$L$218</f>
        <v>0</v>
      </c>
      <c r="O202" s="191"/>
      <c r="P202" s="192"/>
    </row>
    <row r="203" spans="1:18" ht="18" customHeight="1">
      <c r="A203" s="7">
        <v>8</v>
      </c>
      <c r="B203" s="189"/>
      <c r="C203" s="182"/>
      <c r="D203" s="667" t="s">
        <v>98</v>
      </c>
      <c r="E203" s="190">
        <v>23000</v>
      </c>
      <c r="F203" s="509"/>
      <c r="G203" s="509">
        <v>20000</v>
      </c>
      <c r="H203" s="179">
        <f>G203/$F$218</f>
        <v>1.5503875968992248E-3</v>
      </c>
      <c r="I203" s="299"/>
      <c r="J203" s="186"/>
      <c r="K203" s="13"/>
      <c r="L203" s="509"/>
      <c r="M203" s="509">
        <f t="shared" si="24"/>
        <v>20000</v>
      </c>
      <c r="N203" s="179">
        <f>M203/$L$218</f>
        <v>1.5503875968992248E-3</v>
      </c>
      <c r="O203" s="191"/>
      <c r="P203" s="192"/>
    </row>
    <row r="204" spans="1:18" ht="18" customHeight="1">
      <c r="A204" s="7"/>
      <c r="B204" s="189"/>
      <c r="C204" s="667"/>
      <c r="D204" s="667" t="s">
        <v>87</v>
      </c>
      <c r="E204" s="190"/>
      <c r="F204" s="509"/>
      <c r="G204" s="509"/>
      <c r="H204" s="179"/>
      <c r="I204" s="299"/>
      <c r="J204" s="186"/>
      <c r="K204" s="13"/>
      <c r="L204" s="509"/>
      <c r="M204" s="509"/>
      <c r="N204" s="179"/>
      <c r="O204" s="191"/>
      <c r="P204" s="192"/>
    </row>
    <row r="205" spans="1:18" ht="18" customHeight="1">
      <c r="A205" s="7">
        <v>10</v>
      </c>
      <c r="B205" s="189"/>
      <c r="C205" s="182"/>
      <c r="D205" s="667" t="s">
        <v>121</v>
      </c>
      <c r="E205" s="190"/>
      <c r="F205" s="509"/>
      <c r="G205" s="509">
        <f>ROUND(3436000*6%,-3)</f>
        <v>206000</v>
      </c>
      <c r="H205" s="179">
        <f>G205/$F$218</f>
        <v>1.5968992248062017E-2</v>
      </c>
      <c r="I205" s="299"/>
      <c r="J205" s="186"/>
      <c r="K205" s="13"/>
      <c r="L205" s="509"/>
      <c r="M205" s="509">
        <f>G205</f>
        <v>206000</v>
      </c>
      <c r="N205" s="179">
        <f>M205/$L$218</f>
        <v>1.5968992248062017E-2</v>
      </c>
      <c r="O205" s="191"/>
      <c r="P205" s="192"/>
    </row>
    <row r="206" spans="1:18" ht="18" customHeight="1">
      <c r="A206" s="7">
        <v>11</v>
      </c>
      <c r="B206" s="189"/>
      <c r="C206" s="182"/>
      <c r="D206" s="667" t="s">
        <v>88</v>
      </c>
      <c r="E206" s="190">
        <v>22000</v>
      </c>
      <c r="F206" s="509"/>
      <c r="G206" s="510">
        <v>40000</v>
      </c>
      <c r="H206" s="179">
        <f>G206/$F$218</f>
        <v>3.1007751937984496E-3</v>
      </c>
      <c r="I206" s="299"/>
      <c r="J206" s="186"/>
      <c r="K206" s="13"/>
      <c r="L206" s="509"/>
      <c r="M206" s="509">
        <f>G206*2</f>
        <v>80000</v>
      </c>
      <c r="N206" s="179">
        <f>M206/$L$218</f>
        <v>6.2015503875968991E-3</v>
      </c>
      <c r="O206" s="191"/>
      <c r="P206" s="192"/>
    </row>
    <row r="207" spans="1:18" ht="18" customHeight="1">
      <c r="A207" s="7">
        <v>12</v>
      </c>
      <c r="B207" s="189"/>
      <c r="C207" s="182"/>
      <c r="D207" s="667" t="s">
        <v>89</v>
      </c>
      <c r="E207" s="190">
        <v>11000</v>
      </c>
      <c r="F207" s="509"/>
      <c r="G207" s="510">
        <v>10000</v>
      </c>
      <c r="H207" s="179">
        <f>G207/$F$218</f>
        <v>7.7519379844961239E-4</v>
      </c>
      <c r="I207" s="299"/>
      <c r="J207" s="186"/>
      <c r="K207" s="13"/>
      <c r="L207" s="509"/>
      <c r="M207" s="509">
        <f t="shared" si="24"/>
        <v>10000</v>
      </c>
      <c r="N207" s="179">
        <f>M207/$L$218</f>
        <v>7.7519379844961239E-4</v>
      </c>
      <c r="O207" s="191"/>
      <c r="P207" s="192"/>
    </row>
    <row r="208" spans="1:18" ht="18" customHeight="1">
      <c r="A208" s="7">
        <v>13</v>
      </c>
      <c r="B208" s="189"/>
      <c r="C208" s="182"/>
      <c r="D208" s="667" t="s">
        <v>101</v>
      </c>
      <c r="E208" s="190"/>
      <c r="F208" s="509"/>
      <c r="G208" s="510">
        <v>0</v>
      </c>
      <c r="H208" s="179">
        <f>G208/$F$218</f>
        <v>0</v>
      </c>
      <c r="I208" s="299"/>
      <c r="J208" s="186"/>
      <c r="K208" s="13"/>
      <c r="L208" s="509"/>
      <c r="M208" s="509">
        <f t="shared" si="24"/>
        <v>0</v>
      </c>
      <c r="N208" s="179">
        <f>M208/$L$218</f>
        <v>0</v>
      </c>
      <c r="O208" s="191"/>
      <c r="P208" s="192"/>
    </row>
    <row r="209" spans="1:18" ht="18" customHeight="1">
      <c r="A209" s="7"/>
      <c r="B209" s="189"/>
      <c r="C209" s="667"/>
      <c r="D209" s="667" t="s">
        <v>90</v>
      </c>
      <c r="E209" s="190"/>
      <c r="F209" s="509"/>
      <c r="G209" s="510"/>
      <c r="H209" s="179"/>
      <c r="I209" s="299"/>
      <c r="J209" s="186"/>
      <c r="K209" s="13"/>
      <c r="L209" s="509"/>
      <c r="M209" s="509"/>
      <c r="N209" s="179"/>
      <c r="O209" s="191"/>
      <c r="P209" s="192"/>
    </row>
    <row r="210" spans="1:18" ht="18" customHeight="1">
      <c r="A210" s="7"/>
      <c r="B210" s="189"/>
      <c r="C210" s="667"/>
      <c r="D210" s="667" t="s">
        <v>173</v>
      </c>
      <c r="E210" s="190"/>
      <c r="F210" s="509"/>
      <c r="G210" s="510"/>
      <c r="H210" s="179"/>
      <c r="I210" s="299"/>
      <c r="J210" s="186"/>
      <c r="K210" s="13"/>
      <c r="L210" s="509"/>
      <c r="M210" s="509"/>
      <c r="N210" s="179"/>
      <c r="O210" s="191"/>
      <c r="P210" s="192"/>
    </row>
    <row r="211" spans="1:18" ht="18" customHeight="1">
      <c r="A211" s="7"/>
      <c r="B211" s="189"/>
      <c r="C211" s="667"/>
      <c r="D211" s="667" t="s">
        <v>91</v>
      </c>
      <c r="E211" s="190"/>
      <c r="F211" s="509"/>
      <c r="G211" s="510"/>
      <c r="H211" s="179"/>
      <c r="I211" s="299"/>
      <c r="J211" s="186"/>
      <c r="K211" s="13"/>
      <c r="L211" s="509"/>
      <c r="M211" s="509"/>
      <c r="N211" s="179"/>
      <c r="O211" s="191"/>
      <c r="P211" s="192"/>
    </row>
    <row r="212" spans="1:18" ht="18" customHeight="1">
      <c r="A212" s="7">
        <v>19</v>
      </c>
      <c r="B212" s="189"/>
      <c r="C212" s="182"/>
      <c r="D212" s="667" t="s">
        <v>136</v>
      </c>
      <c r="E212" s="190"/>
      <c r="F212" s="509"/>
      <c r="G212" s="509">
        <f>ROUND(E212/9*8,-3)</f>
        <v>0</v>
      </c>
      <c r="H212" s="179">
        <f>G212/$F$218</f>
        <v>0</v>
      </c>
      <c r="I212" s="299"/>
      <c r="J212" s="186"/>
      <c r="K212" s="13"/>
      <c r="L212" s="509"/>
      <c r="M212" s="509">
        <f>G212</f>
        <v>0</v>
      </c>
      <c r="N212" s="179">
        <f>M212/$L$218</f>
        <v>0</v>
      </c>
      <c r="O212" s="191"/>
      <c r="P212" s="192"/>
    </row>
    <row r="213" spans="1:18" ht="18" customHeight="1">
      <c r="A213" s="7">
        <v>21</v>
      </c>
      <c r="B213" s="189"/>
      <c r="C213" s="182"/>
      <c r="D213" s="667" t="s">
        <v>109</v>
      </c>
      <c r="E213" s="190"/>
      <c r="F213" s="509"/>
      <c r="G213" s="510">
        <f t="shared" ref="G213" si="26">ROUND(E213/9*8,-3)</f>
        <v>0</v>
      </c>
      <c r="H213" s="179">
        <f>G213/$F$218</f>
        <v>0</v>
      </c>
      <c r="I213" s="299"/>
      <c r="J213" s="186"/>
      <c r="K213" s="13"/>
      <c r="L213" s="509"/>
      <c r="M213" s="509">
        <f t="shared" si="24"/>
        <v>0</v>
      </c>
      <c r="N213" s="179">
        <f>M213/$L$218</f>
        <v>0</v>
      </c>
      <c r="O213" s="191"/>
      <c r="P213" s="192"/>
    </row>
    <row r="214" spans="1:18" ht="18" customHeight="1">
      <c r="A214" s="7">
        <v>16</v>
      </c>
      <c r="B214" s="189"/>
      <c r="C214" s="667"/>
      <c r="D214" s="667" t="s">
        <v>92</v>
      </c>
      <c r="E214" s="190"/>
      <c r="F214" s="509"/>
      <c r="G214" s="509">
        <f t="shared" ref="G214" si="27">ROUND(E214/9*8,-3)</f>
        <v>0</v>
      </c>
      <c r="H214" s="179">
        <f>G214/$F$218</f>
        <v>0</v>
      </c>
      <c r="I214" s="299"/>
      <c r="J214" s="186"/>
      <c r="K214" s="13"/>
      <c r="L214" s="509"/>
      <c r="M214" s="509">
        <f t="shared" si="24"/>
        <v>0</v>
      </c>
      <c r="N214" s="179">
        <f>M214/$L$218</f>
        <v>0</v>
      </c>
      <c r="O214" s="191"/>
      <c r="P214" s="192"/>
    </row>
    <row r="215" spans="1:18" ht="18" customHeight="1">
      <c r="A215" s="7"/>
      <c r="B215" s="189"/>
      <c r="C215" s="667"/>
      <c r="D215" s="667" t="s">
        <v>386</v>
      </c>
      <c r="E215" s="190"/>
      <c r="F215" s="509"/>
      <c r="G215" s="509"/>
      <c r="H215" s="179"/>
      <c r="I215" s="299"/>
      <c r="J215" s="186"/>
      <c r="K215" s="13"/>
      <c r="L215" s="509"/>
      <c r="M215" s="509"/>
      <c r="N215" s="179"/>
      <c r="O215" s="191"/>
      <c r="P215" s="192"/>
    </row>
    <row r="216" spans="1:18" ht="18" customHeight="1">
      <c r="A216" s="7"/>
      <c r="B216" s="189"/>
      <c r="C216" s="667"/>
      <c r="D216" s="7" t="s">
        <v>677</v>
      </c>
      <c r="E216" s="190"/>
      <c r="F216" s="509"/>
      <c r="G216" s="509">
        <v>20000</v>
      </c>
      <c r="H216" s="179"/>
      <c r="I216" s="299"/>
      <c r="J216" s="186"/>
      <c r="K216" s="13"/>
      <c r="L216" s="509"/>
      <c r="M216" s="509"/>
      <c r="N216" s="179"/>
      <c r="O216" s="191"/>
      <c r="P216" s="192"/>
    </row>
    <row r="217" spans="1:18" ht="18" customHeight="1">
      <c r="A217" s="7">
        <v>17</v>
      </c>
      <c r="B217" s="189"/>
      <c r="C217" s="182"/>
      <c r="D217" s="667" t="s">
        <v>93</v>
      </c>
      <c r="E217" s="190">
        <v>11000</v>
      </c>
      <c r="F217" s="509"/>
      <c r="G217" s="509">
        <v>10000</v>
      </c>
      <c r="H217" s="179">
        <f>G217/$F$218</f>
        <v>7.7519379844961239E-4</v>
      </c>
      <c r="I217" s="299"/>
      <c r="J217" s="186"/>
      <c r="K217" s="13"/>
      <c r="L217" s="509"/>
      <c r="M217" s="509">
        <f t="shared" si="24"/>
        <v>10000</v>
      </c>
      <c r="N217" s="179">
        <f>M217/$L$218</f>
        <v>7.7519379844961239E-4</v>
      </c>
      <c r="O217" s="191"/>
      <c r="P217" s="192"/>
    </row>
    <row r="218" spans="1:18" ht="18" customHeight="1">
      <c r="A218" s="507"/>
      <c r="B218" s="201"/>
      <c r="C218" s="808" t="s">
        <v>94</v>
      </c>
      <c r="D218" s="206"/>
      <c r="E218" s="203"/>
      <c r="F218" s="513">
        <f>SUM(F192:F217)</f>
        <v>12900000</v>
      </c>
      <c r="G218" s="513">
        <f>SUM(G192:G217)</f>
        <v>11155000</v>
      </c>
      <c r="H218" s="204">
        <f>G218/$F$218</f>
        <v>0.86472868217054266</v>
      </c>
      <c r="I218" s="300">
        <f>F218-G218</f>
        <v>1745000</v>
      </c>
      <c r="J218" s="195">
        <f>I218/F218</f>
        <v>0.13527131782945737</v>
      </c>
      <c r="K218" s="13"/>
      <c r="L218" s="517">
        <f>SUM(L192:L217)</f>
        <v>12900000</v>
      </c>
      <c r="M218" s="517">
        <f>SUM(M192:M217)</f>
        <v>14303000</v>
      </c>
      <c r="N218" s="196">
        <f>M218/$L$218</f>
        <v>1.1087596899224805</v>
      </c>
      <c r="O218" s="197">
        <f>L218-M218</f>
        <v>-1403000</v>
      </c>
      <c r="P218" s="198"/>
    </row>
    <row r="219" spans="1:18" ht="18" customHeight="1">
      <c r="A219" s="7" t="s">
        <v>113</v>
      </c>
      <c r="B219" s="189" t="s">
        <v>13</v>
      </c>
      <c r="C219" s="189" t="s">
        <v>112</v>
      </c>
      <c r="D219" s="7" t="s">
        <v>113</v>
      </c>
      <c r="E219" s="190">
        <f>6220000+1502000</f>
        <v>7722000</v>
      </c>
      <c r="F219" s="509">
        <v>10235000</v>
      </c>
      <c r="G219" s="509"/>
      <c r="H219" s="179"/>
      <c r="I219" s="299"/>
      <c r="J219" s="186"/>
      <c r="K219" s="13"/>
      <c r="L219" s="509">
        <f>ROUND((930000*12)-L220,-3)</f>
        <v>10235000</v>
      </c>
      <c r="M219" s="509"/>
      <c r="N219" s="179"/>
      <c r="O219" s="191"/>
      <c r="P219" s="192"/>
      <c r="R219" s="13" t="s">
        <v>609</v>
      </c>
    </row>
    <row r="220" spans="1:18" ht="18" customHeight="1">
      <c r="A220" s="7" t="s">
        <v>114</v>
      </c>
      <c r="B220" s="189"/>
      <c r="C220" s="189" t="s">
        <v>112</v>
      </c>
      <c r="D220" s="7" t="s">
        <v>114</v>
      </c>
      <c r="E220" s="190">
        <v>694000</v>
      </c>
      <c r="F220" s="509">
        <v>925000</v>
      </c>
      <c r="G220" s="509"/>
      <c r="H220" s="179"/>
      <c r="I220" s="299"/>
      <c r="J220" s="186"/>
      <c r="K220" s="13"/>
      <c r="L220" s="509">
        <f>ROUND(F220,-3)</f>
        <v>925000</v>
      </c>
      <c r="M220" s="509"/>
      <c r="N220" s="179"/>
      <c r="O220" s="191"/>
      <c r="P220" s="192"/>
      <c r="R220" s="13" t="s">
        <v>610</v>
      </c>
    </row>
    <row r="221" spans="1:18" ht="18" customHeight="1">
      <c r="A221" s="7">
        <v>1</v>
      </c>
      <c r="B221" s="189"/>
      <c r="C221" s="189" t="s">
        <v>112</v>
      </c>
      <c r="D221" s="7" t="s">
        <v>438</v>
      </c>
      <c r="E221" s="190">
        <v>3612000</v>
      </c>
      <c r="F221" s="509"/>
      <c r="G221" s="509">
        <f>ROUND(482375*12,-3)</f>
        <v>5789000</v>
      </c>
      <c r="H221" s="179">
        <f t="shared" ref="H221:H227" si="28">G221/$F$245</f>
        <v>0.51872759856630823</v>
      </c>
      <c r="I221" s="299"/>
      <c r="J221" s="186"/>
      <c r="K221" s="13"/>
      <c r="L221" s="509"/>
      <c r="M221" s="509">
        <f>ROUND(482375*12,-3)</f>
        <v>5789000</v>
      </c>
      <c r="N221" s="179">
        <f>M221/$L$245</f>
        <v>0.51872759856630823</v>
      </c>
      <c r="O221" s="191"/>
      <c r="P221" s="192"/>
    </row>
    <row r="222" spans="1:18" ht="18" customHeight="1">
      <c r="A222" s="7">
        <v>2</v>
      </c>
      <c r="B222" s="189"/>
      <c r="C222" s="189" t="s">
        <v>112</v>
      </c>
      <c r="D222" s="7" t="s">
        <v>436</v>
      </c>
      <c r="E222" s="190"/>
      <c r="F222" s="509"/>
      <c r="G222" s="509">
        <v>0</v>
      </c>
      <c r="H222" s="179">
        <f t="shared" si="28"/>
        <v>0</v>
      </c>
      <c r="I222" s="299"/>
      <c r="J222" s="186"/>
      <c r="K222" s="13"/>
      <c r="L222" s="509"/>
      <c r="M222" s="509">
        <f t="shared" ref="M222:M244" si="29">ROUND(G222,-3)</f>
        <v>0</v>
      </c>
      <c r="N222" s="179"/>
      <c r="O222" s="191"/>
      <c r="P222" s="192"/>
    </row>
    <row r="223" spans="1:18" ht="18" customHeight="1">
      <c r="A223" s="7">
        <v>3</v>
      </c>
      <c r="B223" s="189"/>
      <c r="C223" s="189" t="s">
        <v>112</v>
      </c>
      <c r="D223" s="7" t="s">
        <v>130</v>
      </c>
      <c r="E223" s="190"/>
      <c r="F223" s="509"/>
      <c r="G223" s="509">
        <v>0</v>
      </c>
      <c r="H223" s="179">
        <f t="shared" si="28"/>
        <v>0</v>
      </c>
      <c r="I223" s="299"/>
      <c r="J223" s="186"/>
      <c r="K223" s="13"/>
      <c r="L223" s="509"/>
      <c r="M223" s="509">
        <f t="shared" si="29"/>
        <v>0</v>
      </c>
      <c r="N223" s="179"/>
      <c r="O223" s="191"/>
      <c r="P223" s="192"/>
    </row>
    <row r="224" spans="1:18" ht="18" customHeight="1">
      <c r="A224" s="7">
        <v>18</v>
      </c>
      <c r="B224" s="189"/>
      <c r="C224" s="189" t="s">
        <v>112</v>
      </c>
      <c r="D224" s="189" t="s">
        <v>367</v>
      </c>
      <c r="E224" s="190">
        <v>2333000</v>
      </c>
      <c r="F224" s="509"/>
      <c r="G224" s="509">
        <v>3111000</v>
      </c>
      <c r="H224" s="179">
        <f t="shared" si="28"/>
        <v>0.27876344086021504</v>
      </c>
      <c r="I224" s="299"/>
      <c r="J224" s="186"/>
      <c r="K224" s="13"/>
      <c r="L224" s="509"/>
      <c r="M224" s="509">
        <f>ROUND(G224,-3)</f>
        <v>3111000</v>
      </c>
      <c r="N224" s="179">
        <f>M224/$L$245</f>
        <v>0.27876344086021504</v>
      </c>
      <c r="O224" s="191"/>
      <c r="P224" s="192"/>
    </row>
    <row r="225" spans="1:17" ht="18" customHeight="1">
      <c r="A225" s="7">
        <v>4</v>
      </c>
      <c r="B225" s="189"/>
      <c r="C225" s="189" t="s">
        <v>112</v>
      </c>
      <c r="D225" s="189" t="s">
        <v>84</v>
      </c>
      <c r="E225" s="190">
        <v>304000</v>
      </c>
      <c r="F225" s="509"/>
      <c r="G225" s="509">
        <v>405000</v>
      </c>
      <c r="H225" s="179">
        <f t="shared" si="28"/>
        <v>3.6290322580645164E-2</v>
      </c>
      <c r="I225" s="299"/>
      <c r="J225" s="186"/>
      <c r="K225" s="13"/>
      <c r="L225" s="509"/>
      <c r="M225" s="509">
        <f t="shared" si="29"/>
        <v>405000</v>
      </c>
      <c r="N225" s="179">
        <f>M225/$L$245</f>
        <v>3.6290322580645164E-2</v>
      </c>
      <c r="O225" s="191"/>
      <c r="P225" s="192"/>
    </row>
    <row r="226" spans="1:17" ht="18" customHeight="1">
      <c r="A226" s="7">
        <v>5</v>
      </c>
      <c r="B226" s="189"/>
      <c r="C226" s="189" t="s">
        <v>112</v>
      </c>
      <c r="D226" s="189" t="s">
        <v>132</v>
      </c>
      <c r="E226" s="190">
        <f>12180+48720+153430</f>
        <v>214330</v>
      </c>
      <c r="F226" s="509"/>
      <c r="G226" s="670">
        <v>208000</v>
      </c>
      <c r="H226" s="179">
        <f t="shared" si="28"/>
        <v>1.863799283154122E-2</v>
      </c>
      <c r="I226" s="299"/>
      <c r="J226" s="186"/>
      <c r="K226" s="13"/>
      <c r="L226" s="509"/>
      <c r="M226" s="509">
        <f t="shared" si="29"/>
        <v>208000</v>
      </c>
      <c r="N226" s="179"/>
      <c r="O226" s="191"/>
      <c r="P226" s="192"/>
      <c r="Q226" s="13" t="s">
        <v>559</v>
      </c>
    </row>
    <row r="227" spans="1:17" ht="18" customHeight="1">
      <c r="A227" s="7">
        <v>6</v>
      </c>
      <c r="B227" s="189"/>
      <c r="C227" s="189" t="s">
        <v>112</v>
      </c>
      <c r="D227" s="189" t="s">
        <v>85</v>
      </c>
      <c r="E227" s="190">
        <v>54000</v>
      </c>
      <c r="F227" s="509"/>
      <c r="G227" s="509">
        <v>67000</v>
      </c>
      <c r="H227" s="179">
        <f t="shared" si="28"/>
        <v>6.0035842293906811E-3</v>
      </c>
      <c r="I227" s="299"/>
      <c r="J227" s="186"/>
      <c r="K227" s="13"/>
      <c r="L227" s="509"/>
      <c r="M227" s="509">
        <f t="shared" si="29"/>
        <v>67000</v>
      </c>
      <c r="N227" s="179">
        <f>M227/$L$245</f>
        <v>6.0035842293906811E-3</v>
      </c>
      <c r="O227" s="191"/>
      <c r="P227" s="192"/>
    </row>
    <row r="228" spans="1:17" ht="18" customHeight="1">
      <c r="A228" s="7"/>
      <c r="B228" s="189"/>
      <c r="C228" s="189"/>
      <c r="D228" s="189" t="s">
        <v>133</v>
      </c>
      <c r="E228" s="190"/>
      <c r="F228" s="509"/>
      <c r="G228" s="509"/>
      <c r="H228" s="179"/>
      <c r="I228" s="299"/>
      <c r="J228" s="186"/>
      <c r="K228" s="13"/>
      <c r="L228" s="509"/>
      <c r="M228" s="509"/>
      <c r="N228" s="179"/>
      <c r="O228" s="191"/>
      <c r="P228" s="192"/>
    </row>
    <row r="229" spans="1:17" ht="18" customHeight="1">
      <c r="A229" s="7"/>
      <c r="B229" s="189"/>
      <c r="C229" s="189"/>
      <c r="D229" s="189" t="s">
        <v>86</v>
      </c>
      <c r="E229" s="190"/>
      <c r="F229" s="509"/>
      <c r="G229" s="509"/>
      <c r="H229" s="179"/>
      <c r="I229" s="299"/>
      <c r="J229" s="186"/>
      <c r="K229" s="13"/>
      <c r="L229" s="509"/>
      <c r="M229" s="509"/>
      <c r="N229" s="179"/>
      <c r="O229" s="191"/>
      <c r="P229" s="192"/>
    </row>
    <row r="230" spans="1:17" ht="18" customHeight="1">
      <c r="A230" s="7"/>
      <c r="B230" s="189"/>
      <c r="C230" s="189"/>
      <c r="D230" s="189" t="s">
        <v>98</v>
      </c>
      <c r="E230" s="190"/>
      <c r="F230" s="509"/>
      <c r="G230" s="509">
        <v>0</v>
      </c>
      <c r="H230" s="179"/>
      <c r="I230" s="299"/>
      <c r="J230" s="186"/>
      <c r="K230" s="13"/>
      <c r="L230" s="509"/>
      <c r="M230" s="509"/>
      <c r="N230" s="179"/>
      <c r="O230" s="191"/>
      <c r="P230" s="192"/>
    </row>
    <row r="231" spans="1:17" ht="18" customHeight="1">
      <c r="A231" s="7">
        <v>9</v>
      </c>
      <c r="B231" s="189"/>
      <c r="C231" s="189" t="s">
        <v>112</v>
      </c>
      <c r="D231" s="189" t="s">
        <v>87</v>
      </c>
      <c r="E231" s="190"/>
      <c r="F231" s="509"/>
      <c r="G231" s="509">
        <f t="shared" ref="G231:G236" si="30">ROUND(E231/9*12,-3)</f>
        <v>0</v>
      </c>
      <c r="H231" s="179">
        <f>G231/$F$245</f>
        <v>0</v>
      </c>
      <c r="I231" s="299"/>
      <c r="J231" s="186"/>
      <c r="K231" s="13"/>
      <c r="L231" s="509"/>
      <c r="M231" s="509">
        <f t="shared" si="29"/>
        <v>0</v>
      </c>
      <c r="N231" s="179">
        <f>M231/$L$245</f>
        <v>0</v>
      </c>
      <c r="O231" s="191"/>
      <c r="P231" s="192"/>
    </row>
    <row r="232" spans="1:17" ht="18.75" customHeight="1">
      <c r="A232" s="7">
        <v>10</v>
      </c>
      <c r="B232" s="189"/>
      <c r="C232" s="189" t="s">
        <v>112</v>
      </c>
      <c r="D232" s="189" t="s">
        <v>121</v>
      </c>
      <c r="E232" s="190"/>
      <c r="F232" s="509"/>
      <c r="G232" s="509">
        <f>ROUND(3436000*6%,-3)</f>
        <v>206000</v>
      </c>
      <c r="H232" s="179">
        <f>G232/$F$245</f>
        <v>1.8458781362007168E-2</v>
      </c>
      <c r="I232" s="299"/>
      <c r="J232" s="186"/>
      <c r="K232" s="13"/>
      <c r="L232" s="509"/>
      <c r="M232" s="509">
        <f t="shared" si="29"/>
        <v>206000</v>
      </c>
      <c r="N232" s="179">
        <f>M232/$L$245</f>
        <v>1.8458781362007168E-2</v>
      </c>
      <c r="O232" s="191"/>
      <c r="P232" s="192"/>
    </row>
    <row r="233" spans="1:17" ht="18.75" customHeight="1">
      <c r="A233" s="7"/>
      <c r="B233" s="189"/>
      <c r="C233" s="189"/>
      <c r="D233" s="189" t="s">
        <v>88</v>
      </c>
      <c r="E233" s="190"/>
      <c r="F233" s="509"/>
      <c r="G233" s="509"/>
      <c r="H233" s="179"/>
      <c r="I233" s="299"/>
      <c r="J233" s="186"/>
      <c r="K233" s="13"/>
      <c r="L233" s="509"/>
      <c r="M233" s="509"/>
      <c r="N233" s="179"/>
      <c r="O233" s="191"/>
      <c r="P233" s="192"/>
    </row>
    <row r="234" spans="1:17" ht="18.75" customHeight="1">
      <c r="A234" s="7">
        <v>12</v>
      </c>
      <c r="B234" s="189"/>
      <c r="C234" s="189"/>
      <c r="D234" s="189" t="s">
        <v>89</v>
      </c>
      <c r="E234" s="190">
        <v>8000</v>
      </c>
      <c r="F234" s="509"/>
      <c r="G234" s="509">
        <v>11000</v>
      </c>
      <c r="H234" s="179">
        <f>G234/$F$245</f>
        <v>9.8566308243727609E-4</v>
      </c>
      <c r="I234" s="299"/>
      <c r="J234" s="186"/>
      <c r="K234" s="13"/>
      <c r="L234" s="509"/>
      <c r="M234" s="509">
        <f t="shared" si="29"/>
        <v>11000</v>
      </c>
      <c r="N234" s="179">
        <f>M234/$L$245</f>
        <v>9.8566308243727609E-4</v>
      </c>
      <c r="O234" s="191"/>
      <c r="P234" s="192"/>
    </row>
    <row r="235" spans="1:17" ht="18.75" customHeight="1">
      <c r="A235" s="7"/>
      <c r="B235" s="189"/>
      <c r="C235" s="189"/>
      <c r="D235" s="189" t="s">
        <v>101</v>
      </c>
      <c r="E235" s="190"/>
      <c r="F235" s="509"/>
      <c r="G235" s="509"/>
      <c r="H235" s="179"/>
      <c r="I235" s="299"/>
      <c r="J235" s="186"/>
      <c r="K235" s="13"/>
      <c r="L235" s="509"/>
      <c r="M235" s="509"/>
      <c r="N235" s="179"/>
      <c r="O235" s="191"/>
      <c r="P235" s="192"/>
    </row>
    <row r="236" spans="1:17" ht="18" customHeight="1">
      <c r="A236" s="7">
        <v>14</v>
      </c>
      <c r="B236" s="189"/>
      <c r="C236" s="189" t="s">
        <v>112</v>
      </c>
      <c r="D236" s="189" t="s">
        <v>90</v>
      </c>
      <c r="E236" s="190"/>
      <c r="F236" s="509"/>
      <c r="G236" s="509">
        <f t="shared" si="30"/>
        <v>0</v>
      </c>
      <c r="H236" s="179">
        <f>G236/$F$245</f>
        <v>0</v>
      </c>
      <c r="I236" s="299"/>
      <c r="J236" s="186"/>
      <c r="K236" s="13"/>
      <c r="L236" s="509"/>
      <c r="M236" s="509">
        <f t="shared" si="29"/>
        <v>0</v>
      </c>
      <c r="N236" s="179">
        <f>M236/$L$245</f>
        <v>0</v>
      </c>
      <c r="O236" s="191"/>
      <c r="P236" s="192"/>
    </row>
    <row r="237" spans="1:17" ht="18" customHeight="1">
      <c r="A237" s="7"/>
      <c r="B237" s="189"/>
      <c r="C237" s="189"/>
      <c r="D237" s="189" t="s">
        <v>173</v>
      </c>
      <c r="E237" s="190"/>
      <c r="F237" s="509"/>
      <c r="G237" s="509"/>
      <c r="H237" s="179"/>
      <c r="I237" s="299"/>
      <c r="J237" s="186"/>
      <c r="K237" s="13"/>
      <c r="L237" s="509"/>
      <c r="M237" s="509"/>
      <c r="N237" s="179"/>
      <c r="O237" s="191"/>
      <c r="P237" s="192"/>
    </row>
    <row r="238" spans="1:17" ht="18" customHeight="1">
      <c r="A238" s="7">
        <v>15</v>
      </c>
      <c r="B238" s="189"/>
      <c r="C238" s="189" t="s">
        <v>112</v>
      </c>
      <c r="D238" s="189" t="s">
        <v>91</v>
      </c>
      <c r="E238" s="190">
        <f>107155+123253+210</f>
        <v>230618</v>
      </c>
      <c r="F238" s="509"/>
      <c r="G238" s="670">
        <v>307000</v>
      </c>
      <c r="H238" s="179">
        <f>G238/$F$245</f>
        <v>2.7508960573476703E-2</v>
      </c>
      <c r="I238" s="299"/>
      <c r="J238" s="186"/>
      <c r="K238" s="13"/>
      <c r="L238" s="509"/>
      <c r="M238" s="509">
        <f t="shared" si="29"/>
        <v>307000</v>
      </c>
      <c r="N238" s="179">
        <f>M238/$L$245</f>
        <v>2.7508960573476703E-2</v>
      </c>
      <c r="O238" s="191"/>
      <c r="P238" s="192"/>
    </row>
    <row r="239" spans="1:17" ht="18" customHeight="1">
      <c r="A239" s="7"/>
      <c r="B239" s="189"/>
      <c r="C239" s="189"/>
      <c r="D239" s="189" t="s">
        <v>136</v>
      </c>
      <c r="E239" s="190"/>
      <c r="F239" s="509"/>
      <c r="G239" s="670"/>
      <c r="H239" s="179"/>
      <c r="I239" s="299"/>
      <c r="J239" s="186"/>
      <c r="K239" s="13"/>
      <c r="L239" s="509"/>
      <c r="M239" s="509"/>
      <c r="N239" s="179"/>
      <c r="O239" s="191"/>
      <c r="P239" s="192"/>
    </row>
    <row r="240" spans="1:17" ht="18" customHeight="1">
      <c r="A240" s="7"/>
      <c r="B240" s="189"/>
      <c r="C240" s="189"/>
      <c r="D240" s="189" t="s">
        <v>109</v>
      </c>
      <c r="E240" s="190"/>
      <c r="F240" s="509"/>
      <c r="G240" s="670"/>
      <c r="H240" s="179"/>
      <c r="I240" s="299"/>
      <c r="J240" s="186"/>
      <c r="K240" s="13"/>
      <c r="L240" s="509"/>
      <c r="M240" s="509"/>
      <c r="N240" s="179"/>
      <c r="O240" s="191"/>
      <c r="P240" s="192"/>
    </row>
    <row r="241" spans="1:16" ht="18" customHeight="1">
      <c r="A241" s="7"/>
      <c r="B241" s="189"/>
      <c r="C241" s="189"/>
      <c r="D241" s="189" t="s">
        <v>92</v>
      </c>
      <c r="E241" s="190"/>
      <c r="F241" s="509"/>
      <c r="G241" s="670">
        <f>40000*12</f>
        <v>480000</v>
      </c>
      <c r="H241" s="179"/>
      <c r="I241" s="299"/>
      <c r="J241" s="186"/>
      <c r="K241" s="13"/>
      <c r="L241" s="509"/>
      <c r="M241" s="509"/>
      <c r="N241" s="179"/>
      <c r="O241" s="191"/>
      <c r="P241" s="192"/>
    </row>
    <row r="242" spans="1:16" ht="18" customHeight="1">
      <c r="A242" s="7"/>
      <c r="B242" s="189"/>
      <c r="C242" s="189"/>
      <c r="D242" s="189" t="s">
        <v>386</v>
      </c>
      <c r="E242" s="190"/>
      <c r="F242" s="509"/>
      <c r="G242" s="670"/>
      <c r="H242" s="179"/>
      <c r="I242" s="299"/>
      <c r="J242" s="186"/>
      <c r="K242" s="13"/>
      <c r="L242" s="509"/>
      <c r="M242" s="509"/>
      <c r="N242" s="179"/>
      <c r="O242" s="191"/>
      <c r="P242" s="192"/>
    </row>
    <row r="243" spans="1:16" ht="18" customHeight="1">
      <c r="A243" s="7"/>
      <c r="B243" s="189"/>
      <c r="C243" s="189"/>
      <c r="D243" s="7" t="s">
        <v>677</v>
      </c>
      <c r="E243" s="190"/>
      <c r="F243" s="509"/>
      <c r="G243" s="670">
        <v>60000</v>
      </c>
      <c r="H243" s="179"/>
      <c r="I243" s="299"/>
      <c r="J243" s="186"/>
      <c r="K243" s="13"/>
      <c r="L243" s="509"/>
      <c r="M243" s="509"/>
      <c r="N243" s="179"/>
      <c r="O243" s="191"/>
      <c r="P243" s="192"/>
    </row>
    <row r="244" spans="1:16" ht="18" customHeight="1">
      <c r="A244" s="7">
        <v>17</v>
      </c>
      <c r="B244" s="189"/>
      <c r="C244" s="189" t="s">
        <v>112</v>
      </c>
      <c r="D244" s="189" t="s">
        <v>93</v>
      </c>
      <c r="E244" s="190"/>
      <c r="F244" s="509"/>
      <c r="G244" s="509">
        <v>0</v>
      </c>
      <c r="H244" s="179">
        <f>G244/$F$245</f>
        <v>0</v>
      </c>
      <c r="I244" s="299"/>
      <c r="J244" s="186"/>
      <c r="K244" s="13"/>
      <c r="L244" s="509"/>
      <c r="M244" s="509">
        <f t="shared" si="29"/>
        <v>0</v>
      </c>
      <c r="N244" s="179">
        <f>M244/$L$245</f>
        <v>0</v>
      </c>
      <c r="O244" s="191"/>
      <c r="P244" s="192"/>
    </row>
    <row r="245" spans="1:16" ht="18" customHeight="1">
      <c r="A245" s="506"/>
      <c r="B245" s="193"/>
      <c r="C245" s="807" t="s">
        <v>94</v>
      </c>
      <c r="D245" s="189"/>
      <c r="E245" s="190"/>
      <c r="F245" s="511">
        <f>SUM(F219:F244)</f>
        <v>11160000</v>
      </c>
      <c r="G245" s="511">
        <f>SUM(G219:G244)</f>
        <v>10644000</v>
      </c>
      <c r="H245" s="194">
        <f>G245/$F$245</f>
        <v>0.95376344086021503</v>
      </c>
      <c r="I245" s="300">
        <f>F245-G245</f>
        <v>516000</v>
      </c>
      <c r="J245" s="195">
        <f>I245/F245</f>
        <v>4.6236559139784944E-2</v>
      </c>
      <c r="K245" s="13"/>
      <c r="L245" s="517">
        <f>SUM(L219:L244)</f>
        <v>11160000</v>
      </c>
      <c r="M245" s="517">
        <f>SUM(M219:M244)</f>
        <v>10104000</v>
      </c>
      <c r="N245" s="196">
        <f>M245/$L$245</f>
        <v>0.90537634408602152</v>
      </c>
      <c r="O245" s="197">
        <f>L245-M245</f>
        <v>1056000</v>
      </c>
      <c r="P245" s="198"/>
    </row>
    <row r="246" spans="1:16" ht="18" customHeight="1">
      <c r="A246" s="205" t="s">
        <v>116</v>
      </c>
      <c r="B246" s="189" t="s">
        <v>14</v>
      </c>
      <c r="C246" s="189" t="s">
        <v>488</v>
      </c>
      <c r="D246" s="205" t="s">
        <v>116</v>
      </c>
      <c r="E246" s="190">
        <f>125000+2840000</f>
        <v>2965000</v>
      </c>
      <c r="F246" s="510">
        <v>4280000</v>
      </c>
      <c r="G246" s="509"/>
      <c r="H246" s="179"/>
      <c r="I246" s="299"/>
      <c r="J246" s="186"/>
      <c r="K246" s="13"/>
      <c r="L246" s="509">
        <f>3774000+270000+40000+96000+100000</f>
        <v>4280000</v>
      </c>
      <c r="M246" s="509"/>
      <c r="N246" s="179"/>
      <c r="O246" s="191"/>
      <c r="P246" s="192"/>
    </row>
    <row r="247" spans="1:16" ht="18" customHeight="1">
      <c r="A247" s="189" t="s">
        <v>117</v>
      </c>
      <c r="B247" s="189"/>
      <c r="C247" s="189" t="s">
        <v>487</v>
      </c>
      <c r="D247" s="189" t="s">
        <v>117</v>
      </c>
      <c r="E247" s="190">
        <v>4310000</v>
      </c>
      <c r="F247" s="510">
        <v>5643000</v>
      </c>
      <c r="G247" s="509"/>
      <c r="H247" s="179"/>
      <c r="I247" s="299"/>
      <c r="J247" s="186"/>
      <c r="K247" s="13"/>
      <c r="L247" s="509">
        <f>3387000+1712000+544000</f>
        <v>5643000</v>
      </c>
      <c r="M247" s="509"/>
      <c r="N247" s="179"/>
      <c r="O247" s="191"/>
      <c r="P247" s="192"/>
    </row>
    <row r="248" spans="1:16" ht="18" customHeight="1">
      <c r="A248" s="7">
        <v>1</v>
      </c>
      <c r="B248" s="189"/>
      <c r="C248" s="189" t="s">
        <v>487</v>
      </c>
      <c r="D248" s="7" t="s">
        <v>438</v>
      </c>
      <c r="E248" s="190">
        <v>3858000</v>
      </c>
      <c r="F248" s="509"/>
      <c r="G248" s="509">
        <f>ROUND(455167*12,-3)-(50000*12)+(700*5*20*12)</f>
        <v>5702000</v>
      </c>
      <c r="H248" s="179">
        <f>G248/$F$272</f>
        <v>0.57462460949309679</v>
      </c>
      <c r="I248" s="299"/>
      <c r="J248" s="186"/>
      <c r="K248" s="13"/>
      <c r="L248" s="509"/>
      <c r="M248" s="509">
        <f>ROUND(455167*12,-3)-(50000*12)</f>
        <v>4862000</v>
      </c>
      <c r="N248" s="179">
        <f>M248/$L$272</f>
        <v>0.48997279048674797</v>
      </c>
      <c r="O248" s="191"/>
      <c r="P248" s="192"/>
    </row>
    <row r="249" spans="1:16" ht="18" customHeight="1">
      <c r="A249" s="7">
        <v>2</v>
      </c>
      <c r="B249" s="189"/>
      <c r="C249" s="189" t="s">
        <v>487</v>
      </c>
      <c r="D249" s="7" t="s">
        <v>436</v>
      </c>
      <c r="E249" s="190"/>
      <c r="F249" s="509"/>
      <c r="G249" s="509">
        <v>0</v>
      </c>
      <c r="H249" s="179">
        <f>G249/$F$272</f>
        <v>0</v>
      </c>
      <c r="I249" s="299"/>
      <c r="J249" s="186"/>
      <c r="K249" s="13"/>
      <c r="L249" s="509"/>
      <c r="M249" s="509">
        <f t="shared" ref="M249:M262" si="31">ROUND(G249,-3)</f>
        <v>0</v>
      </c>
      <c r="N249" s="179"/>
      <c r="O249" s="191"/>
      <c r="P249" s="192"/>
    </row>
    <row r="250" spans="1:16" ht="18" customHeight="1">
      <c r="A250" s="7">
        <v>3</v>
      </c>
      <c r="B250" s="189"/>
      <c r="C250" s="189" t="s">
        <v>487</v>
      </c>
      <c r="D250" s="7" t="s">
        <v>130</v>
      </c>
      <c r="E250" s="190"/>
      <c r="F250" s="509"/>
      <c r="G250" s="509">
        <v>0</v>
      </c>
      <c r="H250" s="179">
        <f>G250/$F$272</f>
        <v>0</v>
      </c>
      <c r="I250" s="299"/>
      <c r="J250" s="186"/>
      <c r="K250" s="13"/>
      <c r="L250" s="509"/>
      <c r="M250" s="509">
        <f t="shared" si="31"/>
        <v>0</v>
      </c>
      <c r="N250" s="179"/>
      <c r="O250" s="191"/>
      <c r="P250" s="192"/>
    </row>
    <row r="251" spans="1:16" ht="18" customHeight="1">
      <c r="A251" s="7">
        <v>18</v>
      </c>
      <c r="B251" s="189"/>
      <c r="C251" s="189" t="s">
        <v>487</v>
      </c>
      <c r="D251" s="189" t="s">
        <v>367</v>
      </c>
      <c r="E251" s="190">
        <v>349000</v>
      </c>
      <c r="F251" s="509"/>
      <c r="G251" s="509">
        <v>444000</v>
      </c>
      <c r="H251" s="179">
        <f>G251/$F$272</f>
        <v>4.4744532903355838E-2</v>
      </c>
      <c r="I251" s="299"/>
      <c r="J251" s="186"/>
      <c r="K251" s="13"/>
      <c r="L251" s="509"/>
      <c r="M251" s="509">
        <v>444000</v>
      </c>
      <c r="N251" s="179">
        <f>M251/$L$272</f>
        <v>4.4744532903355838E-2</v>
      </c>
      <c r="O251" s="191"/>
      <c r="P251" s="192"/>
    </row>
    <row r="252" spans="1:16" ht="18" customHeight="1">
      <c r="A252" s="7">
        <v>4</v>
      </c>
      <c r="B252" s="189"/>
      <c r="C252" s="189" t="s">
        <v>487</v>
      </c>
      <c r="D252" s="189" t="s">
        <v>84</v>
      </c>
      <c r="E252" s="190">
        <v>187000</v>
      </c>
      <c r="F252" s="509"/>
      <c r="G252" s="509">
        <v>228000</v>
      </c>
      <c r="H252" s="179">
        <f>G252/$F$272</f>
        <v>2.2976922301723268E-2</v>
      </c>
      <c r="I252" s="299"/>
      <c r="J252" s="186"/>
      <c r="K252" s="13"/>
      <c r="L252" s="509"/>
      <c r="M252" s="509">
        <v>228000</v>
      </c>
      <c r="N252" s="179">
        <f>M252/$L$272</f>
        <v>2.2976922301723268E-2</v>
      </c>
      <c r="O252" s="191"/>
      <c r="P252" s="192"/>
    </row>
    <row r="253" spans="1:16" ht="18" customHeight="1">
      <c r="A253" s="7"/>
      <c r="B253" s="189"/>
      <c r="C253" s="189"/>
      <c r="D253" s="189" t="s">
        <v>132</v>
      </c>
      <c r="E253" s="190"/>
      <c r="F253" s="509"/>
      <c r="G253" s="509"/>
      <c r="H253" s="179"/>
      <c r="I253" s="299"/>
      <c r="J253" s="186"/>
      <c r="K253" s="13"/>
      <c r="L253" s="509"/>
      <c r="M253" s="509"/>
      <c r="N253" s="179"/>
      <c r="O253" s="191"/>
      <c r="P253" s="192"/>
    </row>
    <row r="254" spans="1:16" ht="18" customHeight="1">
      <c r="A254" s="7">
        <v>6</v>
      </c>
      <c r="B254" s="189"/>
      <c r="C254" s="189" t="s">
        <v>487</v>
      </c>
      <c r="D254" s="189" t="s">
        <v>85</v>
      </c>
      <c r="E254" s="190">
        <v>140000</v>
      </c>
      <c r="F254" s="509"/>
      <c r="G254" s="509">
        <v>50000</v>
      </c>
      <c r="H254" s="179">
        <f>G254/$F$272</f>
        <v>5.0387987503779097E-3</v>
      </c>
      <c r="I254" s="299"/>
      <c r="J254" s="186"/>
      <c r="K254" s="13"/>
      <c r="L254" s="509"/>
      <c r="M254" s="509">
        <f>30000+20000</f>
        <v>50000</v>
      </c>
      <c r="N254" s="179">
        <f>M254/$L$272</f>
        <v>5.0387987503779097E-3</v>
      </c>
      <c r="O254" s="191"/>
      <c r="P254" s="192"/>
    </row>
    <row r="255" spans="1:16" ht="18" customHeight="1">
      <c r="A255" s="7"/>
      <c r="B255" s="189"/>
      <c r="C255" s="189"/>
      <c r="D255" s="189" t="s">
        <v>133</v>
      </c>
      <c r="E255" s="190"/>
      <c r="F255" s="509"/>
      <c r="G255" s="509"/>
      <c r="H255" s="179"/>
      <c r="I255" s="299"/>
      <c r="J255" s="186"/>
      <c r="K255" s="13"/>
      <c r="L255" s="509"/>
      <c r="M255" s="509"/>
      <c r="N255" s="179"/>
      <c r="O255" s="191"/>
      <c r="P255" s="192"/>
    </row>
    <row r="256" spans="1:16" ht="18" customHeight="1">
      <c r="A256" s="7">
        <v>7</v>
      </c>
      <c r="B256" s="189"/>
      <c r="C256" s="189" t="s">
        <v>487</v>
      </c>
      <c r="D256" s="189" t="s">
        <v>86</v>
      </c>
      <c r="E256" s="190">
        <v>6000</v>
      </c>
      <c r="F256" s="509"/>
      <c r="G256" s="510">
        <v>6000</v>
      </c>
      <c r="H256" s="179">
        <f>G256/$F$272</f>
        <v>6.0465585004534916E-4</v>
      </c>
      <c r="I256" s="299"/>
      <c r="J256" s="186"/>
      <c r="K256" s="13"/>
      <c r="L256" s="509"/>
      <c r="M256" s="509">
        <f t="shared" si="31"/>
        <v>6000</v>
      </c>
      <c r="N256" s="179">
        <f>M256/$L$272</f>
        <v>6.0465585004534916E-4</v>
      </c>
      <c r="O256" s="191"/>
      <c r="P256" s="192"/>
    </row>
    <row r="257" spans="1:16" ht="18" customHeight="1">
      <c r="A257" s="7">
        <v>8</v>
      </c>
      <c r="B257" s="189"/>
      <c r="C257" s="189" t="s">
        <v>487</v>
      </c>
      <c r="D257" s="189" t="s">
        <v>98</v>
      </c>
      <c r="E257" s="190"/>
      <c r="F257" s="509"/>
      <c r="G257" s="509">
        <f t="shared" ref="G257" si="32">ROUND(E257/9*12,-3)</f>
        <v>0</v>
      </c>
      <c r="H257" s="179">
        <f>G257/$F$272</f>
        <v>0</v>
      </c>
      <c r="I257" s="299"/>
      <c r="J257" s="186"/>
      <c r="K257" s="13"/>
      <c r="L257" s="509"/>
      <c r="M257" s="509">
        <f t="shared" si="31"/>
        <v>0</v>
      </c>
      <c r="N257" s="179">
        <f>M257/$L$272</f>
        <v>0</v>
      </c>
      <c r="O257" s="191"/>
      <c r="P257" s="192"/>
    </row>
    <row r="258" spans="1:16" ht="18" customHeight="1">
      <c r="A258" s="7"/>
      <c r="B258" s="189"/>
      <c r="C258" s="189"/>
      <c r="D258" s="189" t="s">
        <v>87</v>
      </c>
      <c r="E258" s="190"/>
      <c r="F258" s="509"/>
      <c r="G258" s="509"/>
      <c r="H258" s="179"/>
      <c r="I258" s="299"/>
      <c r="J258" s="186"/>
      <c r="K258" s="13"/>
      <c r="L258" s="509"/>
      <c r="M258" s="509"/>
      <c r="N258" s="179"/>
      <c r="O258" s="191"/>
      <c r="P258" s="192"/>
    </row>
    <row r="259" spans="1:16" ht="18" customHeight="1">
      <c r="A259" s="7">
        <v>10</v>
      </c>
      <c r="B259" s="189"/>
      <c r="C259" s="189" t="s">
        <v>487</v>
      </c>
      <c r="D259" s="189" t="s">
        <v>121</v>
      </c>
      <c r="E259" s="190">
        <v>5000</v>
      </c>
      <c r="F259" s="509"/>
      <c r="G259" s="509">
        <f>ROUND(3436000*3%,-3)</f>
        <v>103000</v>
      </c>
      <c r="H259" s="179">
        <f>G259/$F$272</f>
        <v>1.0379925425778494E-2</v>
      </c>
      <c r="I259" s="299"/>
      <c r="J259" s="186"/>
      <c r="K259" s="13"/>
      <c r="L259" s="509"/>
      <c r="M259" s="509"/>
      <c r="N259" s="179">
        <f>M259/$L$272</f>
        <v>0</v>
      </c>
      <c r="O259" s="191"/>
      <c r="P259" s="192"/>
    </row>
    <row r="260" spans="1:16" ht="18" customHeight="1">
      <c r="A260" s="7">
        <v>11</v>
      </c>
      <c r="B260" s="189"/>
      <c r="C260" s="189" t="s">
        <v>487</v>
      </c>
      <c r="D260" s="189" t="s">
        <v>88</v>
      </c>
      <c r="E260" s="190">
        <v>27000</v>
      </c>
      <c r="F260" s="509"/>
      <c r="G260" s="509">
        <v>96000</v>
      </c>
      <c r="H260" s="179">
        <f>G260/$F$272</f>
        <v>9.6744936007255866E-3</v>
      </c>
      <c r="I260" s="299"/>
      <c r="J260" s="186"/>
      <c r="K260" s="13"/>
      <c r="L260" s="509"/>
      <c r="M260" s="509">
        <v>96000</v>
      </c>
      <c r="N260" s="179">
        <f>M260/$L$272</f>
        <v>9.6744936007255866E-3</v>
      </c>
      <c r="O260" s="191"/>
      <c r="P260" s="192"/>
    </row>
    <row r="261" spans="1:16" ht="18" customHeight="1">
      <c r="A261" s="7">
        <v>12</v>
      </c>
      <c r="B261" s="189"/>
      <c r="C261" s="189" t="s">
        <v>487</v>
      </c>
      <c r="D261" s="189" t="s">
        <v>89</v>
      </c>
      <c r="E261" s="190"/>
      <c r="F261" s="509"/>
      <c r="G261" s="509"/>
      <c r="H261" s="179">
        <f>G261/$F$272</f>
        <v>0</v>
      </c>
      <c r="I261" s="299"/>
      <c r="J261" s="186"/>
      <c r="K261" s="13"/>
      <c r="L261" s="509"/>
      <c r="M261" s="509">
        <f t="shared" si="31"/>
        <v>0</v>
      </c>
      <c r="N261" s="179">
        <f>M261/$L$272</f>
        <v>0</v>
      </c>
      <c r="O261" s="191"/>
      <c r="P261" s="192"/>
    </row>
    <row r="262" spans="1:16" ht="18" customHeight="1">
      <c r="A262" s="7">
        <v>13</v>
      </c>
      <c r="B262" s="189"/>
      <c r="C262" s="189" t="s">
        <v>487</v>
      </c>
      <c r="D262" s="189" t="s">
        <v>101</v>
      </c>
      <c r="E262" s="190">
        <v>20000</v>
      </c>
      <c r="F262" s="509"/>
      <c r="G262" s="510">
        <v>20000</v>
      </c>
      <c r="H262" s="179">
        <f>G262/$F$272</f>
        <v>2.0155195001511639E-3</v>
      </c>
      <c r="I262" s="299"/>
      <c r="J262" s="186"/>
      <c r="K262" s="13"/>
      <c r="L262" s="509"/>
      <c r="M262" s="509">
        <f t="shared" si="31"/>
        <v>20000</v>
      </c>
      <c r="N262" s="179">
        <f>M262/$L$272</f>
        <v>2.0155195001511639E-3</v>
      </c>
      <c r="O262" s="191"/>
      <c r="P262" s="192"/>
    </row>
    <row r="263" spans="1:16" ht="18" customHeight="1">
      <c r="A263" s="7">
        <v>14</v>
      </c>
      <c r="B263" s="189"/>
      <c r="C263" s="189" t="s">
        <v>487</v>
      </c>
      <c r="D263" s="189" t="s">
        <v>90</v>
      </c>
      <c r="E263" s="190">
        <v>10000</v>
      </c>
      <c r="F263" s="509"/>
      <c r="G263" s="509">
        <v>0</v>
      </c>
      <c r="H263" s="179">
        <f>G263/$F$272</f>
        <v>0</v>
      </c>
      <c r="I263" s="299"/>
      <c r="J263" s="186"/>
      <c r="K263" s="13"/>
      <c r="L263" s="509"/>
      <c r="M263" s="509"/>
      <c r="N263" s="179">
        <f>M263/$L$272</f>
        <v>0</v>
      </c>
      <c r="O263" s="191"/>
      <c r="P263" s="192"/>
    </row>
    <row r="264" spans="1:16" ht="18" customHeight="1">
      <c r="A264" s="7"/>
      <c r="B264" s="189"/>
      <c r="C264" s="189"/>
      <c r="D264" s="189" t="s">
        <v>173</v>
      </c>
      <c r="E264" s="190"/>
      <c r="F264" s="509"/>
      <c r="G264" s="509"/>
      <c r="H264" s="179"/>
      <c r="I264" s="299"/>
      <c r="J264" s="186"/>
      <c r="K264" s="13"/>
      <c r="L264" s="509"/>
      <c r="M264" s="509"/>
      <c r="N264" s="179"/>
      <c r="O264" s="191"/>
      <c r="P264" s="192"/>
    </row>
    <row r="265" spans="1:16" ht="18" customHeight="1">
      <c r="A265" s="7"/>
      <c r="B265" s="189"/>
      <c r="C265" s="189"/>
      <c r="D265" s="189" t="s">
        <v>91</v>
      </c>
      <c r="E265" s="190"/>
      <c r="F265" s="509"/>
      <c r="G265" s="509"/>
      <c r="H265" s="179"/>
      <c r="I265" s="299"/>
      <c r="J265" s="186"/>
      <c r="K265" s="13"/>
      <c r="L265" s="509"/>
      <c r="M265" s="509"/>
      <c r="N265" s="179"/>
      <c r="O265" s="191"/>
      <c r="P265" s="192"/>
    </row>
    <row r="266" spans="1:16" ht="18" customHeight="1">
      <c r="A266" s="7"/>
      <c r="B266" s="189"/>
      <c r="C266" s="189"/>
      <c r="D266" s="189" t="s">
        <v>136</v>
      </c>
      <c r="E266" s="190"/>
      <c r="F266" s="509"/>
      <c r="G266" s="509"/>
      <c r="H266" s="179"/>
      <c r="I266" s="299"/>
      <c r="J266" s="186"/>
      <c r="K266" s="13"/>
      <c r="L266" s="509"/>
      <c r="M266" s="509"/>
      <c r="N266" s="179"/>
      <c r="O266" s="191"/>
      <c r="P266" s="192"/>
    </row>
    <row r="267" spans="1:16" ht="18" customHeight="1">
      <c r="A267" s="7">
        <v>21</v>
      </c>
      <c r="B267" s="189"/>
      <c r="C267" s="189" t="s">
        <v>487</v>
      </c>
      <c r="D267" s="189" t="s">
        <v>109</v>
      </c>
      <c r="E267" s="190"/>
      <c r="F267" s="509"/>
      <c r="G267" s="509">
        <f>ROUND(E267/9*12,-3)</f>
        <v>0</v>
      </c>
      <c r="H267" s="179">
        <f>G267/$F$272</f>
        <v>0</v>
      </c>
      <c r="I267" s="299"/>
      <c r="J267" s="186"/>
      <c r="K267" s="13"/>
      <c r="L267" s="509"/>
      <c r="M267" s="509">
        <f>ROUND(G267,-3)</f>
        <v>0</v>
      </c>
      <c r="N267" s="179">
        <f>M267/$L$272</f>
        <v>0</v>
      </c>
      <c r="O267" s="191"/>
      <c r="P267" s="192"/>
    </row>
    <row r="268" spans="1:16" ht="18" customHeight="1">
      <c r="A268" s="7">
        <v>16</v>
      </c>
      <c r="B268" s="189"/>
      <c r="C268" s="189" t="s">
        <v>487</v>
      </c>
      <c r="D268" s="189" t="s">
        <v>92</v>
      </c>
      <c r="E268" s="190"/>
      <c r="F268" s="509"/>
      <c r="G268" s="509">
        <v>750000</v>
      </c>
      <c r="H268" s="179">
        <f>G268/$F$272</f>
        <v>7.5581981255668645E-2</v>
      </c>
      <c r="I268" s="299"/>
      <c r="J268" s="186"/>
      <c r="K268" s="13"/>
      <c r="L268" s="509"/>
      <c r="M268" s="509">
        <f>150000+(50000*12)</f>
        <v>750000</v>
      </c>
      <c r="N268" s="179">
        <f>M268/$L$272</f>
        <v>7.5581981255668645E-2</v>
      </c>
      <c r="O268" s="191"/>
      <c r="P268" s="192"/>
    </row>
    <row r="269" spans="1:16" ht="18" customHeight="1">
      <c r="A269" s="7"/>
      <c r="B269" s="189"/>
      <c r="C269" s="189"/>
      <c r="D269" s="189" t="s">
        <v>386</v>
      </c>
      <c r="E269" s="190"/>
      <c r="F269" s="509"/>
      <c r="G269" s="509"/>
      <c r="H269" s="179"/>
      <c r="I269" s="299"/>
      <c r="J269" s="186"/>
      <c r="K269" s="13"/>
      <c r="L269" s="509"/>
      <c r="M269" s="509"/>
      <c r="N269" s="179"/>
      <c r="O269" s="191"/>
      <c r="P269" s="192"/>
    </row>
    <row r="270" spans="1:16" ht="18" customHeight="1">
      <c r="A270" s="7"/>
      <c r="B270" s="189"/>
      <c r="C270" s="189"/>
      <c r="D270" s="7" t="s">
        <v>677</v>
      </c>
      <c r="E270" s="190"/>
      <c r="F270" s="509"/>
      <c r="G270" s="509">
        <v>60000</v>
      </c>
      <c r="H270" s="179"/>
      <c r="I270" s="299"/>
      <c r="J270" s="186"/>
      <c r="K270" s="13"/>
      <c r="L270" s="509"/>
      <c r="M270" s="509"/>
      <c r="N270" s="179"/>
      <c r="O270" s="191"/>
      <c r="P270" s="192"/>
    </row>
    <row r="271" spans="1:16" ht="18" customHeight="1">
      <c r="A271" s="7">
        <v>17</v>
      </c>
      <c r="B271" s="189"/>
      <c r="C271" s="189" t="s">
        <v>487</v>
      </c>
      <c r="D271" s="189" t="s">
        <v>640</v>
      </c>
      <c r="E271" s="190">
        <v>61000</v>
      </c>
      <c r="F271" s="509"/>
      <c r="G271" s="509">
        <v>10000</v>
      </c>
      <c r="H271" s="179">
        <f>G271/$F$272</f>
        <v>1.0077597500755819E-3</v>
      </c>
      <c r="I271" s="299"/>
      <c r="J271" s="186"/>
      <c r="K271" s="13"/>
      <c r="L271" s="509"/>
      <c r="M271" s="509">
        <v>10000</v>
      </c>
      <c r="N271" s="179">
        <f>M271/$L$272</f>
        <v>1.0077597500755819E-3</v>
      </c>
      <c r="O271" s="191"/>
      <c r="P271" s="192"/>
    </row>
    <row r="272" spans="1:16" ht="18" customHeight="1">
      <c r="A272" s="507"/>
      <c r="B272" s="201"/>
      <c r="C272" s="808" t="s">
        <v>94</v>
      </c>
      <c r="D272" s="206"/>
      <c r="E272" s="203"/>
      <c r="F272" s="513">
        <f>SUM(F246:F271)</f>
        <v>9923000</v>
      </c>
      <c r="G272" s="513">
        <f>SUM(G246:G271)</f>
        <v>7469000</v>
      </c>
      <c r="H272" s="204">
        <f>G272/$F$272</f>
        <v>0.75269575733145222</v>
      </c>
      <c r="I272" s="300">
        <f>F272-G272</f>
        <v>2454000</v>
      </c>
      <c r="J272" s="195">
        <f>I272/F272</f>
        <v>0.24730424266854781</v>
      </c>
      <c r="K272" s="13"/>
      <c r="L272" s="517">
        <f>SUM(L246:L271)</f>
        <v>9923000</v>
      </c>
      <c r="M272" s="517">
        <f>SUM(M246:M271)</f>
        <v>6466000</v>
      </c>
      <c r="N272" s="196">
        <f>M272/$L$272</f>
        <v>0.65161745439887131</v>
      </c>
      <c r="O272" s="197">
        <f>L272-M272</f>
        <v>3457000</v>
      </c>
      <c r="P272" s="198"/>
    </row>
    <row r="273" spans="1:16" ht="18" customHeight="1">
      <c r="A273" s="205" t="s">
        <v>116</v>
      </c>
      <c r="B273" s="189" t="s">
        <v>14</v>
      </c>
      <c r="C273" s="189" t="s">
        <v>490</v>
      </c>
      <c r="D273" s="205" t="s">
        <v>116</v>
      </c>
      <c r="E273" s="190">
        <f>100000+1489000</f>
        <v>1589000</v>
      </c>
      <c r="F273" s="510">
        <f>100000+(8500*24*12)</f>
        <v>2548000</v>
      </c>
      <c r="G273" s="509"/>
      <c r="H273" s="179"/>
      <c r="I273" s="299"/>
      <c r="J273" s="186"/>
      <c r="K273" s="13"/>
      <c r="L273" s="509">
        <f>100000+(8500*24*12)</f>
        <v>2548000</v>
      </c>
      <c r="M273" s="509"/>
      <c r="N273" s="179"/>
      <c r="O273" s="191"/>
      <c r="P273" s="192"/>
    </row>
    <row r="274" spans="1:16" ht="18" customHeight="1">
      <c r="A274" s="189" t="s">
        <v>117</v>
      </c>
      <c r="B274" s="189"/>
      <c r="C274" s="189" t="s">
        <v>489</v>
      </c>
      <c r="D274" s="189" t="s">
        <v>117</v>
      </c>
      <c r="E274" s="190">
        <v>2241000</v>
      </c>
      <c r="F274" s="510">
        <v>3394000</v>
      </c>
      <c r="G274" s="509"/>
      <c r="H274" s="179"/>
      <c r="I274" s="299"/>
      <c r="J274" s="186"/>
      <c r="K274" s="13"/>
      <c r="L274" s="509">
        <v>3394000</v>
      </c>
      <c r="M274" s="509"/>
      <c r="N274" s="179"/>
      <c r="O274" s="191"/>
      <c r="P274" s="192"/>
    </row>
    <row r="275" spans="1:16" ht="18" customHeight="1">
      <c r="A275" s="7">
        <v>1</v>
      </c>
      <c r="B275" s="189"/>
      <c r="C275" s="189" t="s">
        <v>489</v>
      </c>
      <c r="D275" s="7" t="s">
        <v>354</v>
      </c>
      <c r="E275" s="190">
        <v>3649000</v>
      </c>
      <c r="F275" s="509"/>
      <c r="G275" s="509">
        <f>ROUND(437583*12,-3)</f>
        <v>5251000</v>
      </c>
      <c r="H275" s="179">
        <f>G275/$F$299</f>
        <v>0.88370918882531135</v>
      </c>
      <c r="I275" s="299"/>
      <c r="J275" s="186"/>
      <c r="K275" s="13"/>
      <c r="L275" s="509"/>
      <c r="M275" s="509">
        <f>ROUND(437583*12,-3)</f>
        <v>5251000</v>
      </c>
      <c r="N275" s="179">
        <f>M275/$L$272</f>
        <v>0.52917464476468812</v>
      </c>
      <c r="O275" s="191"/>
      <c r="P275" s="192"/>
    </row>
    <row r="276" spans="1:16" ht="18" customHeight="1">
      <c r="A276" s="7">
        <v>2</v>
      </c>
      <c r="B276" s="189"/>
      <c r="C276" s="189" t="s">
        <v>489</v>
      </c>
      <c r="D276" s="7" t="s">
        <v>436</v>
      </c>
      <c r="E276" s="190"/>
      <c r="F276" s="509"/>
      <c r="G276" s="509">
        <f t="shared" ref="G276:G287" si="33">ROUND(E276/9*12,-3)</f>
        <v>0</v>
      </c>
      <c r="H276" s="179">
        <f>G276/$F$299</f>
        <v>0</v>
      </c>
      <c r="I276" s="299"/>
      <c r="J276" s="186"/>
      <c r="K276" s="13"/>
      <c r="L276" s="509"/>
      <c r="M276" s="509">
        <f t="shared" ref="M276:M294" si="34">G276</f>
        <v>0</v>
      </c>
      <c r="N276" s="179"/>
      <c r="O276" s="191"/>
      <c r="P276" s="192"/>
    </row>
    <row r="277" spans="1:16" ht="18" customHeight="1">
      <c r="A277" s="7">
        <v>3</v>
      </c>
      <c r="B277" s="189"/>
      <c r="C277" s="189" t="s">
        <v>489</v>
      </c>
      <c r="D277" s="7" t="s">
        <v>130</v>
      </c>
      <c r="E277" s="190"/>
      <c r="F277" s="509"/>
      <c r="G277" s="509">
        <f t="shared" si="33"/>
        <v>0</v>
      </c>
      <c r="H277" s="179">
        <f>G277/$F$299</f>
        <v>0</v>
      </c>
      <c r="I277" s="299"/>
      <c r="J277" s="186"/>
      <c r="K277" s="13"/>
      <c r="L277" s="509"/>
      <c r="M277" s="509">
        <f t="shared" si="34"/>
        <v>0</v>
      </c>
      <c r="N277" s="179"/>
      <c r="O277" s="191"/>
      <c r="P277" s="192"/>
    </row>
    <row r="278" spans="1:16" ht="18" customHeight="1">
      <c r="A278" s="7">
        <v>18</v>
      </c>
      <c r="B278" s="189"/>
      <c r="C278" s="189" t="s">
        <v>489</v>
      </c>
      <c r="D278" s="189" t="s">
        <v>367</v>
      </c>
      <c r="E278" s="190">
        <v>124000</v>
      </c>
      <c r="F278" s="509"/>
      <c r="G278" s="509">
        <v>165000</v>
      </c>
      <c r="H278" s="179">
        <f>G278/$F$299</f>
        <v>2.7768428138673848E-2</v>
      </c>
      <c r="I278" s="299"/>
      <c r="J278" s="186"/>
      <c r="K278" s="13"/>
      <c r="L278" s="509"/>
      <c r="M278" s="509">
        <f t="shared" si="34"/>
        <v>165000</v>
      </c>
      <c r="N278" s="179">
        <f t="shared" ref="N278:N299" si="35">M278/$L$272</f>
        <v>1.6628035876247102E-2</v>
      </c>
      <c r="O278" s="191"/>
      <c r="P278" s="192"/>
    </row>
    <row r="279" spans="1:16" ht="18" customHeight="1">
      <c r="A279" s="7">
        <v>4</v>
      </c>
      <c r="B279" s="189"/>
      <c r="C279" s="189" t="s">
        <v>489</v>
      </c>
      <c r="D279" s="189" t="s">
        <v>84</v>
      </c>
      <c r="E279" s="190">
        <v>72000</v>
      </c>
      <c r="F279" s="509"/>
      <c r="G279" s="509">
        <v>96000</v>
      </c>
      <c r="H279" s="179">
        <f>G279/$F$299</f>
        <v>1.6156176371592057E-2</v>
      </c>
      <c r="I279" s="299"/>
      <c r="J279" s="186"/>
      <c r="K279" s="13"/>
      <c r="L279" s="509"/>
      <c r="M279" s="509">
        <f t="shared" si="34"/>
        <v>96000</v>
      </c>
      <c r="N279" s="179">
        <f t="shared" si="35"/>
        <v>9.6744936007255866E-3</v>
      </c>
      <c r="O279" s="191"/>
      <c r="P279" s="192"/>
    </row>
    <row r="280" spans="1:16" ht="18" customHeight="1">
      <c r="A280" s="7"/>
      <c r="B280" s="189"/>
      <c r="C280" s="189"/>
      <c r="D280" s="189" t="s">
        <v>132</v>
      </c>
      <c r="E280" s="190"/>
      <c r="F280" s="509"/>
      <c r="G280" s="509"/>
      <c r="H280" s="179"/>
      <c r="I280" s="299"/>
      <c r="J280" s="186"/>
      <c r="K280" s="13"/>
      <c r="L280" s="509"/>
      <c r="M280" s="509"/>
      <c r="N280" s="179"/>
      <c r="O280" s="191"/>
      <c r="P280" s="192"/>
    </row>
    <row r="281" spans="1:16" ht="18" customHeight="1">
      <c r="A281" s="7">
        <v>6</v>
      </c>
      <c r="B281" s="189"/>
      <c r="C281" s="189" t="s">
        <v>489</v>
      </c>
      <c r="D281" s="189" t="s">
        <v>85</v>
      </c>
      <c r="E281" s="190">
        <v>92000</v>
      </c>
      <c r="F281" s="509"/>
      <c r="G281" s="509">
        <v>45000</v>
      </c>
      <c r="H281" s="179">
        <f>G281/$F$299</f>
        <v>7.5732076741837767E-3</v>
      </c>
      <c r="I281" s="299"/>
      <c r="J281" s="186"/>
      <c r="K281" s="13"/>
      <c r="L281" s="509"/>
      <c r="M281" s="509">
        <v>45000</v>
      </c>
      <c r="N281" s="179">
        <f t="shared" si="35"/>
        <v>4.5349188753401187E-3</v>
      </c>
      <c r="O281" s="191"/>
      <c r="P281" s="192"/>
    </row>
    <row r="282" spans="1:16" ht="18" customHeight="1">
      <c r="A282" s="7"/>
      <c r="B282" s="189"/>
      <c r="C282" s="189"/>
      <c r="D282" s="189" t="s">
        <v>133</v>
      </c>
      <c r="E282" s="190"/>
      <c r="F282" s="509"/>
      <c r="G282" s="509"/>
      <c r="H282" s="179"/>
      <c r="I282" s="299"/>
      <c r="J282" s="186"/>
      <c r="K282" s="13"/>
      <c r="L282" s="509"/>
      <c r="M282" s="509"/>
      <c r="N282" s="179"/>
      <c r="O282" s="191"/>
      <c r="P282" s="192"/>
    </row>
    <row r="283" spans="1:16" ht="18" customHeight="1">
      <c r="A283" s="7">
        <v>7</v>
      </c>
      <c r="B283" s="189"/>
      <c r="C283" s="189" t="s">
        <v>489</v>
      </c>
      <c r="D283" s="189" t="s">
        <v>86</v>
      </c>
      <c r="E283" s="190">
        <v>4000</v>
      </c>
      <c r="F283" s="509"/>
      <c r="G283" s="510"/>
      <c r="H283" s="179">
        <f>G283/$F$299</f>
        <v>0</v>
      </c>
      <c r="I283" s="299"/>
      <c r="J283" s="186"/>
      <c r="K283" s="13"/>
      <c r="L283" s="509"/>
      <c r="M283" s="509"/>
      <c r="N283" s="179">
        <f t="shared" si="35"/>
        <v>0</v>
      </c>
      <c r="O283" s="191"/>
      <c r="P283" s="192"/>
    </row>
    <row r="284" spans="1:16" ht="18" customHeight="1">
      <c r="A284" s="7">
        <v>8</v>
      </c>
      <c r="B284" s="189"/>
      <c r="C284" s="189" t="s">
        <v>489</v>
      </c>
      <c r="D284" s="189" t="s">
        <v>98</v>
      </c>
      <c r="E284" s="190">
        <v>19000</v>
      </c>
      <c r="F284" s="509"/>
      <c r="G284" s="509"/>
      <c r="H284" s="179">
        <f>G284/$F$299</f>
        <v>0</v>
      </c>
      <c r="I284" s="299"/>
      <c r="J284" s="186"/>
      <c r="K284" s="13"/>
      <c r="L284" s="509"/>
      <c r="M284" s="509"/>
      <c r="N284" s="179">
        <f t="shared" si="35"/>
        <v>0</v>
      </c>
      <c r="O284" s="191"/>
      <c r="P284" s="192"/>
    </row>
    <row r="285" spans="1:16" ht="18" customHeight="1">
      <c r="A285" s="7">
        <v>10</v>
      </c>
      <c r="B285" s="189"/>
      <c r="C285" s="189" t="s">
        <v>489</v>
      </c>
      <c r="D285" s="189" t="s">
        <v>121</v>
      </c>
      <c r="E285" s="190"/>
      <c r="F285" s="509"/>
      <c r="G285" s="509">
        <f>ROUND(3436000*10%,-3)</f>
        <v>344000</v>
      </c>
      <c r="H285" s="179">
        <f>G285/$F$299</f>
        <v>5.7892965331538204E-2</v>
      </c>
      <c r="I285" s="299"/>
      <c r="J285" s="186"/>
      <c r="K285" s="13"/>
      <c r="L285" s="509"/>
      <c r="M285" s="509">
        <f t="shared" si="34"/>
        <v>344000</v>
      </c>
      <c r="N285" s="179">
        <f t="shared" si="35"/>
        <v>3.4666935402600019E-2</v>
      </c>
      <c r="O285" s="191"/>
      <c r="P285" s="192"/>
    </row>
    <row r="286" spans="1:16" ht="18" customHeight="1">
      <c r="A286" s="7"/>
      <c r="B286" s="189"/>
      <c r="C286" s="189"/>
      <c r="D286" s="189" t="s">
        <v>87</v>
      </c>
      <c r="E286" s="190"/>
      <c r="F286" s="509"/>
      <c r="G286" s="509"/>
      <c r="H286" s="179"/>
      <c r="I286" s="299"/>
      <c r="J286" s="186"/>
      <c r="K286" s="13"/>
      <c r="L286" s="509"/>
      <c r="M286" s="509"/>
      <c r="N286" s="179"/>
      <c r="O286" s="191"/>
      <c r="P286" s="192"/>
    </row>
    <row r="287" spans="1:16" ht="18" customHeight="1">
      <c r="A287" s="7">
        <v>11</v>
      </c>
      <c r="B287" s="189"/>
      <c r="C287" s="189" t="s">
        <v>489</v>
      </c>
      <c r="D287" s="189" t="s">
        <v>88</v>
      </c>
      <c r="E287" s="190"/>
      <c r="F287" s="509"/>
      <c r="G287" s="509">
        <f t="shared" si="33"/>
        <v>0</v>
      </c>
      <c r="H287" s="179">
        <f>G287/$F$299</f>
        <v>0</v>
      </c>
      <c r="I287" s="299"/>
      <c r="J287" s="186"/>
      <c r="K287" s="13"/>
      <c r="L287" s="509"/>
      <c r="M287" s="509">
        <v>0</v>
      </c>
      <c r="N287" s="179">
        <f t="shared" si="35"/>
        <v>0</v>
      </c>
      <c r="O287" s="191"/>
      <c r="P287" s="192"/>
    </row>
    <row r="288" spans="1:16" ht="18" customHeight="1">
      <c r="A288" s="7">
        <v>12</v>
      </c>
      <c r="B288" s="189"/>
      <c r="C288" s="189" t="s">
        <v>489</v>
      </c>
      <c r="D288" s="189" t="s">
        <v>89</v>
      </c>
      <c r="E288" s="190">
        <v>1000</v>
      </c>
      <c r="F288" s="509"/>
      <c r="G288" s="509"/>
      <c r="H288" s="179">
        <f>G288/$F$299</f>
        <v>0</v>
      </c>
      <c r="I288" s="299"/>
      <c r="J288" s="186"/>
      <c r="K288" s="13"/>
      <c r="L288" s="509"/>
      <c r="M288" s="509"/>
      <c r="N288" s="179">
        <f t="shared" si="35"/>
        <v>0</v>
      </c>
      <c r="O288" s="191"/>
      <c r="P288" s="192"/>
    </row>
    <row r="289" spans="1:16" ht="18" customHeight="1">
      <c r="A289" s="7">
        <v>13</v>
      </c>
      <c r="B289" s="189"/>
      <c r="C289" s="189" t="s">
        <v>489</v>
      </c>
      <c r="D289" s="189" t="s">
        <v>101</v>
      </c>
      <c r="E289" s="190">
        <v>6000</v>
      </c>
      <c r="F289" s="509"/>
      <c r="G289" s="510"/>
      <c r="H289" s="179">
        <f>G289/$F$299</f>
        <v>0</v>
      </c>
      <c r="I289" s="299"/>
      <c r="J289" s="186"/>
      <c r="K289" s="13"/>
      <c r="L289" s="509"/>
      <c r="M289" s="509"/>
      <c r="N289" s="179">
        <f t="shared" si="35"/>
        <v>0</v>
      </c>
      <c r="O289" s="191"/>
      <c r="P289" s="192"/>
    </row>
    <row r="290" spans="1:16" ht="18" customHeight="1">
      <c r="A290" s="7">
        <v>14</v>
      </c>
      <c r="B290" s="189"/>
      <c r="C290" s="189" t="s">
        <v>489</v>
      </c>
      <c r="D290" s="189" t="s">
        <v>90</v>
      </c>
      <c r="E290" s="190">
        <v>4000</v>
      </c>
      <c r="F290" s="509"/>
      <c r="G290" s="509">
        <v>20000</v>
      </c>
      <c r="H290" s="179">
        <f>G290/$F$299</f>
        <v>3.3658700774150119E-3</v>
      </c>
      <c r="I290" s="299"/>
      <c r="J290" s="186"/>
      <c r="K290" s="13"/>
      <c r="L290" s="509"/>
      <c r="M290" s="509">
        <v>20000</v>
      </c>
      <c r="N290" s="179">
        <f t="shared" si="35"/>
        <v>2.0155195001511639E-3</v>
      </c>
      <c r="O290" s="191"/>
      <c r="P290" s="192"/>
    </row>
    <row r="291" spans="1:16" ht="18" customHeight="1">
      <c r="A291" s="7"/>
      <c r="B291" s="189"/>
      <c r="C291" s="189"/>
      <c r="D291" s="189" t="s">
        <v>173</v>
      </c>
      <c r="E291" s="190"/>
      <c r="F291" s="509"/>
      <c r="G291" s="509"/>
      <c r="H291" s="179"/>
      <c r="I291" s="299"/>
      <c r="J291" s="186"/>
      <c r="K291" s="13"/>
      <c r="L291" s="509"/>
      <c r="M291" s="509"/>
      <c r="N291" s="179"/>
      <c r="O291" s="191"/>
      <c r="P291" s="192"/>
    </row>
    <row r="292" spans="1:16" ht="18" customHeight="1">
      <c r="A292" s="7"/>
      <c r="B292" s="189"/>
      <c r="C292" s="189"/>
      <c r="D292" s="189" t="s">
        <v>91</v>
      </c>
      <c r="E292" s="190"/>
      <c r="F292" s="509"/>
      <c r="G292" s="509"/>
      <c r="H292" s="179"/>
      <c r="I292" s="299"/>
      <c r="J292" s="186"/>
      <c r="K292" s="13"/>
      <c r="L292" s="509"/>
      <c r="M292" s="509"/>
      <c r="N292" s="179"/>
      <c r="O292" s="191"/>
      <c r="P292" s="192"/>
    </row>
    <row r="293" spans="1:16" ht="18" customHeight="1">
      <c r="A293" s="7"/>
      <c r="B293" s="189"/>
      <c r="C293" s="189"/>
      <c r="D293" s="189" t="s">
        <v>136</v>
      </c>
      <c r="E293" s="190"/>
      <c r="F293" s="509"/>
      <c r="G293" s="509"/>
      <c r="H293" s="179"/>
      <c r="I293" s="299"/>
      <c r="J293" s="186"/>
      <c r="K293" s="13"/>
      <c r="L293" s="509"/>
      <c r="M293" s="509"/>
      <c r="N293" s="179"/>
      <c r="O293" s="191"/>
      <c r="P293" s="192"/>
    </row>
    <row r="294" spans="1:16" ht="18" customHeight="1">
      <c r="A294" s="7">
        <v>21</v>
      </c>
      <c r="B294" s="189"/>
      <c r="C294" s="189" t="s">
        <v>489</v>
      </c>
      <c r="D294" s="189" t="s">
        <v>109</v>
      </c>
      <c r="E294" s="190"/>
      <c r="F294" s="509"/>
      <c r="G294" s="509"/>
      <c r="H294" s="179">
        <f>G294/$F$299</f>
        <v>0</v>
      </c>
      <c r="I294" s="299"/>
      <c r="J294" s="186"/>
      <c r="K294" s="13"/>
      <c r="L294" s="509"/>
      <c r="M294" s="509">
        <f t="shared" si="34"/>
        <v>0</v>
      </c>
      <c r="N294" s="179">
        <f t="shared" si="35"/>
        <v>0</v>
      </c>
      <c r="O294" s="191"/>
      <c r="P294" s="192"/>
    </row>
    <row r="295" spans="1:16" ht="18" customHeight="1">
      <c r="A295" s="7">
        <v>16</v>
      </c>
      <c r="B295" s="189"/>
      <c r="C295" s="189" t="s">
        <v>489</v>
      </c>
      <c r="D295" s="189" t="s">
        <v>92</v>
      </c>
      <c r="E295" s="190"/>
      <c r="F295" s="509"/>
      <c r="G295" s="509">
        <v>360000</v>
      </c>
      <c r="H295" s="179">
        <f>G295/$F$299</f>
        <v>6.0585661393470214E-2</v>
      </c>
      <c r="I295" s="299"/>
      <c r="J295" s="186"/>
      <c r="K295" s="13"/>
      <c r="L295" s="509"/>
      <c r="M295" s="509">
        <f>30000*12</f>
        <v>360000</v>
      </c>
      <c r="N295" s="179">
        <f t="shared" si="35"/>
        <v>3.627935100272095E-2</v>
      </c>
      <c r="O295" s="191"/>
      <c r="P295" s="192"/>
    </row>
    <row r="296" spans="1:16" ht="18" customHeight="1">
      <c r="A296" s="7"/>
      <c r="B296" s="189"/>
      <c r="C296" s="189"/>
      <c r="D296" s="189" t="s">
        <v>386</v>
      </c>
      <c r="E296" s="190"/>
      <c r="F296" s="509"/>
      <c r="G296" s="509"/>
      <c r="H296" s="179"/>
      <c r="I296" s="299"/>
      <c r="J296" s="186"/>
      <c r="K296" s="13"/>
      <c r="L296" s="509"/>
      <c r="M296" s="509"/>
      <c r="N296" s="179"/>
      <c r="O296" s="191"/>
      <c r="P296" s="192"/>
    </row>
    <row r="297" spans="1:16" ht="18" customHeight="1">
      <c r="A297" s="7"/>
      <c r="B297" s="189"/>
      <c r="C297" s="189"/>
      <c r="D297" s="7" t="s">
        <v>677</v>
      </c>
      <c r="E297" s="190"/>
      <c r="F297" s="509"/>
      <c r="G297" s="509">
        <v>60000</v>
      </c>
      <c r="H297" s="179"/>
      <c r="I297" s="299"/>
      <c r="J297" s="186"/>
      <c r="K297" s="13"/>
      <c r="L297" s="509"/>
      <c r="M297" s="509"/>
      <c r="N297" s="179"/>
      <c r="O297" s="191"/>
      <c r="P297" s="192"/>
    </row>
    <row r="298" spans="1:16" ht="18" customHeight="1">
      <c r="A298" s="7">
        <v>17</v>
      </c>
      <c r="B298" s="189"/>
      <c r="C298" s="189" t="s">
        <v>489</v>
      </c>
      <c r="D298" s="189" t="s">
        <v>93</v>
      </c>
      <c r="E298" s="190">
        <v>66000</v>
      </c>
      <c r="F298" s="509"/>
      <c r="G298" s="509"/>
      <c r="H298" s="179">
        <f>G298/$F$299</f>
        <v>0</v>
      </c>
      <c r="I298" s="299"/>
      <c r="J298" s="186"/>
      <c r="K298" s="13"/>
      <c r="L298" s="509"/>
      <c r="M298" s="509"/>
      <c r="N298" s="179">
        <f t="shared" si="35"/>
        <v>0</v>
      </c>
      <c r="O298" s="191"/>
      <c r="P298" s="192"/>
    </row>
    <row r="299" spans="1:16" ht="18" customHeight="1">
      <c r="A299" s="507"/>
      <c r="B299" s="201"/>
      <c r="C299" s="808" t="s">
        <v>94</v>
      </c>
      <c r="D299" s="206"/>
      <c r="E299" s="203"/>
      <c r="F299" s="513">
        <f>SUM(F273:F298)</f>
        <v>5942000</v>
      </c>
      <c r="G299" s="513">
        <f>SUM(G273:G298)</f>
        <v>6341000</v>
      </c>
      <c r="H299" s="204">
        <f>G299/$F$299</f>
        <v>1.0671491080444295</v>
      </c>
      <c r="I299" s="300">
        <f>F299-G299</f>
        <v>-399000</v>
      </c>
      <c r="J299" s="195">
        <f>I299/F299</f>
        <v>-6.7149108044429487E-2</v>
      </c>
      <c r="K299" s="13"/>
      <c r="L299" s="517">
        <f>SUM(L273:L298)</f>
        <v>5942000</v>
      </c>
      <c r="M299" s="517">
        <f>SUM(M273:M298)</f>
        <v>6281000</v>
      </c>
      <c r="N299" s="196">
        <f t="shared" si="35"/>
        <v>0.63297389902247303</v>
      </c>
      <c r="O299" s="197">
        <f>L299-M299</f>
        <v>-339000</v>
      </c>
      <c r="P299" s="198"/>
    </row>
    <row r="300" spans="1:16" ht="18" customHeight="1">
      <c r="A300" s="189" t="s">
        <v>107</v>
      </c>
      <c r="B300" s="189" t="s">
        <v>11</v>
      </c>
      <c r="C300" s="189" t="s">
        <v>106</v>
      </c>
      <c r="D300" s="189" t="s">
        <v>107</v>
      </c>
      <c r="E300" s="190">
        <v>322000</v>
      </c>
      <c r="F300" s="509">
        <v>429000</v>
      </c>
      <c r="G300" s="509"/>
      <c r="H300" s="179"/>
      <c r="I300" s="299"/>
      <c r="J300" s="186"/>
      <c r="K300" s="13"/>
      <c r="L300" s="509">
        <f>ROUND(F300,-3)</f>
        <v>429000</v>
      </c>
      <c r="M300" s="509"/>
      <c r="N300" s="179"/>
      <c r="O300" s="191"/>
      <c r="P300" s="192"/>
    </row>
    <row r="301" spans="1:16" ht="18" customHeight="1">
      <c r="A301" s="189" t="s">
        <v>108</v>
      </c>
      <c r="B301" s="189"/>
      <c r="C301" s="189" t="s">
        <v>106</v>
      </c>
      <c r="D301" s="189" t="s">
        <v>108</v>
      </c>
      <c r="E301" s="190"/>
      <c r="F301" s="509"/>
      <c r="G301" s="509">
        <f>ROUND(E301/9*12,-3)</f>
        <v>0</v>
      </c>
      <c r="H301" s="179"/>
      <c r="I301" s="299"/>
      <c r="J301" s="186"/>
      <c r="K301" s="13"/>
      <c r="L301" s="509">
        <f>ROUND(F301,-3)</f>
        <v>0</v>
      </c>
      <c r="M301" s="509"/>
      <c r="N301" s="179"/>
      <c r="O301" s="191"/>
      <c r="P301" s="192"/>
    </row>
    <row r="302" spans="1:16" ht="18" customHeight="1">
      <c r="A302" s="189"/>
      <c r="B302" s="189"/>
      <c r="C302" s="189"/>
      <c r="D302" s="189" t="s">
        <v>647</v>
      </c>
      <c r="E302" s="190"/>
      <c r="F302" s="509"/>
      <c r="G302" s="509"/>
      <c r="H302" s="179"/>
      <c r="I302" s="299"/>
      <c r="J302" s="186"/>
      <c r="K302" s="13"/>
      <c r="L302" s="509"/>
      <c r="M302" s="509"/>
      <c r="N302" s="179"/>
      <c r="O302" s="191"/>
      <c r="P302" s="192"/>
    </row>
    <row r="303" spans="1:16" ht="18" customHeight="1">
      <c r="A303" s="7">
        <v>21</v>
      </c>
      <c r="B303" s="189"/>
      <c r="C303" s="189" t="s">
        <v>106</v>
      </c>
      <c r="D303" s="7" t="s">
        <v>109</v>
      </c>
      <c r="E303" s="190">
        <v>65000</v>
      </c>
      <c r="F303" s="509"/>
      <c r="G303" s="509">
        <v>174000</v>
      </c>
      <c r="H303" s="179">
        <f>G303/SUM(F305)</f>
        <v>0.40559440559440557</v>
      </c>
      <c r="I303" s="299"/>
      <c r="J303" s="186"/>
      <c r="K303" s="13"/>
      <c r="L303" s="509"/>
      <c r="M303" s="509">
        <f>ROUND(G303,-3)*2</f>
        <v>348000</v>
      </c>
      <c r="N303" s="179">
        <f>M303/$L$305</f>
        <v>0.81118881118881114</v>
      </c>
      <c r="O303" s="191"/>
      <c r="P303" s="192"/>
    </row>
    <row r="304" spans="1:16" ht="18" customHeight="1">
      <c r="A304" s="7">
        <v>17</v>
      </c>
      <c r="B304" s="189"/>
      <c r="C304" s="189" t="s">
        <v>106</v>
      </c>
      <c r="D304" s="7" t="s">
        <v>93</v>
      </c>
      <c r="E304" s="190"/>
      <c r="F304" s="509"/>
      <c r="G304" s="509">
        <f t="shared" ref="G304" si="36">ROUND(E304/9*12,-3)</f>
        <v>0</v>
      </c>
      <c r="H304" s="179">
        <f>G304/SUM(F305)</f>
        <v>0</v>
      </c>
      <c r="I304" s="299"/>
      <c r="J304" s="186"/>
      <c r="K304" s="13"/>
      <c r="L304" s="509"/>
      <c r="M304" s="509">
        <f t="shared" ref="M304" si="37">ROUND(G304,-3)</f>
        <v>0</v>
      </c>
      <c r="N304" s="179">
        <f>M304/$L$305</f>
        <v>0</v>
      </c>
      <c r="O304" s="191"/>
      <c r="P304" s="192"/>
    </row>
    <row r="305" spans="1:16" ht="18" customHeight="1">
      <c r="A305" s="506"/>
      <c r="B305" s="193"/>
      <c r="C305" s="807" t="s">
        <v>94</v>
      </c>
      <c r="D305" s="189"/>
      <c r="E305" s="190"/>
      <c r="F305" s="511">
        <f>SUM(F300:F304)</f>
        <v>429000</v>
      </c>
      <c r="G305" s="511">
        <f>SUM(G300:G304)</f>
        <v>174000</v>
      </c>
      <c r="H305" s="194">
        <f>G305/SUM(F300:F301)</f>
        <v>0.40559440559440557</v>
      </c>
      <c r="I305" s="300">
        <f>F305-G305</f>
        <v>255000</v>
      </c>
      <c r="J305" s="195">
        <f>I305/F305</f>
        <v>0.59440559440559437</v>
      </c>
      <c r="K305" s="13"/>
      <c r="L305" s="517">
        <f>SUM(L300:L304)</f>
        <v>429000</v>
      </c>
      <c r="M305" s="517">
        <f>SUM(M300:M304)</f>
        <v>348000</v>
      </c>
      <c r="N305" s="196">
        <f>M305/$L$305</f>
        <v>0.81118881118881114</v>
      </c>
      <c r="O305" s="197"/>
      <c r="P305" s="198"/>
    </row>
    <row r="306" spans="1:16" ht="18" customHeight="1">
      <c r="A306" s="189" t="s">
        <v>494</v>
      </c>
      <c r="B306" s="189" t="s">
        <v>11</v>
      </c>
      <c r="C306" s="189" t="s">
        <v>491</v>
      </c>
      <c r="D306" s="189" t="s">
        <v>494</v>
      </c>
      <c r="E306" s="190">
        <v>5392000</v>
      </c>
      <c r="F306" s="510">
        <v>0</v>
      </c>
      <c r="G306" s="509"/>
      <c r="H306" s="179"/>
      <c r="I306" s="299"/>
      <c r="J306" s="186"/>
      <c r="K306" s="13"/>
      <c r="L306" s="509">
        <v>0</v>
      </c>
      <c r="M306" s="509"/>
      <c r="N306" s="179"/>
      <c r="O306" s="191"/>
      <c r="P306" s="192" t="s">
        <v>580</v>
      </c>
    </row>
    <row r="307" spans="1:16" ht="18" customHeight="1">
      <c r="A307" s="189" t="s">
        <v>493</v>
      </c>
      <c r="B307" s="189"/>
      <c r="C307" s="189" t="s">
        <v>491</v>
      </c>
      <c r="D307" s="189" t="s">
        <v>493</v>
      </c>
      <c r="E307" s="190"/>
      <c r="F307" s="509"/>
      <c r="G307" s="509"/>
      <c r="H307" s="179"/>
      <c r="I307" s="299"/>
      <c r="J307" s="186"/>
      <c r="K307" s="13"/>
      <c r="L307" s="509"/>
      <c r="M307" s="509"/>
      <c r="N307" s="179"/>
      <c r="O307" s="191"/>
      <c r="P307" s="192"/>
    </row>
    <row r="308" spans="1:16" ht="18" customHeight="1">
      <c r="A308" s="7">
        <v>1</v>
      </c>
      <c r="B308" s="189"/>
      <c r="C308" s="189" t="s">
        <v>491</v>
      </c>
      <c r="D308" s="7" t="s">
        <v>354</v>
      </c>
      <c r="E308" s="190"/>
      <c r="F308" s="509"/>
      <c r="G308" s="509"/>
      <c r="H308" s="179">
        <f t="shared" ref="H308:H313" si="38">G308/$F$342</f>
        <v>0</v>
      </c>
      <c r="I308" s="299"/>
      <c r="J308" s="186"/>
      <c r="K308" s="13"/>
      <c r="L308" s="509"/>
      <c r="M308" s="509"/>
      <c r="N308" s="179">
        <f>M308/$L$342</f>
        <v>0</v>
      </c>
      <c r="O308" s="191"/>
      <c r="P308" s="192"/>
    </row>
    <row r="309" spans="1:16" ht="18" customHeight="1">
      <c r="A309" s="7">
        <v>6</v>
      </c>
      <c r="B309" s="189"/>
      <c r="C309" s="189" t="s">
        <v>491</v>
      </c>
      <c r="D309" s="7" t="s">
        <v>85</v>
      </c>
      <c r="E309" s="190"/>
      <c r="F309" s="509"/>
      <c r="G309" s="509"/>
      <c r="H309" s="179">
        <f t="shared" si="38"/>
        <v>0</v>
      </c>
      <c r="I309" s="299"/>
      <c r="J309" s="186"/>
      <c r="K309" s="13"/>
      <c r="L309" s="509"/>
      <c r="M309" s="509"/>
      <c r="N309" s="179">
        <f>M309/$L$342</f>
        <v>0</v>
      </c>
      <c r="O309" s="191"/>
      <c r="P309" s="192"/>
    </row>
    <row r="310" spans="1:16" ht="18" customHeight="1">
      <c r="A310" s="7">
        <v>20</v>
      </c>
      <c r="B310" s="189"/>
      <c r="C310" s="189" t="s">
        <v>491</v>
      </c>
      <c r="D310" s="7" t="s">
        <v>439</v>
      </c>
      <c r="E310" s="190"/>
      <c r="F310" s="509"/>
      <c r="G310" s="510"/>
      <c r="H310" s="179">
        <f t="shared" si="38"/>
        <v>0</v>
      </c>
      <c r="I310" s="299"/>
      <c r="J310" s="186"/>
      <c r="K310" s="13"/>
      <c r="L310" s="509"/>
      <c r="M310" s="509"/>
      <c r="N310" s="179"/>
      <c r="O310" s="191"/>
      <c r="P310" s="192"/>
    </row>
    <row r="311" spans="1:16" ht="18" customHeight="1">
      <c r="A311" s="7">
        <v>8</v>
      </c>
      <c r="B311" s="189"/>
      <c r="C311" s="189" t="s">
        <v>491</v>
      </c>
      <c r="D311" s="7" t="s">
        <v>334</v>
      </c>
      <c r="E311" s="190"/>
      <c r="F311" s="509"/>
      <c r="G311" s="509"/>
      <c r="H311" s="179">
        <f t="shared" si="38"/>
        <v>0</v>
      </c>
      <c r="I311" s="299"/>
      <c r="J311" s="186"/>
      <c r="K311" s="13"/>
      <c r="L311" s="509"/>
      <c r="M311" s="509"/>
      <c r="N311" s="179"/>
      <c r="O311" s="191"/>
      <c r="P311" s="192"/>
    </row>
    <row r="312" spans="1:16" ht="18" customHeight="1">
      <c r="A312" s="7">
        <v>10</v>
      </c>
      <c r="B312" s="189"/>
      <c r="C312" s="189" t="s">
        <v>491</v>
      </c>
      <c r="D312" s="7" t="s">
        <v>121</v>
      </c>
      <c r="E312" s="190"/>
      <c r="F312" s="509"/>
      <c r="G312" s="509"/>
      <c r="H312" s="179">
        <f t="shared" si="38"/>
        <v>0</v>
      </c>
      <c r="I312" s="299"/>
      <c r="J312" s="186"/>
      <c r="K312" s="13"/>
      <c r="L312" s="509"/>
      <c r="M312" s="509"/>
      <c r="N312" s="179"/>
      <c r="O312" s="191"/>
      <c r="P312" s="192"/>
    </row>
    <row r="313" spans="1:16" ht="18" customHeight="1">
      <c r="A313" s="7">
        <v>11</v>
      </c>
      <c r="B313" s="189"/>
      <c r="C313" s="189" t="s">
        <v>491</v>
      </c>
      <c r="D313" s="7" t="s">
        <v>88</v>
      </c>
      <c r="E313" s="190"/>
      <c r="F313" s="509"/>
      <c r="G313" s="510"/>
      <c r="H313" s="179">
        <f t="shared" si="38"/>
        <v>0</v>
      </c>
      <c r="I313" s="299"/>
      <c r="J313" s="186"/>
      <c r="K313" s="13"/>
      <c r="L313" s="509"/>
      <c r="M313" s="509"/>
      <c r="N313" s="179">
        <f>M313/$L$342</f>
        <v>0</v>
      </c>
      <c r="O313" s="191"/>
      <c r="P313" s="192"/>
    </row>
    <row r="314" spans="1:16" ht="18" customHeight="1">
      <c r="A314" s="7">
        <v>15</v>
      </c>
      <c r="B314" s="189"/>
      <c r="C314" s="189" t="s">
        <v>491</v>
      </c>
      <c r="D314" s="7" t="s">
        <v>492</v>
      </c>
      <c r="E314" s="190"/>
      <c r="F314" s="509"/>
      <c r="G314" s="509"/>
      <c r="H314" s="179" t="e">
        <f>G314/SUM(F316)</f>
        <v>#DIV/0!</v>
      </c>
      <c r="I314" s="299"/>
      <c r="J314" s="186"/>
      <c r="K314" s="13"/>
      <c r="L314" s="509"/>
      <c r="M314" s="509"/>
      <c r="N314" s="179">
        <f>M314/$L$305</f>
        <v>0</v>
      </c>
      <c r="O314" s="191"/>
      <c r="P314" s="192"/>
    </row>
    <row r="315" spans="1:16" ht="18" customHeight="1">
      <c r="A315" s="7">
        <v>17</v>
      </c>
      <c r="B315" s="189"/>
      <c r="C315" s="189" t="s">
        <v>491</v>
      </c>
      <c r="D315" s="7" t="s">
        <v>93</v>
      </c>
      <c r="E315" s="190"/>
      <c r="F315" s="509"/>
      <c r="G315" s="509"/>
      <c r="H315" s="179" t="e">
        <f>G315/SUM(F316)</f>
        <v>#DIV/0!</v>
      </c>
      <c r="I315" s="299"/>
      <c r="J315" s="186"/>
      <c r="K315" s="13"/>
      <c r="L315" s="509"/>
      <c r="M315" s="509"/>
      <c r="N315" s="179">
        <f>M315/$L$305</f>
        <v>0</v>
      </c>
      <c r="O315" s="191"/>
      <c r="P315" s="192"/>
    </row>
    <row r="316" spans="1:16" ht="18" customHeight="1">
      <c r="A316" s="506"/>
      <c r="B316" s="193"/>
      <c r="C316" s="807" t="s">
        <v>94</v>
      </c>
      <c r="D316" s="189"/>
      <c r="E316" s="190"/>
      <c r="F316" s="511">
        <f>SUM(F306:F315)</f>
        <v>0</v>
      </c>
      <c r="G316" s="511">
        <f>SUM(G306:G315)</f>
        <v>0</v>
      </c>
      <c r="H316" s="194" t="e">
        <f>G316/SUM(F306:F306)</f>
        <v>#DIV/0!</v>
      </c>
      <c r="I316" s="300">
        <f>F316-G316</f>
        <v>0</v>
      </c>
      <c r="J316" s="195" t="e">
        <f>I316/F316</f>
        <v>#DIV/0!</v>
      </c>
      <c r="K316" s="13"/>
      <c r="L316" s="517">
        <f>SUM(L306:L315)</f>
        <v>0</v>
      </c>
      <c r="M316" s="517">
        <f>SUM(M306:M315)</f>
        <v>0</v>
      </c>
      <c r="N316" s="196">
        <f>M316/$L$305</f>
        <v>0</v>
      </c>
      <c r="O316" s="197"/>
      <c r="P316" s="198"/>
    </row>
    <row r="317" spans="1:16" ht="18" customHeight="1">
      <c r="A317" s="182" t="s">
        <v>111</v>
      </c>
      <c r="B317" s="182" t="s">
        <v>12</v>
      </c>
      <c r="C317" s="182" t="s">
        <v>110</v>
      </c>
      <c r="D317" s="182" t="s">
        <v>111</v>
      </c>
      <c r="E317" s="183">
        <v>2621000</v>
      </c>
      <c r="F317" s="508">
        <f>2500*15*2*12</f>
        <v>900000</v>
      </c>
      <c r="G317" s="508"/>
      <c r="H317" s="184"/>
      <c r="I317" s="299"/>
      <c r="J317" s="186"/>
      <c r="K317" s="13"/>
      <c r="L317" s="509">
        <f>2500*15*2*12</f>
        <v>900000</v>
      </c>
      <c r="M317" s="509"/>
      <c r="N317" s="179"/>
      <c r="O317" s="191"/>
      <c r="P317" s="192" t="s">
        <v>312</v>
      </c>
    </row>
    <row r="318" spans="1:16" ht="18" customHeight="1">
      <c r="A318" s="182" t="s">
        <v>416</v>
      </c>
      <c r="B318" s="182"/>
      <c r="C318" s="182" t="s">
        <v>110</v>
      </c>
      <c r="D318" s="182" t="s">
        <v>416</v>
      </c>
      <c r="E318" s="183"/>
      <c r="F318" s="508"/>
      <c r="G318" s="508"/>
      <c r="H318" s="184"/>
      <c r="I318" s="299"/>
      <c r="J318" s="186"/>
      <c r="K318" s="13"/>
      <c r="L318" s="509"/>
      <c r="M318" s="509"/>
      <c r="N318" s="179"/>
      <c r="O318" s="191"/>
      <c r="P318" s="192"/>
    </row>
    <row r="319" spans="1:16" ht="18" customHeight="1">
      <c r="A319" s="7">
        <v>2</v>
      </c>
      <c r="B319" s="189"/>
      <c r="C319" s="182" t="s">
        <v>110</v>
      </c>
      <c r="D319" s="7" t="s">
        <v>436</v>
      </c>
      <c r="E319" s="190"/>
      <c r="F319" s="509"/>
      <c r="G319" s="509">
        <f t="shared" ref="G319:G327" si="39">ROUND(E319/9*12,-3)</f>
        <v>0</v>
      </c>
      <c r="H319" s="179">
        <f>G319/$F$342</f>
        <v>0</v>
      </c>
      <c r="I319" s="299"/>
      <c r="J319" s="186"/>
      <c r="K319" s="13"/>
      <c r="L319" s="509"/>
      <c r="M319" s="509">
        <f t="shared" ref="M319:M341" si="40">ROUND(G319,-3)</f>
        <v>0</v>
      </c>
      <c r="N319" s="179"/>
      <c r="O319" s="191"/>
      <c r="P319" s="192"/>
    </row>
    <row r="320" spans="1:16" ht="18" customHeight="1">
      <c r="A320" s="7">
        <v>3</v>
      </c>
      <c r="B320" s="189"/>
      <c r="C320" s="182" t="s">
        <v>110</v>
      </c>
      <c r="D320" s="7" t="s">
        <v>130</v>
      </c>
      <c r="E320" s="190"/>
      <c r="F320" s="509"/>
      <c r="G320" s="509">
        <f t="shared" si="39"/>
        <v>0</v>
      </c>
      <c r="H320" s="179">
        <f>G320/$F$342</f>
        <v>0</v>
      </c>
      <c r="I320" s="299"/>
      <c r="J320" s="186"/>
      <c r="K320" s="13"/>
      <c r="L320" s="509"/>
      <c r="M320" s="509">
        <f t="shared" si="40"/>
        <v>0</v>
      </c>
      <c r="N320" s="179"/>
      <c r="O320" s="191"/>
      <c r="P320" s="192"/>
    </row>
    <row r="321" spans="1:16" ht="18" customHeight="1">
      <c r="A321" s="7">
        <v>18</v>
      </c>
      <c r="B321" s="189"/>
      <c r="C321" s="182" t="s">
        <v>110</v>
      </c>
      <c r="D321" s="667" t="s">
        <v>639</v>
      </c>
      <c r="E321" s="190">
        <v>360000</v>
      </c>
      <c r="F321" s="509"/>
      <c r="G321" s="509">
        <v>360000</v>
      </c>
      <c r="H321" s="179">
        <f>G321/$F$342</f>
        <v>0.4</v>
      </c>
      <c r="I321" s="299"/>
      <c r="J321" s="186"/>
      <c r="K321" s="13"/>
      <c r="L321" s="509"/>
      <c r="M321" s="509">
        <f>L342*40%</f>
        <v>360000</v>
      </c>
      <c r="N321" s="179">
        <f>M321/$L$342</f>
        <v>0.4</v>
      </c>
      <c r="O321" s="191"/>
      <c r="P321" s="192"/>
    </row>
    <row r="322" spans="1:16" ht="18" customHeight="1">
      <c r="A322" s="7">
        <v>4</v>
      </c>
      <c r="B322" s="189"/>
      <c r="C322" s="182" t="s">
        <v>110</v>
      </c>
      <c r="D322" s="667" t="s">
        <v>84</v>
      </c>
      <c r="E322" s="190">
        <v>246000</v>
      </c>
      <c r="F322" s="509"/>
      <c r="G322" s="509"/>
      <c r="H322" s="179">
        <f>G322/$F$342</f>
        <v>0</v>
      </c>
      <c r="I322" s="299"/>
      <c r="J322" s="186"/>
      <c r="K322" s="13"/>
      <c r="L322" s="509"/>
      <c r="M322" s="509"/>
      <c r="N322" s="179">
        <f>M322/$L$342</f>
        <v>0</v>
      </c>
      <c r="O322" s="191"/>
      <c r="P322" s="192"/>
    </row>
    <row r="323" spans="1:16" ht="18" customHeight="1">
      <c r="A323" s="7"/>
      <c r="B323" s="189"/>
      <c r="C323" s="667"/>
      <c r="D323" s="667" t="s">
        <v>132</v>
      </c>
      <c r="E323" s="190"/>
      <c r="F323" s="509"/>
      <c r="G323" s="509"/>
      <c r="H323" s="179"/>
      <c r="I323" s="299"/>
      <c r="J323" s="186"/>
      <c r="K323" s="13"/>
      <c r="L323" s="509"/>
      <c r="M323" s="509"/>
      <c r="N323" s="179"/>
      <c r="O323" s="191"/>
      <c r="P323" s="192"/>
    </row>
    <row r="324" spans="1:16" ht="18" customHeight="1">
      <c r="A324" s="7">
        <v>6</v>
      </c>
      <c r="B324" s="189"/>
      <c r="C324" s="182" t="s">
        <v>110</v>
      </c>
      <c r="D324" s="667" t="s">
        <v>85</v>
      </c>
      <c r="E324" s="190">
        <v>10000</v>
      </c>
      <c r="F324" s="509"/>
      <c r="G324" s="509"/>
      <c r="H324" s="179">
        <f>G324/$F$342</f>
        <v>0</v>
      </c>
      <c r="I324" s="299"/>
      <c r="J324" s="186"/>
      <c r="K324" s="13"/>
      <c r="L324" s="509"/>
      <c r="M324" s="509"/>
      <c r="N324" s="179">
        <f>M324/$L$342</f>
        <v>0</v>
      </c>
      <c r="O324" s="191"/>
      <c r="P324" s="192"/>
    </row>
    <row r="325" spans="1:16" ht="18" customHeight="1">
      <c r="A325" s="7"/>
      <c r="B325" s="189"/>
      <c r="C325" s="667"/>
      <c r="D325" s="667" t="s">
        <v>133</v>
      </c>
      <c r="E325" s="190"/>
      <c r="F325" s="509"/>
      <c r="G325" s="509"/>
      <c r="H325" s="179"/>
      <c r="I325" s="299"/>
      <c r="J325" s="186"/>
      <c r="K325" s="13"/>
      <c r="L325" s="509"/>
      <c r="M325" s="509"/>
      <c r="N325" s="179"/>
      <c r="O325" s="191"/>
      <c r="P325" s="192"/>
    </row>
    <row r="326" spans="1:16" ht="18" customHeight="1">
      <c r="A326" s="7">
        <v>7</v>
      </c>
      <c r="B326" s="189"/>
      <c r="C326" s="182" t="s">
        <v>110</v>
      </c>
      <c r="D326" s="213" t="s">
        <v>86</v>
      </c>
      <c r="E326" s="190">
        <v>55000</v>
      </c>
      <c r="F326" s="509"/>
      <c r="G326" s="510"/>
      <c r="H326" s="179">
        <f>G326/$F$342</f>
        <v>0</v>
      </c>
      <c r="I326" s="299"/>
      <c r="J326" s="186"/>
      <c r="K326" s="13"/>
      <c r="L326" s="509"/>
      <c r="M326" s="509"/>
      <c r="N326" s="179"/>
      <c r="O326" s="191"/>
      <c r="P326" s="192"/>
    </row>
    <row r="327" spans="1:16" ht="18" customHeight="1">
      <c r="A327" s="7">
        <v>8</v>
      </c>
      <c r="B327" s="189"/>
      <c r="C327" s="182" t="s">
        <v>110</v>
      </c>
      <c r="D327" s="213" t="s">
        <v>98</v>
      </c>
      <c r="E327" s="190"/>
      <c r="F327" s="509"/>
      <c r="G327" s="509">
        <f t="shared" si="39"/>
        <v>0</v>
      </c>
      <c r="H327" s="179">
        <f>G327/$F$342</f>
        <v>0</v>
      </c>
      <c r="I327" s="299"/>
      <c r="J327" s="186"/>
      <c r="K327" s="13"/>
      <c r="L327" s="509"/>
      <c r="M327" s="509">
        <f t="shared" si="40"/>
        <v>0</v>
      </c>
      <c r="N327" s="179"/>
      <c r="O327" s="191"/>
      <c r="P327" s="192"/>
    </row>
    <row r="328" spans="1:16" ht="18" customHeight="1">
      <c r="A328" s="7"/>
      <c r="B328" s="189"/>
      <c r="C328" s="667"/>
      <c r="D328" s="667" t="s">
        <v>87</v>
      </c>
      <c r="E328" s="190"/>
      <c r="F328" s="509"/>
      <c r="G328" s="509"/>
      <c r="H328" s="179"/>
      <c r="I328" s="299"/>
      <c r="J328" s="186"/>
      <c r="K328" s="13"/>
      <c r="L328" s="509"/>
      <c r="M328" s="509"/>
      <c r="N328" s="179"/>
      <c r="O328" s="191"/>
      <c r="P328" s="192"/>
    </row>
    <row r="329" spans="1:16" ht="18" customHeight="1">
      <c r="A329" s="7">
        <v>10</v>
      </c>
      <c r="B329" s="189"/>
      <c r="C329" s="182" t="s">
        <v>110</v>
      </c>
      <c r="D329" s="667" t="s">
        <v>121</v>
      </c>
      <c r="E329" s="190">
        <v>22000</v>
      </c>
      <c r="F329" s="509"/>
      <c r="G329" s="509"/>
      <c r="H329" s="179">
        <f>G329/$F$342</f>
        <v>0</v>
      </c>
      <c r="I329" s="299"/>
      <c r="J329" s="186"/>
      <c r="K329" s="13"/>
      <c r="L329" s="509"/>
      <c r="M329" s="509"/>
      <c r="N329" s="179"/>
      <c r="O329" s="191"/>
      <c r="P329" s="192"/>
    </row>
    <row r="330" spans="1:16" ht="18" customHeight="1">
      <c r="A330" s="7">
        <v>11</v>
      </c>
      <c r="B330" s="189"/>
      <c r="C330" s="182" t="s">
        <v>110</v>
      </c>
      <c r="D330" s="667" t="s">
        <v>88</v>
      </c>
      <c r="E330" s="190">
        <v>24000</v>
      </c>
      <c r="F330" s="509"/>
      <c r="G330" s="510"/>
      <c r="H330" s="179">
        <f>G330/$F$342</f>
        <v>0</v>
      </c>
      <c r="I330" s="299"/>
      <c r="J330" s="186"/>
      <c r="K330" s="13"/>
      <c r="L330" s="509"/>
      <c r="M330" s="509"/>
      <c r="N330" s="179">
        <f>M330/$L$342</f>
        <v>0</v>
      </c>
      <c r="O330" s="191"/>
      <c r="P330" s="192"/>
    </row>
    <row r="331" spans="1:16" ht="18" customHeight="1">
      <c r="A331" s="7">
        <v>12</v>
      </c>
      <c r="B331" s="189"/>
      <c r="C331" s="182" t="s">
        <v>110</v>
      </c>
      <c r="D331" s="667" t="s">
        <v>89</v>
      </c>
      <c r="E331" s="190">
        <v>241000</v>
      </c>
      <c r="F331" s="509"/>
      <c r="G331" s="510"/>
      <c r="H331" s="179">
        <f>G331/$F$342</f>
        <v>0</v>
      </c>
      <c r="I331" s="299"/>
      <c r="J331" s="186"/>
      <c r="K331" s="13"/>
      <c r="L331" s="509"/>
      <c r="M331" s="509"/>
      <c r="N331" s="179"/>
      <c r="O331" s="191"/>
      <c r="P331" s="192"/>
    </row>
    <row r="332" spans="1:16" ht="18" customHeight="1">
      <c r="A332" s="7">
        <v>13</v>
      </c>
      <c r="B332" s="189"/>
      <c r="C332" s="182" t="s">
        <v>110</v>
      </c>
      <c r="D332" s="667" t="s">
        <v>101</v>
      </c>
      <c r="E332" s="190">
        <v>3000</v>
      </c>
      <c r="F332" s="509"/>
      <c r="G332" s="510"/>
      <c r="H332" s="179">
        <f>G332/$F$342</f>
        <v>0</v>
      </c>
      <c r="I332" s="299"/>
      <c r="J332" s="186"/>
      <c r="K332" s="13"/>
      <c r="L332" s="509"/>
      <c r="M332" s="509"/>
      <c r="N332" s="179"/>
      <c r="O332" s="191"/>
      <c r="P332" s="192"/>
    </row>
    <row r="333" spans="1:16" ht="18" customHeight="1">
      <c r="A333" s="7">
        <v>14</v>
      </c>
      <c r="B333" s="189"/>
      <c r="C333" s="667"/>
      <c r="D333" s="667" t="s">
        <v>90</v>
      </c>
      <c r="E333" s="190">
        <v>8000</v>
      </c>
      <c r="F333" s="509"/>
      <c r="G333" s="510"/>
      <c r="H333" s="179">
        <f>G333/$F$342</f>
        <v>0</v>
      </c>
      <c r="I333" s="299"/>
      <c r="J333" s="186"/>
      <c r="K333" s="13"/>
      <c r="L333" s="509"/>
      <c r="M333" s="509"/>
      <c r="N333" s="179"/>
      <c r="O333" s="191"/>
      <c r="P333" s="192"/>
    </row>
    <row r="334" spans="1:16" ht="18" customHeight="1">
      <c r="A334" s="7"/>
      <c r="B334" s="189"/>
      <c r="C334" s="667"/>
      <c r="D334" s="324" t="s">
        <v>173</v>
      </c>
      <c r="E334" s="190"/>
      <c r="F334" s="509"/>
      <c r="G334" s="510"/>
      <c r="H334" s="179"/>
      <c r="I334" s="299"/>
      <c r="J334" s="186"/>
      <c r="K334" s="13"/>
      <c r="L334" s="509"/>
      <c r="M334" s="509"/>
      <c r="N334" s="179"/>
      <c r="O334" s="191"/>
      <c r="P334" s="192"/>
    </row>
    <row r="335" spans="1:16" ht="18" customHeight="1">
      <c r="A335" s="7"/>
      <c r="B335" s="189"/>
      <c r="C335" s="667"/>
      <c r="D335" s="324" t="s">
        <v>91</v>
      </c>
      <c r="E335" s="190"/>
      <c r="F335" s="509"/>
      <c r="G335" s="510"/>
      <c r="H335" s="179"/>
      <c r="I335" s="299"/>
      <c r="J335" s="186"/>
      <c r="K335" s="13"/>
      <c r="L335" s="509"/>
      <c r="M335" s="509"/>
      <c r="N335" s="179"/>
      <c r="O335" s="191"/>
      <c r="P335" s="192"/>
    </row>
    <row r="336" spans="1:16" ht="18" customHeight="1">
      <c r="A336" s="7">
        <v>19</v>
      </c>
      <c r="B336" s="189"/>
      <c r="C336" s="182" t="s">
        <v>110</v>
      </c>
      <c r="D336" s="324" t="s">
        <v>136</v>
      </c>
      <c r="E336" s="190"/>
      <c r="F336" s="509"/>
      <c r="G336" s="509">
        <f>ROUND(E336/9*12,-3)</f>
        <v>0</v>
      </c>
      <c r="H336" s="179">
        <f>G336/$F$342</f>
        <v>0</v>
      </c>
      <c r="I336" s="299"/>
      <c r="J336" s="186"/>
      <c r="K336" s="13"/>
      <c r="L336" s="509"/>
      <c r="M336" s="509">
        <f>ROUND(G336,-3)</f>
        <v>0</v>
      </c>
      <c r="N336" s="179"/>
      <c r="O336" s="191"/>
      <c r="P336" s="192"/>
    </row>
    <row r="337" spans="1:18" ht="18" customHeight="1">
      <c r="A337" s="7">
        <v>21</v>
      </c>
      <c r="B337" s="189"/>
      <c r="C337" s="182" t="s">
        <v>110</v>
      </c>
      <c r="D337" s="324" t="s">
        <v>109</v>
      </c>
      <c r="E337" s="190"/>
      <c r="F337" s="509"/>
      <c r="G337" s="510">
        <f>ROUND(E337/9*12,-3)</f>
        <v>0</v>
      </c>
      <c r="H337" s="179">
        <f>G337/$F$342</f>
        <v>0</v>
      </c>
      <c r="I337" s="299"/>
      <c r="J337" s="186"/>
      <c r="K337" s="13"/>
      <c r="L337" s="509"/>
      <c r="M337" s="509">
        <f>ROUND(G337,-3)</f>
        <v>0</v>
      </c>
      <c r="N337" s="179"/>
      <c r="O337" s="191"/>
      <c r="P337" s="192"/>
    </row>
    <row r="338" spans="1:18" ht="18" customHeight="1">
      <c r="A338" s="7"/>
      <c r="B338" s="189"/>
      <c r="C338" s="667"/>
      <c r="D338" s="213" t="s">
        <v>92</v>
      </c>
      <c r="E338" s="190"/>
      <c r="F338" s="509"/>
      <c r="G338" s="510">
        <f>40000*12</f>
        <v>480000</v>
      </c>
      <c r="H338" s="179"/>
      <c r="I338" s="299"/>
      <c r="J338" s="186"/>
      <c r="K338" s="13"/>
      <c r="L338" s="509"/>
      <c r="M338" s="509"/>
      <c r="N338" s="179"/>
      <c r="O338" s="191"/>
      <c r="P338" s="192"/>
    </row>
    <row r="339" spans="1:18" ht="18" customHeight="1">
      <c r="A339" s="7"/>
      <c r="B339" s="189"/>
      <c r="C339" s="667"/>
      <c r="D339" s="667" t="s">
        <v>386</v>
      </c>
      <c r="E339" s="190"/>
      <c r="F339" s="509"/>
      <c r="G339" s="510"/>
      <c r="H339" s="179"/>
      <c r="I339" s="299"/>
      <c r="J339" s="186"/>
      <c r="K339" s="13"/>
      <c r="L339" s="509"/>
      <c r="M339" s="509"/>
      <c r="N339" s="179"/>
      <c r="O339" s="191"/>
      <c r="P339" s="192"/>
    </row>
    <row r="340" spans="1:18" ht="18" customHeight="1">
      <c r="A340" s="7"/>
      <c r="B340" s="189"/>
      <c r="C340" s="667"/>
      <c r="D340" s="7" t="s">
        <v>677</v>
      </c>
      <c r="E340" s="190"/>
      <c r="F340" s="509"/>
      <c r="G340" s="510">
        <v>20000</v>
      </c>
      <c r="H340" s="179"/>
      <c r="I340" s="299"/>
      <c r="J340" s="186"/>
      <c r="K340" s="13"/>
      <c r="L340" s="509"/>
      <c r="M340" s="509"/>
      <c r="N340" s="179"/>
      <c r="O340" s="191"/>
      <c r="P340" s="192"/>
    </row>
    <row r="341" spans="1:18" ht="18" customHeight="1">
      <c r="A341" s="7">
        <v>17</v>
      </c>
      <c r="B341" s="189"/>
      <c r="C341" s="182" t="s">
        <v>110</v>
      </c>
      <c r="D341" s="667" t="s">
        <v>93</v>
      </c>
      <c r="E341" s="190">
        <v>3000</v>
      </c>
      <c r="F341" s="509"/>
      <c r="G341" s="509">
        <v>40000</v>
      </c>
      <c r="H341" s="179">
        <f>G341/$F$342</f>
        <v>4.4444444444444446E-2</v>
      </c>
      <c r="I341" s="299"/>
      <c r="J341" s="186"/>
      <c r="K341" s="13"/>
      <c r="L341" s="509"/>
      <c r="M341" s="509">
        <f t="shared" si="40"/>
        <v>40000</v>
      </c>
      <c r="N341" s="179">
        <f>M341/$L$342</f>
        <v>4.4444444444444446E-2</v>
      </c>
      <c r="O341" s="191"/>
      <c r="P341" s="192"/>
    </row>
    <row r="342" spans="1:18" ht="18" customHeight="1">
      <c r="A342" s="507"/>
      <c r="B342" s="201"/>
      <c r="C342" s="808" t="s">
        <v>94</v>
      </c>
      <c r="D342" s="206"/>
      <c r="E342" s="203"/>
      <c r="F342" s="513">
        <f>SUM(F317:F341)</f>
        <v>900000</v>
      </c>
      <c r="G342" s="513">
        <f>SUM(G317:G341)</f>
        <v>900000</v>
      </c>
      <c r="H342" s="204">
        <f>G342/$F$342</f>
        <v>1</v>
      </c>
      <c r="I342" s="300">
        <f>F342-G342</f>
        <v>0</v>
      </c>
      <c r="J342" s="195">
        <f>I342/F342</f>
        <v>0</v>
      </c>
      <c r="K342" s="13"/>
      <c r="L342" s="517">
        <f>SUM(L317:L341)</f>
        <v>900000</v>
      </c>
      <c r="M342" s="517">
        <f>SUM(M317:M341)</f>
        <v>400000</v>
      </c>
      <c r="N342" s="196">
        <f>M342/$L$342</f>
        <v>0.44444444444444442</v>
      </c>
      <c r="O342" s="197">
        <f>L342-M342</f>
        <v>500000</v>
      </c>
      <c r="P342" s="198"/>
    </row>
    <row r="343" spans="1:18" ht="18" customHeight="1">
      <c r="A343" s="189" t="s">
        <v>335</v>
      </c>
      <c r="B343" s="189" t="s">
        <v>15</v>
      </c>
      <c r="C343" s="189" t="s">
        <v>118</v>
      </c>
      <c r="D343" s="189" t="s">
        <v>335</v>
      </c>
      <c r="E343" s="190">
        <v>744000</v>
      </c>
      <c r="F343" s="510">
        <f>ROUND(52380*20*2,-3)</f>
        <v>2095000</v>
      </c>
      <c r="G343" s="509"/>
      <c r="H343" s="179"/>
      <c r="I343" s="299"/>
      <c r="J343" s="186"/>
      <c r="K343" s="13"/>
      <c r="L343" s="509">
        <f>52380*20*2</f>
        <v>2095200</v>
      </c>
      <c r="M343" s="509"/>
      <c r="N343" s="179"/>
      <c r="O343" s="191"/>
      <c r="P343" s="192"/>
      <c r="R343" s="13" t="s">
        <v>611</v>
      </c>
    </row>
    <row r="344" spans="1:18" ht="18" customHeight="1">
      <c r="A344" s="189" t="s">
        <v>119</v>
      </c>
      <c r="B344" s="189"/>
      <c r="C344" s="189" t="s">
        <v>118</v>
      </c>
      <c r="D344" s="189" t="s">
        <v>119</v>
      </c>
      <c r="E344" s="190"/>
      <c r="F344" s="510">
        <f>ROUND(4490*32*2,-3)</f>
        <v>287000</v>
      </c>
      <c r="G344" s="509"/>
      <c r="H344" s="179"/>
      <c r="I344" s="299"/>
      <c r="J344" s="186"/>
      <c r="K344" s="13"/>
      <c r="L344" s="509">
        <f>4490*32*2</f>
        <v>287360</v>
      </c>
      <c r="M344" s="509"/>
      <c r="N344" s="179"/>
      <c r="O344" s="191"/>
      <c r="P344" s="192"/>
      <c r="R344" s="13" t="s">
        <v>613</v>
      </c>
    </row>
    <row r="345" spans="1:18" ht="18" customHeight="1">
      <c r="A345" s="189" t="s">
        <v>336</v>
      </c>
      <c r="B345" s="189"/>
      <c r="C345" s="189" t="s">
        <v>118</v>
      </c>
      <c r="D345" s="189" t="s">
        <v>336</v>
      </c>
      <c r="E345" s="190"/>
      <c r="F345" s="510">
        <f>18000*15*1</f>
        <v>270000</v>
      </c>
      <c r="G345" s="509"/>
      <c r="H345" s="179"/>
      <c r="I345" s="299"/>
      <c r="J345" s="186"/>
      <c r="K345" s="13"/>
      <c r="L345" s="509">
        <f>18000*15*1</f>
        <v>270000</v>
      </c>
      <c r="M345" s="509"/>
      <c r="N345" s="179"/>
      <c r="O345" s="191"/>
      <c r="P345" s="192"/>
      <c r="R345" s="13" t="s">
        <v>612</v>
      </c>
    </row>
    <row r="346" spans="1:18" ht="18" customHeight="1">
      <c r="A346" s="189">
        <v>1</v>
      </c>
      <c r="B346" s="189"/>
      <c r="C346" s="189" t="s">
        <v>118</v>
      </c>
      <c r="D346" s="189" t="s">
        <v>438</v>
      </c>
      <c r="E346" s="190"/>
      <c r="F346" s="509"/>
      <c r="G346" s="510">
        <f>1100000+120000</f>
        <v>1220000</v>
      </c>
      <c r="H346" s="179">
        <f t="shared" ref="H346:H358" si="41">G346/$F$358</f>
        <v>0.46003016591251883</v>
      </c>
      <c r="I346" s="299"/>
      <c r="J346" s="186"/>
      <c r="K346" s="13"/>
      <c r="L346" s="509"/>
      <c r="M346" s="509">
        <f>1100000+120000</f>
        <v>1220000</v>
      </c>
      <c r="N346" s="179"/>
      <c r="O346" s="191"/>
      <c r="P346" s="192"/>
    </row>
    <row r="347" spans="1:18" ht="18" customHeight="1">
      <c r="A347" s="189">
        <v>18</v>
      </c>
      <c r="B347" s="189"/>
      <c r="C347" s="189" t="s">
        <v>118</v>
      </c>
      <c r="D347" s="189" t="s">
        <v>97</v>
      </c>
      <c r="E347" s="190">
        <v>35000</v>
      </c>
      <c r="F347" s="509"/>
      <c r="G347" s="510"/>
      <c r="H347" s="179">
        <f t="shared" si="41"/>
        <v>0</v>
      </c>
      <c r="I347" s="299"/>
      <c r="J347" s="186"/>
      <c r="K347" s="13"/>
      <c r="L347" s="509"/>
      <c r="M347" s="509">
        <v>0</v>
      </c>
      <c r="N347" s="179"/>
      <c r="O347" s="191"/>
      <c r="P347" s="192"/>
    </row>
    <row r="348" spans="1:18" ht="18" customHeight="1">
      <c r="A348" s="7">
        <v>22</v>
      </c>
      <c r="B348" s="189"/>
      <c r="C348" s="189" t="s">
        <v>118</v>
      </c>
      <c r="D348" s="7" t="s">
        <v>120</v>
      </c>
      <c r="E348" s="190"/>
      <c r="F348" s="509"/>
      <c r="G348" s="510">
        <f t="shared" ref="G348:G354" si="42">E348</f>
        <v>0</v>
      </c>
      <c r="H348" s="179">
        <f t="shared" si="41"/>
        <v>0</v>
      </c>
      <c r="I348" s="299"/>
      <c r="J348" s="186"/>
      <c r="K348" s="13"/>
      <c r="L348" s="509"/>
      <c r="M348" s="509">
        <f t="shared" ref="M348:M354" si="43">ROUND(G348,-3)</f>
        <v>0</v>
      </c>
      <c r="N348" s="179">
        <f t="shared" ref="N348:N355" si="44">M348/$L$358</f>
        <v>0</v>
      </c>
      <c r="O348" s="191"/>
      <c r="P348" s="192"/>
    </row>
    <row r="349" spans="1:18" ht="18" customHeight="1">
      <c r="A349" s="7">
        <v>6</v>
      </c>
      <c r="B349" s="189"/>
      <c r="C349" s="189" t="s">
        <v>118</v>
      </c>
      <c r="D349" s="7" t="s">
        <v>85</v>
      </c>
      <c r="E349" s="190">
        <v>10000</v>
      </c>
      <c r="F349" s="509"/>
      <c r="G349" s="510">
        <f>20000+20000</f>
        <v>40000</v>
      </c>
      <c r="H349" s="179">
        <f t="shared" si="41"/>
        <v>1.5082956259426848E-2</v>
      </c>
      <c r="I349" s="299"/>
      <c r="J349" s="186"/>
      <c r="K349" s="13"/>
      <c r="L349" s="509"/>
      <c r="M349" s="509">
        <f>20000+20000</f>
        <v>40000</v>
      </c>
      <c r="N349" s="179">
        <f t="shared" si="44"/>
        <v>1.5079771993847453E-2</v>
      </c>
      <c r="O349" s="191"/>
      <c r="P349" s="192"/>
    </row>
    <row r="350" spans="1:18" ht="18" customHeight="1">
      <c r="A350" s="7">
        <v>20</v>
      </c>
      <c r="B350" s="189"/>
      <c r="C350" s="189" t="s">
        <v>118</v>
      </c>
      <c r="D350" s="7" t="s">
        <v>439</v>
      </c>
      <c r="E350" s="190">
        <v>18000</v>
      </c>
      <c r="F350" s="509"/>
      <c r="G350" s="510">
        <f>30000+100000</f>
        <v>130000</v>
      </c>
      <c r="H350" s="179">
        <f t="shared" si="41"/>
        <v>4.9019607843137254E-2</v>
      </c>
      <c r="I350" s="299"/>
      <c r="J350" s="186"/>
      <c r="K350" s="13"/>
      <c r="L350" s="509"/>
      <c r="M350" s="509">
        <f>30000+100000</f>
        <v>130000</v>
      </c>
      <c r="N350" s="179">
        <f t="shared" si="44"/>
        <v>4.9009258980004224E-2</v>
      </c>
      <c r="O350" s="191"/>
      <c r="P350" s="192"/>
    </row>
    <row r="351" spans="1:18" ht="18" customHeight="1">
      <c r="A351" s="7">
        <v>10</v>
      </c>
      <c r="B351" s="189"/>
      <c r="C351" s="189" t="s">
        <v>118</v>
      </c>
      <c r="D351" s="7" t="s">
        <v>121</v>
      </c>
      <c r="E351" s="190">
        <v>5000</v>
      </c>
      <c r="F351" s="509"/>
      <c r="G351" s="510">
        <f>20000</f>
        <v>20000</v>
      </c>
      <c r="H351" s="179">
        <f t="shared" si="41"/>
        <v>7.5414781297134239E-3</v>
      </c>
      <c r="I351" s="299"/>
      <c r="J351" s="186"/>
      <c r="K351" s="13"/>
      <c r="L351" s="509"/>
      <c r="M351" s="509">
        <f>20000</f>
        <v>20000</v>
      </c>
      <c r="N351" s="179">
        <f t="shared" si="44"/>
        <v>7.5398859969237264E-3</v>
      </c>
      <c r="O351" s="191"/>
      <c r="P351" s="192"/>
    </row>
    <row r="352" spans="1:18" ht="18" customHeight="1">
      <c r="A352" s="7">
        <v>11</v>
      </c>
      <c r="B352" s="189"/>
      <c r="C352" s="189" t="s">
        <v>118</v>
      </c>
      <c r="D352" s="7" t="s">
        <v>88</v>
      </c>
      <c r="E352" s="190">
        <v>2000</v>
      </c>
      <c r="F352" s="509"/>
      <c r="G352" s="510">
        <f>10000+0</f>
        <v>10000</v>
      </c>
      <c r="H352" s="179">
        <f t="shared" si="41"/>
        <v>3.770739064856712E-3</v>
      </c>
      <c r="I352" s="299"/>
      <c r="J352" s="186"/>
      <c r="K352" s="13"/>
      <c r="L352" s="509"/>
      <c r="M352" s="509">
        <f>10000+0</f>
        <v>10000</v>
      </c>
      <c r="N352" s="179">
        <f t="shared" si="44"/>
        <v>3.7699429984618632E-3</v>
      </c>
      <c r="O352" s="191"/>
      <c r="P352" s="192"/>
    </row>
    <row r="353" spans="1:16" ht="18" customHeight="1">
      <c r="A353" s="7">
        <v>12</v>
      </c>
      <c r="B353" s="189"/>
      <c r="C353" s="189" t="s">
        <v>118</v>
      </c>
      <c r="D353" s="7" t="s">
        <v>89</v>
      </c>
      <c r="E353" s="190"/>
      <c r="F353" s="509"/>
      <c r="G353" s="510"/>
      <c r="H353" s="179">
        <f t="shared" si="41"/>
        <v>0</v>
      </c>
      <c r="I353" s="299"/>
      <c r="J353" s="186"/>
      <c r="K353" s="13"/>
      <c r="L353" s="509"/>
      <c r="M353" s="509">
        <f t="shared" si="43"/>
        <v>0</v>
      </c>
      <c r="N353" s="179">
        <f t="shared" si="44"/>
        <v>0</v>
      </c>
      <c r="O353" s="191"/>
      <c r="P353" s="192"/>
    </row>
    <row r="354" spans="1:16" ht="18" customHeight="1">
      <c r="A354" s="7">
        <v>14</v>
      </c>
      <c r="B354" s="189"/>
      <c r="C354" s="189" t="s">
        <v>118</v>
      </c>
      <c r="D354" s="7" t="s">
        <v>90</v>
      </c>
      <c r="E354" s="190"/>
      <c r="F354" s="509"/>
      <c r="G354" s="510">
        <f t="shared" si="42"/>
        <v>0</v>
      </c>
      <c r="H354" s="179">
        <f t="shared" si="41"/>
        <v>0</v>
      </c>
      <c r="I354" s="299"/>
      <c r="J354" s="186"/>
      <c r="K354" s="13"/>
      <c r="L354" s="509"/>
      <c r="M354" s="509">
        <f t="shared" si="43"/>
        <v>0</v>
      </c>
      <c r="N354" s="179">
        <f t="shared" si="44"/>
        <v>0</v>
      </c>
      <c r="O354" s="191"/>
      <c r="P354" s="192"/>
    </row>
    <row r="355" spans="1:16" ht="18" customHeight="1">
      <c r="A355" s="7">
        <v>23</v>
      </c>
      <c r="B355" s="189"/>
      <c r="C355" s="189" t="s">
        <v>118</v>
      </c>
      <c r="D355" s="7" t="s">
        <v>173</v>
      </c>
      <c r="E355" s="190">
        <v>70000</v>
      </c>
      <c r="F355" s="509"/>
      <c r="G355" s="510"/>
      <c r="H355" s="179">
        <f t="shared" si="41"/>
        <v>0</v>
      </c>
      <c r="I355" s="299"/>
      <c r="J355" s="186"/>
      <c r="K355" s="13"/>
      <c r="L355" s="509"/>
      <c r="M355" s="509">
        <v>0</v>
      </c>
      <c r="N355" s="179">
        <f t="shared" si="44"/>
        <v>0</v>
      </c>
      <c r="O355" s="191"/>
      <c r="P355" s="192"/>
    </row>
    <row r="356" spans="1:16" ht="18" customHeight="1">
      <c r="A356" s="7">
        <v>15</v>
      </c>
      <c r="B356" s="189"/>
      <c r="C356" s="189" t="s">
        <v>118</v>
      </c>
      <c r="D356" s="7" t="s">
        <v>91</v>
      </c>
      <c r="E356" s="190"/>
      <c r="F356" s="509"/>
      <c r="G356" s="510">
        <f>50000+20000</f>
        <v>70000</v>
      </c>
      <c r="H356" s="179">
        <f t="shared" si="41"/>
        <v>2.6395173453996983E-2</v>
      </c>
      <c r="I356" s="299"/>
      <c r="J356" s="186"/>
      <c r="K356" s="13"/>
      <c r="L356" s="509"/>
      <c r="M356" s="509">
        <f>50000+20000</f>
        <v>70000</v>
      </c>
      <c r="N356" s="179"/>
      <c r="O356" s="191"/>
      <c r="P356" s="192"/>
    </row>
    <row r="357" spans="1:16" ht="18" customHeight="1">
      <c r="A357" s="7">
        <v>17</v>
      </c>
      <c r="B357" s="189"/>
      <c r="C357" s="189" t="s">
        <v>118</v>
      </c>
      <c r="D357" s="7" t="s">
        <v>93</v>
      </c>
      <c r="E357" s="190">
        <v>20000</v>
      </c>
      <c r="F357" s="509"/>
      <c r="G357" s="510">
        <f>20000+50000+15000+15000</f>
        <v>100000</v>
      </c>
      <c r="H357" s="179">
        <f t="shared" si="41"/>
        <v>3.7707390648567117E-2</v>
      </c>
      <c r="I357" s="299"/>
      <c r="J357" s="186"/>
      <c r="K357" s="13"/>
      <c r="L357" s="509"/>
      <c r="M357" s="509">
        <f>20000+50000+15000+15000</f>
        <v>100000</v>
      </c>
      <c r="N357" s="179">
        <f>M357/$L$358</f>
        <v>3.7699429984618629E-2</v>
      </c>
      <c r="O357" s="191"/>
      <c r="P357" s="192"/>
    </row>
    <row r="358" spans="1:16" ht="18" customHeight="1">
      <c r="A358" s="506"/>
      <c r="B358" s="193"/>
      <c r="C358" s="807" t="s">
        <v>94</v>
      </c>
      <c r="D358" s="189"/>
      <c r="E358" s="190"/>
      <c r="F358" s="511">
        <f>SUM(F343:F357)</f>
        <v>2652000</v>
      </c>
      <c r="G358" s="511">
        <f>SUM(G343:G357)</f>
        <v>1590000</v>
      </c>
      <c r="H358" s="194">
        <f t="shared" si="41"/>
        <v>0.59954751131221717</v>
      </c>
      <c r="I358" s="300">
        <f>F358-G358</f>
        <v>1062000</v>
      </c>
      <c r="J358" s="195">
        <f>I358/F358</f>
        <v>0.40045248868778283</v>
      </c>
      <c r="K358" s="13"/>
      <c r="L358" s="517">
        <f>SUM(L343:L357)</f>
        <v>2652560</v>
      </c>
      <c r="M358" s="517">
        <f>SUM(M343:M357)</f>
        <v>1590000</v>
      </c>
      <c r="N358" s="196">
        <f>M358/$L$358</f>
        <v>0.59942093675543628</v>
      </c>
      <c r="O358" s="197">
        <f>L358-M358</f>
        <v>1062560</v>
      </c>
      <c r="P358" s="198"/>
    </row>
    <row r="359" spans="1:16" ht="18" customHeight="1">
      <c r="A359" s="7" t="s">
        <v>96</v>
      </c>
      <c r="B359" s="189" t="s">
        <v>17</v>
      </c>
      <c r="C359" s="189" t="s">
        <v>581</v>
      </c>
      <c r="D359" s="7" t="s">
        <v>96</v>
      </c>
      <c r="E359" s="190"/>
      <c r="F359" s="509">
        <f>9000*10*5*52/2</f>
        <v>11700000</v>
      </c>
      <c r="G359" s="509"/>
      <c r="H359" s="179"/>
      <c r="I359" s="299"/>
      <c r="J359" s="186"/>
      <c r="K359" s="13"/>
      <c r="L359" s="509">
        <f>9000*10*5*52/2</f>
        <v>11700000</v>
      </c>
      <c r="M359" s="509"/>
      <c r="N359" s="179"/>
      <c r="O359" s="191"/>
      <c r="P359" s="199"/>
    </row>
    <row r="360" spans="1:16" ht="18" customHeight="1">
      <c r="A360" s="7" t="s">
        <v>415</v>
      </c>
      <c r="B360" s="189"/>
      <c r="C360" s="189" t="s">
        <v>581</v>
      </c>
      <c r="D360" s="7" t="s">
        <v>415</v>
      </c>
      <c r="E360" s="190"/>
      <c r="F360" s="509"/>
      <c r="G360" s="509"/>
      <c r="H360" s="179"/>
      <c r="I360" s="299"/>
      <c r="J360" s="186"/>
      <c r="K360" s="13"/>
      <c r="L360" s="509"/>
      <c r="M360" s="509"/>
      <c r="N360" s="179"/>
      <c r="O360" s="191"/>
      <c r="P360" s="199"/>
    </row>
    <row r="361" spans="1:16" ht="18" customHeight="1">
      <c r="A361" s="7">
        <v>1</v>
      </c>
      <c r="B361" s="189"/>
      <c r="C361" s="189" t="s">
        <v>581</v>
      </c>
      <c r="D361" s="7" t="s">
        <v>354</v>
      </c>
      <c r="E361" s="190"/>
      <c r="F361" s="509"/>
      <c r="G361" s="509">
        <v>6121000</v>
      </c>
      <c r="H361" s="179">
        <v>0.52319246060963043</v>
      </c>
      <c r="I361" s="299"/>
      <c r="J361" s="186"/>
      <c r="K361" s="13"/>
      <c r="L361" s="509"/>
      <c r="M361" s="509">
        <f t="shared" ref="M361:M384" si="45">ROUND($L$359*H361,-3)</f>
        <v>6121000</v>
      </c>
      <c r="N361" s="179">
        <f t="shared" ref="N361:N374" si="46">M361/$L$385</f>
        <v>0.52316239316239321</v>
      </c>
      <c r="O361" s="191"/>
      <c r="P361" s="192"/>
    </row>
    <row r="362" spans="1:16" ht="18" customHeight="1">
      <c r="A362" s="7">
        <v>2</v>
      </c>
      <c r="B362" s="189"/>
      <c r="C362" s="189" t="s">
        <v>581</v>
      </c>
      <c r="D362" s="7" t="s">
        <v>436</v>
      </c>
      <c r="E362" s="190"/>
      <c r="F362" s="509"/>
      <c r="G362" s="509"/>
      <c r="H362" s="179">
        <v>0</v>
      </c>
      <c r="I362" s="299"/>
      <c r="J362" s="186"/>
      <c r="K362" s="13"/>
      <c r="L362" s="509"/>
      <c r="M362" s="509">
        <f t="shared" si="45"/>
        <v>0</v>
      </c>
      <c r="N362" s="179">
        <f t="shared" si="46"/>
        <v>0</v>
      </c>
      <c r="O362" s="191"/>
      <c r="P362" s="192"/>
    </row>
    <row r="363" spans="1:16" ht="18" customHeight="1">
      <c r="A363" s="7">
        <v>3</v>
      </c>
      <c r="B363" s="189"/>
      <c r="C363" s="189" t="s">
        <v>581</v>
      </c>
      <c r="D363" s="7" t="s">
        <v>272</v>
      </c>
      <c r="E363" s="190"/>
      <c r="F363" s="509"/>
      <c r="G363" s="509"/>
      <c r="H363" s="179">
        <v>0</v>
      </c>
      <c r="I363" s="299"/>
      <c r="J363" s="186"/>
      <c r="K363" s="13"/>
      <c r="L363" s="509"/>
      <c r="M363" s="509">
        <f t="shared" si="45"/>
        <v>0</v>
      </c>
      <c r="N363" s="179">
        <f t="shared" si="46"/>
        <v>0</v>
      </c>
      <c r="O363" s="191"/>
      <c r="P363" s="192"/>
    </row>
    <row r="364" spans="1:16" ht="18" customHeight="1">
      <c r="A364" s="7">
        <v>18</v>
      </c>
      <c r="B364" s="189"/>
      <c r="C364" s="189" t="s">
        <v>581</v>
      </c>
      <c r="D364" s="189" t="s">
        <v>367</v>
      </c>
      <c r="E364" s="190"/>
      <c r="F364" s="509"/>
      <c r="G364" s="509">
        <v>506000</v>
      </c>
      <c r="H364" s="179">
        <v>4.3233691650714182E-2</v>
      </c>
      <c r="I364" s="299"/>
      <c r="J364" s="186"/>
      <c r="K364" s="13"/>
      <c r="L364" s="509"/>
      <c r="M364" s="509">
        <f t="shared" si="45"/>
        <v>506000</v>
      </c>
      <c r="N364" s="179">
        <f t="shared" si="46"/>
        <v>4.3247863247863248E-2</v>
      </c>
      <c r="O364" s="191"/>
      <c r="P364" s="192"/>
    </row>
    <row r="365" spans="1:16" ht="18" customHeight="1">
      <c r="A365" s="7">
        <v>4</v>
      </c>
      <c r="B365" s="189"/>
      <c r="C365" s="189" t="s">
        <v>581</v>
      </c>
      <c r="D365" s="189" t="s">
        <v>84</v>
      </c>
      <c r="E365" s="190"/>
      <c r="F365" s="509"/>
      <c r="G365" s="509">
        <v>172000</v>
      </c>
      <c r="H365" s="179">
        <v>1.4695921072007068E-2</v>
      </c>
      <c r="I365" s="299"/>
      <c r="J365" s="186"/>
      <c r="K365" s="13"/>
      <c r="L365" s="509"/>
      <c r="M365" s="509">
        <f t="shared" si="45"/>
        <v>172000</v>
      </c>
      <c r="N365" s="179">
        <f t="shared" si="46"/>
        <v>1.4700854700854702E-2</v>
      </c>
      <c r="O365" s="191"/>
      <c r="P365" s="192"/>
    </row>
    <row r="366" spans="1:16" ht="18" customHeight="1">
      <c r="A366" s="7">
        <v>5</v>
      </c>
      <c r="B366" s="189"/>
      <c r="C366" s="189" t="s">
        <v>581</v>
      </c>
      <c r="D366" s="189" t="s">
        <v>132</v>
      </c>
      <c r="E366" s="190"/>
      <c r="F366" s="509"/>
      <c r="G366" s="509">
        <v>115000</v>
      </c>
      <c r="H366" s="179">
        <v>9.836548372846414E-3</v>
      </c>
      <c r="I366" s="299"/>
      <c r="J366" s="186"/>
      <c r="K366" s="13"/>
      <c r="L366" s="509"/>
      <c r="M366" s="509">
        <f t="shared" si="45"/>
        <v>115000</v>
      </c>
      <c r="N366" s="179">
        <f t="shared" si="46"/>
        <v>9.8290598290598288E-3</v>
      </c>
      <c r="O366" s="191"/>
      <c r="P366" s="192"/>
    </row>
    <row r="367" spans="1:16" ht="18" customHeight="1">
      <c r="A367" s="7">
        <v>6</v>
      </c>
      <c r="B367" s="189"/>
      <c r="C367" s="189" t="s">
        <v>581</v>
      </c>
      <c r="D367" s="189" t="s">
        <v>85</v>
      </c>
      <c r="E367" s="190"/>
      <c r="F367" s="509"/>
      <c r="G367" s="509">
        <v>55000</v>
      </c>
      <c r="H367" s="179">
        <v>4.6826682373729937E-3</v>
      </c>
      <c r="I367" s="299"/>
      <c r="J367" s="186"/>
      <c r="K367" s="13"/>
      <c r="L367" s="509"/>
      <c r="M367" s="509">
        <f t="shared" si="45"/>
        <v>55000</v>
      </c>
      <c r="N367" s="179">
        <f t="shared" si="46"/>
        <v>4.7008547008547006E-3</v>
      </c>
      <c r="O367" s="191"/>
      <c r="P367" s="192"/>
    </row>
    <row r="368" spans="1:16" ht="18" customHeight="1">
      <c r="A368" s="7">
        <v>20</v>
      </c>
      <c r="B368" s="189"/>
      <c r="C368" s="189" t="s">
        <v>581</v>
      </c>
      <c r="D368" s="189" t="s">
        <v>133</v>
      </c>
      <c r="E368" s="190"/>
      <c r="F368" s="509"/>
      <c r="G368" s="509">
        <v>12000</v>
      </c>
      <c r="H368" s="179">
        <v>1.0602267707259608E-3</v>
      </c>
      <c r="I368" s="299"/>
      <c r="J368" s="186"/>
      <c r="K368" s="13"/>
      <c r="L368" s="509"/>
      <c r="M368" s="509">
        <f t="shared" si="45"/>
        <v>12000</v>
      </c>
      <c r="N368" s="179">
        <f t="shared" si="46"/>
        <v>1.0256410256410256E-3</v>
      </c>
      <c r="O368" s="191"/>
      <c r="P368" s="192"/>
    </row>
    <row r="369" spans="1:16" ht="18" customHeight="1">
      <c r="A369" s="7">
        <v>7</v>
      </c>
      <c r="B369" s="189"/>
      <c r="C369" s="189" t="s">
        <v>581</v>
      </c>
      <c r="D369" s="189" t="s">
        <v>86</v>
      </c>
      <c r="E369" s="190"/>
      <c r="F369" s="509"/>
      <c r="G369" s="509">
        <v>9000</v>
      </c>
      <c r="H369" s="179">
        <v>7.6571933441319396E-4</v>
      </c>
      <c r="I369" s="299"/>
      <c r="J369" s="186"/>
      <c r="K369" s="13"/>
      <c r="L369" s="509"/>
      <c r="M369" s="509">
        <f t="shared" si="45"/>
        <v>9000</v>
      </c>
      <c r="N369" s="179">
        <f t="shared" si="46"/>
        <v>7.6923076923076923E-4</v>
      </c>
      <c r="O369" s="191"/>
      <c r="P369" s="192"/>
    </row>
    <row r="370" spans="1:16" ht="18" customHeight="1">
      <c r="A370" s="7">
        <v>8</v>
      </c>
      <c r="B370" s="189"/>
      <c r="C370" s="189" t="s">
        <v>581</v>
      </c>
      <c r="D370" s="189" t="s">
        <v>98</v>
      </c>
      <c r="E370" s="190"/>
      <c r="F370" s="509"/>
      <c r="G370" s="509"/>
      <c r="H370" s="179">
        <v>2.9450743631276691E-5</v>
      </c>
      <c r="I370" s="299"/>
      <c r="J370" s="186"/>
      <c r="K370" s="13"/>
      <c r="L370" s="509"/>
      <c r="M370" s="509">
        <f t="shared" si="45"/>
        <v>0</v>
      </c>
      <c r="N370" s="179">
        <f t="shared" si="46"/>
        <v>0</v>
      </c>
      <c r="O370" s="191"/>
      <c r="P370" s="192"/>
    </row>
    <row r="371" spans="1:16" ht="18" customHeight="1">
      <c r="A371" s="7">
        <v>9</v>
      </c>
      <c r="B371" s="189"/>
      <c r="C371" s="189" t="s">
        <v>581</v>
      </c>
      <c r="D371" s="189" t="s">
        <v>87</v>
      </c>
      <c r="E371" s="190"/>
      <c r="F371" s="509"/>
      <c r="G371" s="509"/>
      <c r="H371" s="179">
        <v>0</v>
      </c>
      <c r="I371" s="299"/>
      <c r="J371" s="186"/>
      <c r="K371" s="13"/>
      <c r="L371" s="509"/>
      <c r="M371" s="509">
        <f t="shared" si="45"/>
        <v>0</v>
      </c>
      <c r="N371" s="179">
        <f t="shared" si="46"/>
        <v>0</v>
      </c>
      <c r="O371" s="191"/>
      <c r="P371" s="192"/>
    </row>
    <row r="372" spans="1:16" ht="18" customHeight="1">
      <c r="A372" s="7">
        <v>10</v>
      </c>
      <c r="B372" s="189"/>
      <c r="C372" s="189" t="s">
        <v>581</v>
      </c>
      <c r="D372" s="189" t="s">
        <v>121</v>
      </c>
      <c r="E372" s="190"/>
      <c r="F372" s="509"/>
      <c r="G372" s="509"/>
      <c r="H372" s="179">
        <v>0</v>
      </c>
      <c r="I372" s="299"/>
      <c r="J372" s="186"/>
      <c r="K372" s="13"/>
      <c r="L372" s="509"/>
      <c r="M372" s="509">
        <f t="shared" si="45"/>
        <v>0</v>
      </c>
      <c r="N372" s="179">
        <f t="shared" si="46"/>
        <v>0</v>
      </c>
      <c r="O372" s="191"/>
      <c r="P372" s="192"/>
    </row>
    <row r="373" spans="1:16" ht="18" customHeight="1">
      <c r="A373" s="7">
        <v>11</v>
      </c>
      <c r="B373" s="189"/>
      <c r="C373" s="189" t="s">
        <v>581</v>
      </c>
      <c r="D373" s="189" t="s">
        <v>88</v>
      </c>
      <c r="E373" s="190"/>
      <c r="F373" s="509"/>
      <c r="G373" s="509">
        <v>36000</v>
      </c>
      <c r="H373" s="179">
        <v>3.0923280812840525E-3</v>
      </c>
      <c r="I373" s="299"/>
      <c r="J373" s="186"/>
      <c r="K373" s="13"/>
      <c r="L373" s="509"/>
      <c r="M373" s="509">
        <f t="shared" si="45"/>
        <v>36000</v>
      </c>
      <c r="N373" s="179">
        <f t="shared" si="46"/>
        <v>3.0769230769230769E-3</v>
      </c>
      <c r="O373" s="191"/>
      <c r="P373" s="192"/>
    </row>
    <row r="374" spans="1:16" ht="18" customHeight="1">
      <c r="A374" s="7">
        <v>12</v>
      </c>
      <c r="B374" s="189"/>
      <c r="C374" s="189" t="s">
        <v>581</v>
      </c>
      <c r="D374" s="189" t="s">
        <v>89</v>
      </c>
      <c r="E374" s="190"/>
      <c r="F374" s="509"/>
      <c r="G374" s="509">
        <v>20000</v>
      </c>
      <c r="H374" s="179">
        <v>1.7375938742453247E-3</v>
      </c>
      <c r="I374" s="299"/>
      <c r="J374" s="186"/>
      <c r="K374" s="13"/>
      <c r="L374" s="509"/>
      <c r="M374" s="509">
        <f t="shared" si="45"/>
        <v>20000</v>
      </c>
      <c r="N374" s="179">
        <f t="shared" si="46"/>
        <v>1.7094017094017094E-3</v>
      </c>
      <c r="O374" s="191"/>
      <c r="P374" s="192"/>
    </row>
    <row r="375" spans="1:16" ht="18" customHeight="1">
      <c r="A375" s="7"/>
      <c r="B375" s="189"/>
      <c r="C375" s="189"/>
      <c r="D375" s="189" t="s">
        <v>101</v>
      </c>
      <c r="E375" s="190"/>
      <c r="F375" s="509"/>
      <c r="G375" s="509"/>
      <c r="H375" s="179"/>
      <c r="I375" s="299"/>
      <c r="J375" s="186"/>
      <c r="K375" s="13"/>
      <c r="L375" s="509"/>
      <c r="M375" s="509"/>
      <c r="N375" s="179"/>
      <c r="O375" s="191"/>
      <c r="P375" s="192"/>
    </row>
    <row r="376" spans="1:16" ht="18" customHeight="1">
      <c r="A376" s="7">
        <v>14</v>
      </c>
      <c r="B376" s="189"/>
      <c r="C376" s="189" t="s">
        <v>581</v>
      </c>
      <c r="D376" s="189" t="s">
        <v>90</v>
      </c>
      <c r="E376" s="190"/>
      <c r="F376" s="509"/>
      <c r="G376" s="509"/>
      <c r="H376" s="179">
        <v>0</v>
      </c>
      <c r="I376" s="299"/>
      <c r="J376" s="186"/>
      <c r="K376" s="13"/>
      <c r="L376" s="509"/>
      <c r="M376" s="509">
        <f t="shared" si="45"/>
        <v>0</v>
      </c>
      <c r="N376" s="179">
        <f>M376/$L$385</f>
        <v>0</v>
      </c>
      <c r="O376" s="191"/>
      <c r="P376" s="192"/>
    </row>
    <row r="377" spans="1:16" ht="18" customHeight="1">
      <c r="A377" s="7"/>
      <c r="B377" s="189"/>
      <c r="C377" s="189"/>
      <c r="D377" s="189" t="s">
        <v>173</v>
      </c>
      <c r="E377" s="190"/>
      <c r="F377" s="509"/>
      <c r="G377" s="509"/>
      <c r="H377" s="179"/>
      <c r="I377" s="299"/>
      <c r="J377" s="186"/>
      <c r="K377" s="13"/>
      <c r="L377" s="509"/>
      <c r="M377" s="509"/>
      <c r="N377" s="179"/>
      <c r="O377" s="191"/>
      <c r="P377" s="192"/>
    </row>
    <row r="378" spans="1:16" ht="18" customHeight="1">
      <c r="A378" s="7">
        <v>15</v>
      </c>
      <c r="B378" s="189"/>
      <c r="C378" s="189" t="s">
        <v>581</v>
      </c>
      <c r="D378" s="189" t="s">
        <v>91</v>
      </c>
      <c r="E378" s="190"/>
      <c r="F378" s="509"/>
      <c r="G378" s="509">
        <v>388000</v>
      </c>
      <c r="H378" s="179">
        <v>3.3132086585186273E-2</v>
      </c>
      <c r="I378" s="299"/>
      <c r="J378" s="186"/>
      <c r="K378" s="13"/>
      <c r="L378" s="509"/>
      <c r="M378" s="509">
        <f t="shared" si="45"/>
        <v>388000</v>
      </c>
      <c r="N378" s="179">
        <f>M378/$L$385</f>
        <v>3.316239316239316E-2</v>
      </c>
      <c r="O378" s="191"/>
      <c r="P378" s="192"/>
    </row>
    <row r="379" spans="1:16" ht="18" customHeight="1">
      <c r="A379" s="7"/>
      <c r="B379" s="189"/>
      <c r="C379" s="189"/>
      <c r="D379" s="189" t="s">
        <v>136</v>
      </c>
      <c r="E379" s="190"/>
      <c r="F379" s="509"/>
      <c r="G379" s="509"/>
      <c r="H379" s="179"/>
      <c r="I379" s="299"/>
      <c r="J379" s="186"/>
      <c r="K379" s="13"/>
      <c r="L379" s="509"/>
      <c r="M379" s="509"/>
      <c r="N379" s="179"/>
      <c r="O379" s="191"/>
      <c r="P379" s="192"/>
    </row>
    <row r="380" spans="1:16" ht="18" customHeight="1">
      <c r="A380" s="7">
        <v>21</v>
      </c>
      <c r="B380" s="189"/>
      <c r="C380" s="189" t="s">
        <v>581</v>
      </c>
      <c r="D380" s="189" t="s">
        <v>109</v>
      </c>
      <c r="E380" s="190"/>
      <c r="F380" s="509"/>
      <c r="G380" s="509"/>
      <c r="H380" s="179">
        <v>0</v>
      </c>
      <c r="I380" s="299"/>
      <c r="J380" s="186"/>
      <c r="K380" s="13"/>
      <c r="L380" s="509"/>
      <c r="M380" s="509">
        <f t="shared" si="45"/>
        <v>0</v>
      </c>
      <c r="N380" s="179">
        <f>M380/$L$385</f>
        <v>0</v>
      </c>
      <c r="O380" s="191"/>
      <c r="P380" s="192"/>
    </row>
    <row r="381" spans="1:16" ht="18" customHeight="1">
      <c r="A381" s="7">
        <v>16</v>
      </c>
      <c r="B381" s="189"/>
      <c r="C381" s="189" t="s">
        <v>581</v>
      </c>
      <c r="D381" s="189" t="s">
        <v>92</v>
      </c>
      <c r="E381" s="190"/>
      <c r="F381" s="509"/>
      <c r="G381" s="509">
        <v>240000</v>
      </c>
      <c r="H381" s="179">
        <v>2.0497717567368574E-2</v>
      </c>
      <c r="I381" s="299"/>
      <c r="J381" s="186"/>
      <c r="K381" s="13"/>
      <c r="L381" s="509"/>
      <c r="M381" s="509">
        <f t="shared" si="45"/>
        <v>240000</v>
      </c>
      <c r="N381" s="179">
        <f>M381/$L$385</f>
        <v>2.0512820512820513E-2</v>
      </c>
      <c r="O381" s="191"/>
      <c r="P381" s="192"/>
    </row>
    <row r="382" spans="1:16" ht="18" customHeight="1">
      <c r="A382" s="7"/>
      <c r="B382" s="189"/>
      <c r="C382" s="189"/>
      <c r="D382" s="189" t="s">
        <v>386</v>
      </c>
      <c r="E382" s="190"/>
      <c r="F382" s="509"/>
      <c r="G382" s="509"/>
      <c r="H382" s="179"/>
      <c r="I382" s="299"/>
      <c r="J382" s="186"/>
      <c r="K382" s="13"/>
      <c r="L382" s="509"/>
      <c r="M382" s="509"/>
      <c r="N382" s="179"/>
      <c r="O382" s="191"/>
      <c r="P382" s="192"/>
    </row>
    <row r="383" spans="1:16" ht="18" customHeight="1">
      <c r="A383" s="7"/>
      <c r="B383" s="189"/>
      <c r="C383" s="189"/>
      <c r="D383" s="7" t="s">
        <v>677</v>
      </c>
      <c r="E383" s="190"/>
      <c r="F383" s="509"/>
      <c r="G383" s="509">
        <v>20000</v>
      </c>
      <c r="H383" s="179"/>
      <c r="I383" s="299"/>
      <c r="J383" s="186"/>
      <c r="K383" s="13"/>
      <c r="L383" s="509"/>
      <c r="M383" s="509"/>
      <c r="N383" s="179"/>
      <c r="O383" s="191"/>
      <c r="P383" s="192"/>
    </row>
    <row r="384" spans="1:16" ht="18" customHeight="1">
      <c r="A384" s="7">
        <v>17</v>
      </c>
      <c r="B384" s="189"/>
      <c r="C384" s="189" t="s">
        <v>581</v>
      </c>
      <c r="D384" s="189" t="s">
        <v>93</v>
      </c>
      <c r="E384" s="190"/>
      <c r="F384" s="509"/>
      <c r="G384" s="509">
        <v>36000</v>
      </c>
      <c r="H384" s="179">
        <v>3.0923280812840525E-3</v>
      </c>
      <c r="I384" s="299"/>
      <c r="J384" s="186"/>
      <c r="K384" s="13"/>
      <c r="L384" s="509"/>
      <c r="M384" s="509">
        <f t="shared" si="45"/>
        <v>36000</v>
      </c>
      <c r="N384" s="179">
        <f>M384/$L$385</f>
        <v>3.0769230769230769E-3</v>
      </c>
      <c r="O384" s="191"/>
      <c r="P384" s="192"/>
    </row>
    <row r="385" spans="1:16" ht="18" customHeight="1">
      <c r="A385" s="506"/>
      <c r="B385" s="193"/>
      <c r="C385" s="807" t="s">
        <v>94</v>
      </c>
      <c r="D385" s="189"/>
      <c r="E385" s="190"/>
      <c r="F385" s="511">
        <f>SUM(F359:F384)</f>
        <v>11700000</v>
      </c>
      <c r="G385" s="511">
        <f>SUM(G359:G384)</f>
        <v>7730000</v>
      </c>
      <c r="H385" s="194">
        <v>0.65904874098070976</v>
      </c>
      <c r="I385" s="300">
        <f>F385-G385</f>
        <v>3970000</v>
      </c>
      <c r="J385" s="195">
        <f>I385/F385</f>
        <v>0.33931623931623933</v>
      </c>
      <c r="K385" s="13"/>
      <c r="L385" s="517">
        <f>SUM(L359:L384)</f>
        <v>11700000</v>
      </c>
      <c r="M385" s="517">
        <f>SUM(M359:M384)</f>
        <v>7710000</v>
      </c>
      <c r="N385" s="196">
        <f>M385/$L$385</f>
        <v>0.65897435897435896</v>
      </c>
      <c r="O385" s="197">
        <f>L385-M385</f>
        <v>3990000</v>
      </c>
      <c r="P385" s="198"/>
    </row>
    <row r="386" spans="1:16" ht="18" customHeight="1">
      <c r="A386" s="200" t="s">
        <v>123</v>
      </c>
      <c r="B386" s="189"/>
      <c r="C386" s="189" t="s">
        <v>122</v>
      </c>
      <c r="D386" s="200" t="s">
        <v>123</v>
      </c>
      <c r="E386" s="190"/>
      <c r="F386" s="510">
        <v>3000</v>
      </c>
      <c r="G386" s="509"/>
      <c r="H386" s="179"/>
      <c r="I386" s="299"/>
      <c r="J386" s="186"/>
      <c r="K386" s="13"/>
      <c r="L386" s="509">
        <v>3000</v>
      </c>
      <c r="M386" s="509"/>
      <c r="N386" s="179"/>
      <c r="O386" s="191"/>
      <c r="P386" s="192"/>
    </row>
    <row r="387" spans="1:16" ht="18" customHeight="1">
      <c r="A387" s="7" t="s">
        <v>124</v>
      </c>
      <c r="B387" s="189"/>
      <c r="C387" s="189" t="s">
        <v>122</v>
      </c>
      <c r="D387" s="7" t="s">
        <v>124</v>
      </c>
      <c r="E387" s="190">
        <v>325000</v>
      </c>
      <c r="F387" s="509">
        <f>3000*100</f>
        <v>300000</v>
      </c>
      <c r="G387" s="509"/>
      <c r="H387" s="179"/>
      <c r="I387" s="299"/>
      <c r="J387" s="186"/>
      <c r="K387" s="13"/>
      <c r="L387" s="509"/>
      <c r="M387" s="509"/>
      <c r="N387" s="179"/>
      <c r="O387" s="191"/>
      <c r="P387" s="192"/>
    </row>
    <row r="388" spans="1:16" ht="18" customHeight="1">
      <c r="A388" s="7" t="s">
        <v>125</v>
      </c>
      <c r="B388" s="189"/>
      <c r="C388" s="189" t="s">
        <v>122</v>
      </c>
      <c r="D388" s="7" t="s">
        <v>125</v>
      </c>
      <c r="E388" s="190"/>
      <c r="F388" s="510">
        <v>2000000</v>
      </c>
      <c r="G388" s="509"/>
      <c r="H388" s="179"/>
      <c r="I388" s="299"/>
      <c r="J388" s="186"/>
      <c r="K388" s="13"/>
      <c r="L388" s="509">
        <v>2000000</v>
      </c>
      <c r="M388" s="509"/>
      <c r="N388" s="179"/>
      <c r="O388" s="191"/>
      <c r="P388" s="192"/>
    </row>
    <row r="389" spans="1:16" ht="18" customHeight="1">
      <c r="A389" s="7" t="s">
        <v>126</v>
      </c>
      <c r="B389" s="189"/>
      <c r="C389" s="189" t="s">
        <v>122</v>
      </c>
      <c r="D389" s="7" t="s">
        <v>126</v>
      </c>
      <c r="E389" s="190"/>
      <c r="F389" s="510">
        <v>500000</v>
      </c>
      <c r="G389" s="509"/>
      <c r="H389" s="179"/>
      <c r="I389" s="299"/>
      <c r="J389" s="186"/>
      <c r="K389" s="13"/>
      <c r="L389" s="509">
        <f>70*6000</f>
        <v>420000</v>
      </c>
      <c r="M389" s="509"/>
      <c r="N389" s="179"/>
      <c r="O389" s="191"/>
      <c r="P389" s="192"/>
    </row>
    <row r="390" spans="1:16" ht="18" customHeight="1">
      <c r="A390" s="7" t="s">
        <v>127</v>
      </c>
      <c r="B390" s="189"/>
      <c r="C390" s="189" t="s">
        <v>122</v>
      </c>
      <c r="D390" s="7" t="s">
        <v>127</v>
      </c>
      <c r="E390" s="190">
        <v>717000</v>
      </c>
      <c r="F390" s="509">
        <v>1000000</v>
      </c>
      <c r="G390" s="509"/>
      <c r="H390" s="179"/>
      <c r="I390" s="299"/>
      <c r="J390" s="186"/>
      <c r="K390" s="13"/>
      <c r="L390" s="509">
        <v>1000000</v>
      </c>
      <c r="M390" s="509"/>
      <c r="N390" s="179"/>
      <c r="O390" s="191"/>
      <c r="P390" s="192"/>
    </row>
    <row r="391" spans="1:16" ht="18" customHeight="1">
      <c r="A391" s="7" t="s">
        <v>387</v>
      </c>
      <c r="B391" s="189"/>
      <c r="C391" s="189" t="s">
        <v>122</v>
      </c>
      <c r="D391" s="7" t="s">
        <v>669</v>
      </c>
      <c r="E391" s="190"/>
      <c r="F391" s="514">
        <v>150000</v>
      </c>
      <c r="G391" s="509"/>
      <c r="H391" s="179"/>
      <c r="I391" s="299"/>
      <c r="J391" s="186"/>
      <c r="K391" s="13"/>
      <c r="L391" s="509"/>
      <c r="M391" s="509"/>
      <c r="N391" s="179"/>
      <c r="O391" s="191"/>
      <c r="P391" s="192"/>
    </row>
    <row r="392" spans="1:16" ht="18" customHeight="1">
      <c r="A392" s="7" t="s">
        <v>583</v>
      </c>
      <c r="B392" s="189"/>
      <c r="C392" s="189" t="s">
        <v>122</v>
      </c>
      <c r="D392" s="7" t="s">
        <v>128</v>
      </c>
      <c r="E392" s="190">
        <v>12379000</v>
      </c>
      <c r="F392" s="215"/>
      <c r="G392" s="509">
        <f>ROUND(636925*12,-3)-(150000*12)+(700*5*20*12)</f>
        <v>6683000</v>
      </c>
      <c r="H392" s="179">
        <f t="shared" ref="H392:H419" si="47">G392/$F$421</f>
        <v>1.6906147229951936</v>
      </c>
      <c r="I392" s="299"/>
      <c r="J392" s="186"/>
      <c r="K392" s="13"/>
      <c r="L392" s="509"/>
      <c r="M392" s="509">
        <f>ROUND(1141758*12,-3)-(200000*12)</f>
        <v>11301000</v>
      </c>
      <c r="N392" s="179"/>
      <c r="O392" s="191"/>
      <c r="P392" s="192"/>
    </row>
    <row r="393" spans="1:16" ht="18" customHeight="1">
      <c r="A393" s="7">
        <v>2</v>
      </c>
      <c r="B393" s="189"/>
      <c r="C393" s="189" t="s">
        <v>122</v>
      </c>
      <c r="D393" s="7" t="s">
        <v>129</v>
      </c>
      <c r="E393" s="190">
        <v>9139000</v>
      </c>
      <c r="F393" s="509"/>
      <c r="G393" s="670">
        <f>ROUND(13159512-468414,-3)</f>
        <v>12691000</v>
      </c>
      <c r="H393" s="179">
        <f t="shared" si="47"/>
        <v>3.2104730584366306</v>
      </c>
      <c r="I393" s="299"/>
      <c r="J393" s="186"/>
      <c r="K393" s="13"/>
      <c r="L393" s="509"/>
      <c r="M393" s="509">
        <f t="shared" ref="M393:M418" si="48">ROUND(G393,-3)</f>
        <v>12691000</v>
      </c>
      <c r="N393" s="179"/>
      <c r="O393" s="191"/>
      <c r="P393" s="192"/>
    </row>
    <row r="394" spans="1:16" ht="18" customHeight="1">
      <c r="A394" s="7">
        <v>3</v>
      </c>
      <c r="B394" s="189"/>
      <c r="C394" s="189" t="s">
        <v>122</v>
      </c>
      <c r="D394" s="7" t="s">
        <v>130</v>
      </c>
      <c r="E394" s="190">
        <v>587000</v>
      </c>
      <c r="F394" s="509"/>
      <c r="G394" s="509">
        <f>ROUND(894768,-3)</f>
        <v>895000</v>
      </c>
      <c r="H394" s="179">
        <f t="shared" si="47"/>
        <v>0.22641032127498104</v>
      </c>
      <c r="I394" s="299"/>
      <c r="J394" s="186"/>
      <c r="K394" s="13"/>
      <c r="L394" s="509"/>
      <c r="M394" s="509">
        <f t="shared" si="48"/>
        <v>895000</v>
      </c>
      <c r="N394" s="179"/>
      <c r="O394" s="191"/>
      <c r="P394" s="192"/>
    </row>
    <row r="395" spans="1:16" ht="18" customHeight="1">
      <c r="A395" s="7" t="s">
        <v>131</v>
      </c>
      <c r="B395" s="189"/>
      <c r="C395" s="189" t="s">
        <v>122</v>
      </c>
      <c r="D395" s="7" t="s">
        <v>655</v>
      </c>
      <c r="E395" s="190"/>
      <c r="F395" s="509"/>
      <c r="G395" s="509">
        <v>0</v>
      </c>
      <c r="H395" s="179">
        <f t="shared" si="47"/>
        <v>0</v>
      </c>
      <c r="I395" s="299"/>
      <c r="J395" s="186"/>
      <c r="K395" s="13"/>
      <c r="L395" s="509"/>
      <c r="M395" s="509">
        <f t="shared" si="48"/>
        <v>0</v>
      </c>
      <c r="N395" s="179"/>
      <c r="O395" s="191"/>
      <c r="P395" s="192"/>
    </row>
    <row r="396" spans="1:16" ht="18" customHeight="1">
      <c r="A396" s="7">
        <v>4</v>
      </c>
      <c r="B396" s="189"/>
      <c r="C396" s="189" t="s">
        <v>122</v>
      </c>
      <c r="D396" s="7" t="s">
        <v>84</v>
      </c>
      <c r="E396" s="190">
        <v>506000</v>
      </c>
      <c r="F396" s="509"/>
      <c r="G396" s="509">
        <v>675000</v>
      </c>
      <c r="H396" s="179">
        <f t="shared" si="47"/>
        <v>0.17075638755375663</v>
      </c>
      <c r="I396" s="299"/>
      <c r="J396" s="186"/>
      <c r="K396" s="13"/>
      <c r="L396" s="509"/>
      <c r="M396" s="509">
        <f t="shared" si="48"/>
        <v>675000</v>
      </c>
      <c r="N396" s="179"/>
      <c r="O396" s="191"/>
      <c r="P396" s="192"/>
    </row>
    <row r="397" spans="1:16" ht="18" customHeight="1">
      <c r="A397" s="7">
        <v>5</v>
      </c>
      <c r="B397" s="189"/>
      <c r="C397" s="189" t="s">
        <v>122</v>
      </c>
      <c r="D397" s="7" t="s">
        <v>132</v>
      </c>
      <c r="E397" s="190">
        <f>93150+19770+5460</f>
        <v>118380</v>
      </c>
      <c r="F397" s="509"/>
      <c r="G397" s="670">
        <v>180000</v>
      </c>
      <c r="H397" s="179">
        <f t="shared" si="47"/>
        <v>4.553503668100177E-2</v>
      </c>
      <c r="I397" s="299"/>
      <c r="J397" s="186"/>
      <c r="K397" s="13"/>
      <c r="L397" s="509"/>
      <c r="M397" s="509">
        <f t="shared" si="48"/>
        <v>180000</v>
      </c>
      <c r="N397" s="179"/>
      <c r="O397" s="191"/>
      <c r="P397" s="192" t="s">
        <v>313</v>
      </c>
    </row>
    <row r="398" spans="1:16" ht="18" customHeight="1">
      <c r="A398" s="7">
        <v>6</v>
      </c>
      <c r="B398" s="189"/>
      <c r="C398" s="189" t="s">
        <v>122</v>
      </c>
      <c r="D398" s="7" t="s">
        <v>85</v>
      </c>
      <c r="E398" s="190">
        <f>1636000+142000</f>
        <v>1778000</v>
      </c>
      <c r="F398" s="509"/>
      <c r="G398" s="509">
        <v>2236000</v>
      </c>
      <c r="H398" s="179">
        <f t="shared" si="47"/>
        <v>0.5656463445484442</v>
      </c>
      <c r="I398" s="299"/>
      <c r="J398" s="186"/>
      <c r="K398" s="13"/>
      <c r="L398" s="509"/>
      <c r="M398" s="509">
        <f t="shared" si="48"/>
        <v>2236000</v>
      </c>
      <c r="N398" s="179"/>
      <c r="O398" s="191"/>
      <c r="P398" s="192"/>
    </row>
    <row r="399" spans="1:16" ht="18" customHeight="1">
      <c r="A399" s="7">
        <v>20</v>
      </c>
      <c r="B399" s="189"/>
      <c r="C399" s="189" t="s">
        <v>122</v>
      </c>
      <c r="D399" s="7" t="s">
        <v>133</v>
      </c>
      <c r="E399" s="190">
        <v>228000</v>
      </c>
      <c r="F399" s="509"/>
      <c r="G399" s="509">
        <v>304000</v>
      </c>
      <c r="H399" s="179">
        <f t="shared" si="47"/>
        <v>7.6903617505691885E-2</v>
      </c>
      <c r="I399" s="299"/>
      <c r="J399" s="186"/>
      <c r="K399" s="13"/>
      <c r="L399" s="509"/>
      <c r="M399" s="509">
        <f t="shared" si="48"/>
        <v>304000</v>
      </c>
      <c r="N399" s="179"/>
      <c r="O399" s="191"/>
      <c r="P399" s="192"/>
    </row>
    <row r="400" spans="1:16" ht="18" customHeight="1">
      <c r="A400" s="7">
        <v>7</v>
      </c>
      <c r="B400" s="189"/>
      <c r="C400" s="189" t="s">
        <v>122</v>
      </c>
      <c r="D400" s="7" t="s">
        <v>86</v>
      </c>
      <c r="E400" s="190">
        <v>110000</v>
      </c>
      <c r="F400" s="509"/>
      <c r="G400" s="510">
        <v>110000</v>
      </c>
      <c r="H400" s="179">
        <f t="shared" si="47"/>
        <v>2.7826966860612194E-2</v>
      </c>
      <c r="I400" s="299"/>
      <c r="J400" s="186"/>
      <c r="K400" s="13"/>
      <c r="L400" s="509"/>
      <c r="M400" s="509">
        <f t="shared" si="48"/>
        <v>110000</v>
      </c>
      <c r="N400" s="179"/>
      <c r="O400" s="191"/>
      <c r="P400" s="192"/>
    </row>
    <row r="401" spans="1:16" ht="18" customHeight="1">
      <c r="A401" s="7">
        <v>8</v>
      </c>
      <c r="B401" s="189"/>
      <c r="C401" s="189" t="s">
        <v>122</v>
      </c>
      <c r="D401" s="7" t="s">
        <v>98</v>
      </c>
      <c r="E401" s="190">
        <v>5000</v>
      </c>
      <c r="F401" s="509"/>
      <c r="G401" s="509">
        <v>7000</v>
      </c>
      <c r="H401" s="179">
        <f t="shared" si="47"/>
        <v>1.7708069820389577E-3</v>
      </c>
      <c r="I401" s="299"/>
      <c r="J401" s="186"/>
      <c r="K401" s="13"/>
      <c r="L401" s="509"/>
      <c r="M401" s="509">
        <f t="shared" si="48"/>
        <v>7000</v>
      </c>
      <c r="N401" s="179"/>
      <c r="O401" s="191"/>
      <c r="P401" s="192"/>
    </row>
    <row r="402" spans="1:16" ht="18" customHeight="1">
      <c r="A402" s="7">
        <v>9</v>
      </c>
      <c r="B402" s="189"/>
      <c r="C402" s="189" t="s">
        <v>122</v>
      </c>
      <c r="D402" s="7" t="s">
        <v>87</v>
      </c>
      <c r="E402" s="190">
        <v>400000</v>
      </c>
      <c r="F402" s="509"/>
      <c r="G402" s="510">
        <v>400000</v>
      </c>
      <c r="H402" s="179">
        <f t="shared" si="47"/>
        <v>0.10118897040222616</v>
      </c>
      <c r="I402" s="299"/>
      <c r="J402" s="186"/>
      <c r="K402" s="13"/>
      <c r="L402" s="509"/>
      <c r="M402" s="509">
        <f t="shared" si="48"/>
        <v>400000</v>
      </c>
      <c r="N402" s="179"/>
      <c r="O402" s="191"/>
      <c r="P402" s="192" t="s">
        <v>314</v>
      </c>
    </row>
    <row r="403" spans="1:16" ht="18" customHeight="1">
      <c r="A403" s="7" t="s">
        <v>586</v>
      </c>
      <c r="B403" s="189"/>
      <c r="C403" s="189" t="s">
        <v>122</v>
      </c>
      <c r="D403" s="7" t="s">
        <v>134</v>
      </c>
      <c r="E403" s="190">
        <v>2061000</v>
      </c>
      <c r="F403" s="509"/>
      <c r="G403" s="509">
        <v>2748000</v>
      </c>
      <c r="H403" s="179">
        <f t="shared" si="47"/>
        <v>0.6951682266632937</v>
      </c>
      <c r="I403" s="299"/>
      <c r="J403" s="186"/>
      <c r="K403" s="13"/>
      <c r="L403" s="509"/>
      <c r="M403" s="509">
        <f t="shared" si="48"/>
        <v>2748000</v>
      </c>
      <c r="N403" s="179"/>
      <c r="O403" s="191"/>
      <c r="P403" s="192"/>
    </row>
    <row r="404" spans="1:16" ht="18" customHeight="1">
      <c r="A404" s="7">
        <v>10</v>
      </c>
      <c r="B404" s="189"/>
      <c r="C404" s="189" t="s">
        <v>122</v>
      </c>
      <c r="D404" s="7" t="s">
        <v>121</v>
      </c>
      <c r="E404" s="190">
        <f>77678</f>
        <v>77678</v>
      </c>
      <c r="F404" s="509"/>
      <c r="G404" s="670">
        <f>3436000-G285-G259-G232-G205-G151-G178-G122-G96-G70-G44-G17+10000</f>
        <v>0</v>
      </c>
      <c r="H404" s="179">
        <f t="shared" si="47"/>
        <v>0</v>
      </c>
      <c r="I404" s="299"/>
      <c r="J404" s="186"/>
      <c r="K404" s="13"/>
      <c r="L404" s="509"/>
      <c r="M404" s="509">
        <f t="shared" si="48"/>
        <v>0</v>
      </c>
      <c r="N404" s="179"/>
      <c r="O404" s="191"/>
      <c r="P404" s="192" t="s">
        <v>315</v>
      </c>
    </row>
    <row r="405" spans="1:16" ht="18" customHeight="1">
      <c r="A405" s="7">
        <v>11</v>
      </c>
      <c r="B405" s="189"/>
      <c r="C405" s="189" t="s">
        <v>122</v>
      </c>
      <c r="D405" s="7" t="s">
        <v>88</v>
      </c>
      <c r="E405" s="190">
        <v>608000</v>
      </c>
      <c r="F405" s="509"/>
      <c r="G405" s="509">
        <v>811000</v>
      </c>
      <c r="H405" s="179">
        <f t="shared" si="47"/>
        <v>0.20516063749051353</v>
      </c>
      <c r="I405" s="299"/>
      <c r="J405" s="186"/>
      <c r="K405" s="13"/>
      <c r="L405" s="509"/>
      <c r="M405" s="509">
        <f t="shared" si="48"/>
        <v>811000</v>
      </c>
      <c r="N405" s="179"/>
      <c r="O405" s="191"/>
      <c r="P405" s="192"/>
    </row>
    <row r="406" spans="1:16" ht="18" customHeight="1">
      <c r="A406" s="7">
        <v>12</v>
      </c>
      <c r="B406" s="189"/>
      <c r="C406" s="189" t="s">
        <v>122</v>
      </c>
      <c r="D406" s="7" t="s">
        <v>89</v>
      </c>
      <c r="E406" s="190">
        <v>731000</v>
      </c>
      <c r="F406" s="509"/>
      <c r="G406" s="509">
        <f>975000</f>
        <v>975000</v>
      </c>
      <c r="H406" s="179">
        <f t="shared" si="47"/>
        <v>0.24664811535542625</v>
      </c>
      <c r="I406" s="299"/>
      <c r="J406" s="186"/>
      <c r="K406" s="13"/>
      <c r="L406" s="509"/>
      <c r="M406" s="509">
        <f t="shared" si="48"/>
        <v>975000</v>
      </c>
      <c r="N406" s="179"/>
      <c r="O406" s="191"/>
      <c r="P406" s="192"/>
    </row>
    <row r="407" spans="1:16" ht="18" customHeight="1">
      <c r="A407" s="7">
        <v>25</v>
      </c>
      <c r="B407" s="189"/>
      <c r="C407" s="189" t="s">
        <v>122</v>
      </c>
      <c r="D407" s="7" t="s">
        <v>135</v>
      </c>
      <c r="E407" s="190"/>
      <c r="F407" s="509"/>
      <c r="G407" s="509">
        <v>0</v>
      </c>
      <c r="H407" s="179">
        <f t="shared" si="47"/>
        <v>0</v>
      </c>
      <c r="I407" s="299"/>
      <c r="J407" s="186"/>
      <c r="K407" s="13"/>
      <c r="L407" s="509"/>
      <c r="M407" s="509">
        <f t="shared" si="48"/>
        <v>0</v>
      </c>
      <c r="N407" s="179"/>
      <c r="O407" s="191"/>
      <c r="P407" s="192"/>
    </row>
    <row r="408" spans="1:16" ht="18" customHeight="1">
      <c r="A408" s="7">
        <v>13</v>
      </c>
      <c r="B408" s="189"/>
      <c r="C408" s="189" t="s">
        <v>122</v>
      </c>
      <c r="D408" s="7" t="s">
        <v>101</v>
      </c>
      <c r="E408" s="190">
        <v>25000</v>
      </c>
      <c r="F408" s="509"/>
      <c r="G408" s="510">
        <v>25000</v>
      </c>
      <c r="H408" s="179">
        <f t="shared" si="47"/>
        <v>6.3243106501391349E-3</v>
      </c>
      <c r="I408" s="299"/>
      <c r="J408" s="186"/>
      <c r="K408" s="13"/>
      <c r="L408" s="509"/>
      <c r="M408" s="509">
        <f t="shared" si="48"/>
        <v>25000</v>
      </c>
      <c r="N408" s="179"/>
      <c r="O408" s="191"/>
      <c r="P408" s="192"/>
    </row>
    <row r="409" spans="1:16" ht="18" customHeight="1">
      <c r="A409" s="7">
        <v>14</v>
      </c>
      <c r="B409" s="189"/>
      <c r="C409" s="189" t="s">
        <v>122</v>
      </c>
      <c r="D409" s="7" t="s">
        <v>90</v>
      </c>
      <c r="E409" s="190">
        <v>153000</v>
      </c>
      <c r="F409" s="509"/>
      <c r="G409" s="509">
        <v>204000</v>
      </c>
      <c r="H409" s="179">
        <f t="shared" si="47"/>
        <v>5.1606374905135338E-2</v>
      </c>
      <c r="I409" s="299"/>
      <c r="J409" s="186"/>
      <c r="K409" s="13"/>
      <c r="L409" s="509"/>
      <c r="M409" s="509">
        <f t="shared" si="48"/>
        <v>204000</v>
      </c>
      <c r="N409" s="179"/>
      <c r="O409" s="191"/>
      <c r="P409" s="192"/>
    </row>
    <row r="410" spans="1:16" ht="18" customHeight="1">
      <c r="A410" s="7">
        <v>23</v>
      </c>
      <c r="B410" s="189"/>
      <c r="C410" s="189" t="s">
        <v>122</v>
      </c>
      <c r="D410" s="7" t="s">
        <v>173</v>
      </c>
      <c r="E410" s="190"/>
      <c r="F410" s="509"/>
      <c r="G410" s="509">
        <v>0</v>
      </c>
      <c r="H410" s="179">
        <f t="shared" si="47"/>
        <v>0</v>
      </c>
      <c r="I410" s="299"/>
      <c r="J410" s="186"/>
      <c r="K410" s="13"/>
      <c r="L410" s="509"/>
      <c r="M410" s="509">
        <f t="shared" si="48"/>
        <v>0</v>
      </c>
      <c r="N410" s="179"/>
      <c r="O410" s="191"/>
      <c r="P410" s="192"/>
    </row>
    <row r="411" spans="1:16" ht="18" customHeight="1">
      <c r="A411" s="7">
        <v>15</v>
      </c>
      <c r="B411" s="189"/>
      <c r="C411" s="189" t="s">
        <v>122</v>
      </c>
      <c r="D411" s="7" t="s">
        <v>91</v>
      </c>
      <c r="E411" s="190">
        <f>77678-63000</f>
        <v>14678</v>
      </c>
      <c r="F411" s="509"/>
      <c r="G411" s="670">
        <v>199000</v>
      </c>
      <c r="H411" s="179">
        <f t="shared" si="47"/>
        <v>5.0341512775107511E-2</v>
      </c>
      <c r="I411" s="299"/>
      <c r="J411" s="186"/>
      <c r="K411" s="13"/>
      <c r="L411" s="509"/>
      <c r="M411" s="509">
        <f t="shared" si="48"/>
        <v>199000</v>
      </c>
      <c r="N411" s="179"/>
      <c r="O411" s="191"/>
      <c r="P411" s="192"/>
    </row>
    <row r="412" spans="1:16" ht="18" customHeight="1">
      <c r="A412" s="7">
        <v>19</v>
      </c>
      <c r="B412" s="189"/>
      <c r="C412" s="189" t="s">
        <v>122</v>
      </c>
      <c r="D412" s="7" t="s">
        <v>136</v>
      </c>
      <c r="E412" s="190">
        <v>108000</v>
      </c>
      <c r="F412" s="509"/>
      <c r="G412" s="510">
        <v>108000</v>
      </c>
      <c r="H412" s="179">
        <f t="shared" si="47"/>
        <v>2.7321022008601061E-2</v>
      </c>
      <c r="I412" s="299"/>
      <c r="J412" s="186"/>
      <c r="K412" s="13"/>
      <c r="L412" s="509"/>
      <c r="M412" s="509">
        <f t="shared" si="48"/>
        <v>108000</v>
      </c>
      <c r="N412" s="179"/>
      <c r="O412" s="191"/>
      <c r="P412" s="192"/>
    </row>
    <row r="413" spans="1:16" ht="18" customHeight="1">
      <c r="A413" s="7">
        <v>21</v>
      </c>
      <c r="B413" s="189"/>
      <c r="C413" s="189" t="s">
        <v>122</v>
      </c>
      <c r="D413" s="7" t="s">
        <v>109</v>
      </c>
      <c r="E413" s="190">
        <v>1071000</v>
      </c>
      <c r="F413" s="509"/>
      <c r="G413" s="509">
        <v>1428000</v>
      </c>
      <c r="H413" s="179">
        <f t="shared" si="47"/>
        <v>0.3612446243359474</v>
      </c>
      <c r="I413" s="299"/>
      <c r="J413" s="186"/>
      <c r="K413" s="13"/>
      <c r="L413" s="509"/>
      <c r="M413" s="509">
        <f t="shared" si="48"/>
        <v>1428000</v>
      </c>
      <c r="N413" s="179"/>
      <c r="O413" s="191"/>
      <c r="P413" s="192"/>
    </row>
    <row r="414" spans="1:16" ht="18" customHeight="1">
      <c r="A414" s="7">
        <v>16</v>
      </c>
      <c r="B414" s="189"/>
      <c r="C414" s="189" t="s">
        <v>122</v>
      </c>
      <c r="D414" s="7" t="s">
        <v>92</v>
      </c>
      <c r="E414" s="190">
        <v>1638000</v>
      </c>
      <c r="F414" s="509"/>
      <c r="G414" s="509">
        <f>2184000-G241-G105-G338</f>
        <v>624000</v>
      </c>
      <c r="H414" s="179">
        <f t="shared" si="47"/>
        <v>0.15785479382747281</v>
      </c>
      <c r="I414" s="299"/>
      <c r="J414" s="186"/>
      <c r="K414" s="13"/>
      <c r="L414" s="509"/>
      <c r="M414" s="509">
        <f t="shared" si="48"/>
        <v>624000</v>
      </c>
      <c r="N414" s="179"/>
      <c r="O414" s="191"/>
      <c r="P414" s="192"/>
    </row>
    <row r="415" spans="1:16" ht="18" customHeight="1">
      <c r="A415" s="7" t="s">
        <v>386</v>
      </c>
      <c r="B415" s="189"/>
      <c r="C415" s="189" t="s">
        <v>122</v>
      </c>
      <c r="D415" s="7" t="s">
        <v>386</v>
      </c>
      <c r="E415" s="190"/>
      <c r="F415" s="509"/>
      <c r="G415" s="509">
        <v>0</v>
      </c>
      <c r="H415" s="179">
        <f t="shared" si="47"/>
        <v>0</v>
      </c>
      <c r="I415" s="299"/>
      <c r="J415" s="186"/>
      <c r="K415" s="13"/>
      <c r="L415" s="509"/>
      <c r="M415" s="509">
        <f t="shared" si="48"/>
        <v>0</v>
      </c>
      <c r="N415" s="179"/>
      <c r="O415" s="191"/>
      <c r="P415" s="192"/>
    </row>
    <row r="416" spans="1:16" ht="18" customHeight="1">
      <c r="A416" s="7"/>
      <c r="B416" s="189"/>
      <c r="C416" s="189"/>
      <c r="D416" s="7" t="s">
        <v>677</v>
      </c>
      <c r="E416" s="190"/>
      <c r="F416" s="509"/>
      <c r="G416" s="509"/>
      <c r="H416" s="179"/>
      <c r="I416" s="299"/>
      <c r="J416" s="186"/>
      <c r="K416" s="13"/>
      <c r="L416" s="509"/>
      <c r="M416" s="509"/>
      <c r="N416" s="179"/>
      <c r="O416" s="191"/>
      <c r="P416" s="192"/>
    </row>
    <row r="417" spans="1:16" ht="18" customHeight="1">
      <c r="A417" s="7">
        <v>17</v>
      </c>
      <c r="B417" s="189"/>
      <c r="C417" s="189" t="s">
        <v>122</v>
      </c>
      <c r="D417" s="7" t="s">
        <v>93</v>
      </c>
      <c r="E417" s="190">
        <v>1161000</v>
      </c>
      <c r="F417" s="509"/>
      <c r="G417" s="509">
        <v>1548000</v>
      </c>
      <c r="H417" s="179">
        <f t="shared" si="47"/>
        <v>0.39160131545661525</v>
      </c>
      <c r="I417" s="299"/>
      <c r="J417" s="186"/>
      <c r="K417" s="13"/>
      <c r="L417" s="509"/>
      <c r="M417" s="509">
        <f t="shared" si="48"/>
        <v>1548000</v>
      </c>
      <c r="N417" s="179"/>
      <c r="O417" s="191"/>
      <c r="P417" s="192"/>
    </row>
    <row r="418" spans="1:16" ht="18" customHeight="1">
      <c r="A418" s="205"/>
      <c r="B418" s="206"/>
      <c r="C418" s="189"/>
      <c r="D418" s="205" t="s">
        <v>648</v>
      </c>
      <c r="E418" s="203"/>
      <c r="F418" s="515"/>
      <c r="G418" s="515">
        <v>340000</v>
      </c>
      <c r="H418" s="207">
        <f t="shared" si="47"/>
        <v>8.601062484189223E-2</v>
      </c>
      <c r="I418" s="299"/>
      <c r="J418" s="186"/>
      <c r="K418" s="13"/>
      <c r="L418" s="509"/>
      <c r="M418" s="509">
        <f t="shared" si="48"/>
        <v>340000</v>
      </c>
      <c r="N418" s="179"/>
      <c r="O418" s="191"/>
      <c r="P418" s="192"/>
    </row>
    <row r="419" spans="1:16" ht="18" customHeight="1">
      <c r="A419" s="205"/>
      <c r="B419" s="206"/>
      <c r="C419" s="189"/>
      <c r="D419" s="205" t="s">
        <v>649</v>
      </c>
      <c r="E419" s="203"/>
      <c r="F419" s="515"/>
      <c r="G419" s="515"/>
      <c r="H419" s="207">
        <f t="shared" si="47"/>
        <v>0</v>
      </c>
      <c r="I419" s="299"/>
      <c r="J419" s="186"/>
      <c r="K419" s="13"/>
      <c r="L419" s="509"/>
      <c r="M419" s="509"/>
      <c r="N419" s="179"/>
      <c r="O419" s="191"/>
      <c r="P419" s="192"/>
    </row>
    <row r="420" spans="1:16" ht="18" customHeight="1">
      <c r="A420" s="205" t="s">
        <v>137</v>
      </c>
      <c r="B420" s="206"/>
      <c r="C420" s="189" t="s">
        <v>122</v>
      </c>
      <c r="D420" s="205" t="s">
        <v>137</v>
      </c>
      <c r="E420" s="203"/>
      <c r="F420" s="515"/>
      <c r="G420" s="515">
        <v>3000000</v>
      </c>
      <c r="H420" s="207"/>
      <c r="I420" s="299"/>
      <c r="J420" s="186"/>
      <c r="K420" s="13"/>
      <c r="L420" s="509"/>
      <c r="M420" s="509">
        <v>0</v>
      </c>
      <c r="N420" s="179"/>
      <c r="O420" s="191"/>
      <c r="P420" s="192"/>
    </row>
    <row r="421" spans="1:16" ht="18" customHeight="1">
      <c r="A421" s="201"/>
      <c r="B421" s="202" t="s">
        <v>94</v>
      </c>
      <c r="C421" s="206"/>
      <c r="D421" s="809"/>
      <c r="F421" s="513">
        <f>SUM(F386:F420)</f>
        <v>3953000</v>
      </c>
      <c r="G421" s="513">
        <f>SUM(G386:G420)</f>
        <v>36191000</v>
      </c>
      <c r="H421" s="204">
        <f>G421/$F$421</f>
        <v>9.155325069567418</v>
      </c>
      <c r="I421" s="300">
        <f>F421-G421</f>
        <v>-32238000</v>
      </c>
      <c r="J421" s="195"/>
      <c r="K421" s="13"/>
      <c r="L421" s="517">
        <f>SUM(L386:L417)</f>
        <v>3423000</v>
      </c>
      <c r="M421" s="517">
        <f>SUM(M386:M420)</f>
        <v>37809000</v>
      </c>
      <c r="N421" s="196"/>
      <c r="O421" s="197">
        <f>L421-M421</f>
        <v>-34386000</v>
      </c>
      <c r="P421" s="198"/>
    </row>
    <row r="422" spans="1:16" ht="24.95" customHeight="1">
      <c r="A422" s="13"/>
      <c r="B422" s="873" t="s">
        <v>138</v>
      </c>
      <c r="C422" s="874"/>
      <c r="D422" s="810"/>
      <c r="F422" s="516">
        <f>F421+F358+F299+F272+F245+F218+F191+F342+F316+F305+F164+F135+F109+F83+F57+F30+F385</f>
        <v>252317000</v>
      </c>
      <c r="G422" s="516">
        <f>G421+G358+G299+G272+G245+G218+G191+G342+G316+G305+G164+G135+G109+G83+G57+G30+G385</f>
        <v>242822000</v>
      </c>
      <c r="H422" s="208"/>
      <c r="I422" s="301">
        <f>F422-G422</f>
        <v>9495000</v>
      </c>
      <c r="J422" s="209"/>
      <c r="K422" s="13"/>
      <c r="L422" s="519">
        <f>L30+L57+L83+L109+L135+L164+L305+L342+L245+L272+L358+L421+L299+L191+L316+L385+L218</f>
        <v>255881560</v>
      </c>
      <c r="M422" s="519">
        <f>M30+M57+M83+M109+M135+M164+M305+M342+M245+M272+M358+M421+M299+M191+M316+M385</f>
        <v>230615200</v>
      </c>
      <c r="N422" s="210"/>
      <c r="O422" s="211">
        <f>O30+O57+O83+O109+O135+O164+O305+O342+O245+O272+O358+O421+O299+O191+O316+O385+O218</f>
        <v>10882360</v>
      </c>
      <c r="P422" s="212"/>
    </row>
  </sheetData>
  <sheetProtection selectLockedCells="1" selectUnlockedCells="1"/>
  <mergeCells count="13">
    <mergeCell ref="L1:P1"/>
    <mergeCell ref="F2:F3"/>
    <mergeCell ref="G2:G3"/>
    <mergeCell ref="I2:I3"/>
    <mergeCell ref="L2:L3"/>
    <mergeCell ref="M2:M3"/>
    <mergeCell ref="O2:O3"/>
    <mergeCell ref="P2:P3"/>
    <mergeCell ref="A1:A3"/>
    <mergeCell ref="C1:C3"/>
    <mergeCell ref="D1:D3"/>
    <mergeCell ref="F1:J1"/>
    <mergeCell ref="B422:C422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scale="87" firstPageNumber="0" orientation="landscape" r:id="rId1"/>
  <headerFooter alignWithMargins="0"/>
  <rowBreaks count="15" manualBreakCount="15">
    <brk id="30" max="16383" man="1"/>
    <brk id="57" max="16383" man="1"/>
    <brk id="83" max="16383" man="1"/>
    <brk id="109" max="16383" man="1"/>
    <brk id="135" max="16383" man="1"/>
    <brk id="164" max="16383" man="1"/>
    <brk id="191" max="16383" man="1"/>
    <brk id="218" max="16383" man="1"/>
    <brk id="245" max="16383" man="1"/>
    <brk id="272" max="16383" man="1"/>
    <brk id="299" max="16383" man="1"/>
    <brk id="316" max="16383" man="1"/>
    <brk id="342" max="16383" man="1"/>
    <brk id="358" max="16383" man="1"/>
    <brk id="3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70" zoomScaleNormal="7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U25" sqref="U25"/>
    </sheetView>
  </sheetViews>
  <sheetFormatPr defaultColWidth="9" defaultRowHeight="13.5"/>
  <cols>
    <col min="1" max="1" width="3.75" style="5" customWidth="1"/>
    <col min="2" max="2" width="17.25" style="5" bestFit="1" customWidth="1"/>
    <col min="3" max="3" width="10.625" style="592" customWidth="1"/>
    <col min="4" max="14" width="10.625" style="5" customWidth="1"/>
    <col min="15" max="18" width="9" style="5"/>
    <col min="19" max="19" width="13.625" style="5" bestFit="1" customWidth="1"/>
    <col min="20" max="20" width="13.25" style="5" customWidth="1"/>
    <col min="21" max="21" width="9" style="5"/>
    <col min="22" max="22" width="13.625" style="5" bestFit="1" customWidth="1"/>
    <col min="23" max="16384" width="9" style="5"/>
  </cols>
  <sheetData>
    <row r="1" spans="1:22" ht="25.5" customHeight="1">
      <c r="A1" s="886" t="s">
        <v>673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63"/>
    </row>
    <row r="2" spans="1:22" ht="32.25" customHeight="1">
      <c r="A2" s="885"/>
      <c r="B2" s="887"/>
      <c r="C2" s="888" t="s">
        <v>630</v>
      </c>
      <c r="D2" s="881" t="s">
        <v>631</v>
      </c>
      <c r="E2" s="881" t="s">
        <v>632</v>
      </c>
      <c r="F2" s="881" t="s">
        <v>633</v>
      </c>
      <c r="G2" s="881" t="s">
        <v>634</v>
      </c>
      <c r="H2" s="882" t="s">
        <v>311</v>
      </c>
      <c r="I2" s="882" t="s">
        <v>622</v>
      </c>
      <c r="J2" s="882" t="s">
        <v>623</v>
      </c>
      <c r="K2" s="882" t="s">
        <v>645</v>
      </c>
      <c r="L2" s="882"/>
      <c r="M2" s="882"/>
      <c r="N2" s="893" t="s">
        <v>672</v>
      </c>
      <c r="O2" s="882" t="s">
        <v>646</v>
      </c>
      <c r="P2" s="882"/>
      <c r="Q2" s="882"/>
      <c r="R2" s="885"/>
      <c r="S2" s="881" t="s">
        <v>652</v>
      </c>
      <c r="T2" s="889" t="s">
        <v>653</v>
      </c>
      <c r="U2" s="890"/>
      <c r="V2" s="883" t="s">
        <v>654</v>
      </c>
    </row>
    <row r="3" spans="1:22" ht="32.25" customHeight="1">
      <c r="A3" s="804"/>
      <c r="B3" s="803"/>
      <c r="C3" s="888"/>
      <c r="D3" s="881"/>
      <c r="E3" s="881"/>
      <c r="F3" s="881"/>
      <c r="G3" s="881"/>
      <c r="H3" s="882"/>
      <c r="I3" s="882"/>
      <c r="J3" s="882"/>
      <c r="K3" s="854" t="s">
        <v>644</v>
      </c>
      <c r="L3" s="854" t="s">
        <v>635</v>
      </c>
      <c r="M3" s="855" t="s">
        <v>624</v>
      </c>
      <c r="N3" s="894"/>
      <c r="O3" s="855" t="s">
        <v>641</v>
      </c>
      <c r="P3" s="855" t="s">
        <v>651</v>
      </c>
      <c r="Q3" s="855" t="s">
        <v>642</v>
      </c>
      <c r="R3" s="856" t="s">
        <v>643</v>
      </c>
      <c r="S3" s="882"/>
      <c r="T3" s="891"/>
      <c r="U3" s="892"/>
      <c r="V3" s="884"/>
    </row>
    <row r="4" spans="1:22" s="789" customFormat="1" ht="30" customHeight="1">
      <c r="A4" s="800" t="s">
        <v>636</v>
      </c>
      <c r="B4" s="787"/>
      <c r="C4" s="788">
        <f>SUM(C5:C10)</f>
        <v>44850000</v>
      </c>
      <c r="D4" s="788">
        <f t="shared" ref="D4:R4" si="0">SUM(D5:D10)</f>
        <v>17616000</v>
      </c>
      <c r="E4" s="788">
        <f t="shared" si="0"/>
        <v>38000000</v>
      </c>
      <c r="F4" s="788">
        <f t="shared" si="0"/>
        <v>20808000</v>
      </c>
      <c r="G4" s="788">
        <f t="shared" si="0"/>
        <v>33260000</v>
      </c>
      <c r="H4" s="788">
        <f t="shared" si="0"/>
        <v>11160000</v>
      </c>
      <c r="I4" s="788">
        <f t="shared" si="0"/>
        <v>9923000</v>
      </c>
      <c r="J4" s="788">
        <f t="shared" si="0"/>
        <v>5942000</v>
      </c>
      <c r="K4" s="788">
        <f t="shared" si="0"/>
        <v>17424000</v>
      </c>
      <c r="L4" s="788">
        <f t="shared" si="0"/>
        <v>20800000</v>
      </c>
      <c r="M4" s="788">
        <f t="shared" si="0"/>
        <v>12900000</v>
      </c>
      <c r="N4" s="788">
        <f t="shared" si="0"/>
        <v>11700000</v>
      </c>
      <c r="O4" s="788">
        <f t="shared" si="0"/>
        <v>2652000</v>
      </c>
      <c r="P4" s="788">
        <f t="shared" si="0"/>
        <v>900000</v>
      </c>
      <c r="Q4" s="788">
        <f t="shared" si="0"/>
        <v>0</v>
      </c>
      <c r="R4" s="829">
        <f t="shared" si="0"/>
        <v>429000</v>
      </c>
      <c r="S4" s="788">
        <f t="shared" ref="S4:S14" si="1">SUM(C4:R4)</f>
        <v>248364000</v>
      </c>
      <c r="T4" s="829" t="s">
        <v>657</v>
      </c>
      <c r="U4" s="829">
        <f>SUM(U5:U10)</f>
        <v>3953000</v>
      </c>
      <c r="V4" s="788">
        <f>S4+U4</f>
        <v>252317000</v>
      </c>
    </row>
    <row r="5" spans="1:22" s="789" customFormat="1" ht="24.95" customHeight="1">
      <c r="A5" s="790"/>
      <c r="B5" s="791" t="s">
        <v>626</v>
      </c>
      <c r="C5" s="791">
        <f>①ベース事業別内訳!F4</f>
        <v>44850000</v>
      </c>
      <c r="D5" s="791">
        <f>①ベース事業別内訳!F84</f>
        <v>17616000</v>
      </c>
      <c r="E5" s="791">
        <f>①ベース事業別内訳!F31</f>
        <v>38000000</v>
      </c>
      <c r="F5" s="791"/>
      <c r="G5" s="791"/>
      <c r="H5" s="791"/>
      <c r="I5" s="791"/>
      <c r="J5" s="791"/>
      <c r="K5" s="791"/>
      <c r="L5" s="791">
        <f>①ベース事業別内訳!F58</f>
        <v>20800000</v>
      </c>
      <c r="M5" s="791"/>
      <c r="N5" s="791">
        <f>①ベース事業別内訳!F359</f>
        <v>11700000</v>
      </c>
      <c r="O5" s="791"/>
      <c r="P5" s="791"/>
      <c r="Q5" s="791"/>
      <c r="R5" s="791"/>
      <c r="S5" s="791">
        <f t="shared" si="1"/>
        <v>132966000</v>
      </c>
      <c r="T5" s="791" t="s">
        <v>123</v>
      </c>
      <c r="U5" s="791">
        <f>①ベース事業別内訳!F386</f>
        <v>3000</v>
      </c>
      <c r="V5" s="791">
        <f t="shared" ref="V5:V10" si="2">S5+U5</f>
        <v>132969000</v>
      </c>
    </row>
    <row r="6" spans="1:22" s="789" customFormat="1" ht="24.95" customHeight="1">
      <c r="A6" s="790"/>
      <c r="B6" s="792" t="s">
        <v>625</v>
      </c>
      <c r="C6" s="792"/>
      <c r="D6" s="792"/>
      <c r="E6" s="792"/>
      <c r="F6" s="792">
        <f>①ベース事業別内訳!F110</f>
        <v>20808000</v>
      </c>
      <c r="G6" s="792">
        <f>①ベース事業別内訳!F136</f>
        <v>20300000</v>
      </c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2"/>
      <c r="S6" s="792">
        <f t="shared" si="1"/>
        <v>41108000</v>
      </c>
      <c r="T6" s="792" t="s">
        <v>124</v>
      </c>
      <c r="U6" s="792">
        <f>①ベース事業別内訳!F387</f>
        <v>300000</v>
      </c>
      <c r="V6" s="792">
        <f t="shared" si="2"/>
        <v>41408000</v>
      </c>
    </row>
    <row r="7" spans="1:22" s="789" customFormat="1" ht="24.95" customHeight="1">
      <c r="A7" s="790"/>
      <c r="B7" s="792" t="s">
        <v>627</v>
      </c>
      <c r="C7" s="792"/>
      <c r="D7" s="792"/>
      <c r="E7" s="792"/>
      <c r="F7" s="792"/>
      <c r="G7" s="792">
        <f>①ベース事業別内訳!F138</f>
        <v>0</v>
      </c>
      <c r="H7" s="792">
        <f>①ベース事業別内訳!F220</f>
        <v>925000</v>
      </c>
      <c r="I7" s="792">
        <f>①ベース事業別内訳!F247</f>
        <v>5643000</v>
      </c>
      <c r="J7" s="792">
        <f>①ベース事業別内訳!F274</f>
        <v>3394000</v>
      </c>
      <c r="K7" s="792"/>
      <c r="L7" s="792"/>
      <c r="M7" s="792"/>
      <c r="N7" s="792"/>
      <c r="O7" s="792"/>
      <c r="P7" s="792"/>
      <c r="Q7" s="792">
        <f>①ベース事業別内訳!F306</f>
        <v>0</v>
      </c>
      <c r="R7" s="792"/>
      <c r="S7" s="792">
        <f t="shared" si="1"/>
        <v>9962000</v>
      </c>
      <c r="T7" s="792" t="s">
        <v>125</v>
      </c>
      <c r="U7" s="792">
        <f>①ベース事業別内訳!F388</f>
        <v>2000000</v>
      </c>
      <c r="V7" s="792">
        <f t="shared" si="2"/>
        <v>11962000</v>
      </c>
    </row>
    <row r="8" spans="1:22" s="789" customFormat="1" ht="24.95" customHeight="1">
      <c r="A8" s="790"/>
      <c r="B8" s="792" t="s">
        <v>629</v>
      </c>
      <c r="C8" s="792"/>
      <c r="D8" s="792"/>
      <c r="E8" s="792"/>
      <c r="F8" s="792"/>
      <c r="G8" s="792">
        <f>①ベース事業別内訳!F137</f>
        <v>12960000</v>
      </c>
      <c r="H8" s="792">
        <f>①ベース事業別内訳!F219</f>
        <v>10235000</v>
      </c>
      <c r="I8" s="792">
        <f>①ベース事業別内訳!F246</f>
        <v>4280000</v>
      </c>
      <c r="J8" s="792">
        <f>①ベース事業別内訳!F273</f>
        <v>2548000</v>
      </c>
      <c r="K8" s="792">
        <f>①ベース事業別内訳!F165</f>
        <v>17424000</v>
      </c>
      <c r="L8" s="792"/>
      <c r="M8" s="792">
        <f>①ベース事業別内訳!F192</f>
        <v>12900000</v>
      </c>
      <c r="N8" s="792"/>
      <c r="O8" s="792">
        <f>①ベース事業別内訳!F358</f>
        <v>2652000</v>
      </c>
      <c r="P8" s="792">
        <f>①ベース事業別内訳!F317</f>
        <v>900000</v>
      </c>
      <c r="Q8" s="792"/>
      <c r="R8" s="792">
        <f>①ベース事業別内訳!F300+①ベース事業別内訳!F301</f>
        <v>429000</v>
      </c>
      <c r="S8" s="792">
        <f t="shared" si="1"/>
        <v>64328000</v>
      </c>
      <c r="T8" s="792" t="s">
        <v>126</v>
      </c>
      <c r="U8" s="792">
        <f>①ベース事業別内訳!F389</f>
        <v>500000</v>
      </c>
      <c r="V8" s="792">
        <f t="shared" si="2"/>
        <v>64828000</v>
      </c>
    </row>
    <row r="9" spans="1:22" s="789" customFormat="1" ht="24.95" customHeight="1">
      <c r="A9" s="790"/>
      <c r="B9" s="792"/>
      <c r="C9" s="792"/>
      <c r="D9" s="792"/>
      <c r="E9" s="792"/>
      <c r="F9" s="792"/>
      <c r="G9" s="792"/>
      <c r="H9" s="792"/>
      <c r="I9" s="792"/>
      <c r="J9" s="792"/>
      <c r="K9" s="792"/>
      <c r="L9" s="792"/>
      <c r="M9" s="792"/>
      <c r="N9" s="792"/>
      <c r="O9" s="792"/>
      <c r="P9" s="792"/>
      <c r="Q9" s="792"/>
      <c r="R9" s="792"/>
      <c r="S9" s="792">
        <f t="shared" si="1"/>
        <v>0</v>
      </c>
      <c r="T9" s="792" t="s">
        <v>127</v>
      </c>
      <c r="U9" s="792">
        <f>①ベース事業別内訳!F390</f>
        <v>1000000</v>
      </c>
      <c r="V9" s="792">
        <f t="shared" si="2"/>
        <v>1000000</v>
      </c>
    </row>
    <row r="10" spans="1:22" s="789" customFormat="1" ht="24.95" customHeight="1">
      <c r="A10" s="793"/>
      <c r="B10" s="794"/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>
        <f t="shared" si="1"/>
        <v>0</v>
      </c>
      <c r="T10" s="794" t="s">
        <v>387</v>
      </c>
      <c r="U10" s="794">
        <f>①ベース事業別内訳!F391</f>
        <v>150000</v>
      </c>
      <c r="V10" s="794">
        <f t="shared" si="2"/>
        <v>150000</v>
      </c>
    </row>
    <row r="11" spans="1:22" s="789" customFormat="1" ht="30" customHeight="1">
      <c r="A11" s="800" t="s">
        <v>637</v>
      </c>
      <c r="B11" s="787"/>
      <c r="C11" s="788">
        <f t="shared" ref="C11:R11" si="3">SUM(C16:C40)+C12</f>
        <v>43063220</v>
      </c>
      <c r="D11" s="788">
        <f t="shared" si="3"/>
        <v>16052660</v>
      </c>
      <c r="E11" s="788">
        <f t="shared" si="3"/>
        <v>36360790</v>
      </c>
      <c r="F11" s="788">
        <f t="shared" si="3"/>
        <v>20372040</v>
      </c>
      <c r="G11" s="788">
        <f t="shared" si="3"/>
        <v>33243040</v>
      </c>
      <c r="H11" s="788">
        <f t="shared" si="3"/>
        <v>11127570</v>
      </c>
      <c r="I11" s="788">
        <f t="shared" si="3"/>
        <v>9403280</v>
      </c>
      <c r="J11" s="788">
        <f t="shared" si="3"/>
        <v>6341000</v>
      </c>
      <c r="K11" s="788">
        <f t="shared" si="3"/>
        <v>18926000</v>
      </c>
      <c r="L11" s="788">
        <f t="shared" si="3"/>
        <v>19528980</v>
      </c>
      <c r="M11" s="788">
        <f t="shared" si="3"/>
        <v>11155000</v>
      </c>
      <c r="N11" s="788">
        <f t="shared" si="3"/>
        <v>9341900</v>
      </c>
      <c r="O11" s="788">
        <f t="shared" si="3"/>
        <v>1590000</v>
      </c>
      <c r="P11" s="788">
        <f t="shared" si="3"/>
        <v>900000</v>
      </c>
      <c r="Q11" s="788">
        <f t="shared" si="3"/>
        <v>1289520</v>
      </c>
      <c r="R11" s="829">
        <f t="shared" si="3"/>
        <v>174000</v>
      </c>
      <c r="S11" s="788">
        <f t="shared" si="1"/>
        <v>238869000</v>
      </c>
      <c r="T11" s="829" t="s">
        <v>658</v>
      </c>
      <c r="U11" s="829">
        <f>SUM(U16:U40)+U12</f>
        <v>33191000</v>
      </c>
      <c r="V11" s="788"/>
    </row>
    <row r="12" spans="1:22" s="789" customFormat="1" ht="24.95" customHeight="1">
      <c r="A12" s="790"/>
      <c r="B12" s="795" t="s">
        <v>349</v>
      </c>
      <c r="C12" s="796">
        <f>SUM(C13:C14)</f>
        <v>29497000</v>
      </c>
      <c r="D12" s="690">
        <f t="shared" ref="D12:R12" si="4">SUM(D13:D15)</f>
        <v>12602000</v>
      </c>
      <c r="E12" s="690">
        <f t="shared" si="4"/>
        <v>21034000</v>
      </c>
      <c r="F12" s="690">
        <f t="shared" si="4"/>
        <v>16501000</v>
      </c>
      <c r="G12" s="690">
        <f t="shared" si="4"/>
        <v>27179000</v>
      </c>
      <c r="H12" s="690">
        <f t="shared" si="4"/>
        <v>5789000</v>
      </c>
      <c r="I12" s="690">
        <f t="shared" si="4"/>
        <v>5702000</v>
      </c>
      <c r="J12" s="690">
        <f t="shared" si="4"/>
        <v>5251000</v>
      </c>
      <c r="K12" s="690">
        <f t="shared" si="4"/>
        <v>5446000</v>
      </c>
      <c r="L12" s="690">
        <f t="shared" si="4"/>
        <v>9075000</v>
      </c>
      <c r="M12" s="690">
        <f t="shared" si="4"/>
        <v>6012000</v>
      </c>
      <c r="N12" s="690">
        <f t="shared" si="4"/>
        <v>6121000</v>
      </c>
      <c r="O12" s="690">
        <f t="shared" si="4"/>
        <v>1220000</v>
      </c>
      <c r="P12" s="690">
        <f t="shared" si="4"/>
        <v>0</v>
      </c>
      <c r="Q12" s="690">
        <f t="shared" si="4"/>
        <v>0</v>
      </c>
      <c r="R12" s="833">
        <f t="shared" si="4"/>
        <v>0</v>
      </c>
      <c r="S12" s="690">
        <f t="shared" si="1"/>
        <v>151429000</v>
      </c>
      <c r="T12" s="833" t="s">
        <v>656</v>
      </c>
      <c r="U12" s="833">
        <f>SUM(U13:U15)</f>
        <v>20269000</v>
      </c>
      <c r="V12" s="690"/>
    </row>
    <row r="13" spans="1:22" s="789" customFormat="1" ht="20.100000000000001" customHeight="1">
      <c r="A13" s="790"/>
      <c r="B13" s="797"/>
      <c r="C13" s="792">
        <f>①ベース事業別内訳!G5</f>
        <v>27769000</v>
      </c>
      <c r="D13" s="791">
        <f>①ベース事業別内訳!G85</f>
        <v>12602000</v>
      </c>
      <c r="E13" s="791">
        <f>①ベース事業別内訳!G33</f>
        <v>21034000</v>
      </c>
      <c r="F13" s="791">
        <f>①ベース事業別内訳!G111</f>
        <v>16501000</v>
      </c>
      <c r="G13" s="791">
        <f>①ベース事業別内訳!G139</f>
        <v>15419000</v>
      </c>
      <c r="H13" s="791">
        <f>①ベース事業別内訳!G221</f>
        <v>5789000</v>
      </c>
      <c r="I13" s="791">
        <f>①ベース事業別内訳!G248</f>
        <v>5702000</v>
      </c>
      <c r="J13" s="791">
        <f>①ベース事業別内訳!G275</f>
        <v>5251000</v>
      </c>
      <c r="K13" s="791">
        <f>①ベース事業別内訳!G167</f>
        <v>5446000</v>
      </c>
      <c r="L13" s="791">
        <f>①ベース事業別内訳!G59</f>
        <v>9075000</v>
      </c>
      <c r="M13" s="791">
        <f>①ベース事業別内訳!G194</f>
        <v>6012000</v>
      </c>
      <c r="N13" s="791">
        <f>①ベース事業別内訳!G361</f>
        <v>6121000</v>
      </c>
      <c r="O13" s="791">
        <f>①ベース事業別内訳!G346</f>
        <v>1220000</v>
      </c>
      <c r="P13" s="791"/>
      <c r="Q13" s="791"/>
      <c r="R13" s="830"/>
      <c r="S13" s="791">
        <f>SUM(C13:R13)</f>
        <v>137941000</v>
      </c>
      <c r="T13" s="837" t="s">
        <v>128</v>
      </c>
      <c r="U13" s="830">
        <f>①ベース事業別内訳!G392</f>
        <v>6683000</v>
      </c>
      <c r="V13" s="791"/>
    </row>
    <row r="14" spans="1:22" s="789" customFormat="1" ht="20.100000000000001" customHeight="1">
      <c r="A14" s="790"/>
      <c r="B14" s="797"/>
      <c r="C14" s="792">
        <f>①ベース事業別内訳!G6</f>
        <v>1728000</v>
      </c>
      <c r="D14" s="792"/>
      <c r="E14" s="792"/>
      <c r="F14" s="792"/>
      <c r="G14" s="792">
        <f>①ベース事業別内訳!G140</f>
        <v>11760000</v>
      </c>
      <c r="H14" s="792"/>
      <c r="I14" s="792"/>
      <c r="J14" s="792"/>
      <c r="K14" s="792"/>
      <c r="L14" s="792"/>
      <c r="M14" s="792"/>
      <c r="N14" s="792"/>
      <c r="O14" s="792"/>
      <c r="P14" s="792"/>
      <c r="Q14" s="792"/>
      <c r="R14" s="831"/>
      <c r="S14" s="792">
        <f t="shared" si="1"/>
        <v>13488000</v>
      </c>
      <c r="T14" s="293" t="s">
        <v>129</v>
      </c>
      <c r="U14" s="831">
        <f>①ベース事業別内訳!G393</f>
        <v>12691000</v>
      </c>
      <c r="V14" s="792"/>
    </row>
    <row r="15" spans="1:22" s="789" customFormat="1" ht="20.100000000000001" customHeight="1">
      <c r="A15" s="790"/>
      <c r="B15" s="799"/>
      <c r="C15" s="794"/>
      <c r="D15" s="794"/>
      <c r="E15" s="794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832"/>
      <c r="S15" s="794"/>
      <c r="T15" s="839" t="s">
        <v>130</v>
      </c>
      <c r="U15" s="832">
        <f>①ベース事業別内訳!G394</f>
        <v>895000</v>
      </c>
      <c r="V15" s="794"/>
    </row>
    <row r="16" spans="1:22" s="789" customFormat="1" ht="20.100000000000001" customHeight="1">
      <c r="A16" s="790"/>
      <c r="B16" s="805" t="s">
        <v>367</v>
      </c>
      <c r="C16" s="798">
        <f>①ベース事業別内訳!G9</f>
        <v>0</v>
      </c>
      <c r="D16" s="798">
        <f>①ベース事業別内訳!G88</f>
        <v>0</v>
      </c>
      <c r="E16" s="798">
        <f>①ベース事業別内訳!G36</f>
        <v>1468000</v>
      </c>
      <c r="F16" s="798">
        <f>①ベース事業別内訳!G114</f>
        <v>0</v>
      </c>
      <c r="G16" s="798">
        <f>①ベース事業別内訳!G143</f>
        <v>941000</v>
      </c>
      <c r="H16" s="798">
        <f>①ベース事業別内訳!G224</f>
        <v>3111000</v>
      </c>
      <c r="I16" s="798">
        <f>①ベース事業別内訳!G251</f>
        <v>444000</v>
      </c>
      <c r="J16" s="798">
        <f>①ベース事業別内訳!G278</f>
        <v>165000</v>
      </c>
      <c r="K16" s="798">
        <f>①ベース事業別内訳!G170</f>
        <v>0</v>
      </c>
      <c r="L16" s="798">
        <f>①ベース事業別内訳!G62</f>
        <v>1030000</v>
      </c>
      <c r="M16" s="798">
        <f>①ベース事業別内訳!G197</f>
        <v>4808000</v>
      </c>
      <c r="N16" s="798">
        <f>①ベース事業別内訳!G364</f>
        <v>506000</v>
      </c>
      <c r="O16" s="798">
        <f>①ベース事業別内訳!G347</f>
        <v>0</v>
      </c>
      <c r="P16" s="798">
        <f>①ベース事業別内訳!G321</f>
        <v>360000</v>
      </c>
      <c r="Q16" s="798"/>
      <c r="R16" s="838"/>
      <c r="S16" s="798">
        <f t="shared" ref="S16:S36" si="5">SUM(C16:R16)</f>
        <v>12833000</v>
      </c>
      <c r="T16" s="292" t="s">
        <v>655</v>
      </c>
      <c r="U16" s="838">
        <f>①ベース事業別内訳!G395</f>
        <v>0</v>
      </c>
      <c r="V16" s="798"/>
    </row>
    <row r="17" spans="1:22" s="789" customFormat="1" ht="20.100000000000001" customHeight="1">
      <c r="A17" s="790"/>
      <c r="B17" s="806" t="s">
        <v>84</v>
      </c>
      <c r="C17" s="792">
        <f>①ベース事業別内訳!G10</f>
        <v>95000</v>
      </c>
      <c r="D17" s="792">
        <f>①ベース事業別内訳!G89</f>
        <v>0</v>
      </c>
      <c r="E17" s="792">
        <f>①ベース事業別内訳!G37</f>
        <v>499000</v>
      </c>
      <c r="F17" s="792">
        <f>①ベース事業別内訳!G115</f>
        <v>64000</v>
      </c>
      <c r="G17" s="792">
        <f>①ベース事業別内訳!G144</f>
        <v>293000</v>
      </c>
      <c r="H17" s="792">
        <f>①ベース事業別内訳!G225</f>
        <v>405000</v>
      </c>
      <c r="I17" s="792">
        <f>①ベース事業別内訳!G252</f>
        <v>228000</v>
      </c>
      <c r="J17" s="792">
        <f>①ベース事業別内訳!G279</f>
        <v>96000</v>
      </c>
      <c r="K17" s="792">
        <f>①ベース事業別内訳!G171</f>
        <v>2621000</v>
      </c>
      <c r="L17" s="792">
        <f>①ベース事業別内訳!G63</f>
        <v>736000</v>
      </c>
      <c r="M17" s="792">
        <f>①ベース事業別内訳!G198</f>
        <v>0</v>
      </c>
      <c r="N17" s="792">
        <f>①ベース事業別内訳!G365</f>
        <v>172000</v>
      </c>
      <c r="O17" s="792"/>
      <c r="P17" s="792">
        <f>①ベース事業別内訳!G322</f>
        <v>0</v>
      </c>
      <c r="Q17" s="792"/>
      <c r="R17" s="831"/>
      <c r="S17" s="792">
        <f t="shared" si="5"/>
        <v>5209000</v>
      </c>
      <c r="T17" s="293" t="s">
        <v>84</v>
      </c>
      <c r="U17" s="831">
        <f>①ベース事業別内訳!G396</f>
        <v>675000</v>
      </c>
      <c r="V17" s="792"/>
    </row>
    <row r="18" spans="1:22" s="789" customFormat="1" ht="20.100000000000001" customHeight="1">
      <c r="A18" s="790"/>
      <c r="B18" s="806" t="s">
        <v>132</v>
      </c>
      <c r="C18" s="792">
        <f>①ベース事業別内訳!G11</f>
        <v>80000</v>
      </c>
      <c r="D18" s="792">
        <f>①ベース事業別内訳!G90</f>
        <v>33000</v>
      </c>
      <c r="E18" s="792">
        <f>①ベース事業別内訳!G38</f>
        <v>334000</v>
      </c>
      <c r="F18" s="792">
        <f>①ベース事業別内訳!G116</f>
        <v>50000</v>
      </c>
      <c r="G18" s="792">
        <f>①ベース事業別内訳!G145</f>
        <v>562000</v>
      </c>
      <c r="H18" s="792">
        <f>①ベース事業別内訳!G226</f>
        <v>208000</v>
      </c>
      <c r="I18" s="792">
        <f>①ベース事業別内訳!G253</f>
        <v>0</v>
      </c>
      <c r="J18" s="792">
        <f>①ベース事業別内訳!G280</f>
        <v>0</v>
      </c>
      <c r="K18" s="792">
        <f>①ベース事業別内訳!G172</f>
        <v>0</v>
      </c>
      <c r="L18" s="792">
        <f>①ベース事業別内訳!G64</f>
        <v>355000</v>
      </c>
      <c r="M18" s="792">
        <f>①ベース事業別内訳!G199</f>
        <v>0</v>
      </c>
      <c r="N18" s="792">
        <f>①ベース事業別内訳!G366</f>
        <v>115000</v>
      </c>
      <c r="O18" s="792"/>
      <c r="P18" s="792">
        <f>①ベース事業別内訳!G323</f>
        <v>0</v>
      </c>
      <c r="Q18" s="792"/>
      <c r="R18" s="831"/>
      <c r="S18" s="792">
        <f t="shared" si="5"/>
        <v>1737000</v>
      </c>
      <c r="T18" s="293" t="s">
        <v>132</v>
      </c>
      <c r="U18" s="831">
        <f>①ベース事業別内訳!G397</f>
        <v>180000</v>
      </c>
      <c r="V18" s="792"/>
    </row>
    <row r="19" spans="1:22" s="789" customFormat="1" ht="20.100000000000001" customHeight="1">
      <c r="A19" s="790"/>
      <c r="B19" s="806" t="s">
        <v>85</v>
      </c>
      <c r="C19" s="792">
        <f>①ベース事業別内訳!G12</f>
        <v>27000</v>
      </c>
      <c r="D19" s="792">
        <f>①ベース事業別内訳!G91</f>
        <v>9000</v>
      </c>
      <c r="E19" s="792">
        <f>①ベース事業別内訳!G39</f>
        <v>159000</v>
      </c>
      <c r="F19" s="792">
        <f>①ベース事業別内訳!G117</f>
        <v>47000</v>
      </c>
      <c r="G19" s="792">
        <f>①ベース事業別内訳!G146</f>
        <v>0</v>
      </c>
      <c r="H19" s="792">
        <f>①ベース事業別内訳!G227</f>
        <v>67000</v>
      </c>
      <c r="I19" s="792">
        <f>①ベース事業別内訳!G254</f>
        <v>50000</v>
      </c>
      <c r="J19" s="792">
        <f>①ベース事業別内訳!G281</f>
        <v>45000</v>
      </c>
      <c r="K19" s="792">
        <f>①ベース事業別内訳!G173</f>
        <v>240000</v>
      </c>
      <c r="L19" s="792">
        <f>①ベース事業別内訳!G65</f>
        <v>23000</v>
      </c>
      <c r="M19" s="792">
        <f>①ベース事業別内訳!G200</f>
        <v>29000</v>
      </c>
      <c r="N19" s="792">
        <f>①ベース事業別内訳!G367</f>
        <v>55000</v>
      </c>
      <c r="O19" s="792">
        <f>①ベース事業別内訳!G349</f>
        <v>40000</v>
      </c>
      <c r="P19" s="792">
        <f>①ベース事業別内訳!G324</f>
        <v>0</v>
      </c>
      <c r="Q19" s="792"/>
      <c r="R19" s="831">
        <f>①ベース事業別内訳!G302</f>
        <v>0</v>
      </c>
      <c r="S19" s="792">
        <f t="shared" si="5"/>
        <v>791000</v>
      </c>
      <c r="T19" s="293" t="s">
        <v>85</v>
      </c>
      <c r="U19" s="831">
        <f>①ベース事業別内訳!G398</f>
        <v>2236000</v>
      </c>
      <c r="V19" s="792"/>
    </row>
    <row r="20" spans="1:22" s="789" customFormat="1" ht="20.100000000000001" customHeight="1">
      <c r="A20" s="790"/>
      <c r="B20" s="806" t="s">
        <v>133</v>
      </c>
      <c r="C20" s="792">
        <f>①ベース事業別内訳!G13</f>
        <v>0</v>
      </c>
      <c r="D20" s="792">
        <f>①ベース事業別内訳!G92</f>
        <v>0</v>
      </c>
      <c r="E20" s="792">
        <f>①ベース事業別内訳!G40</f>
        <v>0</v>
      </c>
      <c r="F20" s="792">
        <f>①ベース事業別内訳!G118</f>
        <v>0</v>
      </c>
      <c r="G20" s="792">
        <f>①ベース事業別内訳!G147</f>
        <v>17000</v>
      </c>
      <c r="H20" s="792">
        <f>①ベース事業別内訳!G228</f>
        <v>0</v>
      </c>
      <c r="I20" s="792">
        <f>①ベース事業別内訳!G255</f>
        <v>0</v>
      </c>
      <c r="J20" s="792">
        <f>①ベース事業別内訳!G282</f>
        <v>0</v>
      </c>
      <c r="K20" s="792">
        <f>①ベース事業別内訳!G174</f>
        <v>0</v>
      </c>
      <c r="L20" s="792">
        <f>①ベース事業別内訳!G66</f>
        <v>0</v>
      </c>
      <c r="M20" s="792">
        <f>①ベース事業別内訳!G201</f>
        <v>0</v>
      </c>
      <c r="N20" s="792">
        <f>①ベース事業別内訳!G368</f>
        <v>12000</v>
      </c>
      <c r="O20" s="792">
        <f>①ベース事業別内訳!G350</f>
        <v>130000</v>
      </c>
      <c r="P20" s="792">
        <f>①ベース事業別内訳!G325</f>
        <v>0</v>
      </c>
      <c r="Q20" s="792"/>
      <c r="R20" s="831"/>
      <c r="S20" s="792">
        <f t="shared" si="5"/>
        <v>159000</v>
      </c>
      <c r="T20" s="293" t="s">
        <v>133</v>
      </c>
      <c r="U20" s="831">
        <f>①ベース事業別内訳!G399</f>
        <v>304000</v>
      </c>
      <c r="V20" s="792"/>
    </row>
    <row r="21" spans="1:22" s="789" customFormat="1" ht="20.100000000000001" customHeight="1">
      <c r="A21" s="790"/>
      <c r="B21" s="806" t="s">
        <v>86</v>
      </c>
      <c r="C21" s="792">
        <f>①ベース事業別内訳!G14</f>
        <v>9000</v>
      </c>
      <c r="D21" s="792">
        <f>①ベース事業別内訳!G93</f>
        <v>0</v>
      </c>
      <c r="E21" s="792">
        <f>①ベース事業別内訳!G41</f>
        <v>26000</v>
      </c>
      <c r="F21" s="792">
        <f>①ベース事業別内訳!G119</f>
        <v>0</v>
      </c>
      <c r="G21" s="792">
        <f>①ベース事業別内訳!G148</f>
        <v>25000</v>
      </c>
      <c r="H21" s="792">
        <f>①ベース事業別内訳!G229</f>
        <v>0</v>
      </c>
      <c r="I21" s="792">
        <f>①ベース事業別内訳!G256</f>
        <v>6000</v>
      </c>
      <c r="J21" s="792">
        <f>①ベース事業別内訳!G283</f>
        <v>0</v>
      </c>
      <c r="K21" s="792">
        <f>①ベース事業別内訳!G175</f>
        <v>24000</v>
      </c>
      <c r="L21" s="792">
        <f>①ベース事業別内訳!G67</f>
        <v>0</v>
      </c>
      <c r="M21" s="792">
        <f>①ベース事業別内訳!G202</f>
        <v>0</v>
      </c>
      <c r="N21" s="792">
        <f>①ベース事業別内訳!G369</f>
        <v>9000</v>
      </c>
      <c r="O21" s="792"/>
      <c r="P21" s="792">
        <f>①ベース事業別内訳!G326</f>
        <v>0</v>
      </c>
      <c r="Q21" s="792"/>
      <c r="R21" s="831"/>
      <c r="S21" s="792">
        <f t="shared" si="5"/>
        <v>99000</v>
      </c>
      <c r="T21" s="293" t="s">
        <v>86</v>
      </c>
      <c r="U21" s="831">
        <f>①ベース事業別内訳!G400</f>
        <v>110000</v>
      </c>
      <c r="V21" s="792"/>
    </row>
    <row r="22" spans="1:22" s="789" customFormat="1" ht="20.100000000000001" customHeight="1">
      <c r="A22" s="790"/>
      <c r="B22" s="806" t="s">
        <v>98</v>
      </c>
      <c r="C22" s="792">
        <f>①ベース事業別内訳!G15</f>
        <v>0</v>
      </c>
      <c r="D22" s="792">
        <f>①ベース事業別内訳!G94</f>
        <v>0</v>
      </c>
      <c r="E22" s="792">
        <f>①ベース事業別内訳!G42</f>
        <v>1000</v>
      </c>
      <c r="F22" s="792">
        <f>①ベース事業別内訳!G120</f>
        <v>0</v>
      </c>
      <c r="G22" s="792">
        <f>①ベース事業別内訳!G149</f>
        <v>58000</v>
      </c>
      <c r="H22" s="792">
        <f>①ベース事業別内訳!G230</f>
        <v>0</v>
      </c>
      <c r="I22" s="792">
        <f>①ベース事業別内訳!G257</f>
        <v>0</v>
      </c>
      <c r="J22" s="792">
        <f>①ベース事業別内訳!G284</f>
        <v>0</v>
      </c>
      <c r="K22" s="792">
        <f>①ベース事業別内訳!G176</f>
        <v>0</v>
      </c>
      <c r="L22" s="792">
        <f>①ベース事業別内訳!G68</f>
        <v>60000</v>
      </c>
      <c r="M22" s="792">
        <f>①ベース事業別内訳!G203</f>
        <v>20000</v>
      </c>
      <c r="N22" s="792">
        <f>①ベース事業別内訳!G370</f>
        <v>0</v>
      </c>
      <c r="O22" s="792">
        <f>①ベース事業別内訳!G351</f>
        <v>20000</v>
      </c>
      <c r="P22" s="792">
        <f>①ベース事業別内訳!G327</f>
        <v>0</v>
      </c>
      <c r="Q22" s="792"/>
      <c r="R22" s="831"/>
      <c r="S22" s="792">
        <f t="shared" si="5"/>
        <v>159000</v>
      </c>
      <c r="T22" s="293" t="s">
        <v>98</v>
      </c>
      <c r="U22" s="831">
        <f>①ベース事業別内訳!G401</f>
        <v>7000</v>
      </c>
      <c r="V22" s="792"/>
    </row>
    <row r="23" spans="1:22" s="789" customFormat="1" ht="20.100000000000001" customHeight="1">
      <c r="A23" s="790"/>
      <c r="B23" s="806" t="s">
        <v>87</v>
      </c>
      <c r="C23" s="792">
        <f>①ベース事業別内訳!G16</f>
        <v>0</v>
      </c>
      <c r="D23" s="792">
        <f>①ベース事業別内訳!G95</f>
        <v>0</v>
      </c>
      <c r="E23" s="792">
        <f>①ベース事業別内訳!G43</f>
        <v>0</v>
      </c>
      <c r="F23" s="792">
        <f>①ベース事業別内訳!G121</f>
        <v>0</v>
      </c>
      <c r="G23" s="792">
        <f>①ベース事業別内訳!G150</f>
        <v>0</v>
      </c>
      <c r="H23" s="792">
        <f>①ベース事業別内訳!G231</f>
        <v>0</v>
      </c>
      <c r="I23" s="792">
        <f>①ベース事業別内訳!G258</f>
        <v>0</v>
      </c>
      <c r="J23" s="792">
        <f>①ベース事業別内訳!G285</f>
        <v>344000</v>
      </c>
      <c r="K23" s="792">
        <f>①ベース事業別内訳!G177</f>
        <v>0</v>
      </c>
      <c r="L23" s="792">
        <f>①ベース事業別内訳!G69</f>
        <v>0</v>
      </c>
      <c r="M23" s="792">
        <f>①ベース事業別内訳!G204</f>
        <v>0</v>
      </c>
      <c r="N23" s="792">
        <f>①ベース事業別内訳!G371</f>
        <v>0</v>
      </c>
      <c r="O23" s="792"/>
      <c r="P23" s="792">
        <f>①ベース事業別内訳!G328</f>
        <v>0</v>
      </c>
      <c r="Q23" s="792"/>
      <c r="R23" s="831"/>
      <c r="S23" s="792">
        <f t="shared" si="5"/>
        <v>344000</v>
      </c>
      <c r="T23" s="293" t="s">
        <v>87</v>
      </c>
      <c r="U23" s="831">
        <f>①ベース事業別内訳!G402</f>
        <v>400000</v>
      </c>
      <c r="V23" s="792"/>
    </row>
    <row r="24" spans="1:22" s="789" customFormat="1" ht="20.100000000000001" customHeight="1">
      <c r="A24" s="790"/>
      <c r="B24" s="806" t="s">
        <v>121</v>
      </c>
      <c r="C24" s="792">
        <f>①ベース事業別内訳!G17</f>
        <v>722000</v>
      </c>
      <c r="D24" s="792">
        <f>①ベース事業別内訳!G96</f>
        <v>172000</v>
      </c>
      <c r="E24" s="792">
        <f>①ベース事業別内訳!G44</f>
        <v>481000</v>
      </c>
      <c r="F24" s="792">
        <f>①ベース事業別内訳!G122</f>
        <v>550000</v>
      </c>
      <c r="G24" s="792">
        <f>①ベース事業別内訳!G151</f>
        <v>353000</v>
      </c>
      <c r="H24" s="792">
        <f>①ベース事業別内訳!G232</f>
        <v>206000</v>
      </c>
      <c r="I24" s="792">
        <f>①ベース事業別内訳!G259</f>
        <v>103000</v>
      </c>
      <c r="J24" s="792">
        <f>①ベース事業別内訳!G286</f>
        <v>0</v>
      </c>
      <c r="K24" s="792">
        <f>①ベース事業別内訳!G178</f>
        <v>137000</v>
      </c>
      <c r="L24" s="792">
        <f>①ベース事業別内訳!G70</f>
        <v>172000</v>
      </c>
      <c r="M24" s="792">
        <f>①ベース事業別内訳!G205</f>
        <v>206000</v>
      </c>
      <c r="N24" s="792">
        <f>①ベース事業別内訳!G372</f>
        <v>0</v>
      </c>
      <c r="O24" s="792"/>
      <c r="P24" s="792">
        <f>①ベース事業別内訳!G329</f>
        <v>0</v>
      </c>
      <c r="Q24" s="792"/>
      <c r="R24" s="831"/>
      <c r="S24" s="792">
        <f t="shared" si="5"/>
        <v>3102000</v>
      </c>
      <c r="T24" s="293" t="s">
        <v>134</v>
      </c>
      <c r="U24" s="831">
        <f>①ベース事業別内訳!G403</f>
        <v>2748000</v>
      </c>
      <c r="V24" s="792"/>
    </row>
    <row r="25" spans="1:22" s="789" customFormat="1" ht="20.100000000000001" customHeight="1">
      <c r="A25" s="790"/>
      <c r="B25" s="806" t="s">
        <v>88</v>
      </c>
      <c r="C25" s="792">
        <f>①ベース事業別内訳!G18</f>
        <v>164000</v>
      </c>
      <c r="D25" s="792">
        <f>①ベース事業別内訳!G97</f>
        <v>13000</v>
      </c>
      <c r="E25" s="792">
        <f>①ベース事業別内訳!G45</f>
        <v>105000</v>
      </c>
      <c r="F25" s="792">
        <f>①ベース事業別内訳!G123</f>
        <v>107000</v>
      </c>
      <c r="G25" s="792">
        <f>①ベース事業別内訳!G152</f>
        <v>109000</v>
      </c>
      <c r="H25" s="792">
        <f>①ベース事業別内訳!G233</f>
        <v>0</v>
      </c>
      <c r="I25" s="792">
        <f>①ベース事業別内訳!G260</f>
        <v>96000</v>
      </c>
      <c r="J25" s="792">
        <f>①ベース事業別内訳!G287</f>
        <v>0</v>
      </c>
      <c r="K25" s="792">
        <f>①ベース事業別内訳!G179</f>
        <v>766000</v>
      </c>
      <c r="L25" s="792">
        <f>①ベース事業別内訳!G71</f>
        <v>15000</v>
      </c>
      <c r="M25" s="792">
        <f>①ベース事業別内訳!G206</f>
        <v>40000</v>
      </c>
      <c r="N25" s="792">
        <f>①ベース事業別内訳!G373</f>
        <v>36000</v>
      </c>
      <c r="O25" s="792">
        <f>①ベース事業別内訳!G352</f>
        <v>10000</v>
      </c>
      <c r="P25" s="792">
        <f>①ベース事業別内訳!G330</f>
        <v>0</v>
      </c>
      <c r="Q25" s="792"/>
      <c r="R25" s="831"/>
      <c r="S25" s="792">
        <f t="shared" si="5"/>
        <v>1461000</v>
      </c>
      <c r="T25" s="293" t="s">
        <v>121</v>
      </c>
      <c r="U25" s="831">
        <f>①ベース事業別内訳!G404</f>
        <v>0</v>
      </c>
      <c r="V25" s="792"/>
    </row>
    <row r="26" spans="1:22" s="789" customFormat="1" ht="20.100000000000001" customHeight="1">
      <c r="A26" s="790"/>
      <c r="B26" s="806" t="s">
        <v>89</v>
      </c>
      <c r="C26" s="792">
        <f>①ベース事業別内訳!G19</f>
        <v>164000</v>
      </c>
      <c r="D26" s="792">
        <f>①ベース事業別内訳!G98</f>
        <v>0</v>
      </c>
      <c r="E26" s="792">
        <f>①ベース事業別内訳!G46</f>
        <v>59000</v>
      </c>
      <c r="F26" s="792">
        <f>①ベース事業別内訳!G124</f>
        <v>0</v>
      </c>
      <c r="G26" s="792">
        <f>①ベース事業別内訳!G153</f>
        <v>71000</v>
      </c>
      <c r="H26" s="792">
        <f>①ベース事業別内訳!G234</f>
        <v>11000</v>
      </c>
      <c r="I26" s="792">
        <f>①ベース事業別内訳!G261</f>
        <v>0</v>
      </c>
      <c r="J26" s="792">
        <f>①ベース事業別内訳!G288</f>
        <v>0</v>
      </c>
      <c r="K26" s="792">
        <f>①ベース事業別内訳!G180</f>
        <v>480000</v>
      </c>
      <c r="L26" s="792">
        <f>①ベース事業別内訳!G72</f>
        <v>4000</v>
      </c>
      <c r="M26" s="792">
        <f>①ベース事業別内訳!G207</f>
        <v>10000</v>
      </c>
      <c r="N26" s="792">
        <f>①ベース事業別内訳!G374</f>
        <v>20000</v>
      </c>
      <c r="O26" s="792">
        <f>①ベース事業別内訳!G353</f>
        <v>0</v>
      </c>
      <c r="P26" s="792">
        <f>①ベース事業別内訳!G331</f>
        <v>0</v>
      </c>
      <c r="Q26" s="792"/>
      <c r="R26" s="831"/>
      <c r="S26" s="792">
        <f t="shared" si="5"/>
        <v>819000</v>
      </c>
      <c r="T26" s="293" t="s">
        <v>88</v>
      </c>
      <c r="U26" s="831">
        <f>①ベース事業別内訳!G405</f>
        <v>811000</v>
      </c>
      <c r="V26" s="792"/>
    </row>
    <row r="27" spans="1:22" s="789" customFormat="1" ht="20.100000000000001" customHeight="1">
      <c r="A27" s="790"/>
      <c r="B27" s="806" t="s">
        <v>101</v>
      </c>
      <c r="C27" s="792">
        <f>①ベース事業別内訳!G20</f>
        <v>5000</v>
      </c>
      <c r="D27" s="792">
        <f>①ベース事業別内訳!G99</f>
        <v>10000</v>
      </c>
      <c r="E27" s="792">
        <f>①ベース事業別内訳!G47</f>
        <v>0</v>
      </c>
      <c r="F27" s="792">
        <f>①ベース事業別内訳!G125</f>
        <v>5000</v>
      </c>
      <c r="G27" s="792">
        <f>①ベース事業別内訳!G154</f>
        <v>0</v>
      </c>
      <c r="H27" s="792">
        <f>①ベース事業別内訳!G235</f>
        <v>0</v>
      </c>
      <c r="I27" s="792">
        <f>①ベース事業別内訳!G262</f>
        <v>20000</v>
      </c>
      <c r="J27" s="792">
        <f>①ベース事業別内訳!G289</f>
        <v>0</v>
      </c>
      <c r="K27" s="792">
        <f>①ベース事業別内訳!G181</f>
        <v>7000</v>
      </c>
      <c r="L27" s="792">
        <f>①ベース事業別内訳!G73</f>
        <v>0</v>
      </c>
      <c r="M27" s="792">
        <f>①ベース事業別内訳!G208</f>
        <v>0</v>
      </c>
      <c r="N27" s="792">
        <f>①ベース事業別内訳!G375</f>
        <v>0</v>
      </c>
      <c r="O27" s="792"/>
      <c r="P27" s="792">
        <f>①ベース事業別内訳!G332</f>
        <v>0</v>
      </c>
      <c r="Q27" s="792"/>
      <c r="R27" s="831"/>
      <c r="S27" s="792">
        <f t="shared" si="5"/>
        <v>47000</v>
      </c>
      <c r="T27" s="293" t="s">
        <v>89</v>
      </c>
      <c r="U27" s="831">
        <f>①ベース事業別内訳!G406</f>
        <v>975000</v>
      </c>
      <c r="V27" s="792"/>
    </row>
    <row r="28" spans="1:22" s="789" customFormat="1" ht="20.100000000000001" customHeight="1">
      <c r="A28" s="790"/>
      <c r="B28" s="806" t="s">
        <v>90</v>
      </c>
      <c r="C28" s="792">
        <f>①ベース事業別内訳!G21</f>
        <v>4000</v>
      </c>
      <c r="D28" s="792">
        <f>①ベース事業別内訳!G100</f>
        <v>3000</v>
      </c>
      <c r="E28" s="792">
        <f>①ベース事業別内訳!G48</f>
        <v>0</v>
      </c>
      <c r="F28" s="792">
        <f>①ベース事業別内訳!G126</f>
        <v>0</v>
      </c>
      <c r="G28" s="792">
        <f>①ベース事業別内訳!G155</f>
        <v>0</v>
      </c>
      <c r="H28" s="792">
        <f>①ベース事業別内訳!G236</f>
        <v>0</v>
      </c>
      <c r="I28" s="792">
        <f>①ベース事業別内訳!G263</f>
        <v>0</v>
      </c>
      <c r="J28" s="792">
        <f>①ベース事業別内訳!G290</f>
        <v>20000</v>
      </c>
      <c r="K28" s="792">
        <f>①ベース事業別内訳!G182</f>
        <v>0</v>
      </c>
      <c r="L28" s="792">
        <f>①ベース事業別内訳!G74</f>
        <v>1000</v>
      </c>
      <c r="M28" s="792">
        <f>①ベース事業別内訳!G209</f>
        <v>0</v>
      </c>
      <c r="N28" s="792">
        <f>①ベース事業別内訳!G376</f>
        <v>0</v>
      </c>
      <c r="O28" s="792"/>
      <c r="P28" s="792">
        <f>①ベース事業別内訳!G333</f>
        <v>0</v>
      </c>
      <c r="Q28" s="792"/>
      <c r="R28" s="831"/>
      <c r="S28" s="792">
        <f t="shared" si="5"/>
        <v>28000</v>
      </c>
      <c r="T28" s="293" t="s">
        <v>135</v>
      </c>
      <c r="U28" s="831">
        <f>①ベース事業別内訳!G407</f>
        <v>0</v>
      </c>
      <c r="V28" s="792"/>
    </row>
    <row r="29" spans="1:22" s="789" customFormat="1" ht="20.100000000000001" customHeight="1">
      <c r="A29" s="790"/>
      <c r="B29" s="806" t="s">
        <v>173</v>
      </c>
      <c r="C29" s="792">
        <f>①ベース事業別内訳!G22</f>
        <v>0</v>
      </c>
      <c r="D29" s="792">
        <f>①ベース事業別内訳!G101</f>
        <v>0</v>
      </c>
      <c r="E29" s="792">
        <f>①ベース事業別内訳!G49</f>
        <v>60000</v>
      </c>
      <c r="F29" s="792">
        <f>①ベース事業別内訳!G127</f>
        <v>0</v>
      </c>
      <c r="G29" s="792">
        <f>①ベース事業別内訳!G156</f>
        <v>0</v>
      </c>
      <c r="H29" s="792">
        <f>①ベース事業別内訳!G237</f>
        <v>0</v>
      </c>
      <c r="I29" s="792">
        <f>①ベース事業別内訳!G264</f>
        <v>0</v>
      </c>
      <c r="J29" s="792">
        <f>①ベース事業別内訳!G291</f>
        <v>0</v>
      </c>
      <c r="K29" s="792">
        <f>①ベース事業別内訳!G183</f>
        <v>0</v>
      </c>
      <c r="L29" s="792">
        <f>①ベース事業別内訳!G75</f>
        <v>0</v>
      </c>
      <c r="M29" s="792">
        <f>①ベース事業別内訳!G210</f>
        <v>0</v>
      </c>
      <c r="N29" s="792">
        <f>①ベース事業別内訳!G377</f>
        <v>0</v>
      </c>
      <c r="O29" s="792"/>
      <c r="P29" s="792">
        <f>①ベース事業別内訳!G334</f>
        <v>0</v>
      </c>
      <c r="Q29" s="792"/>
      <c r="R29" s="831"/>
      <c r="S29" s="792">
        <f t="shared" si="5"/>
        <v>60000</v>
      </c>
      <c r="T29" s="293" t="s">
        <v>101</v>
      </c>
      <c r="U29" s="831">
        <f>①ベース事業別内訳!G408</f>
        <v>25000</v>
      </c>
      <c r="V29" s="792"/>
    </row>
    <row r="30" spans="1:22" s="789" customFormat="1" ht="20.100000000000001" customHeight="1">
      <c r="A30" s="790"/>
      <c r="B30" s="806" t="s">
        <v>91</v>
      </c>
      <c r="C30" s="792">
        <f>①ベース事業別内訳!G23</f>
        <v>152000</v>
      </c>
      <c r="D30" s="792">
        <f>①ベース事業別内訳!G102</f>
        <v>267000</v>
      </c>
      <c r="E30" s="792">
        <f>①ベース事業別内訳!G50</f>
        <v>1125000</v>
      </c>
      <c r="F30" s="792">
        <f>①ベース事業別内訳!G128</f>
        <v>162000</v>
      </c>
      <c r="G30" s="792">
        <f>①ベース事業別内訳!G157</f>
        <v>396000</v>
      </c>
      <c r="H30" s="792">
        <f>①ベース事業別内訳!G238</f>
        <v>307000</v>
      </c>
      <c r="I30" s="792">
        <f>①ベース事業別内訳!G265</f>
        <v>0</v>
      </c>
      <c r="J30" s="792">
        <f>①ベース事業別内訳!G292</f>
        <v>0</v>
      </c>
      <c r="K30" s="792">
        <f>①ベース事業別内訳!G184</f>
        <v>0</v>
      </c>
      <c r="L30" s="792">
        <f>①ベース事業別内訳!G76</f>
        <v>179000</v>
      </c>
      <c r="M30" s="792">
        <f>①ベース事業別内訳!G211</f>
        <v>0</v>
      </c>
      <c r="N30" s="792">
        <f>①ベース事業別内訳!G378</f>
        <v>388000</v>
      </c>
      <c r="O30" s="792">
        <f>①ベース事業別内訳!G356</f>
        <v>70000</v>
      </c>
      <c r="P30" s="792">
        <f>①ベース事業別内訳!G335</f>
        <v>0</v>
      </c>
      <c r="Q30" s="792"/>
      <c r="R30" s="831"/>
      <c r="S30" s="792">
        <f t="shared" si="5"/>
        <v>3046000</v>
      </c>
      <c r="T30" s="293" t="s">
        <v>90</v>
      </c>
      <c r="U30" s="831">
        <f>①ベース事業別内訳!G409</f>
        <v>204000</v>
      </c>
      <c r="V30" s="792"/>
    </row>
    <row r="31" spans="1:22" s="789" customFormat="1" ht="20.100000000000001" customHeight="1">
      <c r="A31" s="790"/>
      <c r="B31" s="806" t="s">
        <v>136</v>
      </c>
      <c r="C31" s="792">
        <f>①ベース事業別内訳!G24</f>
        <v>0</v>
      </c>
      <c r="D31" s="792">
        <f>①ベース事業別内訳!G103</f>
        <v>27000</v>
      </c>
      <c r="E31" s="792">
        <f>①ベース事業別内訳!G51</f>
        <v>0</v>
      </c>
      <c r="F31" s="792">
        <f>①ベース事業別内訳!G129</f>
        <v>0</v>
      </c>
      <c r="G31" s="792">
        <f>①ベース事業別内訳!G158</f>
        <v>0</v>
      </c>
      <c r="H31" s="792">
        <f>①ベース事業別内訳!G239</f>
        <v>0</v>
      </c>
      <c r="I31" s="792">
        <f>①ベース事業別内訳!G266</f>
        <v>0</v>
      </c>
      <c r="J31" s="792">
        <f>①ベース事業別内訳!G293</f>
        <v>0</v>
      </c>
      <c r="K31" s="792">
        <f>①ベース事業別内訳!G185</f>
        <v>0</v>
      </c>
      <c r="L31" s="792">
        <f>①ベース事業別内訳!G77</f>
        <v>0</v>
      </c>
      <c r="M31" s="792">
        <f>①ベース事業別内訳!G212</f>
        <v>0</v>
      </c>
      <c r="N31" s="792">
        <f>①ベース事業別内訳!G379</f>
        <v>0</v>
      </c>
      <c r="O31" s="792"/>
      <c r="P31" s="792">
        <f>①ベース事業別内訳!G336</f>
        <v>0</v>
      </c>
      <c r="Q31" s="792"/>
      <c r="R31" s="831"/>
      <c r="S31" s="792">
        <f t="shared" si="5"/>
        <v>27000</v>
      </c>
      <c r="T31" s="293" t="s">
        <v>173</v>
      </c>
      <c r="U31" s="831">
        <f>①ベース事業別内訳!G410</f>
        <v>0</v>
      </c>
      <c r="V31" s="792"/>
    </row>
    <row r="32" spans="1:22" s="789" customFormat="1" ht="20.100000000000001" customHeight="1">
      <c r="A32" s="790"/>
      <c r="B32" s="806" t="s">
        <v>109</v>
      </c>
      <c r="C32" s="792">
        <f>①ベース事業別内訳!G25</f>
        <v>0</v>
      </c>
      <c r="D32" s="792">
        <f>①ベース事業別内訳!G104</f>
        <v>0</v>
      </c>
      <c r="E32" s="792">
        <f>①ベース事業別内訳!G52</f>
        <v>0</v>
      </c>
      <c r="F32" s="792">
        <f>①ベース事業別内訳!G130</f>
        <v>0</v>
      </c>
      <c r="G32" s="792">
        <f>①ベース事業別内訳!G159</f>
        <v>0</v>
      </c>
      <c r="H32" s="792">
        <f>①ベース事業別内訳!G240</f>
        <v>0</v>
      </c>
      <c r="I32" s="792">
        <f>①ベース事業別内訳!G267</f>
        <v>0</v>
      </c>
      <c r="J32" s="792">
        <f>①ベース事業別内訳!G294</f>
        <v>0</v>
      </c>
      <c r="K32" s="792">
        <f>①ベース事業別内訳!G186</f>
        <v>0</v>
      </c>
      <c r="L32" s="792">
        <f>①ベース事業別内訳!G78</f>
        <v>0</v>
      </c>
      <c r="M32" s="792">
        <f>①ベース事業別内訳!G213</f>
        <v>0</v>
      </c>
      <c r="N32" s="792">
        <f>①ベース事業別内訳!G380</f>
        <v>0</v>
      </c>
      <c r="O32" s="792"/>
      <c r="P32" s="792">
        <f>①ベース事業別内訳!G337</f>
        <v>0</v>
      </c>
      <c r="Q32" s="792"/>
      <c r="R32" s="831">
        <f>①ベース事業別内訳!G303</f>
        <v>174000</v>
      </c>
      <c r="S32" s="792">
        <f t="shared" si="5"/>
        <v>174000</v>
      </c>
      <c r="T32" s="293" t="s">
        <v>91</v>
      </c>
      <c r="U32" s="831">
        <f>①ベース事業別内訳!G411</f>
        <v>199000</v>
      </c>
      <c r="V32" s="792"/>
    </row>
    <row r="33" spans="1:22" s="789" customFormat="1" ht="20.100000000000001" customHeight="1">
      <c r="A33" s="790"/>
      <c r="B33" s="806" t="s">
        <v>92</v>
      </c>
      <c r="C33" s="792">
        <f>①ベース事業別内訳!G26</f>
        <v>2352000</v>
      </c>
      <c r="D33" s="792">
        <f>①ベース事業別内訳!G105</f>
        <v>600000</v>
      </c>
      <c r="E33" s="792">
        <f>①ベース事業別内訳!G53</f>
        <v>696000</v>
      </c>
      <c r="F33" s="792">
        <f>①ベース事業別内訳!G131</f>
        <v>240000</v>
      </c>
      <c r="G33" s="792">
        <f>①ベース事業別内訳!G160</f>
        <v>600000</v>
      </c>
      <c r="H33" s="792">
        <f>①ベース事業別内訳!G241</f>
        <v>480000</v>
      </c>
      <c r="I33" s="792">
        <f>①ベース事業別内訳!G268</f>
        <v>750000</v>
      </c>
      <c r="J33" s="792">
        <f>①ベース事業別内訳!G295</f>
        <v>360000</v>
      </c>
      <c r="K33" s="792">
        <f>①ベース事業別内訳!G187</f>
        <v>9120000</v>
      </c>
      <c r="L33" s="792">
        <f>①ベース事業別内訳!G79</f>
        <v>1024000</v>
      </c>
      <c r="M33" s="792">
        <f>①ベース事業別内訳!G214</f>
        <v>0</v>
      </c>
      <c r="N33" s="792">
        <f>①ベース事業別内訳!G381</f>
        <v>240000</v>
      </c>
      <c r="O33" s="792"/>
      <c r="P33" s="792">
        <f>①ベース事業別内訳!G338</f>
        <v>480000</v>
      </c>
      <c r="Q33" s="792"/>
      <c r="R33" s="831"/>
      <c r="S33" s="792">
        <f t="shared" si="5"/>
        <v>16942000</v>
      </c>
      <c r="T33" s="293" t="s">
        <v>136</v>
      </c>
      <c r="U33" s="831">
        <f>①ベース事業別内訳!G412</f>
        <v>108000</v>
      </c>
      <c r="V33" s="792"/>
    </row>
    <row r="34" spans="1:22" s="789" customFormat="1" ht="20.100000000000001" customHeight="1">
      <c r="A34" s="790"/>
      <c r="B34" s="806" t="s">
        <v>607</v>
      </c>
      <c r="C34" s="792">
        <f>①ベース事業別内訳!G27</f>
        <v>3600000</v>
      </c>
      <c r="D34" s="792">
        <f>①ベース事業別内訳!G106</f>
        <v>0</v>
      </c>
      <c r="E34" s="792">
        <f>①ベース事業別内訳!G54</f>
        <v>3600000</v>
      </c>
      <c r="F34" s="792">
        <f>①ベース事業別内訳!G132</f>
        <v>0</v>
      </c>
      <c r="G34" s="792">
        <f>①ベース事業別内訳!G161</f>
        <v>0</v>
      </c>
      <c r="H34" s="792">
        <f>①ベース事業別内訳!G242</f>
        <v>0</v>
      </c>
      <c r="I34" s="792">
        <f>①ベース事業別内訳!G269</f>
        <v>0</v>
      </c>
      <c r="J34" s="792">
        <f>①ベース事業別内訳!G296</f>
        <v>0</v>
      </c>
      <c r="K34" s="792">
        <f>①ベース事業別内訳!G188</f>
        <v>0</v>
      </c>
      <c r="L34" s="792">
        <f>①ベース事業別内訳!G80</f>
        <v>0</v>
      </c>
      <c r="M34" s="792">
        <f>①ベース事業別内訳!G215</f>
        <v>0</v>
      </c>
      <c r="N34" s="792">
        <f>①ベース事業別内訳!G382</f>
        <v>0</v>
      </c>
      <c r="O34" s="792"/>
      <c r="P34" s="792">
        <f>①ベース事業別内訳!G339</f>
        <v>0</v>
      </c>
      <c r="Q34" s="792"/>
      <c r="R34" s="831"/>
      <c r="S34" s="792">
        <f t="shared" si="5"/>
        <v>7200000</v>
      </c>
      <c r="T34" s="293" t="s">
        <v>109</v>
      </c>
      <c r="U34" s="831">
        <f>①ベース事業別内訳!G413</f>
        <v>1428000</v>
      </c>
      <c r="V34" s="792"/>
    </row>
    <row r="35" spans="1:22" s="789" customFormat="1" ht="20.100000000000001" customHeight="1">
      <c r="A35" s="790"/>
      <c r="B35" s="806" t="s">
        <v>678</v>
      </c>
      <c r="C35" s="792">
        <f>①ベース事業別内訳!G28</f>
        <v>60000</v>
      </c>
      <c r="D35" s="792">
        <f>①ベース事業別内訳!G107</f>
        <v>60000</v>
      </c>
      <c r="E35" s="792">
        <f>①ベース事業別内訳!G55</f>
        <v>0</v>
      </c>
      <c r="F35" s="792">
        <f>①ベース事業別内訳!G133</f>
        <v>60000</v>
      </c>
      <c r="G35" s="792">
        <f>①ベース事業別内訳!G162</f>
        <v>60000</v>
      </c>
      <c r="H35" s="792">
        <f>①ベース事業別内訳!G243</f>
        <v>60000</v>
      </c>
      <c r="I35" s="792">
        <f>①ベース事業別内訳!G270</f>
        <v>60000</v>
      </c>
      <c r="J35" s="792">
        <f>①ベース事業別内訳!G297</f>
        <v>60000</v>
      </c>
      <c r="K35" s="792">
        <f>①ベース事業別内訳!G189</f>
        <v>20000</v>
      </c>
      <c r="L35" s="792">
        <f>①ベース事業別内訳!G81</f>
        <v>60000</v>
      </c>
      <c r="M35" s="792">
        <f>①ベース事業別内訳!G216</f>
        <v>20000</v>
      </c>
      <c r="N35" s="792">
        <f>①ベース事業別内訳!G383</f>
        <v>20000</v>
      </c>
      <c r="O35" s="792"/>
      <c r="P35" s="792">
        <f>①ベース事業別内訳!G340</f>
        <v>20000</v>
      </c>
      <c r="Q35" s="792"/>
      <c r="R35" s="831"/>
      <c r="S35" s="792">
        <f t="shared" si="5"/>
        <v>560000</v>
      </c>
      <c r="T35" s="293" t="s">
        <v>92</v>
      </c>
      <c r="U35" s="831">
        <f>①ベース事業別内訳!G414</f>
        <v>624000</v>
      </c>
      <c r="V35" s="792"/>
    </row>
    <row r="36" spans="1:22" s="789" customFormat="1" ht="20.100000000000001" customHeight="1">
      <c r="A36" s="790"/>
      <c r="B36" s="806" t="s">
        <v>93</v>
      </c>
      <c r="C36" s="792">
        <f>①ベース事業別内訳!G29</f>
        <v>7000</v>
      </c>
      <c r="D36" s="792">
        <f>①ベース事業別内訳!G108</f>
        <v>0</v>
      </c>
      <c r="E36" s="792">
        <f>①ベース事業別内訳!G56</f>
        <v>105000</v>
      </c>
      <c r="F36" s="792">
        <f>①ベース事業別内訳!G134</f>
        <v>7000</v>
      </c>
      <c r="G36" s="792">
        <f>①ベース事業別内訳!G163</f>
        <v>0</v>
      </c>
      <c r="H36" s="792">
        <f>①ベース事業別内訳!G244</f>
        <v>0</v>
      </c>
      <c r="I36" s="792">
        <f>①ベース事業別内訳!G271</f>
        <v>10000</v>
      </c>
      <c r="J36" s="792">
        <f>①ベース事業別内訳!G298</f>
        <v>0</v>
      </c>
      <c r="K36" s="792">
        <f>①ベース事業別内訳!G190</f>
        <v>65000</v>
      </c>
      <c r="L36" s="792">
        <f>①ベース事業別内訳!G82</f>
        <v>25000</v>
      </c>
      <c r="M36" s="792">
        <f>①ベース事業別内訳!G217</f>
        <v>10000</v>
      </c>
      <c r="N36" s="792">
        <f>①ベース事業別内訳!G384</f>
        <v>36000</v>
      </c>
      <c r="O36" s="792">
        <f>①ベース事業別内訳!G357</f>
        <v>100000</v>
      </c>
      <c r="P36" s="792">
        <f>①ベース事業別内訳!G341</f>
        <v>40000</v>
      </c>
      <c r="Q36" s="792"/>
      <c r="R36" s="831"/>
      <c r="S36" s="792">
        <f t="shared" si="5"/>
        <v>405000</v>
      </c>
      <c r="T36" s="293" t="s">
        <v>386</v>
      </c>
      <c r="U36" s="831">
        <f>①ベース事業別内訳!G415</f>
        <v>0</v>
      </c>
      <c r="V36" s="835"/>
    </row>
    <row r="37" spans="1:22" s="789" customFormat="1" ht="20.100000000000001" customHeight="1">
      <c r="A37" s="790"/>
      <c r="B37" s="834"/>
      <c r="C37" s="835"/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35"/>
      <c r="P37" s="835"/>
      <c r="Q37" s="835"/>
      <c r="R37" s="836"/>
      <c r="S37" s="835"/>
      <c r="T37" s="293" t="s">
        <v>93</v>
      </c>
      <c r="U37" s="831">
        <f>①ベース事業別内訳!G417</f>
        <v>1548000</v>
      </c>
      <c r="V37" s="835"/>
    </row>
    <row r="38" spans="1:22" s="789" customFormat="1" ht="20.100000000000001" customHeight="1">
      <c r="A38" s="790"/>
      <c r="B38" s="834"/>
      <c r="C38" s="835"/>
      <c r="D38" s="835"/>
      <c r="E38" s="835"/>
      <c r="F38" s="835"/>
      <c r="G38" s="835"/>
      <c r="H38" s="835"/>
      <c r="I38" s="835"/>
      <c r="J38" s="835"/>
      <c r="K38" s="835"/>
      <c r="L38" s="835"/>
      <c r="M38" s="835"/>
      <c r="N38" s="835"/>
      <c r="O38" s="835"/>
      <c r="P38" s="835"/>
      <c r="Q38" s="835"/>
      <c r="R38" s="836"/>
      <c r="S38" s="835"/>
      <c r="T38" s="293" t="s">
        <v>648</v>
      </c>
      <c r="U38" s="831">
        <f>①ベース事業別内訳!G418</f>
        <v>340000</v>
      </c>
      <c r="V38" s="835"/>
    </row>
    <row r="39" spans="1:22" s="789" customFormat="1" ht="20.100000000000001" customHeight="1">
      <c r="A39" s="790"/>
      <c r="B39" s="834"/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5"/>
      <c r="Q39" s="835"/>
      <c r="R39" s="836"/>
      <c r="S39" s="835"/>
      <c r="T39" s="293" t="s">
        <v>649</v>
      </c>
      <c r="U39" s="831">
        <f>①ベース事業別内訳!G419</f>
        <v>0</v>
      </c>
      <c r="V39" s="835"/>
    </row>
    <row r="40" spans="1:22" s="789" customFormat="1" ht="24.95" customHeight="1">
      <c r="A40" s="793"/>
      <c r="B40" s="794" t="s">
        <v>589</v>
      </c>
      <c r="C40" s="794">
        <f>'事業別損益表（拠点別）'!M7</f>
        <v>6125220</v>
      </c>
      <c r="D40" s="794">
        <f>'事業別損益表（拠点別）'!M9</f>
        <v>2256660</v>
      </c>
      <c r="E40" s="794">
        <f>'事業別損益表（拠点別）'!M8</f>
        <v>6608790</v>
      </c>
      <c r="F40" s="794">
        <f>'事業別損益表（拠点別）'!M10</f>
        <v>2579040</v>
      </c>
      <c r="G40" s="794">
        <f>'事業別損益表（拠点別）'!M11</f>
        <v>2579040</v>
      </c>
      <c r="H40" s="794">
        <f>'事業別損益表（拠点別）'!M18</f>
        <v>483570</v>
      </c>
      <c r="I40" s="794">
        <f>'事業別損益表（拠点別）'!M19</f>
        <v>1934280</v>
      </c>
      <c r="J40" s="794">
        <f>'事業別損益表（拠点別）'!M21</f>
        <v>0</v>
      </c>
      <c r="K40" s="794">
        <f>'事業別損益表（拠点別）'!M15</f>
        <v>0</v>
      </c>
      <c r="L40" s="794">
        <f>'事業別損益表（拠点別）'!M14</f>
        <v>6769980</v>
      </c>
      <c r="M40" s="794">
        <f>'事業別損益表（拠点別）'!M16</f>
        <v>0</v>
      </c>
      <c r="N40" s="794">
        <f>'事業別損益表（拠点別）'!M22</f>
        <v>1611900</v>
      </c>
      <c r="O40" s="794"/>
      <c r="P40" s="794"/>
      <c r="Q40" s="794">
        <f>'事業別損益表（拠点別）'!M23</f>
        <v>1289520</v>
      </c>
      <c r="R40" s="832"/>
      <c r="S40" s="794">
        <f>SUM(C40:R40)</f>
        <v>32238000</v>
      </c>
      <c r="T40" s="794"/>
      <c r="U40" s="832"/>
      <c r="V40" s="794"/>
    </row>
    <row r="41" spans="1:22" s="789" customFormat="1" ht="30" customHeight="1">
      <c r="A41" s="801" t="s">
        <v>638</v>
      </c>
      <c r="B41" s="787"/>
      <c r="C41" s="788">
        <f>C4-C11</f>
        <v>1786780</v>
      </c>
      <c r="D41" s="788">
        <f>D4-D11</f>
        <v>1563340</v>
      </c>
      <c r="E41" s="788">
        <f t="shared" ref="E41:N41" si="6">E4-E11</f>
        <v>1639210</v>
      </c>
      <c r="F41" s="788">
        <f t="shared" si="6"/>
        <v>435960</v>
      </c>
      <c r="G41" s="788">
        <f t="shared" si="6"/>
        <v>16960</v>
      </c>
      <c r="H41" s="788">
        <f t="shared" si="6"/>
        <v>32430</v>
      </c>
      <c r="I41" s="788">
        <f t="shared" si="6"/>
        <v>519720</v>
      </c>
      <c r="J41" s="788">
        <f t="shared" si="6"/>
        <v>-399000</v>
      </c>
      <c r="K41" s="788">
        <f t="shared" si="6"/>
        <v>-1502000</v>
      </c>
      <c r="L41" s="788">
        <f t="shared" si="6"/>
        <v>1271020</v>
      </c>
      <c r="M41" s="788">
        <f t="shared" si="6"/>
        <v>1745000</v>
      </c>
      <c r="N41" s="788">
        <f t="shared" si="6"/>
        <v>2358100</v>
      </c>
      <c r="O41" s="788">
        <f t="shared" ref="O41:Q41" si="7">O4-O11</f>
        <v>1062000</v>
      </c>
      <c r="P41" s="788">
        <f t="shared" si="7"/>
        <v>0</v>
      </c>
      <c r="Q41" s="788">
        <f t="shared" si="7"/>
        <v>-1289520</v>
      </c>
      <c r="R41" s="829">
        <f>R4-R11</f>
        <v>255000</v>
      </c>
      <c r="S41" s="788">
        <f>SUM(C41:R41)</f>
        <v>9495000</v>
      </c>
      <c r="T41" s="829"/>
      <c r="U41" s="829"/>
      <c r="V41" s="788"/>
    </row>
    <row r="42" spans="1:22" s="789" customFormat="1">
      <c r="C42" s="789">
        <v>21</v>
      </c>
      <c r="D42" s="789">
        <v>5</v>
      </c>
      <c r="E42" s="789">
        <v>14</v>
      </c>
      <c r="F42" s="789">
        <v>16</v>
      </c>
      <c r="G42" s="789">
        <v>10</v>
      </c>
      <c r="H42" s="789">
        <v>6</v>
      </c>
      <c r="I42" s="789">
        <v>3</v>
      </c>
      <c r="J42" s="789">
        <v>10</v>
      </c>
      <c r="K42" s="789">
        <v>4</v>
      </c>
      <c r="L42" s="789">
        <v>5</v>
      </c>
      <c r="M42" s="789">
        <v>6</v>
      </c>
    </row>
  </sheetData>
  <mergeCells count="16">
    <mergeCell ref="S2:S3"/>
    <mergeCell ref="V2:V3"/>
    <mergeCell ref="O2:R2"/>
    <mergeCell ref="A1:M1"/>
    <mergeCell ref="A2:B2"/>
    <mergeCell ref="K2:M2"/>
    <mergeCell ref="J2:J3"/>
    <mergeCell ref="I2:I3"/>
    <mergeCell ref="H2:H3"/>
    <mergeCell ref="G2:G3"/>
    <mergeCell ref="F2:F3"/>
    <mergeCell ref="E2:E3"/>
    <mergeCell ref="D2:D3"/>
    <mergeCell ref="C2:C3"/>
    <mergeCell ref="T2:U3"/>
    <mergeCell ref="N2:N3"/>
  </mergeCells>
  <phoneticPr fontId="3"/>
  <printOptions horizontalCentered="1"/>
  <pageMargins left="0.23622047244094491" right="0.23622047244094491" top="0.74803149606299213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B19" sqref="B19"/>
    </sheetView>
  </sheetViews>
  <sheetFormatPr defaultColWidth="9" defaultRowHeight="13.5"/>
  <cols>
    <col min="1" max="1" width="17.375" style="557" bestFit="1" customWidth="1"/>
    <col min="2" max="2" width="2.75" style="557" bestFit="1" customWidth="1"/>
    <col min="3" max="3" width="4.875" style="557" bestFit="1" customWidth="1"/>
    <col min="4" max="4" width="12.875" style="566" bestFit="1" customWidth="1"/>
    <col min="5" max="5" width="13" style="567" customWidth="1"/>
    <col min="6" max="6" width="11.375" style="567" customWidth="1"/>
    <col min="7" max="7" width="4.5" style="586" customWidth="1"/>
    <col min="8" max="8" width="10.25" style="567" customWidth="1"/>
    <col min="9" max="9" width="3.375" style="586" customWidth="1"/>
    <col min="10" max="10" width="13" style="567" customWidth="1"/>
    <col min="11" max="11" width="13" style="567" bestFit="1" customWidth="1"/>
    <col min="12" max="12" width="11.875" style="583" bestFit="1" customWidth="1"/>
    <col min="13" max="16384" width="9" style="557"/>
  </cols>
  <sheetData>
    <row r="1" spans="1:12" ht="17.25">
      <c r="A1" s="895" t="s">
        <v>542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</row>
    <row r="2" spans="1:12">
      <c r="A2" s="907" t="s">
        <v>481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</row>
    <row r="3" spans="1:12" ht="20.100000000000001" customHeight="1">
      <c r="A3" s="901" t="s">
        <v>482</v>
      </c>
      <c r="B3" s="902"/>
      <c r="C3" s="903"/>
      <c r="D3" s="898" t="s">
        <v>404</v>
      </c>
      <c r="E3" s="900" t="s">
        <v>405</v>
      </c>
      <c r="F3" s="900"/>
      <c r="G3" s="900"/>
      <c r="H3" s="900"/>
      <c r="I3" s="900"/>
      <c r="J3" s="900"/>
      <c r="K3" s="900"/>
      <c r="L3" s="896" t="s">
        <v>407</v>
      </c>
    </row>
    <row r="4" spans="1:12" ht="19.5" customHeight="1">
      <c r="A4" s="904"/>
      <c r="B4" s="905"/>
      <c r="C4" s="906"/>
      <c r="D4" s="899"/>
      <c r="E4" s="558" t="s">
        <v>190</v>
      </c>
      <c r="F4" s="559" t="s">
        <v>172</v>
      </c>
      <c r="G4" s="668"/>
      <c r="H4" s="559"/>
      <c r="I4" s="671" t="s">
        <v>560</v>
      </c>
      <c r="J4" s="559" t="s">
        <v>179</v>
      </c>
      <c r="K4" s="560" t="s">
        <v>406</v>
      </c>
      <c r="L4" s="897"/>
    </row>
    <row r="5" spans="1:12" ht="39.950000000000003" customHeight="1">
      <c r="A5" s="561" t="s">
        <v>169</v>
      </c>
      <c r="B5" s="562"/>
      <c r="C5" s="563"/>
      <c r="D5" s="570">
        <f>①ベース事業別内訳!F30</f>
        <v>44850000</v>
      </c>
      <c r="E5" s="571">
        <f>①ベース事業別内訳!G30</f>
        <v>36938000</v>
      </c>
      <c r="F5" s="572">
        <f>D5-E5</f>
        <v>7912000</v>
      </c>
      <c r="G5" s="581">
        <f t="shared" ref="G5:G12" si="0">F5/$F$20</f>
        <v>0.20951725233694357</v>
      </c>
      <c r="H5" s="572">
        <f>F5</f>
        <v>7912000</v>
      </c>
      <c r="I5" s="581">
        <f t="shared" ref="I5:I12" si="1">H5/$H$20</f>
        <v>0.2239900348215044</v>
      </c>
      <c r="J5" s="572">
        <f>-$F$21*I5</f>
        <v>7220990.7425756585</v>
      </c>
      <c r="K5" s="574">
        <f>E5+J5</f>
        <v>44158990.74257566</v>
      </c>
      <c r="L5" s="584">
        <f>D5-K5</f>
        <v>691009.25742433965</v>
      </c>
    </row>
    <row r="6" spans="1:12" ht="39.950000000000003" customHeight="1">
      <c r="A6" s="561" t="s">
        <v>400</v>
      </c>
      <c r="B6" s="562"/>
      <c r="C6" s="563"/>
      <c r="D6" s="570">
        <f>①ベース事業別内訳!F57</f>
        <v>38000000</v>
      </c>
      <c r="E6" s="571">
        <f>①ベース事業別内訳!G57</f>
        <v>29752000</v>
      </c>
      <c r="F6" s="572">
        <f t="shared" ref="F6:F19" si="2">D6-E6</f>
        <v>8248000</v>
      </c>
      <c r="G6" s="581">
        <f t="shared" si="0"/>
        <v>0.21841485051505441</v>
      </c>
      <c r="H6" s="572">
        <f t="shared" ref="H6:H19" si="3">F6</f>
        <v>8248000</v>
      </c>
      <c r="I6" s="581">
        <f t="shared" si="1"/>
        <v>0.23350225065821137</v>
      </c>
      <c r="J6" s="572">
        <f>-$F$21*I6</f>
        <v>7527645.5567194177</v>
      </c>
      <c r="K6" s="574">
        <f t="shared" ref="K6:K19" si="4">E6+J6</f>
        <v>37279645.556719415</v>
      </c>
      <c r="L6" s="584">
        <f t="shared" ref="L6:L19" si="5">D6-K6</f>
        <v>720354.44328058511</v>
      </c>
    </row>
    <row r="7" spans="1:12" ht="39.950000000000003" customHeight="1">
      <c r="A7" s="561" t="s">
        <v>547</v>
      </c>
      <c r="B7" s="562"/>
      <c r="C7" s="563"/>
      <c r="D7" s="570">
        <f>①ベース事業別内訳!F83</f>
        <v>20800000</v>
      </c>
      <c r="E7" s="571">
        <f>①ベース事業別内訳!G83</f>
        <v>12759000</v>
      </c>
      <c r="F7" s="572">
        <f t="shared" si="2"/>
        <v>8041000</v>
      </c>
      <c r="G7" s="581">
        <f t="shared" si="0"/>
        <v>0.21293329449461113</v>
      </c>
      <c r="H7" s="572">
        <f t="shared" si="3"/>
        <v>8041000</v>
      </c>
      <c r="I7" s="581">
        <f t="shared" si="1"/>
        <v>0.22764204625881154</v>
      </c>
      <c r="J7" s="572">
        <f t="shared" ref="J7:J18" si="6">-$F$21*I7</f>
        <v>7338724.2872915668</v>
      </c>
      <c r="K7" s="574">
        <f t="shared" si="4"/>
        <v>20097724.287291568</v>
      </c>
      <c r="L7" s="584">
        <f t="shared" si="5"/>
        <v>702275.71270843223</v>
      </c>
    </row>
    <row r="8" spans="1:12" ht="39.950000000000003" customHeight="1">
      <c r="A8" s="561" t="s">
        <v>402</v>
      </c>
      <c r="B8" s="562"/>
      <c r="C8" s="563"/>
      <c r="D8" s="570">
        <f>①ベース事業別内訳!F109</f>
        <v>17616000</v>
      </c>
      <c r="E8" s="571">
        <f>①ベース事業別内訳!G109</f>
        <v>13796000</v>
      </c>
      <c r="F8" s="572">
        <f t="shared" si="2"/>
        <v>3820000</v>
      </c>
      <c r="G8" s="581">
        <f t="shared" si="0"/>
        <v>0.10115721738209359</v>
      </c>
      <c r="H8" s="572">
        <f t="shared" si="3"/>
        <v>3820000</v>
      </c>
      <c r="I8" s="581">
        <f t="shared" si="1"/>
        <v>0.10814483481018033</v>
      </c>
      <c r="J8" s="572">
        <f t="shared" si="6"/>
        <v>3486373.1846105936</v>
      </c>
      <c r="K8" s="574">
        <f t="shared" si="4"/>
        <v>17282373.184610594</v>
      </c>
      <c r="L8" s="584">
        <f t="shared" si="5"/>
        <v>333626.81538940594</v>
      </c>
    </row>
    <row r="9" spans="1:12" ht="39.950000000000003" customHeight="1">
      <c r="A9" s="561" t="s">
        <v>193</v>
      </c>
      <c r="B9" s="562"/>
      <c r="C9" s="563"/>
      <c r="D9" s="570">
        <f>①ベース事業別内訳!F135</f>
        <v>20808000</v>
      </c>
      <c r="E9" s="571">
        <f>①ベース事業別内訳!G135</f>
        <v>17793000</v>
      </c>
      <c r="F9" s="572">
        <f t="shared" si="2"/>
        <v>3015000</v>
      </c>
      <c r="G9" s="581">
        <f t="shared" si="0"/>
        <v>7.9840055080369676E-2</v>
      </c>
      <c r="H9" s="572">
        <f t="shared" si="3"/>
        <v>3015000</v>
      </c>
      <c r="I9" s="581">
        <f t="shared" si="1"/>
        <v>8.5355151034736579E-2</v>
      </c>
      <c r="J9" s="572">
        <f t="shared" si="6"/>
        <v>2751679.3590578376</v>
      </c>
      <c r="K9" s="574">
        <f t="shared" si="4"/>
        <v>20544679.359057836</v>
      </c>
      <c r="L9" s="584">
        <f t="shared" si="5"/>
        <v>263320.64094216377</v>
      </c>
    </row>
    <row r="10" spans="1:12" ht="39.950000000000003" customHeight="1">
      <c r="A10" s="561" t="s">
        <v>191</v>
      </c>
      <c r="B10" s="562"/>
      <c r="C10" s="563"/>
      <c r="D10" s="570">
        <f>①ベース事業別内訳!F164</f>
        <v>33260000</v>
      </c>
      <c r="E10" s="571">
        <f>①ベース事業別内訳!G164</f>
        <v>30664000</v>
      </c>
      <c r="F10" s="572">
        <f t="shared" si="2"/>
        <v>2596000</v>
      </c>
      <c r="G10" s="581">
        <f t="shared" si="0"/>
        <v>6.8744538304689781E-2</v>
      </c>
      <c r="H10" s="572"/>
      <c r="I10" s="581">
        <f t="shared" si="1"/>
        <v>0</v>
      </c>
      <c r="J10" s="572">
        <f t="shared" si="6"/>
        <v>0</v>
      </c>
      <c r="K10" s="574">
        <f t="shared" si="4"/>
        <v>30664000</v>
      </c>
      <c r="L10" s="584">
        <f t="shared" si="5"/>
        <v>2596000</v>
      </c>
    </row>
    <row r="11" spans="1:12" ht="39.950000000000003" customHeight="1">
      <c r="A11" s="561" t="s">
        <v>403</v>
      </c>
      <c r="B11" s="562"/>
      <c r="C11" s="563"/>
      <c r="D11" s="570">
        <f>①ベース事業別内訳!F305</f>
        <v>429000</v>
      </c>
      <c r="E11" s="571">
        <f>①ベース事業別内訳!G305</f>
        <v>174000</v>
      </c>
      <c r="F11" s="572">
        <f>D11-E11</f>
        <v>255000</v>
      </c>
      <c r="G11" s="581">
        <f t="shared" si="0"/>
        <v>6.7526414744591267E-3</v>
      </c>
      <c r="H11" s="572">
        <f>F11</f>
        <v>255000</v>
      </c>
      <c r="I11" s="581">
        <f t="shared" si="1"/>
        <v>7.2190923760722479E-3</v>
      </c>
      <c r="J11" s="572">
        <f t="shared" si="6"/>
        <v>232729.10001981712</v>
      </c>
      <c r="K11" s="574">
        <f>E11+J11</f>
        <v>406729.10001981712</v>
      </c>
      <c r="L11" s="584">
        <f>D11-K11</f>
        <v>22270.899980182876</v>
      </c>
    </row>
    <row r="12" spans="1:12" ht="39.950000000000003" customHeight="1">
      <c r="A12" s="561" t="s">
        <v>552</v>
      </c>
      <c r="B12" s="562"/>
      <c r="C12" s="563"/>
      <c r="D12" s="570">
        <f>①ベース事業別内訳!F316</f>
        <v>0</v>
      </c>
      <c r="E12" s="571">
        <f>①ベース事業別内訳!G316</f>
        <v>0</v>
      </c>
      <c r="F12" s="572">
        <f>D12-E12</f>
        <v>0</v>
      </c>
      <c r="G12" s="581">
        <f t="shared" si="0"/>
        <v>0</v>
      </c>
      <c r="H12" s="572">
        <f>F12</f>
        <v>0</v>
      </c>
      <c r="I12" s="581">
        <f t="shared" si="1"/>
        <v>0</v>
      </c>
      <c r="J12" s="572">
        <f t="shared" si="6"/>
        <v>0</v>
      </c>
      <c r="K12" s="574">
        <f>E12+J12</f>
        <v>0</v>
      </c>
      <c r="L12" s="584">
        <f>D12-K12</f>
        <v>0</v>
      </c>
    </row>
    <row r="13" spans="1:12" ht="39.950000000000003" customHeight="1">
      <c r="A13" s="561" t="s">
        <v>548</v>
      </c>
      <c r="B13" s="562"/>
      <c r="C13" s="563"/>
      <c r="D13" s="570">
        <f>①ベース事業別内訳!F191</f>
        <v>17424000</v>
      </c>
      <c r="E13" s="571">
        <f>①ベース事業別内訳!G191</f>
        <v>18926000</v>
      </c>
      <c r="F13" s="572">
        <f t="shared" ref="F13:F14" si="7">D13-E13</f>
        <v>-1502000</v>
      </c>
      <c r="G13" s="581">
        <f t="shared" ref="G13:G14" si="8">F13/$F$20</f>
        <v>-3.9774382331912189E-2</v>
      </c>
      <c r="H13" s="572">
        <v>0</v>
      </c>
      <c r="I13" s="581">
        <f t="shared" ref="I13:I14" si="9">H13/$H$20</f>
        <v>0</v>
      </c>
      <c r="J13" s="572">
        <f t="shared" si="6"/>
        <v>0</v>
      </c>
      <c r="K13" s="574">
        <f t="shared" ref="K13:K14" si="10">E13+J13</f>
        <v>18926000</v>
      </c>
      <c r="L13" s="584">
        <f t="shared" ref="L13:L14" si="11">D13-K13</f>
        <v>-1502000</v>
      </c>
    </row>
    <row r="14" spans="1:12" ht="39.950000000000003" customHeight="1">
      <c r="A14" s="561" t="s">
        <v>549</v>
      </c>
      <c r="B14" s="562"/>
      <c r="C14" s="563"/>
      <c r="D14" s="570">
        <f>①ベース事業別内訳!F218</f>
        <v>12900000</v>
      </c>
      <c r="E14" s="571">
        <f>①ベース事業別内訳!G218</f>
        <v>11155000</v>
      </c>
      <c r="F14" s="572">
        <f t="shared" si="7"/>
        <v>1745000</v>
      </c>
      <c r="G14" s="581">
        <f t="shared" si="8"/>
        <v>4.620925244286736E-2</v>
      </c>
      <c r="H14" s="572">
        <v>0</v>
      </c>
      <c r="I14" s="581">
        <f t="shared" si="9"/>
        <v>0</v>
      </c>
      <c r="J14" s="572">
        <f t="shared" si="6"/>
        <v>0</v>
      </c>
      <c r="K14" s="574">
        <f t="shared" si="10"/>
        <v>11155000</v>
      </c>
      <c r="L14" s="584">
        <f t="shared" si="11"/>
        <v>1745000</v>
      </c>
    </row>
    <row r="15" spans="1:12" ht="39.950000000000003" customHeight="1">
      <c r="A15" s="561" t="s">
        <v>181</v>
      </c>
      <c r="B15" s="562"/>
      <c r="C15" s="563"/>
      <c r="D15" s="570">
        <f>①ベース事業別内訳!F245</f>
        <v>11160000</v>
      </c>
      <c r="E15" s="571">
        <f>①ベース事業別内訳!G245</f>
        <v>10644000</v>
      </c>
      <c r="F15" s="572">
        <f>D15-E15</f>
        <v>516000</v>
      </c>
      <c r="G15" s="581">
        <f>F15/$F$20</f>
        <v>1.3664168630670232E-2</v>
      </c>
      <c r="H15" s="572">
        <f>F15</f>
        <v>516000</v>
      </c>
      <c r="I15" s="581">
        <f t="shared" ref="I15:I20" si="12">H15/$H$20</f>
        <v>1.4608045749228547E-2</v>
      </c>
      <c r="J15" s="572">
        <f t="shared" si="6"/>
        <v>470934.17886362993</v>
      </c>
      <c r="K15" s="574">
        <f>E15+J15</f>
        <v>11114934.17886363</v>
      </c>
      <c r="L15" s="584">
        <f>D15-K15</f>
        <v>45065.821136370301</v>
      </c>
    </row>
    <row r="16" spans="1:12" ht="39.950000000000003" customHeight="1">
      <c r="A16" s="561" t="s">
        <v>550</v>
      </c>
      <c r="B16" s="562"/>
      <c r="C16" s="563"/>
      <c r="D16" s="570">
        <f>①ベース事業別内訳!F272</f>
        <v>9923000</v>
      </c>
      <c r="E16" s="571">
        <f>①ベース事業別内訳!G272</f>
        <v>7469000</v>
      </c>
      <c r="F16" s="572">
        <f t="shared" si="2"/>
        <v>2454000</v>
      </c>
      <c r="G16" s="581">
        <f>F16/$F$20</f>
        <v>6.4984243836559596E-2</v>
      </c>
      <c r="H16" s="572">
        <f t="shared" si="3"/>
        <v>2454000</v>
      </c>
      <c r="I16" s="581">
        <f t="shared" si="12"/>
        <v>6.9473147807377636E-2</v>
      </c>
      <c r="J16" s="572">
        <f t="shared" si="6"/>
        <v>2239675.3390142401</v>
      </c>
      <c r="K16" s="574">
        <f t="shared" si="4"/>
        <v>9708675.3390142396</v>
      </c>
      <c r="L16" s="584">
        <f t="shared" si="5"/>
        <v>214324.66098576039</v>
      </c>
    </row>
    <row r="17" spans="1:12" ht="39.950000000000003" customHeight="1">
      <c r="A17" s="561" t="s">
        <v>551</v>
      </c>
      <c r="B17" s="562"/>
      <c r="C17" s="563"/>
      <c r="D17" s="570">
        <f>①ベース事業別内訳!F299</f>
        <v>5942000</v>
      </c>
      <c r="E17" s="571">
        <f>①ベース事業別内訳!G299</f>
        <v>6341000</v>
      </c>
      <c r="F17" s="572">
        <f>D17-E17</f>
        <v>-399000</v>
      </c>
      <c r="G17" s="581">
        <f>F17/$F$20</f>
        <v>-1.0565897836506634E-2</v>
      </c>
      <c r="H17" s="572">
        <v>0</v>
      </c>
      <c r="I17" s="581">
        <f t="shared" si="12"/>
        <v>0</v>
      </c>
      <c r="J17" s="572">
        <f t="shared" si="6"/>
        <v>0</v>
      </c>
      <c r="K17" s="574">
        <f>E17+J17</f>
        <v>6341000</v>
      </c>
      <c r="L17" s="584">
        <f>D17-K17</f>
        <v>-399000</v>
      </c>
    </row>
    <row r="18" spans="1:12" ht="39.950000000000003" customHeight="1">
      <c r="A18" s="561" t="s">
        <v>180</v>
      </c>
      <c r="B18" s="562"/>
      <c r="C18" s="563"/>
      <c r="D18" s="570">
        <f>①ベース事業別内訳!F342</f>
        <v>900000</v>
      </c>
      <c r="E18" s="571">
        <f>①ベース事業別内訳!G342</f>
        <v>900000</v>
      </c>
      <c r="F18" s="572">
        <f>D18-E18</f>
        <v>0</v>
      </c>
      <c r="G18" s="581">
        <f>F18/$F$20</f>
        <v>0</v>
      </c>
      <c r="H18" s="572">
        <v>0</v>
      </c>
      <c r="I18" s="581">
        <f t="shared" si="12"/>
        <v>0</v>
      </c>
      <c r="J18" s="572">
        <f t="shared" si="6"/>
        <v>0</v>
      </c>
      <c r="K18" s="574">
        <f>E18+J18</f>
        <v>900000</v>
      </c>
      <c r="L18" s="584">
        <f>D18-K18</f>
        <v>0</v>
      </c>
    </row>
    <row r="19" spans="1:12" ht="39.950000000000003" customHeight="1">
      <c r="A19" s="561" t="s">
        <v>170</v>
      </c>
      <c r="B19" s="562"/>
      <c r="C19" s="563"/>
      <c r="D19" s="570">
        <f>①ベース事業別内訳!F358</f>
        <v>2652000</v>
      </c>
      <c r="E19" s="571">
        <f>①ベース事業別内訳!G358</f>
        <v>1590000</v>
      </c>
      <c r="F19" s="572">
        <f t="shared" si="2"/>
        <v>1062000</v>
      </c>
      <c r="G19" s="581">
        <f>F19/$F$20</f>
        <v>2.8122765670100362E-2</v>
      </c>
      <c r="H19" s="572">
        <f t="shared" si="3"/>
        <v>1062000</v>
      </c>
      <c r="I19" s="581">
        <f>H19/$H$20</f>
        <v>3.0065396483877359E-2</v>
      </c>
      <c r="J19" s="572">
        <f>-$F$21*I19</f>
        <v>969248.25184723828</v>
      </c>
      <c r="K19" s="574">
        <f t="shared" si="4"/>
        <v>2559248.2518472383</v>
      </c>
      <c r="L19" s="584">
        <f t="shared" si="5"/>
        <v>92751.74815276172</v>
      </c>
    </row>
    <row r="20" spans="1:12" ht="24.95" customHeight="1">
      <c r="A20" s="568" t="s">
        <v>413</v>
      </c>
      <c r="B20" s="564" t="s">
        <v>409</v>
      </c>
      <c r="C20" s="565"/>
      <c r="D20" s="575">
        <f>SUM(D5:D19)</f>
        <v>236664000</v>
      </c>
      <c r="E20" s="576">
        <f>SUM(E5:E19)</f>
        <v>198901000</v>
      </c>
      <c r="F20" s="577">
        <f>SUM(F5:F19)</f>
        <v>37763000</v>
      </c>
      <c r="G20" s="582"/>
      <c r="H20" s="577">
        <f>SUM(H5:H19)</f>
        <v>35323000</v>
      </c>
      <c r="I20" s="582">
        <f t="shared" si="12"/>
        <v>1</v>
      </c>
      <c r="J20" s="577">
        <f>SUM(J5:J19)</f>
        <v>32237999.999999996</v>
      </c>
      <c r="K20" s="578">
        <f t="shared" ref="K20:L20" si="13">SUM(K5:K19)</f>
        <v>231138999.99999997</v>
      </c>
      <c r="L20" s="585">
        <f t="shared" si="13"/>
        <v>5525000.0000000019</v>
      </c>
    </row>
    <row r="21" spans="1:12" ht="39.950000000000003" customHeight="1">
      <c r="A21" s="561" t="s">
        <v>408</v>
      </c>
      <c r="B21" s="562" t="s">
        <v>410</v>
      </c>
      <c r="C21" s="563"/>
      <c r="D21" s="570">
        <f>①ベース事業別内訳!F421</f>
        <v>3953000</v>
      </c>
      <c r="E21" s="571">
        <f>①ベース事業別内訳!G421</f>
        <v>36191000</v>
      </c>
      <c r="F21" s="572">
        <f>D21-E21</f>
        <v>-32238000</v>
      </c>
      <c r="G21" s="581"/>
      <c r="H21" s="572"/>
      <c r="I21" s="581"/>
      <c r="J21" s="573"/>
      <c r="K21" s="579"/>
      <c r="L21" s="584"/>
    </row>
    <row r="22" spans="1:12" ht="39.950000000000003" customHeight="1">
      <c r="A22" s="568" t="s">
        <v>414</v>
      </c>
      <c r="B22" s="564" t="s">
        <v>411</v>
      </c>
      <c r="C22" s="565" t="s">
        <v>412</v>
      </c>
      <c r="D22" s="575">
        <f>D20+D21</f>
        <v>240617000</v>
      </c>
      <c r="E22" s="576">
        <f>E20+E21</f>
        <v>235092000</v>
      </c>
      <c r="F22" s="577">
        <f t="shared" ref="F22:H22" si="14">F20+F21</f>
        <v>5525000</v>
      </c>
      <c r="G22" s="582"/>
      <c r="H22" s="577">
        <f t="shared" si="14"/>
        <v>35323000</v>
      </c>
      <c r="I22" s="582"/>
      <c r="J22" s="577"/>
      <c r="K22" s="578"/>
      <c r="L22" s="585">
        <f>L20+L21</f>
        <v>5525000.0000000019</v>
      </c>
    </row>
    <row r="23" spans="1:12" ht="20.100000000000001" customHeight="1"/>
    <row r="24" spans="1:12" ht="20.100000000000001" customHeight="1"/>
    <row r="25" spans="1:12" ht="20.100000000000001" customHeight="1"/>
  </sheetData>
  <mergeCells count="6">
    <mergeCell ref="A1:L1"/>
    <mergeCell ref="L3:L4"/>
    <mergeCell ref="D3:D4"/>
    <mergeCell ref="E3:K3"/>
    <mergeCell ref="A3:C4"/>
    <mergeCell ref="A2:L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5"/>
  <sheetViews>
    <sheetView showGridLines="0" tabSelected="1" topLeftCell="A71" zoomScaleNormal="100" workbookViewId="0">
      <selection activeCell="M78" sqref="M78"/>
    </sheetView>
  </sheetViews>
  <sheetFormatPr defaultColWidth="9" defaultRowHeight="13.5"/>
  <cols>
    <col min="1" max="1" width="34.875" style="533" bestFit="1" customWidth="1"/>
    <col min="2" max="2" width="15.125" style="213" hidden="1" customWidth="1"/>
    <col min="3" max="3" width="1.25" style="324" hidden="1" customWidth="1"/>
    <col min="4" max="4" width="17.875" style="524" hidden="1" customWidth="1"/>
    <col min="5" max="5" width="2.125" style="524" hidden="1" customWidth="1"/>
    <col min="6" max="8" width="12.625" style="525" customWidth="1"/>
    <col min="9" max="9" width="20.625" style="525" customWidth="1"/>
    <col min="10" max="10" width="1.375" style="520" customWidth="1"/>
    <col min="11" max="11" width="17.375" style="46" hidden="1" customWidth="1"/>
    <col min="12" max="12" width="9" style="96"/>
    <col min="13" max="13" width="11.625" style="655" bestFit="1" customWidth="1"/>
    <col min="14" max="16384" width="9" style="96"/>
  </cols>
  <sheetData>
    <row r="1" spans="1:13" ht="21">
      <c r="A1" s="908" t="s">
        <v>675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</row>
    <row r="2" spans="1:13">
      <c r="A2" s="909" t="s">
        <v>676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</row>
    <row r="3" spans="1:13">
      <c r="A3" s="526"/>
      <c r="B3" s="505"/>
      <c r="C3" s="505"/>
      <c r="D3" s="505"/>
      <c r="E3" s="505"/>
      <c r="F3" s="505"/>
      <c r="G3" s="505"/>
      <c r="H3" s="505"/>
      <c r="I3" s="158" t="s">
        <v>481</v>
      </c>
      <c r="J3" s="505"/>
      <c r="K3" s="505"/>
    </row>
    <row r="4" spans="1:13" s="537" customFormat="1" ht="20.100000000000001" customHeight="1">
      <c r="A4" s="527" t="s">
        <v>55</v>
      </c>
      <c r="B4" s="527" t="s">
        <v>337</v>
      </c>
      <c r="C4" s="527"/>
      <c r="D4" s="910" t="s">
        <v>338</v>
      </c>
      <c r="E4" s="910"/>
      <c r="F4" s="911" t="s">
        <v>454</v>
      </c>
      <c r="G4" s="912"/>
      <c r="H4" s="913"/>
      <c r="I4" s="534" t="s">
        <v>455</v>
      </c>
      <c r="J4" s="535"/>
      <c r="K4" s="536" t="s">
        <v>174</v>
      </c>
      <c r="M4" s="655"/>
    </row>
    <row r="5" spans="1:13" s="537" customFormat="1" ht="20.100000000000001" customHeight="1">
      <c r="A5" s="528" t="s">
        <v>388</v>
      </c>
      <c r="B5" s="538"/>
      <c r="C5" s="538"/>
      <c r="D5" s="539"/>
      <c r="E5" s="539"/>
      <c r="F5" s="540"/>
      <c r="G5" s="540"/>
      <c r="H5" s="540"/>
      <c r="I5" s="540"/>
      <c r="J5" s="541"/>
      <c r="K5" s="542"/>
      <c r="M5" s="655"/>
    </row>
    <row r="6" spans="1:13" s="537" customFormat="1" ht="15" customHeight="1">
      <c r="A6" s="529" t="s">
        <v>389</v>
      </c>
      <c r="B6" s="543"/>
      <c r="C6" s="538"/>
      <c r="D6" s="543"/>
      <c r="E6" s="539"/>
      <c r="F6" s="521"/>
      <c r="G6" s="523"/>
      <c r="H6" s="523"/>
      <c r="I6" s="544"/>
      <c r="J6" s="541"/>
      <c r="K6" s="545">
        <f>F7-D7</f>
        <v>-120000</v>
      </c>
      <c r="M6" s="655"/>
    </row>
    <row r="7" spans="1:13" s="537" customFormat="1" ht="15" customHeight="1">
      <c r="A7" s="529" t="s">
        <v>483</v>
      </c>
      <c r="B7" s="538">
        <v>390000</v>
      </c>
      <c r="C7" s="538"/>
      <c r="D7" s="539">
        <v>420000</v>
      </c>
      <c r="E7" s="539"/>
      <c r="F7" s="522">
        <f>'事業別損益表（事業別）'!U6</f>
        <v>300000</v>
      </c>
      <c r="G7" s="522">
        <f>F7</f>
        <v>300000</v>
      </c>
      <c r="H7" s="523"/>
      <c r="I7" s="544"/>
      <c r="J7" s="541"/>
      <c r="K7" s="545"/>
      <c r="M7" s="655"/>
    </row>
    <row r="8" spans="1:13" s="537" customFormat="1" ht="15" customHeight="1">
      <c r="A8" s="529" t="s">
        <v>390</v>
      </c>
      <c r="B8" s="543"/>
      <c r="C8" s="538"/>
      <c r="D8" s="543"/>
      <c r="E8" s="539"/>
      <c r="F8" s="521"/>
      <c r="G8" s="523"/>
      <c r="H8" s="523"/>
      <c r="I8" s="544"/>
      <c r="J8" s="541"/>
      <c r="K8" s="545">
        <f>F9-D9</f>
        <v>-100000</v>
      </c>
      <c r="M8" s="655"/>
    </row>
    <row r="9" spans="1:13" s="537" customFormat="1" ht="15" customHeight="1">
      <c r="A9" s="529" t="s">
        <v>447</v>
      </c>
      <c r="B9" s="538">
        <v>50000</v>
      </c>
      <c r="C9" s="538"/>
      <c r="D9" s="539">
        <v>600000</v>
      </c>
      <c r="E9" s="539"/>
      <c r="F9" s="522">
        <f>'事業別損益表（事業別）'!U8</f>
        <v>500000</v>
      </c>
      <c r="G9" s="522">
        <f>F9</f>
        <v>500000</v>
      </c>
      <c r="H9" s="523"/>
      <c r="I9" s="544" t="s">
        <v>468</v>
      </c>
      <c r="J9" s="541"/>
      <c r="K9" s="545"/>
      <c r="M9" s="655"/>
    </row>
    <row r="10" spans="1:13" s="537" customFormat="1" ht="15" customHeight="1">
      <c r="A10" s="529" t="s">
        <v>391</v>
      </c>
      <c r="B10" s="543"/>
      <c r="C10" s="538"/>
      <c r="D10" s="543"/>
      <c r="E10" s="539"/>
      <c r="F10" s="521"/>
      <c r="G10" s="523"/>
      <c r="H10" s="523"/>
      <c r="I10" s="544"/>
      <c r="J10" s="541"/>
      <c r="K10" s="545">
        <f>F11-D11</f>
        <v>-2000000</v>
      </c>
      <c r="M10" s="655"/>
    </row>
    <row r="11" spans="1:13" s="537" customFormat="1" ht="15" customHeight="1">
      <c r="A11" s="529" t="s">
        <v>448</v>
      </c>
      <c r="B11" s="538">
        <v>1200000</v>
      </c>
      <c r="C11" s="538"/>
      <c r="D11" s="539">
        <v>4000000</v>
      </c>
      <c r="E11" s="539"/>
      <c r="F11" s="522">
        <f>'事業別損益表（事業別）'!U7</f>
        <v>2000000</v>
      </c>
      <c r="G11" s="522">
        <f>F11</f>
        <v>2000000</v>
      </c>
      <c r="H11" s="523"/>
      <c r="I11" s="544"/>
      <c r="J11" s="541"/>
      <c r="K11" s="545"/>
      <c r="M11" s="655"/>
    </row>
    <row r="12" spans="1:13" s="537" customFormat="1" ht="15" customHeight="1">
      <c r="A12" s="529" t="s">
        <v>392</v>
      </c>
      <c r="B12" s="538">
        <f>SUM(B13:B16)</f>
        <v>93566000</v>
      </c>
      <c r="C12" s="538"/>
      <c r="D12" s="539">
        <f>SUM(D13:D16)</f>
        <v>93100000</v>
      </c>
      <c r="E12" s="539"/>
      <c r="F12" s="523"/>
      <c r="G12" s="523"/>
      <c r="H12" s="523"/>
      <c r="I12" s="544"/>
      <c r="J12" s="541"/>
      <c r="K12" s="545">
        <f>SUM(K13:K16)</f>
        <v>145302000</v>
      </c>
      <c r="M12" s="655"/>
    </row>
    <row r="13" spans="1:13" s="537" customFormat="1" ht="15" customHeight="1">
      <c r="A13" s="529" t="s">
        <v>665</v>
      </c>
      <c r="B13" s="538">
        <v>42000000</v>
      </c>
      <c r="C13" s="538"/>
      <c r="D13" s="539">
        <v>42000000</v>
      </c>
      <c r="E13" s="539"/>
      <c r="F13" s="523">
        <f>'事業別損益表（事業別）'!S5</f>
        <v>132966000</v>
      </c>
      <c r="G13" s="523"/>
      <c r="H13" s="523"/>
      <c r="I13" s="544"/>
      <c r="J13" s="541"/>
      <c r="K13" s="547">
        <f t="shared" ref="K13:K21" si="0">F13-D13</f>
        <v>90966000</v>
      </c>
      <c r="M13" s="655"/>
    </row>
    <row r="14" spans="1:13" s="537" customFormat="1" ht="15" customHeight="1">
      <c r="A14" s="529" t="s">
        <v>666</v>
      </c>
      <c r="B14" s="538">
        <v>34007000</v>
      </c>
      <c r="C14" s="538"/>
      <c r="D14" s="539">
        <v>32140000</v>
      </c>
      <c r="E14" s="539"/>
      <c r="F14" s="523">
        <f>'事業別損益表（事業別）'!S6</f>
        <v>41108000</v>
      </c>
      <c r="G14" s="523"/>
      <c r="H14" s="523"/>
      <c r="I14" s="544"/>
      <c r="J14" s="541"/>
      <c r="K14" s="545">
        <f t="shared" si="0"/>
        <v>8968000</v>
      </c>
      <c r="M14" s="655"/>
    </row>
    <row r="15" spans="1:13" s="537" customFormat="1" ht="15" customHeight="1">
      <c r="A15" s="529" t="s">
        <v>667</v>
      </c>
      <c r="B15" s="538"/>
      <c r="C15" s="538"/>
      <c r="D15" s="539"/>
      <c r="E15" s="539"/>
      <c r="F15" s="523">
        <f>'事業別損益表（事業別）'!S7</f>
        <v>9962000</v>
      </c>
      <c r="G15" s="523"/>
      <c r="H15" s="523"/>
      <c r="I15" s="544"/>
      <c r="J15" s="541"/>
      <c r="K15" s="545"/>
      <c r="M15" s="655"/>
    </row>
    <row r="16" spans="1:13" s="537" customFormat="1" ht="15" customHeight="1">
      <c r="A16" s="529" t="s">
        <v>668</v>
      </c>
      <c r="B16" s="538">
        <v>17559000</v>
      </c>
      <c r="C16" s="538"/>
      <c r="D16" s="539">
        <v>18960000</v>
      </c>
      <c r="E16" s="539"/>
      <c r="F16" s="522">
        <f>'事業別損益表（事業別）'!S8</f>
        <v>64328000</v>
      </c>
      <c r="G16" s="522">
        <f>SUM(F13:F16)</f>
        <v>248364000</v>
      </c>
      <c r="H16" s="523"/>
      <c r="I16" s="544"/>
      <c r="J16" s="541"/>
      <c r="K16" s="545">
        <f t="shared" si="0"/>
        <v>45368000</v>
      </c>
      <c r="M16" s="655"/>
    </row>
    <row r="17" spans="1:13" s="537" customFormat="1" ht="15" customHeight="1">
      <c r="A17" s="529" t="s">
        <v>393</v>
      </c>
      <c r="B17" s="538"/>
      <c r="C17" s="538"/>
      <c r="D17" s="539"/>
      <c r="E17" s="539"/>
      <c r="F17" s="523"/>
      <c r="G17" s="523"/>
      <c r="H17" s="523"/>
      <c r="I17" s="544"/>
      <c r="J17" s="541"/>
      <c r="K17" s="547"/>
      <c r="M17" s="655"/>
    </row>
    <row r="18" spans="1:13" s="537" customFormat="1" ht="15" customHeight="1">
      <c r="A18" s="529" t="s">
        <v>395</v>
      </c>
      <c r="B18" s="538">
        <v>5000</v>
      </c>
      <c r="C18" s="538"/>
      <c r="D18" s="539">
        <v>5000</v>
      </c>
      <c r="E18" s="539"/>
      <c r="F18" s="523">
        <f>'事業別損益表（事業別）'!U5</f>
        <v>3000</v>
      </c>
      <c r="G18" s="523"/>
      <c r="H18" s="523"/>
      <c r="I18" s="544" t="s">
        <v>484</v>
      </c>
      <c r="J18" s="541"/>
      <c r="K18" s="547">
        <f>F18-D18</f>
        <v>-2000</v>
      </c>
      <c r="M18" s="655"/>
    </row>
    <row r="19" spans="1:13" s="537" customFormat="1" ht="15" customHeight="1">
      <c r="A19" s="529" t="s">
        <v>394</v>
      </c>
      <c r="B19" s="538"/>
      <c r="C19" s="538"/>
      <c r="D19" s="539"/>
      <c r="E19" s="539"/>
      <c r="F19" s="523">
        <f>'事業別損益表（事業別）'!U9</f>
        <v>1000000</v>
      </c>
      <c r="G19" s="523"/>
      <c r="H19" s="523"/>
      <c r="I19" s="544"/>
      <c r="J19" s="541"/>
      <c r="K19" s="549"/>
      <c r="M19" s="655"/>
    </row>
    <row r="20" spans="1:13" s="537" customFormat="1" ht="15" customHeight="1">
      <c r="A20" s="843" t="s">
        <v>670</v>
      </c>
      <c r="B20" s="538">
        <v>300000</v>
      </c>
      <c r="C20" s="538"/>
      <c r="D20" s="539">
        <v>600000</v>
      </c>
      <c r="E20" s="539"/>
      <c r="F20" s="822">
        <v>150000</v>
      </c>
      <c r="G20" s="522">
        <f>SUM(F18:F20)</f>
        <v>1153000</v>
      </c>
      <c r="H20" s="523"/>
      <c r="I20" s="544"/>
      <c r="J20" s="541"/>
      <c r="K20" s="548">
        <f>F19-D20</f>
        <v>400000</v>
      </c>
      <c r="M20" s="655"/>
    </row>
    <row r="21" spans="1:13" s="537" customFormat="1" ht="20.100000000000001" customHeight="1" thickBot="1">
      <c r="A21" s="529" t="s">
        <v>449</v>
      </c>
      <c r="B21" s="538">
        <f>B18+B7+B12+B9+B11+B20</f>
        <v>95511000</v>
      </c>
      <c r="C21" s="538"/>
      <c r="D21" s="539">
        <f>D18+D7+D12+D9+D11+D20</f>
        <v>98725000</v>
      </c>
      <c r="E21" s="539">
        <f>E18+E6+E12+E8+E10+E20</f>
        <v>0</v>
      </c>
      <c r="F21" s="523"/>
      <c r="G21" s="523"/>
      <c r="H21" s="556">
        <f>SUM(G7:G20)</f>
        <v>252317000</v>
      </c>
      <c r="I21" s="544"/>
      <c r="J21" s="535"/>
      <c r="K21" s="549">
        <f t="shared" si="0"/>
        <v>-98725000</v>
      </c>
      <c r="M21" s="655"/>
    </row>
    <row r="22" spans="1:13" s="537" customFormat="1" ht="14.25" thickTop="1">
      <c r="A22" s="530"/>
      <c r="B22" s="538"/>
      <c r="C22" s="538"/>
      <c r="D22" s="539"/>
      <c r="E22" s="539"/>
      <c r="F22" s="522"/>
      <c r="G22" s="522"/>
      <c r="H22" s="522"/>
      <c r="I22" s="546"/>
      <c r="J22" s="535"/>
      <c r="K22" s="548"/>
      <c r="M22" s="655"/>
    </row>
    <row r="23" spans="1:13" s="537" customFormat="1" ht="20.100000000000001" customHeight="1">
      <c r="A23" s="528" t="s">
        <v>396</v>
      </c>
      <c r="B23" s="538"/>
      <c r="C23" s="538"/>
      <c r="D23" s="539"/>
      <c r="E23" s="539"/>
      <c r="F23" s="844"/>
      <c r="G23" s="844"/>
      <c r="H23" s="844"/>
      <c r="I23" s="540"/>
      <c r="J23" s="535"/>
      <c r="K23" s="549"/>
      <c r="M23" s="655"/>
    </row>
    <row r="24" spans="1:13" s="537" customFormat="1">
      <c r="A24" s="529" t="s">
        <v>69</v>
      </c>
      <c r="B24" s="538"/>
      <c r="C24" s="538"/>
      <c r="D24" s="539"/>
      <c r="E24" s="539"/>
      <c r="F24" s="523"/>
      <c r="G24" s="523"/>
      <c r="H24" s="523"/>
      <c r="I24" s="544"/>
      <c r="J24" s="535"/>
      <c r="K24" s="549"/>
      <c r="M24" s="655"/>
    </row>
    <row r="25" spans="1:13" s="537" customFormat="1">
      <c r="A25" s="529" t="s">
        <v>397</v>
      </c>
      <c r="B25" s="538"/>
      <c r="C25" s="538"/>
      <c r="D25" s="539"/>
      <c r="E25" s="539"/>
      <c r="F25" s="523"/>
      <c r="G25" s="523"/>
      <c r="H25" s="523"/>
      <c r="I25" s="544"/>
      <c r="J25" s="535"/>
      <c r="K25" s="549"/>
      <c r="M25" s="655"/>
    </row>
    <row r="26" spans="1:13" s="537" customFormat="1">
      <c r="A26" s="529" t="s">
        <v>398</v>
      </c>
      <c r="B26" s="538"/>
      <c r="C26" s="538"/>
      <c r="D26" s="539"/>
      <c r="E26" s="539"/>
      <c r="F26" s="522">
        <f>'事業別損益表（事業別）'!S12</f>
        <v>151429000</v>
      </c>
      <c r="G26" s="522">
        <f>F26</f>
        <v>151429000</v>
      </c>
      <c r="H26" s="523"/>
      <c r="I26" s="544"/>
      <c r="J26" s="535"/>
      <c r="K26" s="549"/>
      <c r="M26" s="655"/>
    </row>
    <row r="27" spans="1:13" s="537" customFormat="1">
      <c r="A27" s="529" t="s">
        <v>399</v>
      </c>
      <c r="B27" s="538"/>
      <c r="C27" s="538"/>
      <c r="D27" s="539"/>
      <c r="E27" s="539"/>
      <c r="F27" s="523"/>
      <c r="G27" s="523"/>
      <c r="H27" s="523"/>
      <c r="I27" s="544"/>
      <c r="J27" s="535"/>
      <c r="K27" s="549"/>
      <c r="M27" s="655"/>
    </row>
    <row r="28" spans="1:13" s="537" customFormat="1">
      <c r="A28" s="529" t="s">
        <v>441</v>
      </c>
      <c r="B28" s="538"/>
      <c r="C28" s="538"/>
      <c r="D28" s="539"/>
      <c r="E28" s="539"/>
      <c r="F28" s="523">
        <f>'事業別損益表（事業別）'!S16</f>
        <v>12833000</v>
      </c>
      <c r="G28" s="523"/>
      <c r="H28" s="523"/>
      <c r="I28" s="544" t="s">
        <v>479</v>
      </c>
      <c r="J28" s="535"/>
      <c r="K28" s="549"/>
      <c r="L28" s="535"/>
      <c r="M28" s="655"/>
    </row>
    <row r="29" spans="1:13" s="537" customFormat="1">
      <c r="A29" s="529" t="s">
        <v>417</v>
      </c>
      <c r="B29" s="538"/>
      <c r="C29" s="538"/>
      <c r="D29" s="539"/>
      <c r="E29" s="539"/>
      <c r="F29" s="523">
        <f>'事業別損益表（事業別）'!S17</f>
        <v>5209000</v>
      </c>
      <c r="G29" s="523"/>
      <c r="H29" s="523"/>
      <c r="I29" s="544"/>
      <c r="J29" s="535"/>
      <c r="K29" s="549"/>
      <c r="M29" s="655"/>
    </row>
    <row r="30" spans="1:13" s="537" customFormat="1">
      <c r="A30" s="529" t="s">
        <v>418</v>
      </c>
      <c r="B30" s="538"/>
      <c r="C30" s="538"/>
      <c r="D30" s="539"/>
      <c r="E30" s="539"/>
      <c r="F30" s="523">
        <f>'事業別損益表（事業別）'!S18</f>
        <v>1737000</v>
      </c>
      <c r="G30" s="523"/>
      <c r="H30" s="523"/>
      <c r="I30" s="544" t="s">
        <v>471</v>
      </c>
      <c r="J30" s="535"/>
      <c r="K30" s="549"/>
      <c r="M30" s="655"/>
    </row>
    <row r="31" spans="1:13" s="537" customFormat="1">
      <c r="A31" s="529" t="s">
        <v>419</v>
      </c>
      <c r="B31" s="538"/>
      <c r="C31" s="538"/>
      <c r="D31" s="539"/>
      <c r="E31" s="539"/>
      <c r="F31" s="523">
        <f>'事業別損益表（事業別）'!S19</f>
        <v>791000</v>
      </c>
      <c r="G31" s="523"/>
      <c r="H31" s="523"/>
      <c r="I31" s="544"/>
      <c r="J31" s="535"/>
      <c r="K31" s="549"/>
      <c r="M31" s="655"/>
    </row>
    <row r="32" spans="1:13" s="537" customFormat="1">
      <c r="A32" s="529" t="s">
        <v>420</v>
      </c>
      <c r="B32" s="538"/>
      <c r="C32" s="538"/>
      <c r="D32" s="539"/>
      <c r="E32" s="539"/>
      <c r="F32" s="523">
        <f>'事業別損益表（事業別）'!S20</f>
        <v>159000</v>
      </c>
      <c r="G32" s="523"/>
      <c r="H32" s="523"/>
      <c r="I32" s="544"/>
      <c r="J32" s="535"/>
      <c r="K32" s="549"/>
      <c r="M32" s="655"/>
    </row>
    <row r="33" spans="1:13" s="537" customFormat="1">
      <c r="A33" s="529" t="s">
        <v>421</v>
      </c>
      <c r="B33" s="538"/>
      <c r="C33" s="538"/>
      <c r="D33" s="539"/>
      <c r="E33" s="539"/>
      <c r="F33" s="523">
        <f>'事業別損益表（事業別）'!S21</f>
        <v>99000</v>
      </c>
      <c r="G33" s="523"/>
      <c r="H33" s="523"/>
      <c r="I33" s="544"/>
      <c r="J33" s="535"/>
      <c r="K33" s="549"/>
      <c r="M33" s="655"/>
    </row>
    <row r="34" spans="1:13" s="537" customFormat="1">
      <c r="A34" s="529" t="s">
        <v>422</v>
      </c>
      <c r="B34" s="538"/>
      <c r="C34" s="538"/>
      <c r="D34" s="539"/>
      <c r="E34" s="539"/>
      <c r="F34" s="523">
        <f>'事業別損益表（事業別）'!S22</f>
        <v>159000</v>
      </c>
      <c r="G34" s="523"/>
      <c r="H34" s="523"/>
      <c r="I34" s="544"/>
      <c r="J34" s="535"/>
      <c r="K34" s="549"/>
      <c r="M34" s="655"/>
    </row>
    <row r="35" spans="1:13" s="537" customFormat="1" hidden="1">
      <c r="A35" s="529" t="s">
        <v>423</v>
      </c>
      <c r="B35" s="538"/>
      <c r="C35" s="538"/>
      <c r="D35" s="539"/>
      <c r="E35" s="539"/>
      <c r="F35" s="523">
        <f>'事業別損益表（事業別）'!S23</f>
        <v>344000</v>
      </c>
      <c r="G35" s="523"/>
      <c r="H35" s="523"/>
      <c r="I35" s="544"/>
      <c r="J35" s="535"/>
      <c r="K35" s="549"/>
      <c r="M35" s="655"/>
    </row>
    <row r="36" spans="1:13" s="537" customFormat="1">
      <c r="A36" s="529" t="s">
        <v>424</v>
      </c>
      <c r="B36" s="538"/>
      <c r="C36" s="538"/>
      <c r="D36" s="539"/>
      <c r="E36" s="539"/>
      <c r="F36" s="523">
        <f>'事業別損益表（事業別）'!S24</f>
        <v>3102000</v>
      </c>
      <c r="G36" s="523"/>
      <c r="H36" s="523"/>
      <c r="I36" s="544" t="s">
        <v>469</v>
      </c>
      <c r="J36" s="535"/>
      <c r="K36" s="549"/>
      <c r="M36" s="655"/>
    </row>
    <row r="37" spans="1:13" s="537" customFormat="1">
      <c r="A37" s="529" t="s">
        <v>425</v>
      </c>
      <c r="B37" s="538"/>
      <c r="C37" s="538"/>
      <c r="D37" s="539"/>
      <c r="E37" s="539"/>
      <c r="F37" s="523">
        <f>'事業別損益表（事業別）'!S25</f>
        <v>1461000</v>
      </c>
      <c r="G37" s="523"/>
      <c r="H37" s="523"/>
      <c r="I37" s="544" t="s">
        <v>474</v>
      </c>
      <c r="J37" s="535"/>
      <c r="K37" s="549"/>
      <c r="M37" s="655"/>
    </row>
    <row r="38" spans="1:13" s="537" customFormat="1">
      <c r="A38" s="529" t="s">
        <v>426</v>
      </c>
      <c r="B38" s="538"/>
      <c r="C38" s="538"/>
      <c r="D38" s="539"/>
      <c r="E38" s="539"/>
      <c r="F38" s="523">
        <f>'事業別損益表（事業別）'!S26</f>
        <v>819000</v>
      </c>
      <c r="G38" s="523"/>
      <c r="H38" s="523"/>
      <c r="I38" s="544"/>
      <c r="J38" s="535"/>
      <c r="K38" s="549"/>
      <c r="M38" s="655"/>
    </row>
    <row r="39" spans="1:13" s="537" customFormat="1">
      <c r="A39" s="529" t="s">
        <v>428</v>
      </c>
      <c r="B39" s="538"/>
      <c r="C39" s="538"/>
      <c r="D39" s="539"/>
      <c r="E39" s="539"/>
      <c r="F39" s="523">
        <f>'事業別損益表（事業別）'!S27</f>
        <v>47000</v>
      </c>
      <c r="G39" s="523"/>
      <c r="H39" s="523"/>
      <c r="I39" s="544"/>
      <c r="J39" s="535"/>
      <c r="K39" s="549"/>
      <c r="M39" s="655"/>
    </row>
    <row r="40" spans="1:13" s="537" customFormat="1">
      <c r="A40" s="529" t="s">
        <v>429</v>
      </c>
      <c r="B40" s="538"/>
      <c r="C40" s="538"/>
      <c r="D40" s="539"/>
      <c r="E40" s="539"/>
      <c r="F40" s="523">
        <f>'事業別損益表（事業別）'!S28</f>
        <v>28000</v>
      </c>
      <c r="G40" s="523"/>
      <c r="H40" s="523"/>
      <c r="I40" s="544"/>
      <c r="J40" s="535"/>
      <c r="K40" s="549"/>
      <c r="M40" s="655"/>
    </row>
    <row r="41" spans="1:13" s="537" customFormat="1">
      <c r="A41" s="529" t="s">
        <v>430</v>
      </c>
      <c r="B41" s="538"/>
      <c r="C41" s="538"/>
      <c r="D41" s="539"/>
      <c r="E41" s="539"/>
      <c r="F41" s="523">
        <f>'事業別損益表（事業別）'!S29</f>
        <v>60000</v>
      </c>
      <c r="G41" s="523"/>
      <c r="H41" s="523"/>
      <c r="I41" s="544" t="s">
        <v>681</v>
      </c>
      <c r="J41" s="535"/>
      <c r="K41" s="549"/>
      <c r="M41" s="655"/>
    </row>
    <row r="42" spans="1:13" s="537" customFormat="1">
      <c r="A42" s="529" t="s">
        <v>431</v>
      </c>
      <c r="B42" s="538"/>
      <c r="C42" s="538"/>
      <c r="D42" s="539"/>
      <c r="E42" s="539"/>
      <c r="F42" s="523">
        <f>'事業別損益表（事業別）'!S30</f>
        <v>3046000</v>
      </c>
      <c r="G42" s="523"/>
      <c r="H42" s="523"/>
      <c r="I42" s="544" t="s">
        <v>480</v>
      </c>
      <c r="J42" s="535"/>
      <c r="K42" s="549"/>
      <c r="M42" s="655"/>
    </row>
    <row r="43" spans="1:13" s="537" customFormat="1">
      <c r="A43" s="529" t="s">
        <v>432</v>
      </c>
      <c r="B43" s="538"/>
      <c r="C43" s="538"/>
      <c r="D43" s="539"/>
      <c r="E43" s="539"/>
      <c r="F43" s="523">
        <f>'事業別損益表（事業別）'!S31</f>
        <v>27000</v>
      </c>
      <c r="G43" s="523"/>
      <c r="H43" s="523"/>
      <c r="I43" s="544"/>
      <c r="J43" s="535"/>
      <c r="K43" s="549"/>
      <c r="M43" s="655"/>
    </row>
    <row r="44" spans="1:13" s="537" customFormat="1">
      <c r="A44" s="529" t="s">
        <v>433</v>
      </c>
      <c r="B44" s="538"/>
      <c r="C44" s="538"/>
      <c r="D44" s="539"/>
      <c r="E44" s="539"/>
      <c r="F44" s="523">
        <f>'事業別損益表（事業別）'!S32</f>
        <v>174000</v>
      </c>
      <c r="G44" s="523"/>
      <c r="H44" s="523"/>
      <c r="I44" s="544"/>
      <c r="J44" s="535"/>
      <c r="K44" s="549"/>
      <c r="M44" s="655"/>
    </row>
    <row r="45" spans="1:13" s="537" customFormat="1">
      <c r="A45" s="529" t="s">
        <v>434</v>
      </c>
      <c r="B45" s="538"/>
      <c r="C45" s="538"/>
      <c r="D45" s="539"/>
      <c r="E45" s="539"/>
      <c r="F45" s="523">
        <f>'事業別損益表（事業別）'!S33</f>
        <v>16942000</v>
      </c>
      <c r="G45" s="523"/>
      <c r="H45" s="523"/>
      <c r="I45" s="544" t="s">
        <v>477</v>
      </c>
      <c r="J45" s="535"/>
      <c r="K45" s="549"/>
      <c r="M45" s="655"/>
    </row>
    <row r="46" spans="1:13" s="537" customFormat="1">
      <c r="A46" s="529" t="s">
        <v>659</v>
      </c>
      <c r="B46" s="538"/>
      <c r="C46" s="538"/>
      <c r="D46" s="539"/>
      <c r="E46" s="539"/>
      <c r="F46" s="523">
        <f>'事業別損益表（事業別）'!S34</f>
        <v>7200000</v>
      </c>
      <c r="G46" s="523"/>
      <c r="H46" s="523"/>
      <c r="I46" s="544"/>
      <c r="J46" s="535"/>
      <c r="K46" s="549"/>
      <c r="M46" s="655"/>
    </row>
    <row r="47" spans="1:13" s="537" customFormat="1">
      <c r="A47" s="529" t="s">
        <v>679</v>
      </c>
      <c r="B47" s="538"/>
      <c r="C47" s="538"/>
      <c r="D47" s="539"/>
      <c r="E47" s="539"/>
      <c r="F47" s="523">
        <f>'事業別損益表（事業別）'!S35</f>
        <v>560000</v>
      </c>
      <c r="G47" s="523"/>
      <c r="H47" s="523"/>
      <c r="I47" s="544"/>
      <c r="J47" s="535"/>
      <c r="K47" s="549"/>
      <c r="M47" s="655"/>
    </row>
    <row r="48" spans="1:13" s="537" customFormat="1">
      <c r="A48" s="529" t="s">
        <v>435</v>
      </c>
      <c r="B48" s="538"/>
      <c r="C48" s="538"/>
      <c r="D48" s="539"/>
      <c r="E48" s="539"/>
      <c r="F48" s="522">
        <f>'事業別損益表（事業別）'!S36</f>
        <v>405000</v>
      </c>
      <c r="G48" s="522">
        <f>SUM(F28:F48)</f>
        <v>55202000</v>
      </c>
      <c r="H48" s="523"/>
      <c r="I48" s="544"/>
      <c r="J48" s="535"/>
      <c r="K48" s="549"/>
      <c r="M48" s="655"/>
    </row>
    <row r="49" spans="1:13" s="537" customFormat="1" ht="14.25" customHeight="1">
      <c r="A49" s="845" t="s">
        <v>440</v>
      </c>
      <c r="B49" s="846"/>
      <c r="C49" s="846"/>
      <c r="D49" s="847"/>
      <c r="E49" s="847"/>
      <c r="F49" s="848"/>
      <c r="G49" s="848">
        <f>G26+G48</f>
        <v>206631000</v>
      </c>
      <c r="H49" s="848"/>
      <c r="I49" s="849"/>
      <c r="J49" s="535"/>
      <c r="K49" s="549"/>
      <c r="M49" s="655"/>
    </row>
    <row r="50" spans="1:13" s="537" customFormat="1">
      <c r="A50" s="529"/>
      <c r="B50" s="530"/>
      <c r="C50" s="530"/>
      <c r="D50" s="546"/>
      <c r="E50" s="546"/>
      <c r="F50" s="523"/>
      <c r="G50" s="523"/>
      <c r="H50" s="523"/>
      <c r="I50" s="544"/>
      <c r="J50" s="541"/>
      <c r="K50" s="550"/>
      <c r="M50" s="655"/>
    </row>
    <row r="51" spans="1:13" s="537" customFormat="1">
      <c r="A51" s="529" t="s">
        <v>28</v>
      </c>
      <c r="B51" s="538"/>
      <c r="C51" s="538"/>
      <c r="D51" s="539"/>
      <c r="E51" s="539"/>
      <c r="F51" s="523"/>
      <c r="G51" s="523"/>
      <c r="H51" s="523"/>
      <c r="I51" s="544"/>
      <c r="J51" s="535"/>
      <c r="K51" s="549"/>
      <c r="M51" s="655"/>
    </row>
    <row r="52" spans="1:13" s="537" customFormat="1">
      <c r="A52" s="529" t="s">
        <v>442</v>
      </c>
      <c r="B52" s="538"/>
      <c r="C52" s="538"/>
      <c r="D52" s="539"/>
      <c r="E52" s="539"/>
      <c r="F52" s="523"/>
      <c r="G52" s="523"/>
      <c r="H52" s="523"/>
      <c r="I52" s="544"/>
      <c r="J52" s="535"/>
      <c r="K52" s="549"/>
      <c r="M52" s="655"/>
    </row>
    <row r="53" spans="1:13" s="537" customFormat="1">
      <c r="A53" s="529" t="s">
        <v>456</v>
      </c>
      <c r="B53" s="538">
        <v>20620000</v>
      </c>
      <c r="C53" s="538"/>
      <c r="D53" s="539">
        <v>21600000</v>
      </c>
      <c r="E53" s="539"/>
      <c r="F53" s="523">
        <f>'事業別損益表（事業別）'!U13</f>
        <v>6683000</v>
      </c>
      <c r="G53" s="523"/>
      <c r="H53" s="523"/>
      <c r="I53" s="544"/>
      <c r="J53" s="535"/>
      <c r="K53" s="547">
        <f t="shared" ref="K53:K80" si="1">F53-D53</f>
        <v>-14917000</v>
      </c>
      <c r="M53" s="655"/>
    </row>
    <row r="54" spans="1:13" s="537" customFormat="1" ht="15" customHeight="1">
      <c r="A54" s="529" t="s">
        <v>457</v>
      </c>
      <c r="B54" s="538">
        <v>7935000</v>
      </c>
      <c r="C54" s="538"/>
      <c r="D54" s="539">
        <v>11021000</v>
      </c>
      <c r="E54" s="539"/>
      <c r="F54" s="523">
        <f>'事業別損益表（事業別）'!U14</f>
        <v>12691000</v>
      </c>
      <c r="G54" s="523"/>
      <c r="H54" s="523"/>
      <c r="I54" s="544" t="s">
        <v>661</v>
      </c>
      <c r="J54" s="535"/>
      <c r="K54" s="545">
        <f t="shared" si="1"/>
        <v>1670000</v>
      </c>
      <c r="M54" s="655"/>
    </row>
    <row r="55" spans="1:13" s="537" customFormat="1" ht="15" customHeight="1">
      <c r="A55" s="529" t="s">
        <v>458</v>
      </c>
      <c r="B55" s="538">
        <v>888000</v>
      </c>
      <c r="C55" s="538"/>
      <c r="D55" s="539">
        <v>1000000</v>
      </c>
      <c r="E55" s="539"/>
      <c r="F55" s="522">
        <f>'事業別損益表（事業別）'!U15</f>
        <v>895000</v>
      </c>
      <c r="G55" s="522">
        <f>SUM(F53:F55)</f>
        <v>20269000</v>
      </c>
      <c r="H55" s="523"/>
      <c r="I55" s="544" t="s">
        <v>470</v>
      </c>
      <c r="J55" s="535"/>
      <c r="K55" s="545">
        <f t="shared" si="1"/>
        <v>-105000</v>
      </c>
      <c r="M55" s="655"/>
    </row>
    <row r="56" spans="1:13" s="537" customFormat="1" ht="15" customHeight="1">
      <c r="A56" s="529" t="s">
        <v>443</v>
      </c>
      <c r="B56" s="538"/>
      <c r="C56" s="538"/>
      <c r="D56" s="539"/>
      <c r="E56" s="539"/>
      <c r="F56" s="523"/>
      <c r="G56" s="523"/>
      <c r="H56" s="523"/>
      <c r="I56" s="544"/>
      <c r="J56" s="535"/>
      <c r="K56" s="545"/>
      <c r="M56" s="655"/>
    </row>
    <row r="57" spans="1:13" s="537" customFormat="1" ht="15" hidden="1" customHeight="1">
      <c r="A57" s="529" t="s">
        <v>441</v>
      </c>
      <c r="B57" s="538">
        <v>1500000</v>
      </c>
      <c r="C57" s="538"/>
      <c r="D57" s="539">
        <v>500000</v>
      </c>
      <c r="E57" s="539"/>
      <c r="F57" s="523">
        <f>'事業別損益表（事業別）'!U16</f>
        <v>0</v>
      </c>
      <c r="G57" s="523"/>
      <c r="H57" s="523"/>
      <c r="I57" s="544"/>
      <c r="J57" s="535"/>
      <c r="K57" s="545">
        <f t="shared" si="1"/>
        <v>-500000</v>
      </c>
      <c r="M57" s="655"/>
    </row>
    <row r="58" spans="1:13" s="537" customFormat="1" ht="15" customHeight="1">
      <c r="A58" s="529" t="s">
        <v>417</v>
      </c>
      <c r="B58" s="538">
        <v>720000</v>
      </c>
      <c r="C58" s="538"/>
      <c r="D58" s="539">
        <v>700000</v>
      </c>
      <c r="E58" s="539"/>
      <c r="F58" s="523">
        <f>'事業別損益表（事業別）'!U17</f>
        <v>675000</v>
      </c>
      <c r="G58" s="523"/>
      <c r="H58" s="523"/>
      <c r="I58" s="544"/>
      <c r="J58" s="535"/>
      <c r="K58" s="545">
        <f t="shared" si="1"/>
        <v>-25000</v>
      </c>
      <c r="M58" s="655"/>
    </row>
    <row r="59" spans="1:13" s="537" customFormat="1" ht="15" customHeight="1">
      <c r="A59" s="529" t="s">
        <v>418</v>
      </c>
      <c r="B59" s="538">
        <v>1380000</v>
      </c>
      <c r="C59" s="538"/>
      <c r="D59" s="539">
        <v>6027000</v>
      </c>
      <c r="E59" s="539"/>
      <c r="F59" s="523">
        <f>'事業別損益表（事業別）'!U18</f>
        <v>180000</v>
      </c>
      <c r="G59" s="523"/>
      <c r="H59" s="523"/>
      <c r="I59" s="531"/>
      <c r="J59" s="535"/>
      <c r="K59" s="545">
        <f t="shared" si="1"/>
        <v>-5847000</v>
      </c>
      <c r="M59" s="655"/>
    </row>
    <row r="60" spans="1:13" s="537" customFormat="1" ht="15" customHeight="1">
      <c r="A60" s="529" t="s">
        <v>419</v>
      </c>
      <c r="B60" s="538">
        <v>1644000</v>
      </c>
      <c r="C60" s="538"/>
      <c r="D60" s="539">
        <v>2000000</v>
      </c>
      <c r="E60" s="539"/>
      <c r="F60" s="523">
        <f>'事業別損益表（事業別）'!U19</f>
        <v>2236000</v>
      </c>
      <c r="G60" s="523"/>
      <c r="H60" s="523"/>
      <c r="I60" s="544"/>
      <c r="J60" s="535"/>
      <c r="K60" s="545">
        <f t="shared" si="1"/>
        <v>236000</v>
      </c>
      <c r="M60" s="655"/>
    </row>
    <row r="61" spans="1:13" s="537" customFormat="1" ht="15" customHeight="1">
      <c r="A61" s="529" t="s">
        <v>420</v>
      </c>
      <c r="B61" s="538">
        <v>240000</v>
      </c>
      <c r="C61" s="538"/>
      <c r="D61" s="539">
        <v>100000</v>
      </c>
      <c r="E61" s="539"/>
      <c r="F61" s="523">
        <f>'事業別損益表（事業別）'!U20</f>
        <v>304000</v>
      </c>
      <c r="G61" s="523"/>
      <c r="H61" s="523"/>
      <c r="I61" s="544"/>
      <c r="J61" s="535"/>
      <c r="K61" s="545">
        <f t="shared" si="1"/>
        <v>204000</v>
      </c>
      <c r="M61" s="655"/>
    </row>
    <row r="62" spans="1:13" s="537" customFormat="1" ht="15" customHeight="1">
      <c r="A62" s="529" t="s">
        <v>421</v>
      </c>
      <c r="B62" s="538">
        <v>250000</v>
      </c>
      <c r="C62" s="538"/>
      <c r="D62" s="539">
        <v>550000</v>
      </c>
      <c r="E62" s="539"/>
      <c r="F62" s="523">
        <f>'事業別損益表（事業別）'!U21</f>
        <v>110000</v>
      </c>
      <c r="G62" s="523"/>
      <c r="H62" s="523"/>
      <c r="I62" s="544" t="s">
        <v>472</v>
      </c>
      <c r="J62" s="535"/>
      <c r="K62" s="545">
        <f t="shared" si="1"/>
        <v>-440000</v>
      </c>
      <c r="M62" s="655"/>
    </row>
    <row r="63" spans="1:13" s="537" customFormat="1" ht="15" customHeight="1">
      <c r="A63" s="529" t="s">
        <v>422</v>
      </c>
      <c r="B63" s="538">
        <v>2000000</v>
      </c>
      <c r="C63" s="538"/>
      <c r="D63" s="539">
        <v>1000000</v>
      </c>
      <c r="E63" s="539"/>
      <c r="F63" s="523">
        <f>'事業別損益表（事業別）'!U22</f>
        <v>7000</v>
      </c>
      <c r="G63" s="523"/>
      <c r="H63" s="523"/>
      <c r="I63" s="544"/>
      <c r="J63" s="535"/>
      <c r="K63" s="545">
        <f t="shared" si="1"/>
        <v>-993000</v>
      </c>
      <c r="M63" s="655"/>
    </row>
    <row r="64" spans="1:13" s="537" customFormat="1" ht="15" customHeight="1">
      <c r="A64" s="529" t="s">
        <v>459</v>
      </c>
      <c r="B64" s="538">
        <v>120000</v>
      </c>
      <c r="C64" s="538"/>
      <c r="D64" s="539">
        <v>650000</v>
      </c>
      <c r="E64" s="539"/>
      <c r="F64" s="523">
        <f>'事業別損益表（事業別）'!U23</f>
        <v>400000</v>
      </c>
      <c r="G64" s="523"/>
      <c r="H64" s="523"/>
      <c r="I64" s="544" t="s">
        <v>473</v>
      </c>
      <c r="J64" s="535"/>
      <c r="K64" s="545">
        <f t="shared" si="1"/>
        <v>-250000</v>
      </c>
      <c r="M64" s="655"/>
    </row>
    <row r="65" spans="1:13" s="537" customFormat="1" ht="15" customHeight="1">
      <c r="A65" s="529" t="s">
        <v>460</v>
      </c>
      <c r="B65" s="538">
        <v>3240000</v>
      </c>
      <c r="C65" s="538"/>
      <c r="D65" s="539">
        <v>2853000</v>
      </c>
      <c r="E65" s="539"/>
      <c r="F65" s="523">
        <f>'事業別損益表（事業別）'!U24</f>
        <v>2748000</v>
      </c>
      <c r="G65" s="523"/>
      <c r="H65" s="523"/>
      <c r="I65" s="544"/>
      <c r="J65" s="535"/>
      <c r="K65" s="545">
        <f t="shared" si="1"/>
        <v>-105000</v>
      </c>
      <c r="M65" s="655"/>
    </row>
    <row r="66" spans="1:13" s="537" customFormat="1" ht="15" hidden="1" customHeight="1">
      <c r="A66" s="529" t="s">
        <v>461</v>
      </c>
      <c r="B66" s="538">
        <v>2208000</v>
      </c>
      <c r="C66" s="538"/>
      <c r="D66" s="539">
        <v>3000000</v>
      </c>
      <c r="E66" s="539"/>
      <c r="F66" s="523">
        <f>'事業別損益表（事業別）'!U25</f>
        <v>0</v>
      </c>
      <c r="G66" s="523"/>
      <c r="H66" s="523"/>
      <c r="I66" s="544"/>
      <c r="J66" s="535"/>
      <c r="K66" s="545">
        <f t="shared" si="1"/>
        <v>-3000000</v>
      </c>
      <c r="M66" s="655"/>
    </row>
    <row r="67" spans="1:13" s="537" customFormat="1" ht="15" customHeight="1">
      <c r="A67" s="529" t="s">
        <v>425</v>
      </c>
      <c r="B67" s="538">
        <v>492000</v>
      </c>
      <c r="C67" s="538"/>
      <c r="D67" s="539">
        <v>500000</v>
      </c>
      <c r="E67" s="539"/>
      <c r="F67" s="523">
        <f>'事業別損益表（事業別）'!U26</f>
        <v>811000</v>
      </c>
      <c r="G67" s="523"/>
      <c r="H67" s="523"/>
      <c r="I67" s="544"/>
      <c r="J67" s="535"/>
      <c r="K67" s="545">
        <f t="shared" si="1"/>
        <v>311000</v>
      </c>
      <c r="M67" s="655"/>
    </row>
    <row r="68" spans="1:13" s="537" customFormat="1" ht="15" customHeight="1">
      <c r="A68" s="529" t="s">
        <v>462</v>
      </c>
      <c r="B68" s="538">
        <v>588000</v>
      </c>
      <c r="C68" s="538"/>
      <c r="D68" s="539">
        <v>600000</v>
      </c>
      <c r="E68" s="539"/>
      <c r="F68" s="523">
        <f>'事業別損益表（事業別）'!U27</f>
        <v>975000</v>
      </c>
      <c r="G68" s="523"/>
      <c r="H68" s="523"/>
      <c r="I68" s="544" t="s">
        <v>475</v>
      </c>
      <c r="J68" s="535"/>
      <c r="K68" s="545">
        <f t="shared" si="1"/>
        <v>375000</v>
      </c>
      <c r="M68" s="655"/>
    </row>
    <row r="69" spans="1:13" s="537" customFormat="1" ht="15" hidden="1" customHeight="1">
      <c r="A69" s="529" t="s">
        <v>427</v>
      </c>
      <c r="B69" s="538">
        <v>200000</v>
      </c>
      <c r="C69" s="538"/>
      <c r="D69" s="539">
        <v>200000</v>
      </c>
      <c r="E69" s="539"/>
      <c r="F69" s="523">
        <f>'事業別損益表（事業別）'!U28</f>
        <v>0</v>
      </c>
      <c r="G69" s="523"/>
      <c r="H69" s="523"/>
      <c r="I69" s="544"/>
      <c r="J69" s="535"/>
      <c r="K69" s="545">
        <f t="shared" si="1"/>
        <v>-200000</v>
      </c>
      <c r="M69" s="655"/>
    </row>
    <row r="70" spans="1:13" s="537" customFormat="1" ht="15" hidden="1" customHeight="1">
      <c r="A70" s="529" t="s">
        <v>463</v>
      </c>
      <c r="B70" s="538">
        <v>80000</v>
      </c>
      <c r="C70" s="538"/>
      <c r="D70" s="539">
        <v>80000</v>
      </c>
      <c r="E70" s="539"/>
      <c r="F70" s="523">
        <f>'事業別損益表（事業別）'!U29</f>
        <v>25000</v>
      </c>
      <c r="G70" s="523"/>
      <c r="H70" s="523"/>
      <c r="I70" s="544"/>
      <c r="J70" s="535"/>
      <c r="K70" s="545">
        <f t="shared" si="1"/>
        <v>-55000</v>
      </c>
      <c r="M70" s="655"/>
    </row>
    <row r="71" spans="1:13" s="537" customFormat="1" ht="15" customHeight="1">
      <c r="A71" s="529" t="s">
        <v>464</v>
      </c>
      <c r="B71" s="538">
        <v>1500000</v>
      </c>
      <c r="C71" s="538"/>
      <c r="D71" s="539">
        <v>1500000</v>
      </c>
      <c r="E71" s="539"/>
      <c r="F71" s="523">
        <f>'事業別損益表（事業別）'!U30</f>
        <v>204000</v>
      </c>
      <c r="G71" s="523"/>
      <c r="H71" s="523"/>
      <c r="I71" s="544"/>
      <c r="J71" s="535"/>
      <c r="K71" s="545">
        <f t="shared" si="1"/>
        <v>-1296000</v>
      </c>
      <c r="M71" s="655"/>
    </row>
    <row r="72" spans="1:13" s="537" customFormat="1" ht="15" hidden="1" customHeight="1">
      <c r="A72" s="529" t="s">
        <v>430</v>
      </c>
      <c r="B72" s="538">
        <v>0</v>
      </c>
      <c r="C72" s="538"/>
      <c r="D72" s="539">
        <v>3210000</v>
      </c>
      <c r="E72" s="539"/>
      <c r="F72" s="523">
        <f>'事業別損益表（事業別）'!U31</f>
        <v>0</v>
      </c>
      <c r="G72" s="523"/>
      <c r="H72" s="523"/>
      <c r="I72" s="544"/>
      <c r="J72" s="535"/>
      <c r="K72" s="545">
        <f t="shared" si="1"/>
        <v>-3210000</v>
      </c>
      <c r="M72" s="655"/>
    </row>
    <row r="73" spans="1:13" s="537" customFormat="1" ht="15" hidden="1" customHeight="1">
      <c r="A73" s="529" t="s">
        <v>431</v>
      </c>
      <c r="B73" s="538">
        <v>1932000</v>
      </c>
      <c r="C73" s="538"/>
      <c r="D73" s="539">
        <v>50000</v>
      </c>
      <c r="E73" s="539"/>
      <c r="F73" s="523">
        <f>'事業別損益表（事業別）'!U32</f>
        <v>199000</v>
      </c>
      <c r="G73" s="523"/>
      <c r="H73" s="523"/>
      <c r="I73" s="544"/>
      <c r="J73" s="535"/>
      <c r="K73" s="545">
        <f t="shared" si="1"/>
        <v>149000</v>
      </c>
      <c r="M73" s="655"/>
    </row>
    <row r="74" spans="1:13" s="537" customFormat="1" ht="15" customHeight="1">
      <c r="A74" s="529" t="s">
        <v>432</v>
      </c>
      <c r="B74" s="538">
        <v>100000</v>
      </c>
      <c r="C74" s="538"/>
      <c r="D74" s="539">
        <v>50000</v>
      </c>
      <c r="E74" s="539"/>
      <c r="F74" s="523">
        <f>'事業別損益表（事業別）'!U33</f>
        <v>108000</v>
      </c>
      <c r="G74" s="523"/>
      <c r="H74" s="523"/>
      <c r="I74" s="544" t="s">
        <v>476</v>
      </c>
      <c r="J74" s="535"/>
      <c r="K74" s="545">
        <f t="shared" si="1"/>
        <v>58000</v>
      </c>
      <c r="M74" s="655"/>
    </row>
    <row r="75" spans="1:13" s="537" customFormat="1" ht="15" customHeight="1">
      <c r="A75" s="529" t="s">
        <v>465</v>
      </c>
      <c r="B75" s="538">
        <v>100000</v>
      </c>
      <c r="C75" s="538"/>
      <c r="D75" s="539">
        <v>2184000</v>
      </c>
      <c r="E75" s="539"/>
      <c r="F75" s="523">
        <f>'事業別損益表（事業別）'!U34</f>
        <v>1428000</v>
      </c>
      <c r="G75" s="523"/>
      <c r="H75" s="523"/>
      <c r="I75" s="544" t="s">
        <v>478</v>
      </c>
      <c r="J75" s="535"/>
      <c r="K75" s="545">
        <f t="shared" si="1"/>
        <v>-756000</v>
      </c>
      <c r="M75" s="655"/>
    </row>
    <row r="76" spans="1:13" s="537" customFormat="1" ht="15" customHeight="1">
      <c r="A76" s="529" t="s">
        <v>485</v>
      </c>
      <c r="B76" s="538">
        <v>2184000</v>
      </c>
      <c r="C76" s="538"/>
      <c r="D76" s="539">
        <v>1100000</v>
      </c>
      <c r="E76" s="539"/>
      <c r="F76" s="523">
        <f>'事業別損益表（事業別）'!U35</f>
        <v>624000</v>
      </c>
      <c r="G76" s="523"/>
      <c r="H76" s="523"/>
      <c r="I76" s="544"/>
      <c r="J76" s="535"/>
      <c r="K76" s="545">
        <f t="shared" si="1"/>
        <v>-476000</v>
      </c>
      <c r="M76" s="655"/>
    </row>
    <row r="77" spans="1:13" s="537" customFormat="1" ht="15" hidden="1" customHeight="1">
      <c r="A77" s="529" t="s">
        <v>466</v>
      </c>
      <c r="B77" s="538"/>
      <c r="C77" s="538"/>
      <c r="D77" s="539"/>
      <c r="E77" s="539"/>
      <c r="F77" s="523">
        <f>'事業別損益表（事業別）'!U36</f>
        <v>0</v>
      </c>
      <c r="G77" s="523"/>
      <c r="H77" s="523"/>
      <c r="I77" s="544"/>
      <c r="J77" s="535"/>
      <c r="K77" s="545"/>
      <c r="M77" s="655"/>
    </row>
    <row r="78" spans="1:13" s="537" customFormat="1" ht="15" customHeight="1">
      <c r="A78" s="529" t="s">
        <v>467</v>
      </c>
      <c r="B78" s="538">
        <v>480000</v>
      </c>
      <c r="C78" s="538"/>
      <c r="D78" s="539">
        <v>10000000</v>
      </c>
      <c r="E78" s="539"/>
      <c r="F78" s="523">
        <f>①ベース事業別内訳!G417</f>
        <v>1548000</v>
      </c>
      <c r="G78" s="523"/>
      <c r="H78" s="523"/>
      <c r="I78" s="544"/>
      <c r="J78" s="535"/>
      <c r="K78" s="545">
        <f t="shared" si="1"/>
        <v>-8452000</v>
      </c>
      <c r="M78" s="655"/>
    </row>
    <row r="79" spans="1:13" s="537" customFormat="1" ht="15" customHeight="1">
      <c r="A79" s="529" t="s">
        <v>660</v>
      </c>
      <c r="B79" s="538">
        <v>15000000</v>
      </c>
      <c r="C79" s="538"/>
      <c r="D79" s="539"/>
      <c r="E79" s="539"/>
      <c r="F79" s="522">
        <f>①ベース事業別内訳!G420</f>
        <v>3000000</v>
      </c>
      <c r="G79" s="522">
        <f>SUM(F57:F79)</f>
        <v>15582000</v>
      </c>
      <c r="H79" s="523"/>
      <c r="I79" s="544"/>
      <c r="J79" s="535"/>
      <c r="K79" s="545">
        <f t="shared" si="1"/>
        <v>3000000</v>
      </c>
      <c r="M79" s="655"/>
    </row>
    <row r="80" spans="1:13" s="537" customFormat="1" ht="15" customHeight="1">
      <c r="A80" s="529" t="s">
        <v>445</v>
      </c>
      <c r="B80" s="538" t="e">
        <f>#REF!+#REF!</f>
        <v>#REF!</v>
      </c>
      <c r="C80" s="538"/>
      <c r="D80" s="539" t="e">
        <f>#REF!+#REF!</f>
        <v>#REF!</v>
      </c>
      <c r="E80" s="539" t="e">
        <f>#REF!+#REF!</f>
        <v>#REF!</v>
      </c>
      <c r="F80" s="523"/>
      <c r="G80" s="522">
        <f>G55+G79</f>
        <v>35851000</v>
      </c>
      <c r="H80" s="523"/>
      <c r="I80" s="544"/>
      <c r="J80" s="535"/>
      <c r="K80" s="548" t="e">
        <f t="shared" si="1"/>
        <v>#REF!</v>
      </c>
      <c r="M80" s="655"/>
    </row>
    <row r="81" spans="1:13" s="537" customFormat="1" ht="15" customHeight="1">
      <c r="A81" s="529" t="s">
        <v>662</v>
      </c>
      <c r="B81" s="538"/>
      <c r="C81" s="538"/>
      <c r="D81" s="539"/>
      <c r="E81" s="539"/>
      <c r="F81" s="523"/>
      <c r="G81" s="523"/>
      <c r="H81" s="523"/>
      <c r="I81" s="544"/>
      <c r="J81" s="535"/>
      <c r="K81" s="552"/>
      <c r="M81" s="655"/>
    </row>
    <row r="82" spans="1:13" s="537" customFormat="1" ht="15" customHeight="1">
      <c r="A82" s="529" t="s">
        <v>664</v>
      </c>
      <c r="B82" s="538"/>
      <c r="C82" s="538"/>
      <c r="D82" s="539"/>
      <c r="E82" s="539"/>
      <c r="F82" s="523">
        <v>340000</v>
      </c>
      <c r="G82" s="522">
        <f>F82</f>
        <v>340000</v>
      </c>
      <c r="H82" s="523"/>
      <c r="I82" s="544" t="s">
        <v>663</v>
      </c>
      <c r="J82" s="535"/>
      <c r="K82" s="552"/>
      <c r="M82" s="655"/>
    </row>
    <row r="83" spans="1:13" s="537" customFormat="1" ht="20.100000000000001" customHeight="1" thickBot="1">
      <c r="A83" s="529" t="s">
        <v>444</v>
      </c>
      <c r="B83" s="538"/>
      <c r="C83" s="538"/>
      <c r="D83" s="539"/>
      <c r="E83" s="539"/>
      <c r="F83" s="523"/>
      <c r="G83" s="523"/>
      <c r="H83" s="556">
        <f>G80+G49+G82</f>
        <v>242822000</v>
      </c>
      <c r="I83" s="544"/>
      <c r="J83" s="535"/>
      <c r="K83" s="552"/>
      <c r="M83" s="655"/>
    </row>
    <row r="84" spans="1:13" s="537" customFormat="1" ht="20.100000000000001" customHeight="1" thickTop="1">
      <c r="A84" s="529"/>
      <c r="B84" s="538"/>
      <c r="C84" s="538"/>
      <c r="D84" s="539"/>
      <c r="E84" s="539"/>
      <c r="F84" s="523"/>
      <c r="G84" s="523"/>
      <c r="H84" s="523"/>
      <c r="I84" s="544"/>
      <c r="J84" s="535"/>
      <c r="K84" s="552"/>
      <c r="M84" s="655"/>
    </row>
    <row r="85" spans="1:13" s="537" customFormat="1" ht="20.100000000000001" customHeight="1">
      <c r="A85" s="531" t="s">
        <v>446</v>
      </c>
      <c r="B85" s="553"/>
      <c r="C85" s="553"/>
      <c r="D85" s="554"/>
      <c r="E85" s="554"/>
      <c r="F85" s="523"/>
      <c r="G85" s="521"/>
      <c r="H85" s="522">
        <f>H21-H83</f>
        <v>9495000</v>
      </c>
      <c r="I85" s="544"/>
      <c r="J85" s="535"/>
      <c r="K85" s="552"/>
      <c r="M85" s="655"/>
    </row>
    <row r="86" spans="1:13" s="537" customFormat="1">
      <c r="A86" s="531" t="s">
        <v>450</v>
      </c>
      <c r="B86" s="553"/>
      <c r="C86" s="553"/>
      <c r="D86" s="554"/>
      <c r="E86" s="554"/>
      <c r="F86" s="522">
        <f>ROUND(H85*30%,-3)</f>
        <v>2849000</v>
      </c>
      <c r="G86" s="523"/>
      <c r="H86" s="523"/>
      <c r="I86" s="544" t="s">
        <v>680</v>
      </c>
      <c r="J86" s="535"/>
      <c r="K86" s="552"/>
      <c r="M86" s="655"/>
    </row>
    <row r="87" spans="1:13" s="537" customFormat="1">
      <c r="A87" s="531"/>
      <c r="B87" s="553"/>
      <c r="C87" s="553"/>
      <c r="D87" s="554"/>
      <c r="E87" s="554"/>
      <c r="F87" s="523"/>
      <c r="G87" s="523"/>
      <c r="H87" s="523"/>
      <c r="I87" s="544"/>
      <c r="J87" s="535"/>
      <c r="K87" s="552"/>
      <c r="M87" s="655"/>
    </row>
    <row r="88" spans="1:13" s="537" customFormat="1" ht="14.25" thickBot="1">
      <c r="A88" s="531" t="s">
        <v>451</v>
      </c>
      <c r="B88" s="553"/>
      <c r="C88" s="553"/>
      <c r="D88" s="554"/>
      <c r="E88" s="554"/>
      <c r="F88" s="523"/>
      <c r="G88" s="523"/>
      <c r="H88" s="556">
        <f>H85-F86</f>
        <v>6646000</v>
      </c>
      <c r="I88" s="544"/>
      <c r="J88" s="535"/>
      <c r="K88" s="552"/>
      <c r="M88" s="655"/>
    </row>
    <row r="89" spans="1:13" s="537" customFormat="1" ht="20.100000000000001" customHeight="1" thickTop="1">
      <c r="A89" s="531" t="s">
        <v>452</v>
      </c>
      <c r="B89" s="553"/>
      <c r="C89" s="553"/>
      <c r="D89" s="554"/>
      <c r="E89" s="554"/>
      <c r="F89" s="523"/>
      <c r="G89" s="523"/>
      <c r="H89" s="522">
        <v>79304255</v>
      </c>
      <c r="I89" s="544"/>
      <c r="J89" s="535"/>
      <c r="K89" s="552"/>
      <c r="M89" s="655"/>
    </row>
    <row r="90" spans="1:13" s="537" customFormat="1" ht="20.100000000000001" customHeight="1" thickBot="1">
      <c r="A90" s="531" t="s">
        <v>453</v>
      </c>
      <c r="B90" s="553"/>
      <c r="C90" s="553"/>
      <c r="D90" s="554"/>
      <c r="E90" s="554"/>
      <c r="F90" s="523"/>
      <c r="G90" s="523"/>
      <c r="H90" s="569">
        <f>SUM(H88:H89)</f>
        <v>85950255</v>
      </c>
      <c r="I90" s="544"/>
      <c r="J90" s="535"/>
      <c r="K90" s="552"/>
      <c r="M90" s="655"/>
    </row>
    <row r="91" spans="1:13" s="537" customFormat="1" ht="20.100000000000001" customHeight="1" thickTop="1">
      <c r="A91" s="532"/>
      <c r="B91" s="553"/>
      <c r="C91" s="553"/>
      <c r="D91" s="554"/>
      <c r="E91" s="554"/>
      <c r="F91" s="522"/>
      <c r="G91" s="522"/>
      <c r="H91" s="522"/>
      <c r="I91" s="546"/>
      <c r="J91" s="535"/>
      <c r="K91" s="552"/>
      <c r="M91" s="655"/>
    </row>
    <row r="92" spans="1:13" s="537" customFormat="1">
      <c r="A92" s="533"/>
      <c r="B92" s="533"/>
      <c r="C92" s="543"/>
      <c r="D92" s="555"/>
      <c r="E92" s="555"/>
      <c r="F92" s="551"/>
      <c r="G92" s="551"/>
      <c r="H92" s="551"/>
      <c r="I92" s="551"/>
      <c r="J92" s="535"/>
      <c r="K92" s="552"/>
      <c r="M92" s="655"/>
    </row>
    <row r="93" spans="1:13" s="537" customFormat="1">
      <c r="A93" s="533"/>
      <c r="B93" s="533"/>
      <c r="C93" s="543"/>
      <c r="D93" s="555"/>
      <c r="E93" s="555"/>
      <c r="F93" s="551"/>
      <c r="G93" s="551"/>
      <c r="H93" s="551"/>
      <c r="I93" s="551"/>
      <c r="J93" s="535"/>
      <c r="K93" s="552"/>
      <c r="M93" s="655"/>
    </row>
    <row r="94" spans="1:13" s="537" customFormat="1">
      <c r="A94" s="533"/>
      <c r="B94" s="533"/>
      <c r="C94" s="543"/>
      <c r="D94" s="555"/>
      <c r="E94" s="555"/>
      <c r="F94" s="551"/>
      <c r="G94" s="551"/>
      <c r="H94" s="551"/>
      <c r="I94" s="551"/>
      <c r="J94" s="535"/>
      <c r="K94" s="552"/>
      <c r="M94" s="655"/>
    </row>
    <row r="95" spans="1:13" s="537" customFormat="1">
      <c r="A95" s="533"/>
      <c r="B95" s="533"/>
      <c r="C95" s="543"/>
      <c r="D95" s="555"/>
      <c r="E95" s="555"/>
      <c r="F95" s="551"/>
      <c r="G95" s="551"/>
      <c r="H95" s="551"/>
      <c r="I95" s="551"/>
      <c r="J95" s="535"/>
      <c r="K95" s="552"/>
      <c r="M95" s="655"/>
    </row>
    <row r="96" spans="1:13" s="537" customFormat="1">
      <c r="A96" s="533"/>
      <c r="B96" s="533"/>
      <c r="C96" s="543"/>
      <c r="D96" s="555"/>
      <c r="E96" s="555"/>
      <c r="F96" s="551"/>
      <c r="G96" s="551"/>
      <c r="H96" s="551"/>
      <c r="I96" s="551"/>
      <c r="J96" s="535"/>
      <c r="K96" s="552"/>
      <c r="M96" s="655"/>
    </row>
    <row r="97" spans="1:13" s="537" customFormat="1">
      <c r="A97" s="533"/>
      <c r="B97" s="533"/>
      <c r="C97" s="543"/>
      <c r="D97" s="555"/>
      <c r="E97" s="555"/>
      <c r="F97" s="551"/>
      <c r="G97" s="551"/>
      <c r="H97" s="551"/>
      <c r="I97" s="551"/>
      <c r="J97" s="535"/>
      <c r="K97" s="552"/>
      <c r="M97" s="655"/>
    </row>
    <row r="98" spans="1:13" s="537" customFormat="1">
      <c r="A98" s="533"/>
      <c r="B98" s="533"/>
      <c r="C98" s="543"/>
      <c r="D98" s="555"/>
      <c r="E98" s="555"/>
      <c r="F98" s="551"/>
      <c r="G98" s="551"/>
      <c r="H98" s="551"/>
      <c r="I98" s="551"/>
      <c r="J98" s="535"/>
      <c r="K98" s="552"/>
      <c r="M98" s="655"/>
    </row>
    <row r="99" spans="1:13" s="537" customFormat="1">
      <c r="A99" s="533"/>
      <c r="B99" s="533"/>
      <c r="C99" s="543"/>
      <c r="D99" s="555"/>
      <c r="E99" s="555"/>
      <c r="F99" s="551"/>
      <c r="G99" s="551"/>
      <c r="H99" s="551"/>
      <c r="I99" s="551"/>
      <c r="J99" s="535"/>
      <c r="K99" s="552"/>
      <c r="M99" s="655"/>
    </row>
    <row r="100" spans="1:13" s="537" customFormat="1">
      <c r="A100" s="533"/>
      <c r="B100" s="533"/>
      <c r="C100" s="543"/>
      <c r="D100" s="555"/>
      <c r="E100" s="555"/>
      <c r="F100" s="551"/>
      <c r="G100" s="551"/>
      <c r="H100" s="551"/>
      <c r="I100" s="551"/>
      <c r="J100" s="535"/>
      <c r="K100" s="552"/>
      <c r="M100" s="655"/>
    </row>
    <row r="101" spans="1:13" s="537" customFormat="1">
      <c r="A101" s="533"/>
      <c r="B101" s="533"/>
      <c r="C101" s="543"/>
      <c r="D101" s="555"/>
      <c r="E101" s="555"/>
      <c r="F101" s="551"/>
      <c r="G101" s="551"/>
      <c r="H101" s="551"/>
      <c r="I101" s="551"/>
      <c r="J101" s="535"/>
      <c r="K101" s="552"/>
      <c r="M101" s="655"/>
    </row>
    <row r="102" spans="1:13" s="537" customFormat="1">
      <c r="A102" s="533"/>
      <c r="B102" s="533"/>
      <c r="C102" s="543"/>
      <c r="D102" s="555"/>
      <c r="E102" s="555"/>
      <c r="F102" s="551"/>
      <c r="G102" s="551"/>
      <c r="H102" s="551"/>
      <c r="I102" s="551"/>
      <c r="J102" s="535"/>
      <c r="K102" s="552"/>
      <c r="M102" s="655"/>
    </row>
    <row r="103" spans="1:13" s="537" customFormat="1">
      <c r="A103" s="533"/>
      <c r="B103" s="533"/>
      <c r="C103" s="543"/>
      <c r="D103" s="555"/>
      <c r="E103" s="555"/>
      <c r="F103" s="551"/>
      <c r="G103" s="551"/>
      <c r="H103" s="551"/>
      <c r="I103" s="551"/>
      <c r="J103" s="535"/>
      <c r="K103" s="552"/>
      <c r="M103" s="655"/>
    </row>
    <row r="104" spans="1:13" s="537" customFormat="1">
      <c r="A104" s="533"/>
      <c r="B104" s="533"/>
      <c r="C104" s="543"/>
      <c r="D104" s="555"/>
      <c r="E104" s="555"/>
      <c r="F104" s="551"/>
      <c r="G104" s="551"/>
      <c r="H104" s="551"/>
      <c r="I104" s="551"/>
      <c r="J104" s="535"/>
      <c r="K104" s="552"/>
      <c r="M104" s="655"/>
    </row>
    <row r="105" spans="1:13" s="537" customFormat="1">
      <c r="A105" s="533"/>
      <c r="B105" s="533"/>
      <c r="C105" s="543"/>
      <c r="D105" s="555"/>
      <c r="E105" s="555"/>
      <c r="F105" s="551"/>
      <c r="G105" s="551"/>
      <c r="H105" s="551"/>
      <c r="I105" s="551"/>
      <c r="J105" s="535"/>
      <c r="K105" s="552"/>
      <c r="M105" s="655"/>
    </row>
    <row r="106" spans="1:13" s="537" customFormat="1">
      <c r="A106" s="533"/>
      <c r="B106" s="533"/>
      <c r="C106" s="543"/>
      <c r="D106" s="555"/>
      <c r="E106" s="555"/>
      <c r="F106" s="551"/>
      <c r="G106" s="551"/>
      <c r="H106" s="551"/>
      <c r="I106" s="551"/>
      <c r="J106" s="535"/>
      <c r="K106" s="552"/>
      <c r="M106" s="655"/>
    </row>
    <row r="107" spans="1:13" s="537" customFormat="1">
      <c r="A107" s="533"/>
      <c r="B107" s="533"/>
      <c r="C107" s="543"/>
      <c r="D107" s="555"/>
      <c r="E107" s="555"/>
      <c r="F107" s="551"/>
      <c r="G107" s="551"/>
      <c r="H107" s="551"/>
      <c r="I107" s="551"/>
      <c r="J107" s="535"/>
      <c r="K107" s="552"/>
      <c r="M107" s="655"/>
    </row>
    <row r="108" spans="1:13" s="537" customFormat="1">
      <c r="A108" s="533"/>
      <c r="B108" s="533"/>
      <c r="C108" s="543"/>
      <c r="D108" s="555"/>
      <c r="E108" s="555"/>
      <c r="F108" s="551"/>
      <c r="G108" s="551"/>
      <c r="H108" s="551"/>
      <c r="I108" s="551"/>
      <c r="J108" s="535"/>
      <c r="K108" s="552"/>
      <c r="M108" s="655"/>
    </row>
    <row r="109" spans="1:13" s="537" customFormat="1">
      <c r="A109" s="533"/>
      <c r="B109" s="533"/>
      <c r="C109" s="543"/>
      <c r="D109" s="555"/>
      <c r="E109" s="555"/>
      <c r="F109" s="551"/>
      <c r="G109" s="551"/>
      <c r="H109" s="551"/>
      <c r="I109" s="551"/>
      <c r="J109" s="535"/>
      <c r="K109" s="552"/>
      <c r="M109" s="655"/>
    </row>
    <row r="110" spans="1:13" s="537" customFormat="1">
      <c r="A110" s="533"/>
      <c r="B110" s="533"/>
      <c r="C110" s="543"/>
      <c r="D110" s="555"/>
      <c r="E110" s="555"/>
      <c r="F110" s="551"/>
      <c r="G110" s="551"/>
      <c r="H110" s="551"/>
      <c r="I110" s="551"/>
      <c r="J110" s="535"/>
      <c r="K110" s="552"/>
      <c r="M110" s="655"/>
    </row>
    <row r="111" spans="1:13" s="537" customFormat="1">
      <c r="A111" s="533"/>
      <c r="B111" s="533"/>
      <c r="C111" s="543"/>
      <c r="D111" s="555"/>
      <c r="E111" s="555"/>
      <c r="F111" s="551"/>
      <c r="G111" s="551"/>
      <c r="H111" s="551"/>
      <c r="I111" s="551"/>
      <c r="J111" s="535"/>
      <c r="K111" s="552"/>
      <c r="M111" s="655"/>
    </row>
    <row r="112" spans="1:13" s="537" customFormat="1">
      <c r="A112" s="533"/>
      <c r="B112" s="533"/>
      <c r="C112" s="543"/>
      <c r="D112" s="555"/>
      <c r="E112" s="555"/>
      <c r="F112" s="551"/>
      <c r="G112" s="551"/>
      <c r="H112" s="551"/>
      <c r="I112" s="551"/>
      <c r="J112" s="535"/>
      <c r="K112" s="552"/>
      <c r="M112" s="655"/>
    </row>
    <row r="113" spans="1:13" s="537" customFormat="1">
      <c r="A113" s="533"/>
      <c r="B113" s="533"/>
      <c r="C113" s="543"/>
      <c r="D113" s="555"/>
      <c r="E113" s="555"/>
      <c r="F113" s="551"/>
      <c r="G113" s="551"/>
      <c r="H113" s="551"/>
      <c r="I113" s="551"/>
      <c r="J113" s="535"/>
      <c r="K113" s="552"/>
      <c r="M113" s="655"/>
    </row>
    <row r="114" spans="1:13" s="537" customFormat="1">
      <c r="A114" s="533"/>
      <c r="B114" s="533"/>
      <c r="C114" s="543"/>
      <c r="D114" s="555"/>
      <c r="E114" s="555"/>
      <c r="F114" s="551"/>
      <c r="G114" s="551"/>
      <c r="H114" s="551"/>
      <c r="I114" s="551"/>
      <c r="J114" s="535"/>
      <c r="K114" s="552"/>
      <c r="M114" s="655"/>
    </row>
    <row r="115" spans="1:13" s="537" customFormat="1">
      <c r="A115" s="533"/>
      <c r="B115" s="213"/>
      <c r="C115" s="324"/>
      <c r="D115" s="524"/>
      <c r="E115" s="524"/>
      <c r="F115" s="525"/>
      <c r="G115" s="525"/>
      <c r="H115" s="525"/>
      <c r="I115" s="525"/>
      <c r="J115" s="520"/>
      <c r="K115" s="46"/>
      <c r="L115" s="96"/>
      <c r="M115" s="655"/>
    </row>
  </sheetData>
  <mergeCells count="4">
    <mergeCell ref="A1:K1"/>
    <mergeCell ref="A2:K2"/>
    <mergeCell ref="D4:E4"/>
    <mergeCell ref="F4:H4"/>
  </mergeCells>
  <phoneticPr fontId="3"/>
  <printOptions horizontalCentered="1"/>
  <pageMargins left="0.25" right="0.25" top="0.75" bottom="0.75" header="0.3" footer="0.3"/>
  <pageSetup paperSize="9" scale="91" firstPageNumber="0" orientation="portrait" horizontalDpi="300" verticalDpi="300" r:id="rId1"/>
  <headerFooter alignWithMargins="0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21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5" baseType="lpstr">
      <vt:lpstr>ふれあい給食</vt:lpstr>
      <vt:lpstr>障がい訪問</vt:lpstr>
      <vt:lpstr>障がい就労</vt:lpstr>
      <vt:lpstr>グッドシーズン</vt:lpstr>
      <vt:lpstr>法人全体</vt:lpstr>
      <vt:lpstr>①ベース事業別内訳</vt:lpstr>
      <vt:lpstr>事業別損益表（事業別）</vt:lpstr>
      <vt:lpstr>事業別損益表（決算）</vt:lpstr>
      <vt:lpstr>②2016予算書</vt:lpstr>
      <vt:lpstr>事業別損益表（拠点別）</vt:lpstr>
      <vt:lpstr>賞与支給按分資料</vt:lpstr>
      <vt:lpstr>2015予算書（一覧）</vt:lpstr>
      <vt:lpstr>14決算15予算</vt:lpstr>
      <vt:lpstr>按分表</vt:lpstr>
      <vt:lpstr>Sheet3</vt:lpstr>
      <vt:lpstr>Sheet1</vt:lpstr>
      <vt:lpstr>グラフデータ</vt:lpstr>
      <vt:lpstr>2013予算案（管理費按分）</vt:lpstr>
      <vt:lpstr>車両関係経費試算資料</vt:lpstr>
      <vt:lpstr>Sheet2</vt:lpstr>
      <vt:lpstr>わかちあい就労　収支計算書</vt:lpstr>
      <vt:lpstr>部門別収支グラフ</vt:lpstr>
      <vt:lpstr>総収入割合</vt:lpstr>
      <vt:lpstr>①ベース事業別内訳!Print_Area</vt:lpstr>
      <vt:lpstr>②2016予算書!Print_Area</vt:lpstr>
      <vt:lpstr>グッドシーズン!Print_Area</vt:lpstr>
      <vt:lpstr>ふれあい給食!Print_Area</vt:lpstr>
      <vt:lpstr>障がい就労!Print_Area</vt:lpstr>
      <vt:lpstr>障がい訪問!Print_Area</vt:lpstr>
      <vt:lpstr>法人全体!Print_Area</vt:lpstr>
      <vt:lpstr>'14決算15予算'!Print_Titles</vt:lpstr>
      <vt:lpstr>①ベース事業別内訳!Print_Titles</vt:lpstr>
      <vt:lpstr>'2015予算書（一覧）'!Print_Titles</vt:lpstr>
      <vt:lpstr>②2016予算書!Print_Titles</vt:lpstr>
      <vt:lpstr>按分表!Print_Titles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note11</dc:creator>
  <cp:lastModifiedBy>わかちあい</cp:lastModifiedBy>
  <cp:lastPrinted>2016-06-03T04:54:55Z</cp:lastPrinted>
  <dcterms:created xsi:type="dcterms:W3CDTF">2012-04-14T03:21:36Z</dcterms:created>
  <dcterms:modified xsi:type="dcterms:W3CDTF">2017-06-26T23:00:56Z</dcterms:modified>
</cp:coreProperties>
</file>