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29649E4-9FE1-40E5-8EBB-4656A1183299}" xr6:coauthVersionLast="47" xr6:coauthVersionMax="47" xr10:uidLastSave="{00000000-0000-0000-0000-000000000000}"/>
  <bookViews>
    <workbookView xWindow="-120" yWindow="-120" windowWidth="20730" windowHeight="11160" firstSheet="19" activeTab="20" xr2:uid="{C7BF42DF-D275-4D93-A664-3F8DD83FB48C}"/>
  </bookViews>
  <sheets>
    <sheet name="平成21年度" sheetId="6" r:id="rId1"/>
    <sheet name="22年度" sheetId="7" r:id="rId2"/>
    <sheet name="23予測" sheetId="9" r:id="rId3"/>
    <sheet name="23年度" sheetId="8" r:id="rId4"/>
    <sheet name="予測対比" sheetId="10" r:id="rId5"/>
    <sheet name="22・23年度合計" sheetId="12" r:id="rId6"/>
    <sheet name="24年度計画" sheetId="15" r:id="rId7"/>
    <sheet name="24年度 " sheetId="14" r:id="rId8"/>
    <sheet name="23・24年度合計" sheetId="19" r:id="rId9"/>
    <sheet name="25年度" sheetId="18" r:id="rId10"/>
    <sheet name="26年度" sheetId="21" r:id="rId11"/>
    <sheet name="27年度" sheetId="24" r:id="rId12"/>
    <sheet name="28年度 " sheetId="25" r:id="rId13"/>
    <sheet name="29年度" sheetId="26" r:id="rId14"/>
    <sheet name="30年度" sheetId="27" r:id="rId15"/>
    <sheet name="31・令和元年度" sheetId="28" r:id="rId16"/>
    <sheet name="令和2年度 " sheetId="30" r:id="rId17"/>
    <sheet name="令和3年度" sheetId="31" r:id="rId18"/>
    <sheet name="令和4年度" sheetId="32" r:id="rId19"/>
    <sheet name="令和５年度" sheetId="33" r:id="rId20"/>
    <sheet name="令和６年度" sheetId="34" r:id="rId21"/>
    <sheet name="令和７年度" sheetId="35" r:id="rId22"/>
    <sheet name="収支推移" sheetId="11" r:id="rId23"/>
    <sheet name="Sheet1 (2)" sheetId="23" r:id="rId24"/>
  </sheets>
  <externalReferences>
    <externalReference r:id="rId25"/>
    <externalReference r:id="rId26"/>
    <externalReference r:id="rId27"/>
  </externalReferences>
  <definedNames>
    <definedName name="_xlnm.Print_Area" localSheetId="16">'令和2年度 '!$A$1:$P$74</definedName>
    <definedName name="_xlnm.Print_Area" localSheetId="17">令和3年度!$A$1:$P$74</definedName>
    <definedName name="_xlnm.Print_Area" localSheetId="18">令和4年度!$A$1:$P$75</definedName>
    <definedName name="_xlnm.Print_Area" localSheetId="19">令和５年度!$A$1:$P$75</definedName>
    <definedName name="_xlnm.Print_Area" localSheetId="20">令和６年度!$A$1:$P$75</definedName>
    <definedName name="_xlnm.Print_Area" localSheetId="21">令和７年度!$A$1:$P$75</definedName>
  </definedNames>
  <calcPr calcId="181029"/>
</workbook>
</file>

<file path=xl/calcChain.xml><?xml version="1.0" encoding="utf-8"?>
<calcChain xmlns="http://schemas.openxmlformats.org/spreadsheetml/2006/main">
  <c r="F29" i="35" l="1"/>
  <c r="F28" i="35"/>
  <c r="F27" i="35"/>
  <c r="F26" i="35"/>
  <c r="F12" i="35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3" i="35"/>
  <c r="F42" i="35"/>
  <c r="F39" i="35"/>
  <c r="F72" i="35"/>
  <c r="F73" i="35"/>
  <c r="F41" i="35"/>
  <c r="F40" i="35"/>
  <c r="F33" i="35"/>
  <c r="F32" i="35"/>
  <c r="F31" i="35"/>
  <c r="F30" i="35"/>
  <c r="F25" i="35" l="1"/>
  <c r="F24" i="35"/>
  <c r="F23" i="35"/>
  <c r="F21" i="35"/>
  <c r="F18" i="35"/>
  <c r="F14" i="35"/>
  <c r="F11" i="35"/>
  <c r="F9" i="35"/>
  <c r="F7" i="35"/>
  <c r="F6" i="35"/>
  <c r="F5" i="35"/>
  <c r="E73" i="35" l="1"/>
  <c r="E72" i="35"/>
  <c r="E21" i="35"/>
  <c r="E14" i="35"/>
  <c r="E12" i="35"/>
  <c r="E43" i="35"/>
  <c r="E42" i="35"/>
  <c r="E41" i="35"/>
  <c r="E40" i="35"/>
  <c r="E39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9" i="35"/>
  <c r="E7" i="35" l="1"/>
  <c r="E6" i="35"/>
  <c r="E5" i="35"/>
  <c r="D73" i="35" l="1"/>
  <c r="D72" i="35"/>
  <c r="D69" i="35"/>
  <c r="D68" i="35"/>
  <c r="D67" i="35"/>
  <c r="D66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3" i="35"/>
  <c r="D52" i="35"/>
  <c r="D51" i="35"/>
  <c r="D50" i="35"/>
  <c r="D49" i="35"/>
  <c r="D48" i="35"/>
  <c r="D47" i="35"/>
  <c r="D46" i="35"/>
  <c r="D45" i="35"/>
  <c r="D43" i="35"/>
  <c r="D42" i="35"/>
  <c r="D41" i="35"/>
  <c r="D40" i="35"/>
  <c r="D39" i="35"/>
  <c r="D33" i="35"/>
  <c r="D32" i="35"/>
  <c r="D31" i="35"/>
  <c r="D30" i="35"/>
  <c r="D29" i="35"/>
  <c r="D28" i="35"/>
  <c r="D27" i="35"/>
  <c r="D26" i="35"/>
  <c r="D25" i="35"/>
  <c r="D24" i="35"/>
  <c r="D23" i="35"/>
  <c r="D18" i="35" l="1"/>
  <c r="D14" i="35"/>
  <c r="D13" i="35"/>
  <c r="D12" i="35" s="1"/>
  <c r="D9" i="35"/>
  <c r="D7" i="35"/>
  <c r="D6" i="35"/>
  <c r="D5" i="35"/>
  <c r="C22" i="35" l="1"/>
  <c r="C21" i="35"/>
  <c r="C15" i="35"/>
  <c r="C14" i="35"/>
  <c r="C13" i="35"/>
  <c r="C12" i="35"/>
  <c r="C11" i="35"/>
  <c r="C10" i="35" l="1"/>
  <c r="C64" i="35" l="1"/>
  <c r="C73" i="35" l="1"/>
  <c r="C72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5" i="35"/>
  <c r="C66" i="35"/>
  <c r="C67" i="35"/>
  <c r="C68" i="35"/>
  <c r="C69" i="35"/>
  <c r="C45" i="35"/>
  <c r="C40" i="35"/>
  <c r="C41" i="35"/>
  <c r="C42" i="35"/>
  <c r="C43" i="35"/>
  <c r="C39" i="35"/>
  <c r="C24" i="35"/>
  <c r="C25" i="35"/>
  <c r="C26" i="35"/>
  <c r="C27" i="35"/>
  <c r="C28" i="35"/>
  <c r="C29" i="35"/>
  <c r="C30" i="35"/>
  <c r="C31" i="35"/>
  <c r="C32" i="35"/>
  <c r="C33" i="35"/>
  <c r="C23" i="35"/>
  <c r="C18" i="35"/>
  <c r="C9" i="35"/>
  <c r="C6" i="35"/>
  <c r="C7" i="35"/>
  <c r="C5" i="35"/>
  <c r="C19" i="35"/>
  <c r="C20" i="35"/>
  <c r="B22" i="35" l="1"/>
  <c r="B21" i="35"/>
  <c r="B15" i="35"/>
  <c r="B14" i="35"/>
  <c r="B13" i="35"/>
  <c r="B12" i="35"/>
  <c r="B11" i="35"/>
  <c r="B10" i="35" l="1"/>
  <c r="I4" i="11" l="1"/>
  <c r="J4" i="11"/>
  <c r="I5" i="11"/>
  <c r="J5" i="11"/>
  <c r="B6" i="11"/>
  <c r="C6" i="11"/>
  <c r="D6" i="11"/>
  <c r="E6" i="11"/>
  <c r="F6" i="11"/>
  <c r="G6" i="11"/>
  <c r="H6" i="11"/>
  <c r="I6" i="11"/>
  <c r="J6" i="11"/>
  <c r="I7" i="11"/>
  <c r="J7" i="11"/>
  <c r="I8" i="11"/>
  <c r="J8" i="11"/>
  <c r="I9" i="11"/>
  <c r="J9" i="11"/>
  <c r="I10" i="11"/>
  <c r="J10" i="11"/>
  <c r="F14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1" i="11"/>
  <c r="J31" i="11"/>
  <c r="I32" i="11"/>
  <c r="J32" i="11"/>
  <c r="I33" i="11"/>
  <c r="J33" i="11"/>
  <c r="I34" i="11"/>
  <c r="J34" i="11"/>
  <c r="I35" i="11"/>
  <c r="J35" i="11"/>
  <c r="I36" i="11"/>
  <c r="J36" i="11"/>
  <c r="I37" i="11"/>
  <c r="J37" i="11"/>
  <c r="I38" i="11"/>
  <c r="J38" i="11"/>
  <c r="I39" i="11"/>
  <c r="J39" i="11"/>
  <c r="I40" i="11"/>
  <c r="J40" i="11"/>
  <c r="I41" i="11"/>
  <c r="J41" i="11"/>
  <c r="I42" i="11"/>
  <c r="J42" i="11"/>
  <c r="I43" i="11"/>
  <c r="J43" i="11"/>
  <c r="I44" i="11"/>
  <c r="J44" i="11"/>
  <c r="I45" i="11"/>
  <c r="J45" i="11"/>
  <c r="B46" i="11"/>
  <c r="C46" i="11"/>
  <c r="D46" i="11"/>
  <c r="E46" i="11"/>
  <c r="F46" i="11"/>
  <c r="I46" i="11"/>
  <c r="J46" i="11"/>
  <c r="C4" i="35"/>
  <c r="D4" i="35"/>
  <c r="E4" i="35"/>
  <c r="F4" i="35"/>
  <c r="G4" i="35"/>
  <c r="I4" i="35"/>
  <c r="J4" i="35"/>
  <c r="K4" i="35"/>
  <c r="L4" i="35"/>
  <c r="M4" i="35"/>
  <c r="O4" i="35"/>
  <c r="N4" i="35"/>
  <c r="B5" i="35"/>
  <c r="H5" i="35" s="1"/>
  <c r="P5" i="35" s="1"/>
  <c r="O5" i="35"/>
  <c r="B6" i="35"/>
  <c r="H6" i="35"/>
  <c r="P6" i="35" s="1"/>
  <c r="O6" i="35"/>
  <c r="B7" i="35"/>
  <c r="H7" i="35"/>
  <c r="P7" i="35" s="1"/>
  <c r="O7" i="35"/>
  <c r="C8" i="35"/>
  <c r="E8" i="35"/>
  <c r="F8" i="35"/>
  <c r="F35" i="35" s="1"/>
  <c r="G8" i="35"/>
  <c r="I8" i="35"/>
  <c r="O8" i="35" s="1"/>
  <c r="J8" i="35"/>
  <c r="K8" i="35"/>
  <c r="L8" i="35"/>
  <c r="L35" i="35" s="1"/>
  <c r="L71" i="35" s="1"/>
  <c r="L74" i="35" s="1"/>
  <c r="M8" i="35"/>
  <c r="M35" i="35" s="1"/>
  <c r="M71" i="35" s="1"/>
  <c r="M74" i="35" s="1"/>
  <c r="N8" i="35"/>
  <c r="B9" i="35"/>
  <c r="D8" i="35"/>
  <c r="O9" i="35"/>
  <c r="H10" i="35"/>
  <c r="P10" i="35" s="1"/>
  <c r="O10" i="35"/>
  <c r="H11" i="35"/>
  <c r="P11" i="35" s="1"/>
  <c r="O11" i="35"/>
  <c r="H12" i="35"/>
  <c r="P12" i="35" s="1"/>
  <c r="O12" i="35"/>
  <c r="H13" i="35"/>
  <c r="P13" i="35" s="1"/>
  <c r="O13" i="35"/>
  <c r="H14" i="35"/>
  <c r="P14" i="35" s="1"/>
  <c r="O14" i="35"/>
  <c r="H15" i="35"/>
  <c r="P15" i="35" s="1"/>
  <c r="O15" i="35"/>
  <c r="H16" i="35"/>
  <c r="O16" i="35"/>
  <c r="P16" i="35"/>
  <c r="H17" i="35"/>
  <c r="O17" i="35"/>
  <c r="P17" i="35"/>
  <c r="H18" i="35"/>
  <c r="P18" i="35" s="1"/>
  <c r="O18" i="35"/>
  <c r="B19" i="35"/>
  <c r="H19" i="35"/>
  <c r="P19" i="35" s="1"/>
  <c r="O19" i="35"/>
  <c r="B20" i="35"/>
  <c r="H20" i="35"/>
  <c r="P20" i="35" s="1"/>
  <c r="O20" i="35"/>
  <c r="H21" i="35"/>
  <c r="P21" i="35" s="1"/>
  <c r="O21" i="35"/>
  <c r="H22" i="35"/>
  <c r="P22" i="35" s="1"/>
  <c r="O22" i="35"/>
  <c r="B23" i="35"/>
  <c r="H23" i="35"/>
  <c r="P23" i="35" s="1"/>
  <c r="O23" i="35"/>
  <c r="B24" i="35"/>
  <c r="H24" i="35" s="1"/>
  <c r="P24" i="35" s="1"/>
  <c r="O24" i="35"/>
  <c r="B25" i="35"/>
  <c r="H25" i="35"/>
  <c r="P25" i="35" s="1"/>
  <c r="O25" i="35"/>
  <c r="B26" i="35"/>
  <c r="H26" i="35" s="1"/>
  <c r="P26" i="35" s="1"/>
  <c r="O26" i="35"/>
  <c r="B27" i="35"/>
  <c r="H27" i="35" s="1"/>
  <c r="P27" i="35" s="1"/>
  <c r="O27" i="35"/>
  <c r="B28" i="35"/>
  <c r="H28" i="35"/>
  <c r="O28" i="35"/>
  <c r="B29" i="35"/>
  <c r="H29" i="35"/>
  <c r="P29" i="35" s="1"/>
  <c r="O29" i="35"/>
  <c r="B30" i="35"/>
  <c r="H30" i="35"/>
  <c r="P30" i="35" s="1"/>
  <c r="O30" i="35"/>
  <c r="B31" i="35"/>
  <c r="H31" i="35"/>
  <c r="P31" i="35" s="1"/>
  <c r="O31" i="35"/>
  <c r="B32" i="35"/>
  <c r="H32" i="35"/>
  <c r="P32" i="35" s="1"/>
  <c r="O32" i="35"/>
  <c r="B33" i="35"/>
  <c r="H33" i="35" s="1"/>
  <c r="P33" i="35" s="1"/>
  <c r="O33" i="35"/>
  <c r="O34" i="35"/>
  <c r="P34" i="35"/>
  <c r="G35" i="35"/>
  <c r="J35" i="35"/>
  <c r="J71" i="35" s="1"/>
  <c r="J74" i="35" s="1"/>
  <c r="K35" i="35"/>
  <c r="K71" i="35" s="1"/>
  <c r="K74" i="35" s="1"/>
  <c r="N35" i="35"/>
  <c r="C38" i="35"/>
  <c r="D38" i="35"/>
  <c r="E38" i="35"/>
  <c r="F38" i="35"/>
  <c r="G38" i="35"/>
  <c r="I38" i="35"/>
  <c r="O38" i="35"/>
  <c r="J38" i="35"/>
  <c r="K38" i="35"/>
  <c r="L38" i="35"/>
  <c r="M38" i="35"/>
  <c r="N38" i="35"/>
  <c r="B39" i="35"/>
  <c r="H39" i="35"/>
  <c r="P39" i="35" s="1"/>
  <c r="O39" i="35"/>
  <c r="B40" i="35"/>
  <c r="O40" i="35"/>
  <c r="B41" i="35"/>
  <c r="H41" i="35"/>
  <c r="P41" i="35" s="1"/>
  <c r="O41" i="35"/>
  <c r="B42" i="35"/>
  <c r="H42" i="35"/>
  <c r="P42" i="35" s="1"/>
  <c r="O42" i="35"/>
  <c r="B43" i="35"/>
  <c r="H43" i="35"/>
  <c r="P43" i="35" s="1"/>
  <c r="O43" i="35"/>
  <c r="C44" i="35"/>
  <c r="D44" i="35"/>
  <c r="D70" i="35" s="1"/>
  <c r="E44" i="35"/>
  <c r="F44" i="35"/>
  <c r="G44" i="35"/>
  <c r="I44" i="35"/>
  <c r="O44" i="35"/>
  <c r="J44" i="35"/>
  <c r="J70" i="35"/>
  <c r="K44" i="35"/>
  <c r="L44" i="35"/>
  <c r="M44" i="35"/>
  <c r="N44" i="35"/>
  <c r="B45" i="35"/>
  <c r="H45" i="35" s="1"/>
  <c r="P45" i="35" s="1"/>
  <c r="O45" i="35"/>
  <c r="B46" i="35"/>
  <c r="H46" i="35" s="1"/>
  <c r="P46" i="35" s="1"/>
  <c r="O46" i="35"/>
  <c r="B47" i="35"/>
  <c r="H47" i="35" s="1"/>
  <c r="P47" i="35" s="1"/>
  <c r="O47" i="35"/>
  <c r="B48" i="35"/>
  <c r="H48" i="35" s="1"/>
  <c r="P48" i="35" s="1"/>
  <c r="O48" i="35"/>
  <c r="B49" i="35"/>
  <c r="H49" i="35" s="1"/>
  <c r="P49" i="35" s="1"/>
  <c r="O49" i="35"/>
  <c r="B50" i="35"/>
  <c r="H50" i="35"/>
  <c r="P50" i="35" s="1"/>
  <c r="O50" i="35"/>
  <c r="B51" i="35"/>
  <c r="O51" i="35"/>
  <c r="B52" i="35"/>
  <c r="H52" i="35" s="1"/>
  <c r="P52" i="35" s="1"/>
  <c r="O52" i="35"/>
  <c r="B53" i="35"/>
  <c r="H53" i="35" s="1"/>
  <c r="P53" i="35" s="1"/>
  <c r="O53" i="35"/>
  <c r="B54" i="35"/>
  <c r="H54" i="35"/>
  <c r="P54" i="35" s="1"/>
  <c r="O54" i="35"/>
  <c r="B55" i="35"/>
  <c r="H55" i="35" s="1"/>
  <c r="P55" i="35" s="1"/>
  <c r="O55" i="35"/>
  <c r="B56" i="35"/>
  <c r="H56" i="35" s="1"/>
  <c r="P56" i="35" s="1"/>
  <c r="O56" i="35"/>
  <c r="B57" i="35"/>
  <c r="H57" i="35"/>
  <c r="P57" i="35" s="1"/>
  <c r="O57" i="35"/>
  <c r="B58" i="35"/>
  <c r="H58" i="35"/>
  <c r="P58" i="35" s="1"/>
  <c r="O58" i="35"/>
  <c r="B59" i="35"/>
  <c r="H59" i="35"/>
  <c r="P59" i="35" s="1"/>
  <c r="O59" i="35"/>
  <c r="B60" i="35"/>
  <c r="H60" i="35" s="1"/>
  <c r="P60" i="35" s="1"/>
  <c r="O60" i="35"/>
  <c r="B61" i="35"/>
  <c r="H61" i="35" s="1"/>
  <c r="P61" i="35" s="1"/>
  <c r="O61" i="35"/>
  <c r="B62" i="35"/>
  <c r="H62" i="35"/>
  <c r="P62" i="35" s="1"/>
  <c r="O62" i="35"/>
  <c r="B63" i="35"/>
  <c r="H63" i="35" s="1"/>
  <c r="P63" i="35" s="1"/>
  <c r="O63" i="35"/>
  <c r="B64" i="35"/>
  <c r="H64" i="35"/>
  <c r="P64" i="35" s="1"/>
  <c r="O64" i="35"/>
  <c r="B65" i="35"/>
  <c r="H65" i="35"/>
  <c r="P65" i="35" s="1"/>
  <c r="O65" i="35"/>
  <c r="B66" i="35"/>
  <c r="H66" i="35"/>
  <c r="P66" i="35" s="1"/>
  <c r="O66" i="35"/>
  <c r="B67" i="35"/>
  <c r="H67" i="35"/>
  <c r="P67" i="35" s="1"/>
  <c r="O67" i="35"/>
  <c r="B68" i="35"/>
  <c r="H68" i="35" s="1"/>
  <c r="P68" i="35" s="1"/>
  <c r="O68" i="35"/>
  <c r="B69" i="35"/>
  <c r="H69" i="35"/>
  <c r="P69" i="35" s="1"/>
  <c r="O69" i="35"/>
  <c r="E70" i="35"/>
  <c r="G70" i="35"/>
  <c r="K70" i="35"/>
  <c r="M70" i="35"/>
  <c r="N70" i="35"/>
  <c r="N71" i="35"/>
  <c r="N74" i="35" s="1"/>
  <c r="B72" i="35"/>
  <c r="H72" i="35"/>
  <c r="P72" i="35" s="1"/>
  <c r="O72" i="35"/>
  <c r="B73" i="35"/>
  <c r="H73" i="35" s="1"/>
  <c r="P73" i="35" s="1"/>
  <c r="O73" i="35"/>
  <c r="H75" i="35"/>
  <c r="P75" i="35" s="1"/>
  <c r="O75" i="35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O4" i="34"/>
  <c r="P4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O5" i="34"/>
  <c r="P5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O6" i="34"/>
  <c r="P6" i="34"/>
  <c r="B7" i="34"/>
  <c r="C7" i="34"/>
  <c r="D7" i="34"/>
  <c r="E7" i="34"/>
  <c r="F7" i="34"/>
  <c r="G7" i="34"/>
  <c r="H7" i="34"/>
  <c r="I7" i="34"/>
  <c r="J7" i="34"/>
  <c r="K7" i="34"/>
  <c r="L7" i="34"/>
  <c r="M7" i="34"/>
  <c r="N7" i="34"/>
  <c r="O7" i="34"/>
  <c r="P7" i="34"/>
  <c r="B8" i="34"/>
  <c r="C8" i="34"/>
  <c r="D8" i="34"/>
  <c r="E8" i="34"/>
  <c r="F8" i="34"/>
  <c r="G8" i="34"/>
  <c r="H8" i="34"/>
  <c r="I8" i="34"/>
  <c r="J8" i="34"/>
  <c r="K8" i="34"/>
  <c r="L8" i="34"/>
  <c r="M8" i="34"/>
  <c r="N8" i="34"/>
  <c r="O8" i="34"/>
  <c r="P8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O9" i="34"/>
  <c r="P9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10" i="34"/>
  <c r="P10" i="34"/>
  <c r="B11" i="34"/>
  <c r="C11" i="34"/>
  <c r="D11" i="34"/>
  <c r="E11" i="34"/>
  <c r="F11" i="34"/>
  <c r="G11" i="34"/>
  <c r="H11" i="34"/>
  <c r="J11" i="34"/>
  <c r="K11" i="34"/>
  <c r="L11" i="34"/>
  <c r="M11" i="34"/>
  <c r="N11" i="34"/>
  <c r="O11" i="34"/>
  <c r="P11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O12" i="34"/>
  <c r="P12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O13" i="34"/>
  <c r="P13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14" i="34"/>
  <c r="P14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O15" i="34"/>
  <c r="P15" i="34"/>
  <c r="H16" i="34"/>
  <c r="O16" i="34"/>
  <c r="P16" i="34"/>
  <c r="H17" i="34"/>
  <c r="O17" i="34"/>
  <c r="P17" i="34"/>
  <c r="B18" i="34"/>
  <c r="C18" i="34"/>
  <c r="D18" i="34"/>
  <c r="E18" i="34"/>
  <c r="F18" i="34"/>
  <c r="G18" i="34"/>
  <c r="H18" i="34"/>
  <c r="I18" i="34"/>
  <c r="J18" i="34"/>
  <c r="K18" i="34"/>
  <c r="L18" i="34"/>
  <c r="M18" i="34"/>
  <c r="N18" i="34"/>
  <c r="O18" i="34"/>
  <c r="P18" i="34"/>
  <c r="B19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B20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B21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B22" i="34"/>
  <c r="C22" i="34"/>
  <c r="D22" i="34"/>
  <c r="E22" i="34"/>
  <c r="F22" i="34"/>
  <c r="G22" i="34"/>
  <c r="H22" i="34"/>
  <c r="I22" i="34"/>
  <c r="J22" i="34"/>
  <c r="K22" i="34"/>
  <c r="L22" i="34"/>
  <c r="M22" i="34"/>
  <c r="N22" i="34"/>
  <c r="O22" i="34"/>
  <c r="P22" i="34"/>
  <c r="B23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O23" i="34"/>
  <c r="P23" i="34"/>
  <c r="B24" i="34"/>
  <c r="C24" i="34"/>
  <c r="D24" i="34"/>
  <c r="E24" i="34"/>
  <c r="F24" i="34"/>
  <c r="G24" i="34"/>
  <c r="H24" i="34"/>
  <c r="I24" i="34"/>
  <c r="J24" i="34"/>
  <c r="K24" i="34"/>
  <c r="L24" i="34"/>
  <c r="M24" i="34"/>
  <c r="N24" i="34"/>
  <c r="O24" i="34"/>
  <c r="P24" i="34"/>
  <c r="B25" i="34"/>
  <c r="C25" i="34"/>
  <c r="D25" i="34"/>
  <c r="E25" i="34"/>
  <c r="F25" i="34"/>
  <c r="G25" i="34"/>
  <c r="H25" i="34"/>
  <c r="I25" i="34"/>
  <c r="J25" i="34"/>
  <c r="K25" i="34"/>
  <c r="L25" i="34"/>
  <c r="M25" i="34"/>
  <c r="N25" i="34"/>
  <c r="O25" i="34"/>
  <c r="P25" i="34"/>
  <c r="B26" i="34"/>
  <c r="C26" i="34"/>
  <c r="D26" i="34"/>
  <c r="E26" i="34"/>
  <c r="F26" i="34"/>
  <c r="G26" i="34"/>
  <c r="H26" i="34"/>
  <c r="I26" i="34"/>
  <c r="J26" i="34"/>
  <c r="K26" i="34"/>
  <c r="L26" i="34"/>
  <c r="M26" i="34"/>
  <c r="N26" i="34"/>
  <c r="O26" i="34"/>
  <c r="P26" i="34"/>
  <c r="B27" i="34"/>
  <c r="C27" i="34"/>
  <c r="D27" i="34"/>
  <c r="E27" i="34"/>
  <c r="F27" i="34"/>
  <c r="G27" i="34"/>
  <c r="H27" i="34"/>
  <c r="I27" i="34"/>
  <c r="J27" i="34"/>
  <c r="K27" i="34"/>
  <c r="L27" i="34"/>
  <c r="M27" i="34"/>
  <c r="N27" i="34"/>
  <c r="O27" i="34"/>
  <c r="P27" i="34"/>
  <c r="B28" i="34"/>
  <c r="C28" i="34"/>
  <c r="D28" i="34"/>
  <c r="E28" i="34"/>
  <c r="F28" i="34"/>
  <c r="G28" i="34"/>
  <c r="H28" i="34"/>
  <c r="I28" i="34"/>
  <c r="J28" i="34"/>
  <c r="K28" i="34"/>
  <c r="L28" i="34"/>
  <c r="M28" i="34"/>
  <c r="N28" i="34"/>
  <c r="O28" i="34"/>
  <c r="P28" i="34"/>
  <c r="B29" i="34"/>
  <c r="C29" i="34"/>
  <c r="D29" i="34"/>
  <c r="E29" i="34"/>
  <c r="F29" i="34"/>
  <c r="G29" i="34"/>
  <c r="H29" i="34"/>
  <c r="I29" i="34"/>
  <c r="J29" i="34"/>
  <c r="K29" i="34"/>
  <c r="L29" i="34"/>
  <c r="M29" i="34"/>
  <c r="N29" i="34"/>
  <c r="O29" i="34"/>
  <c r="P29" i="34"/>
  <c r="B30" i="34"/>
  <c r="C30" i="34"/>
  <c r="D30" i="34"/>
  <c r="E30" i="34"/>
  <c r="F30" i="34"/>
  <c r="G30" i="34"/>
  <c r="H30" i="34"/>
  <c r="I30" i="34"/>
  <c r="J30" i="34"/>
  <c r="K30" i="34"/>
  <c r="L30" i="34"/>
  <c r="M30" i="34"/>
  <c r="N30" i="34"/>
  <c r="O30" i="34"/>
  <c r="P30" i="34"/>
  <c r="B31" i="34"/>
  <c r="C31" i="34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B32" i="34"/>
  <c r="C32" i="34"/>
  <c r="D32" i="34"/>
  <c r="E32" i="34"/>
  <c r="F32" i="34"/>
  <c r="G32" i="34"/>
  <c r="H32" i="34"/>
  <c r="I32" i="34"/>
  <c r="J32" i="34"/>
  <c r="K32" i="34"/>
  <c r="L32" i="34"/>
  <c r="M32" i="34"/>
  <c r="N32" i="34"/>
  <c r="O32" i="34"/>
  <c r="P32" i="34"/>
  <c r="B33" i="34"/>
  <c r="C33" i="34"/>
  <c r="D33" i="34"/>
  <c r="E33" i="34"/>
  <c r="F33" i="34"/>
  <c r="G33" i="34"/>
  <c r="H33" i="34"/>
  <c r="I33" i="34"/>
  <c r="J33" i="34"/>
  <c r="K33" i="34"/>
  <c r="L33" i="34"/>
  <c r="M33" i="34"/>
  <c r="N33" i="34"/>
  <c r="O33" i="34"/>
  <c r="P33" i="34"/>
  <c r="O34" i="34"/>
  <c r="P34" i="34"/>
  <c r="B35" i="34"/>
  <c r="C35" i="34"/>
  <c r="D35" i="34"/>
  <c r="E35" i="34"/>
  <c r="F35" i="34"/>
  <c r="G35" i="34"/>
  <c r="H35" i="34"/>
  <c r="I35" i="34"/>
  <c r="J35" i="34"/>
  <c r="K35" i="34"/>
  <c r="L35" i="34"/>
  <c r="M35" i="34"/>
  <c r="N35" i="34"/>
  <c r="O35" i="34"/>
  <c r="P35" i="34"/>
  <c r="B38" i="34"/>
  <c r="C38" i="34"/>
  <c r="D38" i="34"/>
  <c r="E38" i="34"/>
  <c r="F38" i="34"/>
  <c r="G38" i="34"/>
  <c r="H38" i="34"/>
  <c r="I38" i="34"/>
  <c r="J38" i="34"/>
  <c r="K38" i="34"/>
  <c r="L38" i="34"/>
  <c r="M38" i="34"/>
  <c r="N38" i="34"/>
  <c r="O38" i="34"/>
  <c r="P38" i="34"/>
  <c r="B39" i="34"/>
  <c r="C39" i="34"/>
  <c r="D39" i="34"/>
  <c r="E39" i="34"/>
  <c r="F39" i="34"/>
  <c r="G39" i="34"/>
  <c r="H39" i="34"/>
  <c r="I39" i="34"/>
  <c r="J39" i="34"/>
  <c r="K39" i="34"/>
  <c r="L39" i="34"/>
  <c r="M39" i="34"/>
  <c r="N39" i="34"/>
  <c r="O39" i="34"/>
  <c r="P39" i="34"/>
  <c r="B40" i="34"/>
  <c r="C40" i="34"/>
  <c r="D40" i="34"/>
  <c r="E40" i="34"/>
  <c r="F40" i="34"/>
  <c r="G40" i="34"/>
  <c r="H40" i="34"/>
  <c r="I40" i="34"/>
  <c r="J40" i="34"/>
  <c r="K40" i="34"/>
  <c r="L40" i="34"/>
  <c r="M40" i="34"/>
  <c r="N40" i="34"/>
  <c r="O40" i="34"/>
  <c r="P40" i="34"/>
  <c r="B41" i="34"/>
  <c r="C41" i="34"/>
  <c r="D41" i="34"/>
  <c r="E41" i="34"/>
  <c r="F41" i="34"/>
  <c r="G41" i="34"/>
  <c r="H41" i="34"/>
  <c r="I41" i="34"/>
  <c r="J41" i="34"/>
  <c r="K41" i="34"/>
  <c r="L41" i="34"/>
  <c r="M41" i="34"/>
  <c r="N41" i="34"/>
  <c r="O41" i="34"/>
  <c r="P41" i="34"/>
  <c r="B42" i="34"/>
  <c r="C42" i="34"/>
  <c r="D42" i="34"/>
  <c r="E42" i="34"/>
  <c r="F42" i="34"/>
  <c r="G42" i="34"/>
  <c r="H42" i="34"/>
  <c r="I42" i="34"/>
  <c r="J42" i="34"/>
  <c r="K42" i="34"/>
  <c r="L42" i="34"/>
  <c r="M42" i="34"/>
  <c r="N42" i="34"/>
  <c r="O42" i="34"/>
  <c r="P42" i="34"/>
  <c r="B43" i="34"/>
  <c r="C43" i="34"/>
  <c r="D43" i="34"/>
  <c r="E43" i="34"/>
  <c r="F43" i="34"/>
  <c r="G43" i="34"/>
  <c r="H43" i="34"/>
  <c r="I43" i="34"/>
  <c r="J43" i="34"/>
  <c r="K43" i="34"/>
  <c r="L43" i="34"/>
  <c r="M43" i="34"/>
  <c r="N43" i="34"/>
  <c r="O43" i="34"/>
  <c r="P43" i="34"/>
  <c r="B44" i="34"/>
  <c r="C44" i="34"/>
  <c r="D44" i="34"/>
  <c r="E44" i="34"/>
  <c r="F44" i="34"/>
  <c r="G44" i="34"/>
  <c r="H44" i="34"/>
  <c r="I44" i="34"/>
  <c r="J44" i="34"/>
  <c r="K44" i="34"/>
  <c r="L44" i="34"/>
  <c r="M44" i="34"/>
  <c r="N44" i="34"/>
  <c r="O44" i="34"/>
  <c r="P44" i="34"/>
  <c r="B45" i="34"/>
  <c r="C45" i="34"/>
  <c r="D45" i="34"/>
  <c r="E45" i="34"/>
  <c r="F45" i="34"/>
  <c r="G45" i="34"/>
  <c r="H45" i="34"/>
  <c r="I45" i="34"/>
  <c r="J45" i="34"/>
  <c r="K45" i="34"/>
  <c r="L45" i="34"/>
  <c r="M45" i="34"/>
  <c r="N45" i="34"/>
  <c r="O45" i="34"/>
  <c r="P45" i="34"/>
  <c r="B46" i="34"/>
  <c r="C46" i="34"/>
  <c r="D46" i="34"/>
  <c r="E46" i="34"/>
  <c r="F46" i="34"/>
  <c r="G46" i="34"/>
  <c r="H46" i="34"/>
  <c r="I46" i="34"/>
  <c r="J46" i="34"/>
  <c r="K46" i="34"/>
  <c r="L46" i="34"/>
  <c r="M46" i="34"/>
  <c r="N46" i="34"/>
  <c r="O46" i="34"/>
  <c r="P46" i="34"/>
  <c r="B47" i="34"/>
  <c r="C47" i="34"/>
  <c r="D47" i="34"/>
  <c r="E47" i="34"/>
  <c r="F47" i="34"/>
  <c r="G47" i="34"/>
  <c r="H47" i="34"/>
  <c r="I47" i="34"/>
  <c r="J47" i="34"/>
  <c r="K47" i="34"/>
  <c r="L47" i="34"/>
  <c r="M47" i="34"/>
  <c r="N47" i="34"/>
  <c r="O47" i="34"/>
  <c r="P47" i="34"/>
  <c r="B48" i="34"/>
  <c r="C48" i="34"/>
  <c r="D48" i="34"/>
  <c r="E48" i="34"/>
  <c r="F48" i="34"/>
  <c r="G48" i="34"/>
  <c r="H48" i="34"/>
  <c r="I48" i="34"/>
  <c r="J48" i="34"/>
  <c r="K48" i="34"/>
  <c r="L48" i="34"/>
  <c r="M48" i="34"/>
  <c r="N48" i="34"/>
  <c r="O48" i="34"/>
  <c r="P48" i="34"/>
  <c r="B49" i="34"/>
  <c r="C49" i="34"/>
  <c r="D49" i="34"/>
  <c r="E49" i="34"/>
  <c r="F49" i="34"/>
  <c r="G49" i="34"/>
  <c r="H49" i="34"/>
  <c r="I49" i="34"/>
  <c r="J49" i="34"/>
  <c r="K49" i="34"/>
  <c r="L49" i="34"/>
  <c r="M49" i="34"/>
  <c r="N49" i="34"/>
  <c r="O49" i="34"/>
  <c r="P49" i="34"/>
  <c r="B50" i="34"/>
  <c r="C50" i="34"/>
  <c r="D50" i="34"/>
  <c r="E50" i="34"/>
  <c r="F50" i="34"/>
  <c r="G50" i="34"/>
  <c r="H50" i="34"/>
  <c r="I50" i="34"/>
  <c r="J50" i="34"/>
  <c r="K50" i="34"/>
  <c r="L50" i="34"/>
  <c r="M50" i="34"/>
  <c r="N50" i="34"/>
  <c r="O50" i="34"/>
  <c r="P50" i="34"/>
  <c r="B51" i="34"/>
  <c r="C51" i="34"/>
  <c r="D51" i="34"/>
  <c r="E51" i="34"/>
  <c r="F51" i="34"/>
  <c r="G51" i="34"/>
  <c r="H51" i="34"/>
  <c r="I51" i="34"/>
  <c r="J51" i="34"/>
  <c r="K51" i="34"/>
  <c r="L51" i="34"/>
  <c r="M51" i="34"/>
  <c r="N51" i="34"/>
  <c r="O51" i="34"/>
  <c r="P51" i="34"/>
  <c r="B52" i="34"/>
  <c r="C52" i="34"/>
  <c r="D52" i="34"/>
  <c r="E52" i="34"/>
  <c r="F52" i="34"/>
  <c r="G52" i="34"/>
  <c r="H52" i="34"/>
  <c r="I52" i="34"/>
  <c r="J52" i="34"/>
  <c r="K52" i="34"/>
  <c r="L52" i="34"/>
  <c r="M52" i="34"/>
  <c r="N52" i="34"/>
  <c r="O52" i="34"/>
  <c r="P52" i="34"/>
  <c r="B53" i="34"/>
  <c r="C53" i="34"/>
  <c r="D53" i="34"/>
  <c r="E53" i="34"/>
  <c r="F53" i="34"/>
  <c r="G53" i="34"/>
  <c r="H53" i="34"/>
  <c r="I53" i="34"/>
  <c r="J53" i="34"/>
  <c r="K53" i="34"/>
  <c r="L53" i="34"/>
  <c r="M53" i="34"/>
  <c r="N53" i="34"/>
  <c r="O53" i="34"/>
  <c r="P53" i="34"/>
  <c r="B54" i="34"/>
  <c r="C54" i="34"/>
  <c r="D54" i="34"/>
  <c r="E54" i="34"/>
  <c r="F54" i="34"/>
  <c r="G54" i="34"/>
  <c r="H54" i="34"/>
  <c r="I54" i="34"/>
  <c r="J54" i="34"/>
  <c r="K54" i="34"/>
  <c r="L54" i="34"/>
  <c r="M54" i="34"/>
  <c r="N54" i="34"/>
  <c r="O54" i="34"/>
  <c r="P54" i="34"/>
  <c r="B55" i="34"/>
  <c r="C55" i="34"/>
  <c r="D55" i="34"/>
  <c r="E55" i="34"/>
  <c r="F55" i="34"/>
  <c r="G55" i="34"/>
  <c r="H55" i="34"/>
  <c r="I55" i="34"/>
  <c r="J55" i="34"/>
  <c r="K55" i="34"/>
  <c r="L55" i="34"/>
  <c r="M55" i="34"/>
  <c r="N55" i="34"/>
  <c r="O55" i="34"/>
  <c r="P55" i="34"/>
  <c r="B56" i="34"/>
  <c r="C56" i="34"/>
  <c r="D56" i="34"/>
  <c r="E56" i="34"/>
  <c r="F56" i="34"/>
  <c r="G56" i="34"/>
  <c r="H56" i="34"/>
  <c r="I56" i="34"/>
  <c r="J56" i="34"/>
  <c r="K56" i="34"/>
  <c r="L56" i="34"/>
  <c r="M56" i="34"/>
  <c r="N56" i="34"/>
  <c r="O56" i="34"/>
  <c r="P56" i="34"/>
  <c r="B57" i="34"/>
  <c r="C57" i="34"/>
  <c r="D57" i="34"/>
  <c r="E57" i="34"/>
  <c r="F57" i="34"/>
  <c r="G57" i="34"/>
  <c r="H57" i="34"/>
  <c r="I57" i="34"/>
  <c r="J57" i="34"/>
  <c r="K57" i="34"/>
  <c r="L57" i="34"/>
  <c r="M57" i="34"/>
  <c r="N57" i="34"/>
  <c r="O57" i="34"/>
  <c r="P57" i="34"/>
  <c r="B58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P58" i="34"/>
  <c r="B59" i="34"/>
  <c r="C59" i="34"/>
  <c r="D59" i="34"/>
  <c r="E59" i="34"/>
  <c r="F59" i="34"/>
  <c r="G59" i="34"/>
  <c r="H59" i="34"/>
  <c r="I59" i="34"/>
  <c r="J59" i="34"/>
  <c r="K59" i="34"/>
  <c r="L59" i="34"/>
  <c r="M59" i="34"/>
  <c r="N59" i="34"/>
  <c r="O59" i="34"/>
  <c r="P59" i="34"/>
  <c r="B60" i="34"/>
  <c r="C60" i="34"/>
  <c r="D60" i="34"/>
  <c r="E60" i="34"/>
  <c r="F60" i="34"/>
  <c r="G60" i="34"/>
  <c r="H60" i="34"/>
  <c r="I60" i="34"/>
  <c r="J60" i="34"/>
  <c r="K60" i="34"/>
  <c r="L60" i="34"/>
  <c r="M60" i="34"/>
  <c r="N60" i="34"/>
  <c r="O60" i="34"/>
  <c r="P60" i="34"/>
  <c r="B61" i="34"/>
  <c r="C61" i="34"/>
  <c r="D61" i="34"/>
  <c r="E61" i="34"/>
  <c r="F61" i="34"/>
  <c r="G61" i="34"/>
  <c r="H61" i="34"/>
  <c r="I61" i="34"/>
  <c r="J61" i="34"/>
  <c r="K61" i="34"/>
  <c r="L61" i="34"/>
  <c r="M61" i="34"/>
  <c r="N61" i="34"/>
  <c r="O61" i="34"/>
  <c r="P61" i="34"/>
  <c r="B62" i="34"/>
  <c r="C62" i="34"/>
  <c r="D62" i="34"/>
  <c r="E62" i="34"/>
  <c r="F62" i="34"/>
  <c r="G62" i="34"/>
  <c r="H62" i="34"/>
  <c r="I62" i="34"/>
  <c r="J62" i="34"/>
  <c r="K62" i="34"/>
  <c r="L62" i="34"/>
  <c r="M62" i="34"/>
  <c r="N62" i="34"/>
  <c r="O62" i="34"/>
  <c r="P62" i="34"/>
  <c r="B63" i="34"/>
  <c r="C63" i="34"/>
  <c r="D63" i="34"/>
  <c r="E63" i="34"/>
  <c r="F63" i="34"/>
  <c r="G63" i="34"/>
  <c r="H63" i="34"/>
  <c r="I63" i="34"/>
  <c r="J63" i="34"/>
  <c r="K63" i="34"/>
  <c r="L63" i="34"/>
  <c r="M63" i="34"/>
  <c r="N63" i="34"/>
  <c r="O63" i="34"/>
  <c r="P63" i="34"/>
  <c r="B64" i="34"/>
  <c r="C64" i="34"/>
  <c r="D64" i="34"/>
  <c r="E64" i="34"/>
  <c r="F64" i="34"/>
  <c r="G64" i="34"/>
  <c r="H64" i="34"/>
  <c r="I64" i="34"/>
  <c r="J64" i="34"/>
  <c r="K64" i="34"/>
  <c r="L64" i="34"/>
  <c r="M64" i="34"/>
  <c r="N64" i="34"/>
  <c r="O64" i="34"/>
  <c r="P64" i="34"/>
  <c r="B65" i="34"/>
  <c r="C65" i="34"/>
  <c r="D65" i="34"/>
  <c r="E65" i="34"/>
  <c r="F65" i="34"/>
  <c r="G65" i="34"/>
  <c r="H65" i="34"/>
  <c r="I65" i="34"/>
  <c r="J65" i="34"/>
  <c r="K65" i="34"/>
  <c r="L65" i="34"/>
  <c r="M65" i="34"/>
  <c r="N65" i="34"/>
  <c r="O65" i="34"/>
  <c r="P65" i="34"/>
  <c r="B66" i="34"/>
  <c r="C66" i="34"/>
  <c r="D66" i="34"/>
  <c r="E66" i="34"/>
  <c r="F66" i="34"/>
  <c r="G66" i="34"/>
  <c r="H66" i="34"/>
  <c r="I66" i="34"/>
  <c r="J66" i="34"/>
  <c r="K66" i="34"/>
  <c r="L66" i="34"/>
  <c r="M66" i="34"/>
  <c r="N66" i="34"/>
  <c r="O66" i="34"/>
  <c r="P66" i="34"/>
  <c r="B67" i="34"/>
  <c r="C67" i="34"/>
  <c r="D67" i="34"/>
  <c r="E67" i="34"/>
  <c r="F67" i="34"/>
  <c r="G67" i="34"/>
  <c r="H67" i="34"/>
  <c r="I67" i="34"/>
  <c r="J67" i="34"/>
  <c r="K67" i="34"/>
  <c r="L67" i="34"/>
  <c r="M67" i="34"/>
  <c r="N67" i="34"/>
  <c r="O67" i="34"/>
  <c r="P67" i="34"/>
  <c r="B68" i="34"/>
  <c r="C68" i="34"/>
  <c r="D68" i="34"/>
  <c r="E68" i="34"/>
  <c r="F68" i="34"/>
  <c r="G68" i="34"/>
  <c r="H68" i="34"/>
  <c r="I68" i="34"/>
  <c r="J68" i="34"/>
  <c r="K68" i="34"/>
  <c r="L68" i="34"/>
  <c r="M68" i="34"/>
  <c r="N68" i="34"/>
  <c r="O68" i="34"/>
  <c r="P68" i="34"/>
  <c r="B69" i="34"/>
  <c r="C69" i="34"/>
  <c r="D69" i="34"/>
  <c r="E69" i="34"/>
  <c r="F69" i="34"/>
  <c r="G69" i="34"/>
  <c r="H69" i="34"/>
  <c r="I69" i="34"/>
  <c r="J69" i="34"/>
  <c r="K69" i="34"/>
  <c r="L69" i="34"/>
  <c r="M69" i="34"/>
  <c r="N69" i="34"/>
  <c r="O69" i="34"/>
  <c r="P69" i="34"/>
  <c r="B70" i="34"/>
  <c r="C70" i="34"/>
  <c r="D70" i="34"/>
  <c r="E70" i="34"/>
  <c r="F70" i="34"/>
  <c r="G70" i="34"/>
  <c r="H70" i="34"/>
  <c r="I70" i="34"/>
  <c r="J70" i="34"/>
  <c r="K70" i="34"/>
  <c r="L70" i="34"/>
  <c r="M70" i="34"/>
  <c r="N70" i="34"/>
  <c r="O70" i="34"/>
  <c r="P70" i="34"/>
  <c r="B71" i="34"/>
  <c r="C71" i="34"/>
  <c r="D71" i="34"/>
  <c r="E71" i="34"/>
  <c r="F71" i="34"/>
  <c r="G71" i="34"/>
  <c r="H71" i="34"/>
  <c r="I71" i="34"/>
  <c r="J71" i="34"/>
  <c r="K71" i="34"/>
  <c r="L71" i="34"/>
  <c r="M71" i="34"/>
  <c r="N71" i="34"/>
  <c r="O71" i="34"/>
  <c r="P71" i="34"/>
  <c r="B72" i="34"/>
  <c r="C72" i="34"/>
  <c r="D72" i="34"/>
  <c r="E72" i="34"/>
  <c r="F72" i="34"/>
  <c r="G72" i="34"/>
  <c r="H72" i="34"/>
  <c r="I72" i="34"/>
  <c r="J72" i="34"/>
  <c r="K72" i="34"/>
  <c r="L72" i="34"/>
  <c r="M72" i="34"/>
  <c r="N72" i="34"/>
  <c r="O72" i="34"/>
  <c r="P72" i="34"/>
  <c r="B73" i="34"/>
  <c r="C73" i="34"/>
  <c r="D73" i="34"/>
  <c r="E73" i="34"/>
  <c r="F73" i="34"/>
  <c r="G73" i="34"/>
  <c r="H73" i="34"/>
  <c r="I73" i="34"/>
  <c r="J73" i="34"/>
  <c r="K73" i="34"/>
  <c r="L73" i="34"/>
  <c r="M73" i="34"/>
  <c r="N73" i="34"/>
  <c r="O73" i="34"/>
  <c r="P73" i="34"/>
  <c r="B74" i="34"/>
  <c r="C74" i="34"/>
  <c r="D74" i="34"/>
  <c r="E74" i="34"/>
  <c r="F74" i="34"/>
  <c r="G74" i="34"/>
  <c r="H74" i="34"/>
  <c r="I74" i="34"/>
  <c r="J74" i="34"/>
  <c r="K74" i="34"/>
  <c r="L74" i="34"/>
  <c r="M74" i="34"/>
  <c r="N74" i="34"/>
  <c r="O74" i="34"/>
  <c r="P74" i="34"/>
  <c r="Q74" i="34"/>
  <c r="H75" i="34"/>
  <c r="O75" i="34"/>
  <c r="P75" i="34"/>
  <c r="B106" i="34"/>
  <c r="C106" i="34"/>
  <c r="D106" i="34"/>
  <c r="E106" i="34"/>
  <c r="I115" i="34"/>
  <c r="J115" i="34"/>
  <c r="K115" i="34"/>
  <c r="L115" i="34"/>
  <c r="M115" i="34"/>
  <c r="N115" i="34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O4" i="33"/>
  <c r="P4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O5" i="33"/>
  <c r="P5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O6" i="33"/>
  <c r="P6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O7" i="33"/>
  <c r="P7" i="33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O9" i="33"/>
  <c r="P9" i="33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O11" i="33"/>
  <c r="P11" i="33"/>
  <c r="B12" i="33"/>
  <c r="C12" i="33"/>
  <c r="D12" i="33"/>
  <c r="E12" i="33"/>
  <c r="F12" i="33"/>
  <c r="G12" i="33"/>
  <c r="H12" i="33"/>
  <c r="I12" i="33"/>
  <c r="J12" i="33"/>
  <c r="K12" i="33"/>
  <c r="L12" i="33"/>
  <c r="M12" i="33"/>
  <c r="N12" i="33"/>
  <c r="O12" i="33"/>
  <c r="P12" i="33"/>
  <c r="B13" i="33"/>
  <c r="C13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B14" i="33"/>
  <c r="C14" i="33"/>
  <c r="D14" i="33"/>
  <c r="E14" i="33"/>
  <c r="F14" i="33"/>
  <c r="G14" i="33"/>
  <c r="H14" i="33"/>
  <c r="I14" i="33"/>
  <c r="J14" i="33"/>
  <c r="K14" i="33"/>
  <c r="L14" i="33"/>
  <c r="M14" i="33"/>
  <c r="N14" i="33"/>
  <c r="O14" i="33"/>
  <c r="P14" i="33"/>
  <c r="B15" i="33"/>
  <c r="C15" i="33"/>
  <c r="D15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B16" i="33"/>
  <c r="C16" i="33"/>
  <c r="D16" i="33"/>
  <c r="E16" i="33"/>
  <c r="F16" i="33"/>
  <c r="G16" i="33"/>
  <c r="H16" i="33"/>
  <c r="I16" i="33"/>
  <c r="J16" i="33"/>
  <c r="K16" i="33"/>
  <c r="L16" i="33"/>
  <c r="O16" i="33"/>
  <c r="P16" i="33"/>
  <c r="B17" i="33"/>
  <c r="C17" i="33"/>
  <c r="D17" i="33"/>
  <c r="E17" i="33"/>
  <c r="F17" i="33"/>
  <c r="G17" i="33"/>
  <c r="H17" i="33"/>
  <c r="I17" i="33"/>
  <c r="J17" i="33"/>
  <c r="K17" i="33"/>
  <c r="L17" i="33"/>
  <c r="O17" i="33"/>
  <c r="P17" i="33"/>
  <c r="B18" i="33"/>
  <c r="C18" i="33"/>
  <c r="D18" i="33"/>
  <c r="E18" i="33"/>
  <c r="F18" i="33"/>
  <c r="G18" i="33"/>
  <c r="H18" i="33"/>
  <c r="I18" i="33"/>
  <c r="J18" i="33"/>
  <c r="K18" i="33"/>
  <c r="L18" i="33"/>
  <c r="M18" i="33"/>
  <c r="N18" i="33"/>
  <c r="O18" i="33"/>
  <c r="P18" i="33"/>
  <c r="B19" i="33"/>
  <c r="C19" i="33"/>
  <c r="D19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B20" i="33"/>
  <c r="C20" i="33"/>
  <c r="D20" i="33"/>
  <c r="E20" i="33"/>
  <c r="F20" i="33"/>
  <c r="G20" i="33"/>
  <c r="H20" i="33"/>
  <c r="I20" i="33"/>
  <c r="J20" i="33"/>
  <c r="K20" i="33"/>
  <c r="L20" i="33"/>
  <c r="M20" i="33"/>
  <c r="N20" i="33"/>
  <c r="O20" i="33"/>
  <c r="P20" i="33"/>
  <c r="B21" i="33"/>
  <c r="C21" i="33"/>
  <c r="D21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B22" i="33"/>
  <c r="C22" i="33"/>
  <c r="D22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B23" i="33"/>
  <c r="C23" i="33"/>
  <c r="D23" i="33"/>
  <c r="E23" i="33"/>
  <c r="F23" i="33"/>
  <c r="G23" i="33"/>
  <c r="H23" i="33"/>
  <c r="I23" i="33"/>
  <c r="J23" i="33"/>
  <c r="K23" i="33"/>
  <c r="L23" i="33"/>
  <c r="M23" i="33"/>
  <c r="N23" i="33"/>
  <c r="O23" i="33"/>
  <c r="P23" i="33"/>
  <c r="B24" i="33"/>
  <c r="C24" i="33"/>
  <c r="D24" i="33"/>
  <c r="E24" i="33"/>
  <c r="F24" i="33"/>
  <c r="G24" i="33"/>
  <c r="H24" i="33"/>
  <c r="I24" i="33"/>
  <c r="J24" i="33"/>
  <c r="K24" i="33"/>
  <c r="L24" i="33"/>
  <c r="M24" i="33"/>
  <c r="N24" i="33"/>
  <c r="O24" i="33"/>
  <c r="P24" i="33"/>
  <c r="B25" i="33"/>
  <c r="C25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B26" i="33"/>
  <c r="C26" i="33"/>
  <c r="D26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B27" i="33"/>
  <c r="C27" i="33"/>
  <c r="D27" i="33"/>
  <c r="E27" i="33"/>
  <c r="F27" i="33"/>
  <c r="G27" i="33"/>
  <c r="H27" i="33"/>
  <c r="I27" i="33"/>
  <c r="J27" i="33"/>
  <c r="K27" i="33"/>
  <c r="L27" i="33"/>
  <c r="M27" i="33"/>
  <c r="N27" i="33"/>
  <c r="O27" i="33"/>
  <c r="P27" i="33"/>
  <c r="B28" i="33"/>
  <c r="C28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B29" i="33"/>
  <c r="C29" i="33"/>
  <c r="D29" i="33"/>
  <c r="E29" i="33"/>
  <c r="F29" i="33"/>
  <c r="G29" i="33"/>
  <c r="H29" i="33"/>
  <c r="I29" i="33"/>
  <c r="J29" i="33"/>
  <c r="K29" i="33"/>
  <c r="L29" i="33"/>
  <c r="M29" i="33"/>
  <c r="N29" i="33"/>
  <c r="O29" i="33"/>
  <c r="P29" i="33"/>
  <c r="B30" i="33"/>
  <c r="C30" i="33"/>
  <c r="D30" i="33"/>
  <c r="E30" i="33"/>
  <c r="F30" i="33"/>
  <c r="G30" i="33"/>
  <c r="H30" i="33"/>
  <c r="I30" i="33"/>
  <c r="J30" i="33"/>
  <c r="K30" i="33"/>
  <c r="L30" i="33"/>
  <c r="M30" i="33"/>
  <c r="N30" i="33"/>
  <c r="O30" i="33"/>
  <c r="P30" i="33"/>
  <c r="B31" i="33"/>
  <c r="C31" i="33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B32" i="33"/>
  <c r="C32" i="33"/>
  <c r="D32" i="33"/>
  <c r="E32" i="33"/>
  <c r="F32" i="33"/>
  <c r="G32" i="33"/>
  <c r="H32" i="33"/>
  <c r="I32" i="33"/>
  <c r="J32" i="33"/>
  <c r="K32" i="33"/>
  <c r="L32" i="33"/>
  <c r="M32" i="33"/>
  <c r="N32" i="33"/>
  <c r="O32" i="33"/>
  <c r="P32" i="33"/>
  <c r="B33" i="33"/>
  <c r="C33" i="33"/>
  <c r="D33" i="33"/>
  <c r="E33" i="33"/>
  <c r="F33" i="33"/>
  <c r="G33" i="33"/>
  <c r="H33" i="33"/>
  <c r="I33" i="33"/>
  <c r="J33" i="33"/>
  <c r="K33" i="33"/>
  <c r="L33" i="33"/>
  <c r="M33" i="33"/>
  <c r="N33" i="33"/>
  <c r="O33" i="33"/>
  <c r="P33" i="33"/>
  <c r="O34" i="33"/>
  <c r="P34" i="33"/>
  <c r="B35" i="33"/>
  <c r="C35" i="33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B38" i="33"/>
  <c r="C38" i="33"/>
  <c r="D38" i="33"/>
  <c r="E38" i="33"/>
  <c r="F38" i="33"/>
  <c r="G38" i="33"/>
  <c r="H38" i="33"/>
  <c r="I38" i="33"/>
  <c r="J38" i="33"/>
  <c r="K38" i="33"/>
  <c r="L38" i="33"/>
  <c r="M38" i="33"/>
  <c r="N38" i="33"/>
  <c r="O38" i="33"/>
  <c r="P38" i="33"/>
  <c r="B39" i="33"/>
  <c r="C39" i="33"/>
  <c r="D39" i="33"/>
  <c r="E39" i="33"/>
  <c r="F39" i="33"/>
  <c r="G39" i="33"/>
  <c r="H39" i="33"/>
  <c r="I39" i="33"/>
  <c r="J39" i="33"/>
  <c r="K39" i="33"/>
  <c r="L39" i="33"/>
  <c r="M39" i="33"/>
  <c r="N39" i="33"/>
  <c r="O39" i="33"/>
  <c r="P39" i="33"/>
  <c r="B40" i="33"/>
  <c r="C40" i="33"/>
  <c r="D40" i="33"/>
  <c r="E40" i="33"/>
  <c r="F40" i="33"/>
  <c r="G40" i="33"/>
  <c r="H40" i="33"/>
  <c r="I40" i="33"/>
  <c r="J40" i="33"/>
  <c r="K40" i="33"/>
  <c r="L40" i="33"/>
  <c r="M40" i="33"/>
  <c r="N40" i="33"/>
  <c r="O40" i="33"/>
  <c r="P40" i="33"/>
  <c r="B41" i="33"/>
  <c r="C41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B42" i="33"/>
  <c r="C42" i="33"/>
  <c r="D42" i="33"/>
  <c r="E42" i="33"/>
  <c r="F42" i="33"/>
  <c r="G42" i="33"/>
  <c r="H42" i="33"/>
  <c r="I42" i="33"/>
  <c r="J42" i="33"/>
  <c r="K42" i="33"/>
  <c r="L42" i="33"/>
  <c r="M42" i="33"/>
  <c r="N42" i="33"/>
  <c r="O42" i="33"/>
  <c r="P42" i="33"/>
  <c r="B43" i="33"/>
  <c r="C43" i="33"/>
  <c r="D43" i="33"/>
  <c r="E43" i="33"/>
  <c r="F43" i="33"/>
  <c r="G43" i="33"/>
  <c r="H43" i="33"/>
  <c r="I43" i="33"/>
  <c r="J43" i="33"/>
  <c r="K43" i="33"/>
  <c r="L43" i="33"/>
  <c r="M43" i="33"/>
  <c r="N43" i="33"/>
  <c r="O43" i="33"/>
  <c r="P43" i="33"/>
  <c r="B44" i="33"/>
  <c r="C44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B45" i="33"/>
  <c r="C45" i="33"/>
  <c r="D45" i="33"/>
  <c r="E45" i="33"/>
  <c r="F45" i="33"/>
  <c r="G45" i="33"/>
  <c r="H45" i="33"/>
  <c r="I45" i="33"/>
  <c r="J45" i="33"/>
  <c r="K45" i="33"/>
  <c r="L45" i="33"/>
  <c r="M45" i="33"/>
  <c r="N45" i="33"/>
  <c r="O45" i="33"/>
  <c r="P45" i="33"/>
  <c r="B46" i="33"/>
  <c r="C46" i="33"/>
  <c r="D46" i="33"/>
  <c r="E46" i="33"/>
  <c r="F46" i="33"/>
  <c r="G46" i="33"/>
  <c r="H46" i="33"/>
  <c r="I46" i="33"/>
  <c r="J46" i="33"/>
  <c r="K46" i="33"/>
  <c r="L46" i="33"/>
  <c r="M46" i="33"/>
  <c r="N46" i="33"/>
  <c r="O46" i="33"/>
  <c r="P46" i="33"/>
  <c r="B47" i="33"/>
  <c r="C47" i="33"/>
  <c r="D47" i="33"/>
  <c r="E47" i="33"/>
  <c r="F47" i="33"/>
  <c r="G47" i="33"/>
  <c r="H47" i="33"/>
  <c r="I47" i="33"/>
  <c r="J47" i="33"/>
  <c r="K47" i="33"/>
  <c r="L47" i="33"/>
  <c r="M47" i="33"/>
  <c r="N47" i="33"/>
  <c r="O47" i="33"/>
  <c r="P47" i="33"/>
  <c r="B48" i="33"/>
  <c r="C48" i="33"/>
  <c r="D48" i="33"/>
  <c r="E48" i="33"/>
  <c r="F48" i="33"/>
  <c r="G48" i="33"/>
  <c r="H48" i="33"/>
  <c r="I48" i="33"/>
  <c r="J48" i="33"/>
  <c r="K48" i="33"/>
  <c r="L48" i="33"/>
  <c r="M48" i="33"/>
  <c r="N48" i="33"/>
  <c r="O48" i="33"/>
  <c r="P48" i="33"/>
  <c r="B49" i="33"/>
  <c r="C49" i="33"/>
  <c r="D49" i="33"/>
  <c r="E49" i="33"/>
  <c r="F49" i="33"/>
  <c r="G49" i="33"/>
  <c r="H49" i="33"/>
  <c r="I49" i="33"/>
  <c r="J49" i="33"/>
  <c r="K49" i="33"/>
  <c r="L49" i="33"/>
  <c r="M49" i="33"/>
  <c r="N49" i="33"/>
  <c r="O49" i="33"/>
  <c r="P49" i="33"/>
  <c r="B50" i="33"/>
  <c r="C50" i="33"/>
  <c r="D50" i="33"/>
  <c r="E50" i="33"/>
  <c r="F50" i="33"/>
  <c r="G50" i="33"/>
  <c r="H50" i="33"/>
  <c r="I50" i="33"/>
  <c r="J50" i="33"/>
  <c r="K50" i="33"/>
  <c r="L50" i="33"/>
  <c r="M50" i="33"/>
  <c r="N50" i="33"/>
  <c r="O50" i="33"/>
  <c r="P50" i="33"/>
  <c r="B51" i="33"/>
  <c r="C51" i="33"/>
  <c r="D51" i="33"/>
  <c r="E51" i="33"/>
  <c r="F51" i="33"/>
  <c r="G51" i="33"/>
  <c r="H51" i="33"/>
  <c r="I51" i="33"/>
  <c r="J51" i="33"/>
  <c r="K51" i="33"/>
  <c r="L51" i="33"/>
  <c r="M51" i="33"/>
  <c r="N51" i="33"/>
  <c r="O51" i="33"/>
  <c r="P51" i="33"/>
  <c r="B52" i="33"/>
  <c r="C52" i="33"/>
  <c r="D52" i="33"/>
  <c r="E52" i="33"/>
  <c r="F52" i="33"/>
  <c r="G52" i="33"/>
  <c r="H52" i="33"/>
  <c r="I52" i="33"/>
  <c r="J52" i="33"/>
  <c r="K52" i="33"/>
  <c r="L52" i="33"/>
  <c r="M52" i="33"/>
  <c r="N52" i="33"/>
  <c r="O52" i="33"/>
  <c r="P52" i="33"/>
  <c r="B53" i="33"/>
  <c r="C53" i="33"/>
  <c r="D53" i="33"/>
  <c r="E53" i="33"/>
  <c r="F53" i="33"/>
  <c r="G53" i="33"/>
  <c r="H53" i="33"/>
  <c r="I53" i="33"/>
  <c r="J53" i="33"/>
  <c r="K53" i="33"/>
  <c r="L53" i="33"/>
  <c r="M53" i="33"/>
  <c r="N53" i="33"/>
  <c r="O53" i="33"/>
  <c r="P53" i="33"/>
  <c r="B54" i="33"/>
  <c r="C54" i="33"/>
  <c r="D54" i="33"/>
  <c r="E54" i="33"/>
  <c r="F54" i="33"/>
  <c r="G54" i="33"/>
  <c r="H54" i="33"/>
  <c r="I54" i="33"/>
  <c r="J54" i="33"/>
  <c r="K54" i="33"/>
  <c r="L54" i="33"/>
  <c r="M54" i="33"/>
  <c r="N54" i="33"/>
  <c r="O54" i="33"/>
  <c r="P54" i="33"/>
  <c r="B55" i="33"/>
  <c r="C55" i="33"/>
  <c r="D55" i="33"/>
  <c r="E55" i="33"/>
  <c r="F55" i="33"/>
  <c r="G55" i="33"/>
  <c r="H55" i="33"/>
  <c r="I55" i="33"/>
  <c r="J55" i="33"/>
  <c r="K55" i="33"/>
  <c r="L55" i="33"/>
  <c r="M55" i="33"/>
  <c r="N55" i="33"/>
  <c r="O55" i="33"/>
  <c r="P55" i="33"/>
  <c r="B56" i="33"/>
  <c r="C56" i="33"/>
  <c r="D56" i="33"/>
  <c r="E56" i="33"/>
  <c r="F56" i="33"/>
  <c r="G56" i="33"/>
  <c r="H56" i="33"/>
  <c r="I56" i="33"/>
  <c r="J56" i="33"/>
  <c r="K56" i="33"/>
  <c r="L56" i="33"/>
  <c r="M56" i="33"/>
  <c r="N56" i="33"/>
  <c r="O56" i="33"/>
  <c r="P56" i="33"/>
  <c r="B57" i="33"/>
  <c r="C57" i="33"/>
  <c r="D57" i="33"/>
  <c r="E57" i="33"/>
  <c r="F57" i="33"/>
  <c r="G57" i="33"/>
  <c r="H57" i="33"/>
  <c r="I57" i="33"/>
  <c r="J57" i="33"/>
  <c r="K57" i="33"/>
  <c r="L57" i="33"/>
  <c r="M57" i="33"/>
  <c r="N57" i="33"/>
  <c r="O57" i="33"/>
  <c r="P57" i="33"/>
  <c r="B58" i="33"/>
  <c r="C58" i="33"/>
  <c r="D58" i="33"/>
  <c r="E58" i="33"/>
  <c r="F58" i="33"/>
  <c r="G58" i="33"/>
  <c r="H58" i="33"/>
  <c r="I58" i="33"/>
  <c r="J58" i="33"/>
  <c r="K58" i="33"/>
  <c r="L58" i="33"/>
  <c r="M58" i="33"/>
  <c r="N58" i="33"/>
  <c r="O58" i="33"/>
  <c r="P58" i="33"/>
  <c r="B59" i="33"/>
  <c r="C59" i="33"/>
  <c r="D59" i="33"/>
  <c r="E59" i="33"/>
  <c r="F59" i="33"/>
  <c r="G59" i="33"/>
  <c r="H59" i="33"/>
  <c r="I59" i="33"/>
  <c r="J59" i="33"/>
  <c r="K59" i="33"/>
  <c r="L59" i="33"/>
  <c r="M59" i="33"/>
  <c r="N59" i="33"/>
  <c r="O59" i="33"/>
  <c r="P59" i="33"/>
  <c r="B60" i="33"/>
  <c r="C60" i="33"/>
  <c r="D60" i="33"/>
  <c r="E60" i="33"/>
  <c r="F60" i="33"/>
  <c r="G60" i="33"/>
  <c r="H60" i="33"/>
  <c r="I60" i="33"/>
  <c r="J60" i="33"/>
  <c r="K60" i="33"/>
  <c r="L60" i="33"/>
  <c r="M60" i="33"/>
  <c r="N60" i="33"/>
  <c r="O60" i="33"/>
  <c r="P60" i="33"/>
  <c r="B61" i="33"/>
  <c r="C61" i="33"/>
  <c r="D61" i="33"/>
  <c r="E61" i="33"/>
  <c r="F61" i="33"/>
  <c r="G61" i="33"/>
  <c r="H61" i="33"/>
  <c r="I61" i="33"/>
  <c r="J61" i="33"/>
  <c r="K61" i="33"/>
  <c r="L61" i="33"/>
  <c r="M61" i="33"/>
  <c r="N61" i="33"/>
  <c r="O61" i="33"/>
  <c r="P61" i="33"/>
  <c r="B62" i="33"/>
  <c r="C62" i="33"/>
  <c r="D62" i="33"/>
  <c r="E62" i="33"/>
  <c r="F62" i="33"/>
  <c r="G62" i="33"/>
  <c r="H62" i="33"/>
  <c r="I62" i="33"/>
  <c r="J62" i="33"/>
  <c r="K62" i="33"/>
  <c r="L62" i="33"/>
  <c r="M62" i="33"/>
  <c r="N62" i="33"/>
  <c r="O62" i="33"/>
  <c r="P62" i="33"/>
  <c r="B63" i="33"/>
  <c r="C63" i="33"/>
  <c r="D63" i="33"/>
  <c r="E63" i="33"/>
  <c r="F63" i="33"/>
  <c r="G63" i="33"/>
  <c r="H63" i="33"/>
  <c r="I63" i="33"/>
  <c r="J63" i="33"/>
  <c r="K63" i="33"/>
  <c r="L63" i="33"/>
  <c r="M63" i="33"/>
  <c r="N63" i="33"/>
  <c r="O63" i="33"/>
  <c r="P63" i="33"/>
  <c r="B64" i="33"/>
  <c r="C64" i="33"/>
  <c r="D64" i="33"/>
  <c r="E64" i="33"/>
  <c r="F64" i="33"/>
  <c r="G64" i="33"/>
  <c r="H64" i="33"/>
  <c r="I64" i="33"/>
  <c r="J64" i="33"/>
  <c r="K64" i="33"/>
  <c r="L64" i="33"/>
  <c r="M64" i="33"/>
  <c r="N64" i="33"/>
  <c r="O64" i="33"/>
  <c r="P64" i="33"/>
  <c r="B65" i="33"/>
  <c r="C65" i="33"/>
  <c r="D65" i="33"/>
  <c r="E65" i="33"/>
  <c r="F65" i="33"/>
  <c r="G65" i="33"/>
  <c r="H65" i="33"/>
  <c r="I65" i="33"/>
  <c r="J65" i="33"/>
  <c r="K65" i="33"/>
  <c r="L65" i="33"/>
  <c r="M65" i="33"/>
  <c r="N65" i="33"/>
  <c r="O65" i="33"/>
  <c r="P65" i="33"/>
  <c r="B66" i="33"/>
  <c r="C66" i="33"/>
  <c r="D66" i="33"/>
  <c r="E66" i="33"/>
  <c r="F66" i="33"/>
  <c r="G66" i="33"/>
  <c r="H66" i="33"/>
  <c r="I66" i="33"/>
  <c r="J66" i="33"/>
  <c r="K66" i="33"/>
  <c r="L66" i="33"/>
  <c r="M66" i="33"/>
  <c r="N66" i="33"/>
  <c r="O66" i="33"/>
  <c r="P66" i="33"/>
  <c r="B67" i="33"/>
  <c r="C67" i="33"/>
  <c r="D67" i="33"/>
  <c r="E67" i="33"/>
  <c r="F67" i="33"/>
  <c r="G67" i="33"/>
  <c r="H67" i="33"/>
  <c r="I67" i="33"/>
  <c r="J67" i="33"/>
  <c r="K67" i="33"/>
  <c r="L67" i="33"/>
  <c r="M67" i="33"/>
  <c r="N67" i="33"/>
  <c r="O67" i="33"/>
  <c r="P67" i="33"/>
  <c r="B68" i="33"/>
  <c r="C68" i="33"/>
  <c r="D68" i="33"/>
  <c r="E68" i="33"/>
  <c r="F68" i="33"/>
  <c r="G68" i="33"/>
  <c r="H68" i="33"/>
  <c r="I68" i="33"/>
  <c r="J68" i="33"/>
  <c r="K68" i="33"/>
  <c r="L68" i="33"/>
  <c r="M68" i="33"/>
  <c r="N68" i="33"/>
  <c r="O68" i="33"/>
  <c r="P68" i="33"/>
  <c r="B69" i="33"/>
  <c r="C69" i="33"/>
  <c r="D69" i="33"/>
  <c r="E69" i="33"/>
  <c r="F69" i="33"/>
  <c r="G69" i="33"/>
  <c r="H69" i="33"/>
  <c r="I69" i="33"/>
  <c r="J69" i="33"/>
  <c r="K69" i="33"/>
  <c r="L69" i="33"/>
  <c r="M69" i="33"/>
  <c r="N69" i="33"/>
  <c r="O69" i="33"/>
  <c r="P69" i="33"/>
  <c r="B70" i="33"/>
  <c r="C70" i="33"/>
  <c r="D70" i="33"/>
  <c r="E70" i="33"/>
  <c r="F70" i="33"/>
  <c r="G70" i="33"/>
  <c r="H70" i="33"/>
  <c r="I70" i="33"/>
  <c r="J70" i="33"/>
  <c r="K70" i="33"/>
  <c r="L70" i="33"/>
  <c r="M70" i="33"/>
  <c r="N70" i="33"/>
  <c r="O70" i="33"/>
  <c r="P70" i="33"/>
  <c r="B71" i="33"/>
  <c r="C71" i="33"/>
  <c r="D71" i="33"/>
  <c r="E71" i="33"/>
  <c r="F71" i="33"/>
  <c r="G71" i="33"/>
  <c r="H71" i="33"/>
  <c r="I71" i="33"/>
  <c r="J71" i="33"/>
  <c r="K71" i="33"/>
  <c r="L71" i="33"/>
  <c r="M71" i="33"/>
  <c r="N71" i="33"/>
  <c r="O71" i="33"/>
  <c r="P71" i="33"/>
  <c r="B72" i="33"/>
  <c r="C72" i="33"/>
  <c r="D72" i="33"/>
  <c r="E72" i="33"/>
  <c r="F72" i="33"/>
  <c r="G72" i="33"/>
  <c r="H72" i="33"/>
  <c r="I72" i="33"/>
  <c r="J72" i="33"/>
  <c r="K72" i="33"/>
  <c r="L72" i="33"/>
  <c r="M72" i="33"/>
  <c r="N72" i="33"/>
  <c r="O72" i="33"/>
  <c r="P72" i="33"/>
  <c r="B73" i="33"/>
  <c r="C73" i="33"/>
  <c r="D73" i="33"/>
  <c r="E73" i="33"/>
  <c r="F73" i="33"/>
  <c r="G73" i="33"/>
  <c r="H73" i="33"/>
  <c r="I73" i="33"/>
  <c r="J73" i="33"/>
  <c r="K73" i="33"/>
  <c r="L73" i="33"/>
  <c r="M73" i="33"/>
  <c r="N73" i="33"/>
  <c r="O73" i="33"/>
  <c r="P73" i="33"/>
  <c r="B74" i="33"/>
  <c r="C74" i="33"/>
  <c r="D74" i="33"/>
  <c r="E74" i="33"/>
  <c r="F74" i="33"/>
  <c r="G74" i="33"/>
  <c r="H74" i="33"/>
  <c r="I74" i="33"/>
  <c r="J74" i="33"/>
  <c r="K74" i="33"/>
  <c r="L74" i="33"/>
  <c r="M74" i="33"/>
  <c r="N74" i="33"/>
  <c r="O74" i="33"/>
  <c r="P74" i="33"/>
  <c r="Q74" i="33"/>
  <c r="H75" i="33"/>
  <c r="O75" i="33"/>
  <c r="P75" i="33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O4" i="32"/>
  <c r="P4" i="32"/>
  <c r="C5" i="32"/>
  <c r="D5" i="32"/>
  <c r="E5" i="32"/>
  <c r="F5" i="32"/>
  <c r="G5" i="32"/>
  <c r="H5" i="32"/>
  <c r="I5" i="32"/>
  <c r="J5" i="32"/>
  <c r="K5" i="32"/>
  <c r="L5" i="32"/>
  <c r="M5" i="32"/>
  <c r="N5" i="32"/>
  <c r="O5" i="32"/>
  <c r="P5" i="32"/>
  <c r="C6" i="32"/>
  <c r="D6" i="32"/>
  <c r="E6" i="32"/>
  <c r="F6" i="32"/>
  <c r="G6" i="32"/>
  <c r="H6" i="32"/>
  <c r="I6" i="32"/>
  <c r="J6" i="32"/>
  <c r="K6" i="32"/>
  <c r="L6" i="32"/>
  <c r="M6" i="32"/>
  <c r="N6" i="32"/>
  <c r="O6" i="32"/>
  <c r="P6" i="32"/>
  <c r="C7" i="32"/>
  <c r="D7" i="32"/>
  <c r="E7" i="32"/>
  <c r="F7" i="32"/>
  <c r="G7" i="32"/>
  <c r="H7" i="32"/>
  <c r="I7" i="32"/>
  <c r="J7" i="32"/>
  <c r="K7" i="32"/>
  <c r="L7" i="32"/>
  <c r="M7" i="32"/>
  <c r="N7" i="32"/>
  <c r="O7" i="32"/>
  <c r="P7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B10" i="32"/>
  <c r="C10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B12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B13" i="32"/>
  <c r="C13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B14" i="32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B15" i="32"/>
  <c r="C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B16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B17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B21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C28" i="32"/>
  <c r="D28" i="32"/>
  <c r="E28" i="32"/>
  <c r="F28" i="32"/>
  <c r="G28" i="32"/>
  <c r="H28" i="32"/>
  <c r="I28" i="32"/>
  <c r="J28" i="32"/>
  <c r="K28" i="32"/>
  <c r="L28" i="32"/>
  <c r="M28" i="32"/>
  <c r="N28" i="32"/>
  <c r="O28" i="32"/>
  <c r="P28" i="32"/>
  <c r="C29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C30" i="32"/>
  <c r="D30" i="32"/>
  <c r="E30" i="32"/>
  <c r="F30" i="32"/>
  <c r="G30" i="32"/>
  <c r="H30" i="32"/>
  <c r="I30" i="32"/>
  <c r="J30" i="32"/>
  <c r="K30" i="32"/>
  <c r="L30" i="32"/>
  <c r="M30" i="32"/>
  <c r="N30" i="32"/>
  <c r="O30" i="32"/>
  <c r="P30" i="32"/>
  <c r="C31" i="32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C32" i="32"/>
  <c r="D32" i="32"/>
  <c r="E32" i="32"/>
  <c r="F32" i="32"/>
  <c r="G32" i="32"/>
  <c r="H32" i="32"/>
  <c r="I32" i="32"/>
  <c r="J32" i="32"/>
  <c r="K32" i="32"/>
  <c r="L32" i="32"/>
  <c r="M32" i="32"/>
  <c r="N32" i="32"/>
  <c r="O32" i="32"/>
  <c r="P32" i="32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O34" i="32"/>
  <c r="P34" i="32"/>
  <c r="B35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B38" i="32"/>
  <c r="C38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C39" i="32"/>
  <c r="D39" i="32"/>
  <c r="E39" i="32"/>
  <c r="F39" i="32"/>
  <c r="G39" i="32"/>
  <c r="H39" i="32"/>
  <c r="I39" i="32"/>
  <c r="J39" i="32"/>
  <c r="K39" i="32"/>
  <c r="L39" i="32"/>
  <c r="M39" i="32"/>
  <c r="N39" i="32"/>
  <c r="O39" i="32"/>
  <c r="P39" i="32"/>
  <c r="C40" i="32"/>
  <c r="D40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C41" i="32"/>
  <c r="D41" i="32"/>
  <c r="E41" i="32"/>
  <c r="F41" i="32"/>
  <c r="G41" i="32"/>
  <c r="H41" i="32"/>
  <c r="I41" i="32"/>
  <c r="J41" i="32"/>
  <c r="K41" i="32"/>
  <c r="L41" i="32"/>
  <c r="M41" i="32"/>
  <c r="N41" i="32"/>
  <c r="O41" i="32"/>
  <c r="P41" i="32"/>
  <c r="C42" i="32"/>
  <c r="D42" i="32"/>
  <c r="E42" i="32"/>
  <c r="F42" i="32"/>
  <c r="G42" i="32"/>
  <c r="H42" i="32"/>
  <c r="I42" i="32"/>
  <c r="J42" i="32"/>
  <c r="K42" i="32"/>
  <c r="L42" i="32"/>
  <c r="M42" i="32"/>
  <c r="N42" i="32"/>
  <c r="O42" i="32"/>
  <c r="P42" i="32"/>
  <c r="C43" i="32"/>
  <c r="D43" i="32"/>
  <c r="E43" i="32"/>
  <c r="F43" i="32"/>
  <c r="G43" i="32"/>
  <c r="H43" i="32"/>
  <c r="I43" i="32"/>
  <c r="J43" i="32"/>
  <c r="K43" i="32"/>
  <c r="L43" i="32"/>
  <c r="M43" i="32"/>
  <c r="N43" i="32"/>
  <c r="O43" i="32"/>
  <c r="P43" i="32"/>
  <c r="B44" i="32"/>
  <c r="C44" i="32"/>
  <c r="D44" i="32"/>
  <c r="E44" i="32"/>
  <c r="F44" i="32"/>
  <c r="G44" i="32"/>
  <c r="H44" i="32"/>
  <c r="I44" i="32"/>
  <c r="J44" i="32"/>
  <c r="K44" i="32"/>
  <c r="L44" i="32"/>
  <c r="M44" i="32"/>
  <c r="N44" i="32"/>
  <c r="O44" i="32"/>
  <c r="P44" i="32"/>
  <c r="C45" i="32"/>
  <c r="D45" i="32"/>
  <c r="E45" i="32"/>
  <c r="F45" i="32"/>
  <c r="G45" i="32"/>
  <c r="H45" i="32"/>
  <c r="I45" i="32"/>
  <c r="J45" i="32"/>
  <c r="K45" i="32"/>
  <c r="L45" i="32"/>
  <c r="M45" i="32"/>
  <c r="N45" i="32"/>
  <c r="O45" i="32"/>
  <c r="P45" i="32"/>
  <c r="C46" i="32"/>
  <c r="D46" i="32"/>
  <c r="E46" i="32"/>
  <c r="F46" i="32"/>
  <c r="G46" i="32"/>
  <c r="H46" i="32"/>
  <c r="I46" i="32"/>
  <c r="J46" i="32"/>
  <c r="K46" i="32"/>
  <c r="L46" i="32"/>
  <c r="M46" i="32"/>
  <c r="N46" i="32"/>
  <c r="O46" i="32"/>
  <c r="P46" i="32"/>
  <c r="C47" i="32"/>
  <c r="D47" i="32"/>
  <c r="E47" i="32"/>
  <c r="F47" i="32"/>
  <c r="G47" i="32"/>
  <c r="H47" i="32"/>
  <c r="I47" i="32"/>
  <c r="J47" i="32"/>
  <c r="K47" i="32"/>
  <c r="L47" i="32"/>
  <c r="M47" i="32"/>
  <c r="N47" i="32"/>
  <c r="O47" i="32"/>
  <c r="P47" i="32"/>
  <c r="C48" i="32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C49" i="32"/>
  <c r="D49" i="32"/>
  <c r="E49" i="32"/>
  <c r="F49" i="32"/>
  <c r="G49" i="32"/>
  <c r="H49" i="32"/>
  <c r="I49" i="32"/>
  <c r="J49" i="32"/>
  <c r="K49" i="32"/>
  <c r="L49" i="32"/>
  <c r="M49" i="32"/>
  <c r="N49" i="32"/>
  <c r="O49" i="32"/>
  <c r="P49" i="32"/>
  <c r="C50" i="32"/>
  <c r="D50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C53" i="32"/>
  <c r="D53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C54" i="32"/>
  <c r="D54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C56" i="32"/>
  <c r="D56" i="32"/>
  <c r="E56" i="32"/>
  <c r="F56" i="32"/>
  <c r="G56" i="32"/>
  <c r="H56" i="32"/>
  <c r="I56" i="32"/>
  <c r="J56" i="32"/>
  <c r="K56" i="32"/>
  <c r="L56" i="32"/>
  <c r="M56" i="32"/>
  <c r="N56" i="32"/>
  <c r="O56" i="32"/>
  <c r="P56" i="32"/>
  <c r="C57" i="32"/>
  <c r="D57" i="32"/>
  <c r="E57" i="32"/>
  <c r="F57" i="32"/>
  <c r="G57" i="32"/>
  <c r="H57" i="32"/>
  <c r="I57" i="32"/>
  <c r="J57" i="32"/>
  <c r="K57" i="32"/>
  <c r="L57" i="32"/>
  <c r="M57" i="32"/>
  <c r="N57" i="32"/>
  <c r="O57" i="32"/>
  <c r="P57" i="32"/>
  <c r="C58" i="32"/>
  <c r="D58" i="32"/>
  <c r="E58" i="32"/>
  <c r="F58" i="32"/>
  <c r="G58" i="32"/>
  <c r="H58" i="32"/>
  <c r="I58" i="32"/>
  <c r="J58" i="32"/>
  <c r="K58" i="32"/>
  <c r="L58" i="32"/>
  <c r="M58" i="32"/>
  <c r="N58" i="32"/>
  <c r="O58" i="32"/>
  <c r="P58" i="32"/>
  <c r="C59" i="32"/>
  <c r="D59" i="32"/>
  <c r="E59" i="32"/>
  <c r="F59" i="32"/>
  <c r="G59" i="32"/>
  <c r="H59" i="32"/>
  <c r="I59" i="32"/>
  <c r="J59" i="32"/>
  <c r="K59" i="32"/>
  <c r="L59" i="32"/>
  <c r="M59" i="32"/>
  <c r="N59" i="32"/>
  <c r="O59" i="32"/>
  <c r="P59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C61" i="32"/>
  <c r="D61" i="32"/>
  <c r="E61" i="32"/>
  <c r="F61" i="32"/>
  <c r="G61" i="32"/>
  <c r="H61" i="32"/>
  <c r="I61" i="32"/>
  <c r="J61" i="32"/>
  <c r="K61" i="32"/>
  <c r="L61" i="32"/>
  <c r="M61" i="32"/>
  <c r="N61" i="32"/>
  <c r="O61" i="32"/>
  <c r="P61" i="32"/>
  <c r="C62" i="32"/>
  <c r="D62" i="32"/>
  <c r="E62" i="32"/>
  <c r="F62" i="32"/>
  <c r="G62" i="32"/>
  <c r="H62" i="32"/>
  <c r="I62" i="32"/>
  <c r="J62" i="32"/>
  <c r="K62" i="32"/>
  <c r="L62" i="32"/>
  <c r="M62" i="32"/>
  <c r="N62" i="32"/>
  <c r="O62" i="32"/>
  <c r="P62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O63" i="32"/>
  <c r="P63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O65" i="32"/>
  <c r="P65" i="32"/>
  <c r="C66" i="32"/>
  <c r="D66" i="32"/>
  <c r="E66" i="32"/>
  <c r="F66" i="32"/>
  <c r="G66" i="32"/>
  <c r="H66" i="32"/>
  <c r="I66" i="32"/>
  <c r="J66" i="32"/>
  <c r="K66" i="32"/>
  <c r="L66" i="32"/>
  <c r="M66" i="32"/>
  <c r="N66" i="32"/>
  <c r="O66" i="32"/>
  <c r="P66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P67" i="32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C69" i="32"/>
  <c r="D69" i="32"/>
  <c r="E69" i="32"/>
  <c r="F69" i="32"/>
  <c r="G69" i="32"/>
  <c r="H69" i="32"/>
  <c r="I69" i="32"/>
  <c r="J69" i="32"/>
  <c r="K69" i="32"/>
  <c r="L69" i="32"/>
  <c r="M69" i="32"/>
  <c r="N69" i="32"/>
  <c r="O69" i="32"/>
  <c r="P69" i="32"/>
  <c r="B70" i="32"/>
  <c r="C70" i="32"/>
  <c r="D70" i="32"/>
  <c r="E70" i="32"/>
  <c r="F70" i="32"/>
  <c r="G70" i="32"/>
  <c r="H70" i="32"/>
  <c r="I70" i="32"/>
  <c r="J70" i="32"/>
  <c r="K70" i="32"/>
  <c r="L70" i="32"/>
  <c r="M70" i="32"/>
  <c r="N70" i="32"/>
  <c r="O70" i="32"/>
  <c r="P70" i="32"/>
  <c r="B71" i="32"/>
  <c r="C71" i="32"/>
  <c r="D71" i="32"/>
  <c r="E71" i="32"/>
  <c r="F71" i="32"/>
  <c r="G71" i="32"/>
  <c r="H71" i="32"/>
  <c r="I71" i="32"/>
  <c r="J71" i="32"/>
  <c r="K71" i="32"/>
  <c r="L71" i="32"/>
  <c r="M71" i="32"/>
  <c r="N71" i="32"/>
  <c r="O71" i="32"/>
  <c r="P71" i="32"/>
  <c r="C72" i="32"/>
  <c r="D72" i="32"/>
  <c r="E72" i="32"/>
  <c r="F72" i="32"/>
  <c r="G72" i="32"/>
  <c r="H72" i="32"/>
  <c r="I72" i="32"/>
  <c r="J72" i="32"/>
  <c r="K72" i="32"/>
  <c r="L72" i="32"/>
  <c r="M72" i="32"/>
  <c r="N72" i="32"/>
  <c r="O72" i="32"/>
  <c r="P72" i="32"/>
  <c r="C73" i="32"/>
  <c r="D73" i="32"/>
  <c r="E73" i="32"/>
  <c r="F73" i="32"/>
  <c r="G73" i="32"/>
  <c r="H73" i="32"/>
  <c r="I73" i="32"/>
  <c r="J73" i="32"/>
  <c r="K73" i="32"/>
  <c r="L73" i="32"/>
  <c r="M73" i="32"/>
  <c r="N73" i="32"/>
  <c r="O73" i="32"/>
  <c r="P73" i="32"/>
  <c r="B74" i="32"/>
  <c r="C74" i="32"/>
  <c r="D74" i="32"/>
  <c r="E74" i="32"/>
  <c r="F74" i="32"/>
  <c r="G74" i="32"/>
  <c r="H74" i="32"/>
  <c r="I74" i="32"/>
  <c r="J74" i="32"/>
  <c r="K74" i="32"/>
  <c r="L74" i="32"/>
  <c r="M74" i="32"/>
  <c r="N74" i="32"/>
  <c r="O74" i="32"/>
  <c r="P74" i="32"/>
  <c r="Q74" i="32"/>
  <c r="H75" i="32"/>
  <c r="O75" i="32"/>
  <c r="P75" i="32"/>
  <c r="F106" i="32"/>
  <c r="G106" i="32"/>
  <c r="F109" i="32"/>
  <c r="G109" i="32"/>
  <c r="I109" i="32"/>
  <c r="J109" i="32"/>
  <c r="K109" i="32"/>
  <c r="L109" i="32"/>
  <c r="M109" i="32"/>
  <c r="N109" i="32"/>
  <c r="B4" i="31"/>
  <c r="C4" i="31"/>
  <c r="D4" i="31"/>
  <c r="E4" i="31"/>
  <c r="F4" i="31"/>
  <c r="G4" i="31"/>
  <c r="H4" i="31"/>
  <c r="I4" i="31"/>
  <c r="J4" i="31"/>
  <c r="K4" i="31"/>
  <c r="L4" i="31"/>
  <c r="M4" i="31"/>
  <c r="N4" i="31"/>
  <c r="O4" i="31"/>
  <c r="P4" i="31"/>
  <c r="B5" i="31"/>
  <c r="C5" i="31"/>
  <c r="D5" i="31"/>
  <c r="E5" i="31"/>
  <c r="F5" i="31"/>
  <c r="G5" i="31"/>
  <c r="H5" i="31"/>
  <c r="I5" i="31"/>
  <c r="J5" i="31"/>
  <c r="K5" i="31"/>
  <c r="L5" i="31"/>
  <c r="M5" i="31"/>
  <c r="N5" i="31"/>
  <c r="O5" i="31"/>
  <c r="P5" i="31"/>
  <c r="B6" i="3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B7" i="31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B8" i="31"/>
  <c r="C8" i="31"/>
  <c r="D8" i="31"/>
  <c r="E8" i="31"/>
  <c r="F8" i="31"/>
  <c r="G8" i="31"/>
  <c r="H8" i="31"/>
  <c r="I8" i="31"/>
  <c r="J8" i="31"/>
  <c r="K8" i="31"/>
  <c r="L8" i="31"/>
  <c r="M8" i="31"/>
  <c r="N8" i="31"/>
  <c r="O8" i="31"/>
  <c r="P8" i="31"/>
  <c r="C9" i="31"/>
  <c r="D9" i="31"/>
  <c r="E9" i="31"/>
  <c r="F9" i="31"/>
  <c r="G9" i="31"/>
  <c r="H9" i="31"/>
  <c r="I9" i="31"/>
  <c r="J9" i="31"/>
  <c r="K9" i="31"/>
  <c r="L9" i="31"/>
  <c r="M9" i="31"/>
  <c r="N9" i="31"/>
  <c r="O9" i="31"/>
  <c r="P9" i="31"/>
  <c r="B10" i="31"/>
  <c r="C10" i="31"/>
  <c r="D10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C11" i="31"/>
  <c r="D11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B12" i="31"/>
  <c r="C12" i="31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B13" i="31"/>
  <c r="C13" i="31"/>
  <c r="D13" i="31"/>
  <c r="E13" i="31"/>
  <c r="F13" i="31"/>
  <c r="G13" i="31"/>
  <c r="H13" i="31"/>
  <c r="I13" i="31"/>
  <c r="J13" i="31"/>
  <c r="K13" i="31"/>
  <c r="L13" i="31"/>
  <c r="M13" i="31"/>
  <c r="N13" i="31"/>
  <c r="O13" i="31"/>
  <c r="P13" i="31"/>
  <c r="B14" i="31"/>
  <c r="C14" i="31"/>
  <c r="D14" i="31"/>
  <c r="E14" i="31"/>
  <c r="F14" i="31"/>
  <c r="G14" i="31"/>
  <c r="H14" i="31"/>
  <c r="I14" i="31"/>
  <c r="J14" i="31"/>
  <c r="K14" i="31"/>
  <c r="L14" i="31"/>
  <c r="M14" i="31"/>
  <c r="N14" i="31"/>
  <c r="O14" i="31"/>
  <c r="P14" i="31"/>
  <c r="B15" i="31"/>
  <c r="C15" i="31"/>
  <c r="D15" i="31"/>
  <c r="E15" i="31"/>
  <c r="F15" i="31"/>
  <c r="G15" i="31"/>
  <c r="H15" i="31"/>
  <c r="I15" i="31"/>
  <c r="J15" i="31"/>
  <c r="K15" i="31"/>
  <c r="L15" i="31"/>
  <c r="M15" i="31"/>
  <c r="N15" i="31"/>
  <c r="O15" i="31"/>
  <c r="P15" i="31"/>
  <c r="B16" i="31"/>
  <c r="C16" i="31"/>
  <c r="D16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B17" i="31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C18" i="31"/>
  <c r="D18" i="31"/>
  <c r="E18" i="31"/>
  <c r="F18" i="31"/>
  <c r="G18" i="31"/>
  <c r="H18" i="31"/>
  <c r="I18" i="31"/>
  <c r="J18" i="31"/>
  <c r="K18" i="31"/>
  <c r="L18" i="31"/>
  <c r="M18" i="31"/>
  <c r="N18" i="31"/>
  <c r="O18" i="31"/>
  <c r="P18" i="31"/>
  <c r="C19" i="31"/>
  <c r="D19" i="31"/>
  <c r="E19" i="31"/>
  <c r="F19" i="31"/>
  <c r="G19" i="31"/>
  <c r="H19" i="31"/>
  <c r="I19" i="31"/>
  <c r="J19" i="31"/>
  <c r="K19" i="31"/>
  <c r="L19" i="31"/>
  <c r="M19" i="31"/>
  <c r="N19" i="31"/>
  <c r="O19" i="31"/>
  <c r="P19" i="31"/>
  <c r="B20" i="31"/>
  <c r="C20" i="31"/>
  <c r="D20" i="31"/>
  <c r="E20" i="31"/>
  <c r="F20" i="31"/>
  <c r="G20" i="31"/>
  <c r="H20" i="31"/>
  <c r="I20" i="31"/>
  <c r="J20" i="31"/>
  <c r="K20" i="31"/>
  <c r="L20" i="31"/>
  <c r="M20" i="31"/>
  <c r="N20" i="31"/>
  <c r="O20" i="31"/>
  <c r="P20" i="31"/>
  <c r="B21" i="31"/>
  <c r="C21" i="31"/>
  <c r="D21" i="31"/>
  <c r="E21" i="31"/>
  <c r="F21" i="31"/>
  <c r="G21" i="31"/>
  <c r="H21" i="31"/>
  <c r="I21" i="31"/>
  <c r="J21" i="31"/>
  <c r="K21" i="31"/>
  <c r="L21" i="31"/>
  <c r="M21" i="31"/>
  <c r="N21" i="31"/>
  <c r="O21" i="31"/>
  <c r="P21" i="31"/>
  <c r="B22" i="31"/>
  <c r="C22" i="31"/>
  <c r="D22" i="31"/>
  <c r="E22" i="31"/>
  <c r="F22" i="31"/>
  <c r="G22" i="31"/>
  <c r="H22" i="31"/>
  <c r="I22" i="31"/>
  <c r="J22" i="31"/>
  <c r="K22" i="31"/>
  <c r="L22" i="31"/>
  <c r="M22" i="31"/>
  <c r="N22" i="31"/>
  <c r="O22" i="31"/>
  <c r="P22" i="31"/>
  <c r="B23" i="31"/>
  <c r="C23" i="31"/>
  <c r="D23" i="31"/>
  <c r="E23" i="31"/>
  <c r="F23" i="31"/>
  <c r="G23" i="31"/>
  <c r="H23" i="31"/>
  <c r="I23" i="31"/>
  <c r="J23" i="31"/>
  <c r="K23" i="31"/>
  <c r="L23" i="31"/>
  <c r="M23" i="31"/>
  <c r="N23" i="31"/>
  <c r="O23" i="31"/>
  <c r="P23" i="31"/>
  <c r="B24" i="31"/>
  <c r="C24" i="31"/>
  <c r="D24" i="31"/>
  <c r="E24" i="31"/>
  <c r="F24" i="31"/>
  <c r="G24" i="31"/>
  <c r="H24" i="31"/>
  <c r="I24" i="31"/>
  <c r="J24" i="31"/>
  <c r="K24" i="31"/>
  <c r="L24" i="31"/>
  <c r="M24" i="31"/>
  <c r="N24" i="31"/>
  <c r="O24" i="31"/>
  <c r="P24" i="31"/>
  <c r="C25" i="31"/>
  <c r="D25" i="31"/>
  <c r="E25" i="31"/>
  <c r="F25" i="31"/>
  <c r="G25" i="31"/>
  <c r="H25" i="31"/>
  <c r="I25" i="31"/>
  <c r="J25" i="31"/>
  <c r="K25" i="31"/>
  <c r="L25" i="31"/>
  <c r="M25" i="31"/>
  <c r="N25" i="31"/>
  <c r="O25" i="31"/>
  <c r="P25" i="31"/>
  <c r="C26" i="31"/>
  <c r="D26" i="31"/>
  <c r="E26" i="31"/>
  <c r="F26" i="31"/>
  <c r="G26" i="31"/>
  <c r="H26" i="31"/>
  <c r="I26" i="31"/>
  <c r="J26" i="31"/>
  <c r="K26" i="31"/>
  <c r="L26" i="31"/>
  <c r="M26" i="31"/>
  <c r="N26" i="31"/>
  <c r="O26" i="31"/>
  <c r="P26" i="31"/>
  <c r="C27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C28" i="31"/>
  <c r="D28" i="31"/>
  <c r="E28" i="31"/>
  <c r="F28" i="31"/>
  <c r="G28" i="31"/>
  <c r="H28" i="31"/>
  <c r="I28" i="31"/>
  <c r="J28" i="31"/>
  <c r="K28" i="31"/>
  <c r="L28" i="31"/>
  <c r="M28" i="31"/>
  <c r="N28" i="31"/>
  <c r="O28" i="31"/>
  <c r="P28" i="31"/>
  <c r="B29" i="31"/>
  <c r="C29" i="31"/>
  <c r="D29" i="31"/>
  <c r="E29" i="31"/>
  <c r="F29" i="31"/>
  <c r="G29" i="31"/>
  <c r="H29" i="31"/>
  <c r="I29" i="31"/>
  <c r="J29" i="31"/>
  <c r="K29" i="31"/>
  <c r="L29" i="31"/>
  <c r="M29" i="31"/>
  <c r="N29" i="31"/>
  <c r="O29" i="31"/>
  <c r="P29" i="31"/>
  <c r="B30" i="31"/>
  <c r="C30" i="31"/>
  <c r="D30" i="31"/>
  <c r="E30" i="31"/>
  <c r="F30" i="31"/>
  <c r="G30" i="31"/>
  <c r="H30" i="31"/>
  <c r="I30" i="31"/>
  <c r="J30" i="31"/>
  <c r="K30" i="31"/>
  <c r="L30" i="31"/>
  <c r="M30" i="31"/>
  <c r="N30" i="31"/>
  <c r="O30" i="31"/>
  <c r="P30" i="31"/>
  <c r="B31" i="31"/>
  <c r="C31" i="31"/>
  <c r="D31" i="31"/>
  <c r="E31" i="31"/>
  <c r="F31" i="31"/>
  <c r="G31" i="31"/>
  <c r="H31" i="31"/>
  <c r="I31" i="31"/>
  <c r="J31" i="31"/>
  <c r="K31" i="31"/>
  <c r="L31" i="31"/>
  <c r="M31" i="31"/>
  <c r="N31" i="31"/>
  <c r="O31" i="31"/>
  <c r="P31" i="31"/>
  <c r="B32" i="31"/>
  <c r="C32" i="31"/>
  <c r="D32" i="31"/>
  <c r="E32" i="31"/>
  <c r="F32" i="31"/>
  <c r="G32" i="31"/>
  <c r="H32" i="31"/>
  <c r="I32" i="31"/>
  <c r="J32" i="31"/>
  <c r="K32" i="31"/>
  <c r="L32" i="31"/>
  <c r="M32" i="31"/>
  <c r="N32" i="31"/>
  <c r="O32" i="31"/>
  <c r="P32" i="31"/>
  <c r="O33" i="31"/>
  <c r="P33" i="31"/>
  <c r="B34" i="31"/>
  <c r="C34" i="31"/>
  <c r="D34" i="31"/>
  <c r="E34" i="31"/>
  <c r="F34" i="31"/>
  <c r="G34" i="31"/>
  <c r="H34" i="31"/>
  <c r="I34" i="31"/>
  <c r="J34" i="31"/>
  <c r="K34" i="31"/>
  <c r="L34" i="31"/>
  <c r="M34" i="31"/>
  <c r="N34" i="31"/>
  <c r="O34" i="31"/>
  <c r="P34" i="31"/>
  <c r="B37" i="31"/>
  <c r="C37" i="31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B38" i="31"/>
  <c r="C38" i="31"/>
  <c r="D38" i="31"/>
  <c r="E38" i="31"/>
  <c r="F38" i="31"/>
  <c r="G38" i="31"/>
  <c r="H38" i="31"/>
  <c r="I38" i="31"/>
  <c r="J38" i="31"/>
  <c r="K38" i="31"/>
  <c r="L38" i="31"/>
  <c r="M38" i="31"/>
  <c r="N38" i="31"/>
  <c r="O38" i="31"/>
  <c r="P38" i="31"/>
  <c r="B39" i="31"/>
  <c r="C39" i="31"/>
  <c r="D39" i="31"/>
  <c r="E39" i="31"/>
  <c r="F39" i="31"/>
  <c r="G39" i="31"/>
  <c r="H39" i="31"/>
  <c r="I39" i="31"/>
  <c r="J39" i="31"/>
  <c r="K39" i="31"/>
  <c r="L39" i="31"/>
  <c r="M39" i="31"/>
  <c r="N39" i="31"/>
  <c r="O39" i="31"/>
  <c r="P39" i="31"/>
  <c r="B40" i="31"/>
  <c r="C40" i="31"/>
  <c r="D40" i="31"/>
  <c r="E40" i="31"/>
  <c r="F40" i="31"/>
  <c r="G40" i="31"/>
  <c r="H40" i="31"/>
  <c r="I40" i="31"/>
  <c r="J40" i="31"/>
  <c r="K40" i="31"/>
  <c r="L40" i="31"/>
  <c r="M40" i="31"/>
  <c r="N40" i="31"/>
  <c r="O40" i="31"/>
  <c r="P40" i="31"/>
  <c r="B41" i="31"/>
  <c r="C41" i="31"/>
  <c r="D41" i="31"/>
  <c r="E41" i="31"/>
  <c r="F41" i="31"/>
  <c r="G41" i="31"/>
  <c r="H41" i="31"/>
  <c r="I41" i="31"/>
  <c r="J41" i="31"/>
  <c r="K41" i="31"/>
  <c r="L41" i="31"/>
  <c r="M41" i="31"/>
  <c r="N41" i="31"/>
  <c r="O41" i="31"/>
  <c r="P41" i="31"/>
  <c r="B42" i="31"/>
  <c r="C42" i="31"/>
  <c r="D42" i="31"/>
  <c r="E42" i="31"/>
  <c r="F42" i="31"/>
  <c r="G42" i="31"/>
  <c r="H42" i="31"/>
  <c r="I42" i="31"/>
  <c r="J42" i="31"/>
  <c r="K42" i="31"/>
  <c r="L42" i="31"/>
  <c r="M42" i="31"/>
  <c r="N42" i="31"/>
  <c r="O42" i="31"/>
  <c r="P42" i="31"/>
  <c r="B43" i="31"/>
  <c r="C43" i="31"/>
  <c r="D43" i="31"/>
  <c r="E43" i="31"/>
  <c r="F43" i="31"/>
  <c r="G43" i="31"/>
  <c r="H43" i="31"/>
  <c r="I43" i="31"/>
  <c r="J43" i="31"/>
  <c r="K43" i="31"/>
  <c r="L43" i="31"/>
  <c r="M43" i="31"/>
  <c r="N43" i="31"/>
  <c r="O43" i="31"/>
  <c r="P43" i="31"/>
  <c r="C44" i="31"/>
  <c r="D44" i="31"/>
  <c r="E44" i="31"/>
  <c r="F44" i="31"/>
  <c r="G44" i="31"/>
  <c r="H44" i="31"/>
  <c r="I44" i="31"/>
  <c r="J44" i="31"/>
  <c r="K44" i="31"/>
  <c r="L44" i="31"/>
  <c r="M44" i="31"/>
  <c r="N44" i="31"/>
  <c r="O44" i="31"/>
  <c r="P44" i="31"/>
  <c r="B45" i="31"/>
  <c r="C45" i="31"/>
  <c r="D45" i="31"/>
  <c r="E45" i="31"/>
  <c r="F45" i="31"/>
  <c r="G45" i="31"/>
  <c r="H45" i="31"/>
  <c r="I45" i="31"/>
  <c r="J45" i="31"/>
  <c r="K45" i="31"/>
  <c r="L45" i="31"/>
  <c r="M45" i="31"/>
  <c r="N45" i="31"/>
  <c r="O45" i="31"/>
  <c r="P45" i="31"/>
  <c r="B46" i="31"/>
  <c r="C46" i="31"/>
  <c r="D46" i="31"/>
  <c r="E46" i="31"/>
  <c r="F46" i="31"/>
  <c r="G46" i="31"/>
  <c r="H46" i="31"/>
  <c r="I46" i="31"/>
  <c r="J46" i="31"/>
  <c r="K46" i="31"/>
  <c r="L46" i="31"/>
  <c r="M46" i="31"/>
  <c r="N46" i="31"/>
  <c r="O46" i="31"/>
  <c r="P46" i="31"/>
  <c r="C47" i="31"/>
  <c r="D47" i="31"/>
  <c r="E47" i="31"/>
  <c r="F47" i="31"/>
  <c r="G47" i="31"/>
  <c r="H47" i="31"/>
  <c r="I47" i="31"/>
  <c r="J47" i="31"/>
  <c r="K47" i="31"/>
  <c r="L47" i="31"/>
  <c r="M47" i="31"/>
  <c r="N47" i="31"/>
  <c r="O47" i="31"/>
  <c r="P47" i="31"/>
  <c r="C48" i="31"/>
  <c r="D48" i="31"/>
  <c r="E48" i="31"/>
  <c r="F48" i="31"/>
  <c r="G48" i="31"/>
  <c r="H48" i="31"/>
  <c r="I48" i="31"/>
  <c r="J48" i="31"/>
  <c r="K48" i="31"/>
  <c r="L48" i="31"/>
  <c r="M48" i="31"/>
  <c r="N48" i="31"/>
  <c r="O48" i="31"/>
  <c r="P48" i="31"/>
  <c r="B49" i="31"/>
  <c r="C49" i="31"/>
  <c r="D49" i="31"/>
  <c r="E49" i="31"/>
  <c r="F49" i="31"/>
  <c r="G49" i="31"/>
  <c r="H49" i="31"/>
  <c r="I49" i="31"/>
  <c r="J49" i="31"/>
  <c r="K49" i="31"/>
  <c r="L49" i="31"/>
  <c r="M49" i="31"/>
  <c r="N49" i="31"/>
  <c r="O49" i="31"/>
  <c r="P49" i="31"/>
  <c r="C50" i="31"/>
  <c r="D50" i="31"/>
  <c r="E50" i="31"/>
  <c r="F50" i="31"/>
  <c r="G50" i="31"/>
  <c r="H50" i="31"/>
  <c r="I50" i="31"/>
  <c r="J50" i="31"/>
  <c r="K50" i="31"/>
  <c r="L50" i="31"/>
  <c r="M50" i="31"/>
  <c r="N50" i="31"/>
  <c r="O50" i="31"/>
  <c r="P50" i="31"/>
  <c r="C51" i="31"/>
  <c r="D51" i="31"/>
  <c r="E51" i="31"/>
  <c r="F51" i="31"/>
  <c r="G51" i="31"/>
  <c r="H51" i="31"/>
  <c r="I51" i="31"/>
  <c r="J51" i="31"/>
  <c r="K51" i="31"/>
  <c r="L51" i="31"/>
  <c r="M51" i="31"/>
  <c r="N51" i="31"/>
  <c r="O51" i="31"/>
  <c r="P51" i="31"/>
  <c r="B52" i="31"/>
  <c r="C52" i="31"/>
  <c r="D52" i="31"/>
  <c r="E52" i="31"/>
  <c r="F52" i="31"/>
  <c r="G52" i="31"/>
  <c r="H52" i="31"/>
  <c r="I52" i="31"/>
  <c r="J52" i="31"/>
  <c r="K52" i="31"/>
  <c r="L52" i="31"/>
  <c r="M52" i="31"/>
  <c r="N52" i="31"/>
  <c r="O52" i="31"/>
  <c r="P52" i="31"/>
  <c r="B53" i="31"/>
  <c r="C53" i="31"/>
  <c r="D53" i="31"/>
  <c r="E53" i="31"/>
  <c r="F53" i="31"/>
  <c r="G53" i="31"/>
  <c r="H53" i="31"/>
  <c r="I53" i="31"/>
  <c r="J53" i="31"/>
  <c r="K53" i="31"/>
  <c r="L53" i="31"/>
  <c r="M53" i="31"/>
  <c r="N53" i="31"/>
  <c r="O53" i="31"/>
  <c r="P53" i="31"/>
  <c r="B54" i="31"/>
  <c r="C54" i="31"/>
  <c r="D54" i="31"/>
  <c r="E54" i="31"/>
  <c r="F54" i="31"/>
  <c r="G54" i="31"/>
  <c r="H54" i="31"/>
  <c r="I54" i="31"/>
  <c r="J54" i="31"/>
  <c r="K54" i="31"/>
  <c r="L54" i="31"/>
  <c r="M54" i="31"/>
  <c r="N54" i="31"/>
  <c r="O54" i="31"/>
  <c r="P54" i="31"/>
  <c r="C55" i="31"/>
  <c r="D55" i="31"/>
  <c r="E55" i="31"/>
  <c r="F55" i="31"/>
  <c r="G55" i="31"/>
  <c r="H55" i="31"/>
  <c r="I55" i="31"/>
  <c r="J55" i="31"/>
  <c r="K55" i="31"/>
  <c r="L55" i="31"/>
  <c r="M55" i="31"/>
  <c r="N55" i="31"/>
  <c r="O55" i="31"/>
  <c r="P55" i="31"/>
  <c r="C56" i="31"/>
  <c r="D56" i="31"/>
  <c r="E56" i="31"/>
  <c r="F56" i="31"/>
  <c r="G56" i="31"/>
  <c r="H56" i="31"/>
  <c r="I56" i="31"/>
  <c r="J56" i="31"/>
  <c r="K56" i="31"/>
  <c r="L56" i="31"/>
  <c r="M56" i="31"/>
  <c r="N56" i="31"/>
  <c r="O56" i="31"/>
  <c r="P56" i="31"/>
  <c r="C57" i="31"/>
  <c r="D57" i="31"/>
  <c r="E57" i="31"/>
  <c r="F57" i="31"/>
  <c r="G57" i="31"/>
  <c r="H57" i="31"/>
  <c r="I57" i="31"/>
  <c r="J57" i="31"/>
  <c r="K57" i="31"/>
  <c r="L57" i="31"/>
  <c r="M57" i="31"/>
  <c r="N57" i="31"/>
  <c r="O57" i="31"/>
  <c r="P57" i="31"/>
  <c r="C58" i="31"/>
  <c r="D58" i="31"/>
  <c r="E58" i="31"/>
  <c r="F58" i="31"/>
  <c r="G58" i="31"/>
  <c r="H58" i="31"/>
  <c r="I58" i="31"/>
  <c r="J58" i="31"/>
  <c r="K58" i="31"/>
  <c r="L58" i="31"/>
  <c r="M58" i="31"/>
  <c r="N58" i="31"/>
  <c r="O58" i="31"/>
  <c r="P58" i="31"/>
  <c r="C59" i="31"/>
  <c r="D59" i="31"/>
  <c r="E59" i="31"/>
  <c r="F59" i="31"/>
  <c r="G59" i="31"/>
  <c r="H59" i="31"/>
  <c r="I59" i="31"/>
  <c r="J59" i="31"/>
  <c r="K59" i="31"/>
  <c r="L59" i="31"/>
  <c r="M59" i="31"/>
  <c r="N59" i="31"/>
  <c r="O59" i="31"/>
  <c r="P59" i="31"/>
  <c r="C60" i="31"/>
  <c r="D60" i="31"/>
  <c r="E60" i="31"/>
  <c r="F60" i="31"/>
  <c r="G60" i="31"/>
  <c r="H60" i="31"/>
  <c r="I60" i="31"/>
  <c r="J60" i="31"/>
  <c r="K60" i="31"/>
  <c r="L60" i="31"/>
  <c r="M60" i="31"/>
  <c r="N60" i="31"/>
  <c r="O60" i="31"/>
  <c r="P60" i="31"/>
  <c r="B61" i="31"/>
  <c r="C61" i="31"/>
  <c r="D61" i="31"/>
  <c r="E61" i="31"/>
  <c r="F61" i="31"/>
  <c r="G61" i="31"/>
  <c r="H61" i="31"/>
  <c r="I61" i="31"/>
  <c r="J61" i="31"/>
  <c r="K61" i="31"/>
  <c r="L61" i="31"/>
  <c r="M61" i="31"/>
  <c r="N61" i="31"/>
  <c r="O61" i="31"/>
  <c r="P61" i="31"/>
  <c r="C62" i="31"/>
  <c r="D62" i="31"/>
  <c r="E62" i="31"/>
  <c r="F62" i="31"/>
  <c r="G62" i="31"/>
  <c r="H62" i="31"/>
  <c r="I62" i="31"/>
  <c r="J62" i="31"/>
  <c r="K62" i="31"/>
  <c r="L62" i="31"/>
  <c r="M62" i="31"/>
  <c r="N62" i="31"/>
  <c r="O62" i="31"/>
  <c r="P62" i="31"/>
  <c r="B63" i="31"/>
  <c r="C63" i="31"/>
  <c r="D63" i="31"/>
  <c r="E63" i="31"/>
  <c r="F63" i="31"/>
  <c r="G63" i="31"/>
  <c r="H63" i="31"/>
  <c r="I63" i="31"/>
  <c r="J63" i="31"/>
  <c r="K63" i="31"/>
  <c r="L63" i="31"/>
  <c r="M63" i="31"/>
  <c r="N63" i="31"/>
  <c r="O63" i="31"/>
  <c r="P63" i="31"/>
  <c r="B64" i="31"/>
  <c r="C64" i="31"/>
  <c r="D64" i="31"/>
  <c r="E64" i="31"/>
  <c r="F64" i="31"/>
  <c r="G64" i="31"/>
  <c r="I64" i="31"/>
  <c r="J64" i="31"/>
  <c r="K64" i="31"/>
  <c r="L64" i="31"/>
  <c r="M64" i="31"/>
  <c r="N64" i="31"/>
  <c r="O64" i="31"/>
  <c r="P64" i="31"/>
  <c r="B65" i="31"/>
  <c r="C65" i="31"/>
  <c r="D65" i="31"/>
  <c r="E65" i="31"/>
  <c r="F65" i="31"/>
  <c r="G65" i="31"/>
  <c r="H65" i="31"/>
  <c r="I65" i="31"/>
  <c r="J65" i="31"/>
  <c r="K65" i="31"/>
  <c r="L65" i="31"/>
  <c r="M65" i="31"/>
  <c r="N65" i="31"/>
  <c r="O65" i="31"/>
  <c r="P65" i="31"/>
  <c r="B66" i="31"/>
  <c r="C66" i="31"/>
  <c r="D66" i="31"/>
  <c r="E66" i="31"/>
  <c r="F66" i="31"/>
  <c r="G66" i="31"/>
  <c r="H66" i="31"/>
  <c r="I66" i="31"/>
  <c r="J66" i="31"/>
  <c r="K66" i="31"/>
  <c r="L66" i="31"/>
  <c r="M66" i="31"/>
  <c r="N66" i="31"/>
  <c r="O66" i="31"/>
  <c r="P66" i="31"/>
  <c r="B67" i="31"/>
  <c r="C67" i="31"/>
  <c r="D67" i="31"/>
  <c r="E67" i="31"/>
  <c r="F67" i="31"/>
  <c r="G67" i="31"/>
  <c r="H67" i="31"/>
  <c r="I67" i="31"/>
  <c r="J67" i="31"/>
  <c r="K67" i="31"/>
  <c r="L67" i="31"/>
  <c r="M67" i="31"/>
  <c r="N67" i="31"/>
  <c r="O67" i="31"/>
  <c r="P67" i="31"/>
  <c r="B68" i="31"/>
  <c r="C68" i="31"/>
  <c r="D68" i="31"/>
  <c r="E68" i="31"/>
  <c r="F68" i="31"/>
  <c r="G68" i="31"/>
  <c r="H68" i="31"/>
  <c r="I68" i="31"/>
  <c r="J68" i="31"/>
  <c r="K68" i="31"/>
  <c r="L68" i="31"/>
  <c r="M68" i="31"/>
  <c r="N68" i="31"/>
  <c r="O68" i="31"/>
  <c r="P68" i="31"/>
  <c r="B69" i="31"/>
  <c r="C69" i="31"/>
  <c r="D69" i="31"/>
  <c r="E69" i="31"/>
  <c r="F69" i="31"/>
  <c r="G69" i="31"/>
  <c r="H69" i="31"/>
  <c r="I69" i="31"/>
  <c r="J69" i="31"/>
  <c r="K69" i="31"/>
  <c r="L69" i="31"/>
  <c r="M69" i="31"/>
  <c r="N69" i="31"/>
  <c r="O69" i="31"/>
  <c r="P69" i="31"/>
  <c r="B70" i="31"/>
  <c r="C70" i="31"/>
  <c r="D70" i="31"/>
  <c r="E70" i="31"/>
  <c r="F70" i="31"/>
  <c r="G70" i="31"/>
  <c r="H70" i="31"/>
  <c r="I70" i="31"/>
  <c r="J70" i="31"/>
  <c r="K70" i="31"/>
  <c r="L70" i="31"/>
  <c r="M70" i="31"/>
  <c r="N70" i="31"/>
  <c r="O70" i="31"/>
  <c r="P70" i="31"/>
  <c r="B71" i="31"/>
  <c r="C71" i="31"/>
  <c r="D71" i="31"/>
  <c r="E71" i="31"/>
  <c r="F71" i="31"/>
  <c r="G71" i="31"/>
  <c r="H71" i="31"/>
  <c r="I71" i="31"/>
  <c r="J71" i="31"/>
  <c r="K71" i="31"/>
  <c r="L71" i="31"/>
  <c r="M71" i="31"/>
  <c r="N71" i="31"/>
  <c r="O71" i="31"/>
  <c r="P71" i="31"/>
  <c r="B72" i="31"/>
  <c r="C72" i="31"/>
  <c r="D72" i="31"/>
  <c r="E72" i="31"/>
  <c r="F72" i="31"/>
  <c r="G72" i="31"/>
  <c r="H72" i="31"/>
  <c r="I72" i="31"/>
  <c r="J72" i="31"/>
  <c r="K72" i="31"/>
  <c r="L72" i="31"/>
  <c r="M72" i="31"/>
  <c r="N72" i="31"/>
  <c r="O72" i="31"/>
  <c r="P72" i="31"/>
  <c r="B73" i="31"/>
  <c r="C73" i="31"/>
  <c r="D73" i="31"/>
  <c r="E73" i="31"/>
  <c r="F73" i="31"/>
  <c r="G73" i="31"/>
  <c r="H73" i="31"/>
  <c r="I73" i="31"/>
  <c r="J73" i="31"/>
  <c r="K73" i="31"/>
  <c r="L73" i="31"/>
  <c r="M73" i="31"/>
  <c r="N73" i="31"/>
  <c r="O73" i="31"/>
  <c r="P73" i="31"/>
  <c r="Q73" i="31"/>
  <c r="B74" i="31"/>
  <c r="H74" i="31"/>
  <c r="O74" i="31"/>
  <c r="P74" i="31"/>
  <c r="F108" i="31"/>
  <c r="G108" i="31"/>
  <c r="I108" i="31"/>
  <c r="J108" i="31"/>
  <c r="K108" i="31"/>
  <c r="L108" i="31"/>
  <c r="M108" i="31"/>
  <c r="N108" i="31"/>
  <c r="J111" i="31"/>
  <c r="K111" i="31"/>
  <c r="L111" i="31"/>
  <c r="M111" i="31"/>
  <c r="N111" i="31"/>
  <c r="B4" i="30"/>
  <c r="C4" i="30"/>
  <c r="D4" i="30"/>
  <c r="E4" i="30"/>
  <c r="F4" i="30"/>
  <c r="G4" i="30"/>
  <c r="H4" i="30"/>
  <c r="I4" i="30"/>
  <c r="J4" i="30"/>
  <c r="K4" i="30"/>
  <c r="L4" i="30"/>
  <c r="M4" i="30"/>
  <c r="N4" i="30"/>
  <c r="O4" i="30"/>
  <c r="P4" i="30"/>
  <c r="C5" i="30"/>
  <c r="D5" i="30"/>
  <c r="E5" i="30"/>
  <c r="G5" i="30"/>
  <c r="H5" i="30"/>
  <c r="I5" i="30"/>
  <c r="J5" i="30"/>
  <c r="K5" i="30"/>
  <c r="L5" i="30"/>
  <c r="M5" i="30"/>
  <c r="N5" i="30"/>
  <c r="O5" i="30"/>
  <c r="P5" i="30"/>
  <c r="C6" i="30"/>
  <c r="E6" i="30"/>
  <c r="F6" i="30"/>
  <c r="G6" i="30"/>
  <c r="H6" i="30"/>
  <c r="I6" i="30"/>
  <c r="J6" i="30"/>
  <c r="K6" i="30"/>
  <c r="L6" i="30"/>
  <c r="M6" i="30"/>
  <c r="N6" i="30"/>
  <c r="O6" i="30"/>
  <c r="P6" i="30"/>
  <c r="C7" i="30"/>
  <c r="G7" i="30"/>
  <c r="H7" i="30"/>
  <c r="I7" i="30"/>
  <c r="J7" i="30"/>
  <c r="K7" i="30"/>
  <c r="L7" i="30"/>
  <c r="M7" i="30"/>
  <c r="N7" i="30"/>
  <c r="O7" i="30"/>
  <c r="P7" i="30"/>
  <c r="B8" i="30"/>
  <c r="C8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C9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H10" i="30"/>
  <c r="O10" i="30"/>
  <c r="P10" i="30"/>
  <c r="H11" i="30"/>
  <c r="N11" i="30"/>
  <c r="O11" i="30"/>
  <c r="P11" i="30"/>
  <c r="B12" i="30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B13" i="30"/>
  <c r="C13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B14" i="30"/>
  <c r="C14" i="30"/>
  <c r="D14" i="30"/>
  <c r="E14" i="30"/>
  <c r="F14" i="30"/>
  <c r="H14" i="30"/>
  <c r="I14" i="30"/>
  <c r="J14" i="30"/>
  <c r="K14" i="30"/>
  <c r="L14" i="30"/>
  <c r="M14" i="30"/>
  <c r="N14" i="30"/>
  <c r="O14" i="30"/>
  <c r="P14" i="30"/>
  <c r="B15" i="30"/>
  <c r="C15" i="30"/>
  <c r="D15" i="30"/>
  <c r="E15" i="30"/>
  <c r="F15" i="30"/>
  <c r="H15" i="30"/>
  <c r="I15" i="30"/>
  <c r="J15" i="30"/>
  <c r="K15" i="30"/>
  <c r="L15" i="30"/>
  <c r="M15" i="30"/>
  <c r="N15" i="30"/>
  <c r="O15" i="30"/>
  <c r="P15" i="30"/>
  <c r="B16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B17" i="30"/>
  <c r="D17" i="30"/>
  <c r="H17" i="30"/>
  <c r="L17" i="30"/>
  <c r="M17" i="30"/>
  <c r="N17" i="30"/>
  <c r="O17" i="30"/>
  <c r="P17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D21" i="30"/>
  <c r="H21" i="30"/>
  <c r="L21" i="30"/>
  <c r="M21" i="30"/>
  <c r="N21" i="30"/>
  <c r="O21" i="30"/>
  <c r="P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C23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C24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C25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C26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F27" i="30"/>
  <c r="G27" i="30"/>
  <c r="H27" i="30"/>
  <c r="I27" i="30"/>
  <c r="J27" i="30"/>
  <c r="K27" i="30"/>
  <c r="L27" i="30"/>
  <c r="M27" i="30"/>
  <c r="N27" i="30"/>
  <c r="O27" i="30"/>
  <c r="P27" i="30"/>
  <c r="D28" i="30"/>
  <c r="F28" i="30"/>
  <c r="G28" i="30"/>
  <c r="H28" i="30"/>
  <c r="I28" i="30"/>
  <c r="J28" i="30"/>
  <c r="K28" i="30"/>
  <c r="L28" i="30"/>
  <c r="M28" i="30"/>
  <c r="N28" i="30"/>
  <c r="O28" i="30"/>
  <c r="P28" i="30"/>
  <c r="C29" i="30"/>
  <c r="D29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D30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G31" i="30"/>
  <c r="H31" i="30"/>
  <c r="I31" i="30"/>
  <c r="J31" i="30"/>
  <c r="K31" i="30"/>
  <c r="L31" i="30"/>
  <c r="M31" i="30"/>
  <c r="N31" i="30"/>
  <c r="O31" i="30"/>
  <c r="P31" i="30"/>
  <c r="C32" i="30"/>
  <c r="D32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O33" i="30"/>
  <c r="P33" i="30"/>
  <c r="B34" i="30"/>
  <c r="C34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B37" i="30"/>
  <c r="C37" i="30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C38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C39" i="30"/>
  <c r="D39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C40" i="30"/>
  <c r="D40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C41" i="30"/>
  <c r="D41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G42" i="30"/>
  <c r="H42" i="30"/>
  <c r="I42" i="30"/>
  <c r="J42" i="30"/>
  <c r="K42" i="30"/>
  <c r="L42" i="30"/>
  <c r="M42" i="30"/>
  <c r="N42" i="30"/>
  <c r="O42" i="30"/>
  <c r="P42" i="30"/>
  <c r="B43" i="30"/>
  <c r="C43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C44" i="30"/>
  <c r="D44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G45" i="30"/>
  <c r="H45" i="30"/>
  <c r="I45" i="30"/>
  <c r="J45" i="30"/>
  <c r="K45" i="30"/>
  <c r="L45" i="30"/>
  <c r="M45" i="30"/>
  <c r="N45" i="30"/>
  <c r="O45" i="30"/>
  <c r="P45" i="30"/>
  <c r="C46" i="30"/>
  <c r="D46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C47" i="30"/>
  <c r="D47" i="30"/>
  <c r="E47" i="30"/>
  <c r="F47" i="30"/>
  <c r="G47" i="30"/>
  <c r="H47" i="30"/>
  <c r="I47" i="30"/>
  <c r="J47" i="30"/>
  <c r="K47" i="30"/>
  <c r="L47" i="30"/>
  <c r="M47" i="30"/>
  <c r="N47" i="30"/>
  <c r="O47" i="30"/>
  <c r="P47" i="30"/>
  <c r="D48" i="30"/>
  <c r="F48" i="30"/>
  <c r="G48" i="30"/>
  <c r="H48" i="30"/>
  <c r="I48" i="30"/>
  <c r="J48" i="30"/>
  <c r="K48" i="30"/>
  <c r="L48" i="30"/>
  <c r="M48" i="30"/>
  <c r="N48" i="30"/>
  <c r="O48" i="30"/>
  <c r="P48" i="30"/>
  <c r="D49" i="30"/>
  <c r="G49" i="30"/>
  <c r="H49" i="30"/>
  <c r="I49" i="30"/>
  <c r="J49" i="30"/>
  <c r="K49" i="30"/>
  <c r="L49" i="30"/>
  <c r="M49" i="30"/>
  <c r="N49" i="30"/>
  <c r="O49" i="30"/>
  <c r="P49" i="30"/>
  <c r="C50" i="30"/>
  <c r="D50" i="30"/>
  <c r="E50" i="30"/>
  <c r="F50" i="30"/>
  <c r="G50" i="30"/>
  <c r="H50" i="30"/>
  <c r="I50" i="30"/>
  <c r="J50" i="30"/>
  <c r="K50" i="30"/>
  <c r="L50" i="30"/>
  <c r="M50" i="30"/>
  <c r="N50" i="30"/>
  <c r="O50" i="30"/>
  <c r="P50" i="30"/>
  <c r="C51" i="30"/>
  <c r="D51" i="30"/>
  <c r="E51" i="30"/>
  <c r="F51" i="30"/>
  <c r="G51" i="30"/>
  <c r="H51" i="30"/>
  <c r="I51" i="30"/>
  <c r="J51" i="30"/>
  <c r="K51" i="30"/>
  <c r="L51" i="30"/>
  <c r="M51" i="30"/>
  <c r="N51" i="30"/>
  <c r="O51" i="30"/>
  <c r="P51" i="30"/>
  <c r="C52" i="30"/>
  <c r="D52" i="30"/>
  <c r="E52" i="30"/>
  <c r="F52" i="30"/>
  <c r="G52" i="30"/>
  <c r="H52" i="30"/>
  <c r="I52" i="30"/>
  <c r="J52" i="30"/>
  <c r="K52" i="30"/>
  <c r="L52" i="30"/>
  <c r="M52" i="30"/>
  <c r="N52" i="30"/>
  <c r="O52" i="30"/>
  <c r="P52" i="30"/>
  <c r="D53" i="30"/>
  <c r="E53" i="30"/>
  <c r="G53" i="30"/>
  <c r="H53" i="30"/>
  <c r="I53" i="30"/>
  <c r="J53" i="30"/>
  <c r="K53" i="30"/>
  <c r="L53" i="30"/>
  <c r="M53" i="30"/>
  <c r="N53" i="30"/>
  <c r="O53" i="30"/>
  <c r="P53" i="30"/>
  <c r="C54" i="30"/>
  <c r="D54" i="30"/>
  <c r="E54" i="30"/>
  <c r="F54" i="30"/>
  <c r="G54" i="30"/>
  <c r="H54" i="30"/>
  <c r="I54" i="30"/>
  <c r="J54" i="30"/>
  <c r="K54" i="30"/>
  <c r="L54" i="30"/>
  <c r="M54" i="30"/>
  <c r="N54" i="30"/>
  <c r="O54" i="30"/>
  <c r="P54" i="30"/>
  <c r="C55" i="30"/>
  <c r="D55" i="30"/>
  <c r="E55" i="30"/>
  <c r="F55" i="30"/>
  <c r="G55" i="30"/>
  <c r="H55" i="30"/>
  <c r="I55" i="30"/>
  <c r="J55" i="30"/>
  <c r="K55" i="30"/>
  <c r="L55" i="30"/>
  <c r="M55" i="30"/>
  <c r="N55" i="30"/>
  <c r="O55" i="30"/>
  <c r="P55" i="30"/>
  <c r="C56" i="30"/>
  <c r="E56" i="30"/>
  <c r="F56" i="30"/>
  <c r="G56" i="30"/>
  <c r="H56" i="30"/>
  <c r="I56" i="30"/>
  <c r="J56" i="30"/>
  <c r="K56" i="30"/>
  <c r="L56" i="30"/>
  <c r="M56" i="30"/>
  <c r="N56" i="30"/>
  <c r="O56" i="30"/>
  <c r="P56" i="30"/>
  <c r="C57" i="30"/>
  <c r="D57" i="30"/>
  <c r="E57" i="30"/>
  <c r="F57" i="30"/>
  <c r="G57" i="30"/>
  <c r="H57" i="30"/>
  <c r="I57" i="30"/>
  <c r="J57" i="30"/>
  <c r="K57" i="30"/>
  <c r="L57" i="30"/>
  <c r="M57" i="30"/>
  <c r="N57" i="30"/>
  <c r="O57" i="30"/>
  <c r="P57" i="30"/>
  <c r="C58" i="30"/>
  <c r="D58" i="30"/>
  <c r="E58" i="30"/>
  <c r="F58" i="30"/>
  <c r="G58" i="30"/>
  <c r="H58" i="30"/>
  <c r="I58" i="30"/>
  <c r="J58" i="30"/>
  <c r="K58" i="30"/>
  <c r="L58" i="30"/>
  <c r="M58" i="30"/>
  <c r="N58" i="30"/>
  <c r="O58" i="30"/>
  <c r="P58" i="30"/>
  <c r="C59" i="30"/>
  <c r="F59" i="30"/>
  <c r="G59" i="30"/>
  <c r="H59" i="30"/>
  <c r="I59" i="30"/>
  <c r="J59" i="30"/>
  <c r="K59" i="30"/>
  <c r="L59" i="30"/>
  <c r="M59" i="30"/>
  <c r="N59" i="30"/>
  <c r="O59" i="30"/>
  <c r="P59" i="30"/>
  <c r="C60" i="30"/>
  <c r="D60" i="30"/>
  <c r="E60" i="30"/>
  <c r="F60" i="30"/>
  <c r="G60" i="30"/>
  <c r="H60" i="30"/>
  <c r="I60" i="30"/>
  <c r="J60" i="30"/>
  <c r="K60" i="30"/>
  <c r="L60" i="30"/>
  <c r="M60" i="30"/>
  <c r="N60" i="30"/>
  <c r="O60" i="30"/>
  <c r="P60" i="30"/>
  <c r="D61" i="30"/>
  <c r="G61" i="30"/>
  <c r="H61" i="30"/>
  <c r="I61" i="30"/>
  <c r="J61" i="30"/>
  <c r="K61" i="30"/>
  <c r="L61" i="30"/>
  <c r="M61" i="30"/>
  <c r="N61" i="30"/>
  <c r="O61" i="30"/>
  <c r="P61" i="30"/>
  <c r="C62" i="30"/>
  <c r="D62" i="30"/>
  <c r="E62" i="30"/>
  <c r="F62" i="30"/>
  <c r="G62" i="30"/>
  <c r="H62" i="30"/>
  <c r="I62" i="30"/>
  <c r="J62" i="30"/>
  <c r="K62" i="30"/>
  <c r="L62" i="30"/>
  <c r="M62" i="30"/>
  <c r="N62" i="30"/>
  <c r="O62" i="30"/>
  <c r="P62" i="30"/>
  <c r="C63" i="30"/>
  <c r="D63" i="30"/>
  <c r="E63" i="30"/>
  <c r="F63" i="30"/>
  <c r="G63" i="30"/>
  <c r="H63" i="30"/>
  <c r="I63" i="30"/>
  <c r="J63" i="30"/>
  <c r="K63" i="30"/>
  <c r="L63" i="30"/>
  <c r="M63" i="30"/>
  <c r="N63" i="30"/>
  <c r="O63" i="30"/>
  <c r="P63" i="30"/>
  <c r="D64" i="30"/>
  <c r="E64" i="30"/>
  <c r="F64" i="30"/>
  <c r="G64" i="30"/>
  <c r="H64" i="30"/>
  <c r="I64" i="30"/>
  <c r="J64" i="30"/>
  <c r="K64" i="30"/>
  <c r="L64" i="30"/>
  <c r="M64" i="30"/>
  <c r="N64" i="30"/>
  <c r="O64" i="30"/>
  <c r="P64" i="30"/>
  <c r="C65" i="30"/>
  <c r="D65" i="30"/>
  <c r="E65" i="30"/>
  <c r="F65" i="30"/>
  <c r="G65" i="30"/>
  <c r="H65" i="30"/>
  <c r="I65" i="30"/>
  <c r="J65" i="30"/>
  <c r="K65" i="30"/>
  <c r="L65" i="30"/>
  <c r="M65" i="30"/>
  <c r="N65" i="30"/>
  <c r="O65" i="30"/>
  <c r="P65" i="30"/>
  <c r="G66" i="30"/>
  <c r="H66" i="30"/>
  <c r="I66" i="30"/>
  <c r="J66" i="30"/>
  <c r="K66" i="30"/>
  <c r="L66" i="30"/>
  <c r="M66" i="30"/>
  <c r="N66" i="30"/>
  <c r="O66" i="30"/>
  <c r="P66" i="30"/>
  <c r="C67" i="30"/>
  <c r="D67" i="30"/>
  <c r="E67" i="30"/>
  <c r="F67" i="30"/>
  <c r="G67" i="30"/>
  <c r="H67" i="30"/>
  <c r="I67" i="30"/>
  <c r="J67" i="30"/>
  <c r="K67" i="30"/>
  <c r="L67" i="30"/>
  <c r="M67" i="30"/>
  <c r="N67" i="30"/>
  <c r="O67" i="30"/>
  <c r="P67" i="30"/>
  <c r="G68" i="30"/>
  <c r="H68" i="30"/>
  <c r="I68" i="30"/>
  <c r="J68" i="30"/>
  <c r="K68" i="30"/>
  <c r="L68" i="30"/>
  <c r="M68" i="30"/>
  <c r="N68" i="30"/>
  <c r="O68" i="30"/>
  <c r="P68" i="30"/>
  <c r="B69" i="30"/>
  <c r="C69" i="30"/>
  <c r="D69" i="30"/>
  <c r="E69" i="30"/>
  <c r="F69" i="30"/>
  <c r="G69" i="30"/>
  <c r="H69" i="30"/>
  <c r="I69" i="30"/>
  <c r="J69" i="30"/>
  <c r="K69" i="30"/>
  <c r="L69" i="30"/>
  <c r="M69" i="30"/>
  <c r="N69" i="30"/>
  <c r="O69" i="30"/>
  <c r="P69" i="30"/>
  <c r="B70" i="30"/>
  <c r="C70" i="30"/>
  <c r="D70" i="30"/>
  <c r="E70" i="30"/>
  <c r="F70" i="30"/>
  <c r="G70" i="30"/>
  <c r="H70" i="30"/>
  <c r="I70" i="30"/>
  <c r="J70" i="30"/>
  <c r="K70" i="30"/>
  <c r="L70" i="30"/>
  <c r="M70" i="30"/>
  <c r="N70" i="30"/>
  <c r="O70" i="30"/>
  <c r="P70" i="30"/>
  <c r="F71" i="30"/>
  <c r="G71" i="30"/>
  <c r="H71" i="30"/>
  <c r="I71" i="30"/>
  <c r="J71" i="30"/>
  <c r="K71" i="30"/>
  <c r="L71" i="30"/>
  <c r="M71" i="30"/>
  <c r="N71" i="30"/>
  <c r="O71" i="30"/>
  <c r="P71" i="30"/>
  <c r="B72" i="30"/>
  <c r="C72" i="30"/>
  <c r="D72" i="30"/>
  <c r="E72" i="30"/>
  <c r="F72" i="30"/>
  <c r="G72" i="30"/>
  <c r="H72" i="30"/>
  <c r="I72" i="30"/>
  <c r="J72" i="30"/>
  <c r="K72" i="30"/>
  <c r="L72" i="30"/>
  <c r="M72" i="30"/>
  <c r="N72" i="30"/>
  <c r="O72" i="30"/>
  <c r="P72" i="30"/>
  <c r="B73" i="30"/>
  <c r="C73" i="30"/>
  <c r="D73" i="30"/>
  <c r="E73" i="30"/>
  <c r="F73" i="30"/>
  <c r="G73" i="30"/>
  <c r="H73" i="30"/>
  <c r="I73" i="30"/>
  <c r="J73" i="30"/>
  <c r="K73" i="30"/>
  <c r="L73" i="30"/>
  <c r="M73" i="30"/>
  <c r="N73" i="30"/>
  <c r="O73" i="30"/>
  <c r="P73" i="30"/>
  <c r="Q73" i="30"/>
  <c r="H74" i="30"/>
  <c r="O74" i="30"/>
  <c r="P74" i="30"/>
  <c r="B4" i="28"/>
  <c r="C4" i="28"/>
  <c r="D4" i="28"/>
  <c r="E4" i="28"/>
  <c r="F4" i="28"/>
  <c r="G4" i="28"/>
  <c r="H4" i="28"/>
  <c r="I4" i="28"/>
  <c r="J4" i="28"/>
  <c r="K4" i="28"/>
  <c r="L4" i="28"/>
  <c r="M4" i="28"/>
  <c r="N4" i="28"/>
  <c r="O4" i="28"/>
  <c r="P4" i="28"/>
  <c r="H5" i="28"/>
  <c r="O5" i="28"/>
  <c r="P5" i="28"/>
  <c r="C6" i="28"/>
  <c r="D6" i="28"/>
  <c r="H6" i="28"/>
  <c r="I6" i="28"/>
  <c r="O6" i="28"/>
  <c r="P6" i="28"/>
  <c r="H7" i="28"/>
  <c r="O7" i="28"/>
  <c r="P7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C9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H10" i="28"/>
  <c r="J10" i="28"/>
  <c r="L10" i="28"/>
  <c r="O10" i="28"/>
  <c r="P10" i="28"/>
  <c r="H11" i="28"/>
  <c r="O11" i="28"/>
  <c r="P11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B16" i="28"/>
  <c r="C16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C17" i="28"/>
  <c r="D17" i="28"/>
  <c r="H17" i="28"/>
  <c r="O17" i="28"/>
  <c r="P17" i="28"/>
  <c r="C18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B19" i="28"/>
  <c r="C19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H20" i="28"/>
  <c r="O20" i="28"/>
  <c r="P20" i="28"/>
  <c r="C21" i="28"/>
  <c r="D21" i="28"/>
  <c r="E21" i="28"/>
  <c r="F21" i="28"/>
  <c r="H21" i="28"/>
  <c r="I21" i="28"/>
  <c r="J21" i="28"/>
  <c r="K21" i="28"/>
  <c r="L21" i="28"/>
  <c r="M21" i="28"/>
  <c r="N21" i="28"/>
  <c r="O21" i="28"/>
  <c r="P21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C23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C24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C25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E26" i="28"/>
  <c r="F26" i="28"/>
  <c r="H26" i="28"/>
  <c r="O26" i="28"/>
  <c r="P26" i="28"/>
  <c r="H27" i="28"/>
  <c r="O27" i="28"/>
  <c r="P27" i="28"/>
  <c r="E28" i="28"/>
  <c r="H28" i="28"/>
  <c r="I28" i="28"/>
  <c r="L28" i="28"/>
  <c r="N28" i="28"/>
  <c r="O28" i="28"/>
  <c r="P28" i="28"/>
  <c r="E29" i="28"/>
  <c r="H29" i="28"/>
  <c r="I29" i="28"/>
  <c r="O29" i="28"/>
  <c r="P29" i="28"/>
  <c r="H30" i="28"/>
  <c r="O30" i="28"/>
  <c r="P30" i="28"/>
  <c r="C31" i="28"/>
  <c r="D31" i="28"/>
  <c r="E31" i="28"/>
  <c r="F31" i="28"/>
  <c r="G31" i="28"/>
  <c r="H31" i="28"/>
  <c r="I31" i="28"/>
  <c r="J31" i="28"/>
  <c r="K31" i="28"/>
  <c r="L31" i="28"/>
  <c r="M31" i="28"/>
  <c r="N31" i="28"/>
  <c r="O31" i="28"/>
  <c r="P31" i="28"/>
  <c r="O32" i="28"/>
  <c r="P32" i="28"/>
  <c r="B33" i="28"/>
  <c r="C33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B36" i="28"/>
  <c r="C36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H37" i="28"/>
  <c r="O37" i="28"/>
  <c r="P37" i="28"/>
  <c r="C38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C39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C40" i="28"/>
  <c r="D40" i="28"/>
  <c r="E40" i="28"/>
  <c r="F40" i="28"/>
  <c r="G40" i="28"/>
  <c r="H40" i="28"/>
  <c r="I40" i="28"/>
  <c r="J40" i="28"/>
  <c r="K40" i="28"/>
  <c r="L40" i="28"/>
  <c r="M40" i="28"/>
  <c r="N40" i="28"/>
  <c r="O40" i="28"/>
  <c r="P40" i="28"/>
  <c r="H41" i="28"/>
  <c r="O41" i="28"/>
  <c r="P41" i="28"/>
  <c r="B42" i="28"/>
  <c r="C42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C43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H44" i="28"/>
  <c r="O44" i="28"/>
  <c r="P44" i="28"/>
  <c r="C45" i="28"/>
  <c r="E45" i="28"/>
  <c r="G45" i="28"/>
  <c r="H45" i="28"/>
  <c r="I45" i="28"/>
  <c r="J45" i="28"/>
  <c r="K45" i="28"/>
  <c r="L45" i="28"/>
  <c r="M45" i="28"/>
  <c r="N45" i="28"/>
  <c r="O45" i="28"/>
  <c r="P45" i="28"/>
  <c r="C46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D47" i="28"/>
  <c r="H47" i="28"/>
  <c r="J47" i="28"/>
  <c r="L47" i="28"/>
  <c r="M47" i="28"/>
  <c r="N47" i="28"/>
  <c r="O47" i="28"/>
  <c r="P47" i="28"/>
  <c r="E48" i="28"/>
  <c r="H48" i="28"/>
  <c r="N48" i="28"/>
  <c r="O48" i="28"/>
  <c r="P48" i="28"/>
  <c r="C49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C50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C51" i="28"/>
  <c r="D51" i="28"/>
  <c r="E51" i="28"/>
  <c r="F51" i="28"/>
  <c r="G51" i="28"/>
  <c r="H51" i="28"/>
  <c r="I51" i="28"/>
  <c r="K51" i="28"/>
  <c r="N51" i="28"/>
  <c r="O51" i="28"/>
  <c r="P51" i="28"/>
  <c r="H52" i="28"/>
  <c r="M52" i="28"/>
  <c r="O52" i="28"/>
  <c r="P52" i="28"/>
  <c r="C53" i="28"/>
  <c r="D53" i="28"/>
  <c r="E53" i="28"/>
  <c r="F53" i="28"/>
  <c r="G53" i="28"/>
  <c r="H53" i="28"/>
  <c r="I53" i="28"/>
  <c r="J53" i="28"/>
  <c r="K53" i="28"/>
  <c r="L53" i="28"/>
  <c r="M53" i="28"/>
  <c r="N53" i="28"/>
  <c r="O53" i="28"/>
  <c r="P53" i="28"/>
  <c r="C54" i="28"/>
  <c r="D54" i="28"/>
  <c r="G54" i="28"/>
  <c r="H54" i="28"/>
  <c r="I54" i="28"/>
  <c r="J54" i="28"/>
  <c r="K54" i="28"/>
  <c r="L54" i="28"/>
  <c r="M54" i="28"/>
  <c r="N54" i="28"/>
  <c r="O54" i="28"/>
  <c r="P54" i="28"/>
  <c r="C55" i="28"/>
  <c r="D55" i="28"/>
  <c r="E55" i="28"/>
  <c r="H55" i="28"/>
  <c r="N55" i="28"/>
  <c r="O55" i="28"/>
  <c r="P55" i="28"/>
  <c r="C56" i="28"/>
  <c r="D56" i="28"/>
  <c r="E56" i="28"/>
  <c r="F56" i="28"/>
  <c r="G56" i="28"/>
  <c r="H56" i="28"/>
  <c r="I56" i="28"/>
  <c r="J56" i="28"/>
  <c r="K56" i="28"/>
  <c r="L56" i="28"/>
  <c r="M56" i="28"/>
  <c r="N56" i="28"/>
  <c r="O56" i="28"/>
  <c r="P56" i="28"/>
  <c r="C57" i="28"/>
  <c r="D57" i="28"/>
  <c r="E57" i="28"/>
  <c r="F57" i="28"/>
  <c r="G57" i="28"/>
  <c r="H57" i="28"/>
  <c r="I57" i="28"/>
  <c r="J57" i="28"/>
  <c r="L57" i="28"/>
  <c r="N57" i="28"/>
  <c r="O57" i="28"/>
  <c r="P57" i="28"/>
  <c r="C58" i="28"/>
  <c r="H58" i="28"/>
  <c r="I58" i="28"/>
  <c r="N58" i="28"/>
  <c r="O58" i="28"/>
  <c r="P58" i="28"/>
  <c r="C59" i="28"/>
  <c r="D59" i="28"/>
  <c r="E59" i="28"/>
  <c r="F59" i="28"/>
  <c r="G59" i="28"/>
  <c r="H59" i="28"/>
  <c r="I59" i="28"/>
  <c r="J59" i="28"/>
  <c r="K59" i="28"/>
  <c r="L59" i="28"/>
  <c r="M59" i="28"/>
  <c r="N59" i="28"/>
  <c r="O59" i="28"/>
  <c r="P59" i="28"/>
  <c r="H60" i="28"/>
  <c r="O60" i="28"/>
  <c r="P60" i="28"/>
  <c r="C61" i="28"/>
  <c r="D61" i="28"/>
  <c r="E61" i="28"/>
  <c r="F61" i="28"/>
  <c r="G61" i="28"/>
  <c r="H61" i="28"/>
  <c r="I61" i="28"/>
  <c r="J61" i="28"/>
  <c r="K61" i="28"/>
  <c r="L61" i="28"/>
  <c r="M61" i="28"/>
  <c r="N61" i="28"/>
  <c r="O61" i="28"/>
  <c r="P61" i="28"/>
  <c r="C62" i="28"/>
  <c r="H62" i="28"/>
  <c r="I62" i="28"/>
  <c r="M62" i="28"/>
  <c r="N62" i="28"/>
  <c r="O62" i="28"/>
  <c r="P62" i="28"/>
  <c r="E63" i="28"/>
  <c r="G63" i="28"/>
  <c r="H63" i="28"/>
  <c r="M63" i="28"/>
  <c r="N63" i="28"/>
  <c r="O63" i="28"/>
  <c r="P63" i="28"/>
  <c r="C64" i="28"/>
  <c r="D64" i="28"/>
  <c r="E64" i="28"/>
  <c r="F64" i="28"/>
  <c r="G64" i="28"/>
  <c r="H64" i="28"/>
  <c r="I64" i="28"/>
  <c r="J64" i="28"/>
  <c r="K64" i="28"/>
  <c r="L64" i="28"/>
  <c r="M64" i="28"/>
  <c r="N64" i="28"/>
  <c r="O64" i="28"/>
  <c r="P64" i="28"/>
  <c r="G65" i="28"/>
  <c r="H65" i="28"/>
  <c r="J65" i="28"/>
  <c r="K65" i="28"/>
  <c r="L65" i="28"/>
  <c r="M65" i="28"/>
  <c r="O65" i="28"/>
  <c r="P65" i="28"/>
  <c r="C66" i="28"/>
  <c r="D66" i="28"/>
  <c r="E66" i="28"/>
  <c r="F66" i="28"/>
  <c r="G66" i="28"/>
  <c r="H66" i="28"/>
  <c r="I66" i="28"/>
  <c r="J66" i="28"/>
  <c r="K66" i="28"/>
  <c r="L66" i="28"/>
  <c r="M66" i="28"/>
  <c r="N66" i="28"/>
  <c r="O66" i="28"/>
  <c r="P66" i="28"/>
  <c r="H67" i="28"/>
  <c r="N67" i="28"/>
  <c r="O67" i="28"/>
  <c r="P67" i="28"/>
  <c r="B68" i="28"/>
  <c r="C68" i="28"/>
  <c r="D68" i="28"/>
  <c r="E68" i="28"/>
  <c r="F68" i="28"/>
  <c r="G68" i="28"/>
  <c r="H68" i="28"/>
  <c r="I68" i="28"/>
  <c r="J68" i="28"/>
  <c r="K68" i="28"/>
  <c r="L68" i="28"/>
  <c r="M68" i="28"/>
  <c r="N68" i="28"/>
  <c r="O68" i="28"/>
  <c r="P68" i="28"/>
  <c r="B69" i="28"/>
  <c r="C69" i="28"/>
  <c r="D69" i="28"/>
  <c r="E69" i="28"/>
  <c r="F69" i="28"/>
  <c r="G69" i="28"/>
  <c r="H69" i="28"/>
  <c r="I69" i="28"/>
  <c r="J69" i="28"/>
  <c r="K69" i="28"/>
  <c r="L69" i="28"/>
  <c r="M69" i="28"/>
  <c r="N69" i="28"/>
  <c r="O69" i="28"/>
  <c r="P69" i="28"/>
  <c r="H70" i="28"/>
  <c r="M70" i="28"/>
  <c r="N70" i="28"/>
  <c r="O70" i="28"/>
  <c r="P70" i="28"/>
  <c r="B71" i="28"/>
  <c r="C71" i="28"/>
  <c r="D71" i="28"/>
  <c r="E71" i="28"/>
  <c r="F71" i="28"/>
  <c r="G71" i="28"/>
  <c r="H71" i="28"/>
  <c r="I71" i="28"/>
  <c r="J71" i="28"/>
  <c r="K71" i="28"/>
  <c r="L71" i="28"/>
  <c r="M71" i="28"/>
  <c r="N71" i="28"/>
  <c r="O71" i="28"/>
  <c r="P71" i="28"/>
  <c r="B72" i="28"/>
  <c r="C72" i="28"/>
  <c r="D72" i="28"/>
  <c r="E72" i="28"/>
  <c r="F72" i="28"/>
  <c r="G72" i="28"/>
  <c r="H72" i="28"/>
  <c r="I72" i="28"/>
  <c r="J72" i="28"/>
  <c r="K72" i="28"/>
  <c r="L72" i="28"/>
  <c r="M72" i="28"/>
  <c r="N72" i="28"/>
  <c r="O72" i="28"/>
  <c r="P72" i="28"/>
  <c r="H73" i="28"/>
  <c r="O73" i="28"/>
  <c r="P73" i="28"/>
  <c r="B4" i="27"/>
  <c r="C4" i="27"/>
  <c r="D4" i="27"/>
  <c r="E4" i="27"/>
  <c r="F4" i="27"/>
  <c r="G4" i="27"/>
  <c r="H4" i="27"/>
  <c r="I4" i="27"/>
  <c r="J4" i="27"/>
  <c r="K4" i="27"/>
  <c r="L4" i="27"/>
  <c r="M4" i="27"/>
  <c r="N4" i="27"/>
  <c r="O4" i="27"/>
  <c r="P4" i="27"/>
  <c r="H5" i="27"/>
  <c r="O5" i="27"/>
  <c r="P5" i="27"/>
  <c r="C6" i="27"/>
  <c r="H6" i="27"/>
  <c r="O6" i="27"/>
  <c r="P6" i="27"/>
  <c r="H7" i="27"/>
  <c r="O7" i="27"/>
  <c r="P7" i="27"/>
  <c r="B8" i="27"/>
  <c r="C8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C9" i="27"/>
  <c r="D9" i="27"/>
  <c r="E9" i="27"/>
  <c r="F9" i="27"/>
  <c r="H9" i="27"/>
  <c r="I9" i="27"/>
  <c r="J9" i="27"/>
  <c r="K9" i="27"/>
  <c r="L9" i="27"/>
  <c r="M9" i="27"/>
  <c r="N9" i="27"/>
  <c r="O9" i="27"/>
  <c r="P9" i="27"/>
  <c r="H10" i="27"/>
  <c r="O10" i="27"/>
  <c r="P10" i="27"/>
  <c r="H11" i="27"/>
  <c r="O11" i="27"/>
  <c r="P11" i="27"/>
  <c r="B12" i="27"/>
  <c r="C12" i="27"/>
  <c r="D12" i="27"/>
  <c r="E12" i="27"/>
  <c r="F12" i="27"/>
  <c r="H12" i="27"/>
  <c r="I12" i="27"/>
  <c r="J12" i="27"/>
  <c r="K12" i="27"/>
  <c r="L12" i="27"/>
  <c r="M12" i="27"/>
  <c r="N12" i="27"/>
  <c r="O12" i="27"/>
  <c r="P12" i="27"/>
  <c r="B13" i="27"/>
  <c r="C13" i="27"/>
  <c r="D13" i="27"/>
  <c r="E13" i="27"/>
  <c r="F13" i="27"/>
  <c r="H13" i="27"/>
  <c r="I13" i="27"/>
  <c r="J13" i="27"/>
  <c r="K13" i="27"/>
  <c r="L13" i="27"/>
  <c r="M13" i="27"/>
  <c r="N13" i="27"/>
  <c r="O13" i="27"/>
  <c r="P13" i="27"/>
  <c r="B14" i="27"/>
  <c r="C14" i="27"/>
  <c r="D14" i="27"/>
  <c r="E14" i="27"/>
  <c r="F14" i="27"/>
  <c r="H14" i="27"/>
  <c r="I14" i="27"/>
  <c r="J14" i="27"/>
  <c r="K14" i="27"/>
  <c r="L14" i="27"/>
  <c r="M14" i="27"/>
  <c r="N14" i="27"/>
  <c r="O14" i="27"/>
  <c r="P14" i="27"/>
  <c r="B15" i="27"/>
  <c r="C15" i="27"/>
  <c r="D15" i="27"/>
  <c r="E15" i="27"/>
  <c r="F15" i="27"/>
  <c r="H15" i="27"/>
  <c r="I15" i="27"/>
  <c r="J15" i="27"/>
  <c r="K15" i="27"/>
  <c r="L15" i="27"/>
  <c r="M15" i="27"/>
  <c r="N15" i="27"/>
  <c r="O15" i="27"/>
  <c r="P15" i="27"/>
  <c r="B16" i="27"/>
  <c r="C16" i="27"/>
  <c r="D16" i="27"/>
  <c r="E16" i="27"/>
  <c r="F16" i="27"/>
  <c r="H16" i="27"/>
  <c r="I16" i="27"/>
  <c r="J16" i="27"/>
  <c r="K16" i="27"/>
  <c r="L16" i="27"/>
  <c r="M16" i="27"/>
  <c r="N16" i="27"/>
  <c r="O16" i="27"/>
  <c r="P16" i="27"/>
  <c r="C17" i="27"/>
  <c r="D17" i="27"/>
  <c r="H17" i="27"/>
  <c r="I17" i="27"/>
  <c r="O17" i="27"/>
  <c r="P17" i="27"/>
  <c r="C18" i="27"/>
  <c r="D18" i="27"/>
  <c r="E18" i="27"/>
  <c r="F18" i="27"/>
  <c r="H18" i="27"/>
  <c r="I18" i="27"/>
  <c r="J18" i="27"/>
  <c r="K18" i="27"/>
  <c r="L18" i="27"/>
  <c r="M18" i="27"/>
  <c r="N18" i="27"/>
  <c r="O18" i="27"/>
  <c r="P18" i="27"/>
  <c r="B19" i="27"/>
  <c r="C19" i="27"/>
  <c r="D19" i="27"/>
  <c r="E19" i="27"/>
  <c r="F19" i="27"/>
  <c r="H19" i="27"/>
  <c r="I19" i="27"/>
  <c r="J19" i="27"/>
  <c r="K19" i="27"/>
  <c r="L19" i="27"/>
  <c r="M19" i="27"/>
  <c r="N19" i="27"/>
  <c r="O19" i="27"/>
  <c r="P19" i="27"/>
  <c r="H20" i="27"/>
  <c r="O20" i="27"/>
  <c r="P20" i="27"/>
  <c r="C21" i="27"/>
  <c r="D21" i="27"/>
  <c r="E21" i="27"/>
  <c r="F21" i="27"/>
  <c r="H21" i="27"/>
  <c r="I21" i="27"/>
  <c r="K21" i="27"/>
  <c r="M21" i="27"/>
  <c r="N21" i="27"/>
  <c r="O21" i="27"/>
  <c r="P21" i="27"/>
  <c r="C22" i="27"/>
  <c r="D22" i="27"/>
  <c r="E22" i="27"/>
  <c r="F22" i="27"/>
  <c r="H22" i="27"/>
  <c r="I22" i="27"/>
  <c r="J22" i="27"/>
  <c r="K22" i="27"/>
  <c r="L22" i="27"/>
  <c r="M22" i="27"/>
  <c r="N22" i="27"/>
  <c r="O22" i="27"/>
  <c r="P22" i="27"/>
  <c r="C23" i="27"/>
  <c r="D23" i="27"/>
  <c r="E23" i="27"/>
  <c r="F23" i="27"/>
  <c r="H23" i="27"/>
  <c r="I23" i="27"/>
  <c r="J23" i="27"/>
  <c r="K23" i="27"/>
  <c r="L23" i="27"/>
  <c r="M23" i="27"/>
  <c r="N23" i="27"/>
  <c r="O23" i="27"/>
  <c r="P23" i="27"/>
  <c r="C24" i="27"/>
  <c r="D24" i="27"/>
  <c r="E24" i="27"/>
  <c r="F24" i="27"/>
  <c r="H24" i="27"/>
  <c r="I24" i="27"/>
  <c r="J24" i="27"/>
  <c r="K24" i="27"/>
  <c r="L24" i="27"/>
  <c r="M24" i="27"/>
  <c r="N24" i="27"/>
  <c r="O24" i="27"/>
  <c r="P24" i="27"/>
  <c r="C25" i="27"/>
  <c r="D25" i="27"/>
  <c r="E25" i="27"/>
  <c r="F25" i="27"/>
  <c r="H25" i="27"/>
  <c r="I25" i="27"/>
  <c r="J25" i="27"/>
  <c r="K25" i="27"/>
  <c r="L25" i="27"/>
  <c r="M25" i="27"/>
  <c r="N25" i="27"/>
  <c r="O25" i="27"/>
  <c r="P25" i="27"/>
  <c r="E26" i="27"/>
  <c r="F26" i="27"/>
  <c r="H26" i="27"/>
  <c r="K26" i="27"/>
  <c r="N26" i="27"/>
  <c r="O26" i="27"/>
  <c r="P26" i="27"/>
  <c r="D27" i="27"/>
  <c r="E27" i="27"/>
  <c r="H27" i="27"/>
  <c r="O27" i="27"/>
  <c r="P27" i="27"/>
  <c r="E28" i="27"/>
  <c r="H28" i="27"/>
  <c r="I28" i="27"/>
  <c r="L28" i="27"/>
  <c r="N28" i="27"/>
  <c r="O28" i="27"/>
  <c r="P28" i="27"/>
  <c r="C29" i="27"/>
  <c r="H29" i="27"/>
  <c r="N29" i="27"/>
  <c r="O29" i="27"/>
  <c r="P29" i="27"/>
  <c r="H30" i="27"/>
  <c r="O30" i="27"/>
  <c r="P30" i="27"/>
  <c r="C31" i="27"/>
  <c r="D31" i="27"/>
  <c r="E31" i="27"/>
  <c r="F31" i="27"/>
  <c r="H31" i="27"/>
  <c r="I31" i="27"/>
  <c r="J31" i="27"/>
  <c r="K31" i="27"/>
  <c r="L31" i="27"/>
  <c r="M31" i="27"/>
  <c r="N31" i="27"/>
  <c r="O31" i="27"/>
  <c r="P31" i="27"/>
  <c r="O32" i="27"/>
  <c r="P32" i="27"/>
  <c r="B33" i="27"/>
  <c r="C33" i="27"/>
  <c r="D33" i="27"/>
  <c r="E33" i="27"/>
  <c r="F33" i="27"/>
  <c r="G33" i="27"/>
  <c r="H33" i="27"/>
  <c r="I33" i="27"/>
  <c r="J33" i="27"/>
  <c r="K33" i="27"/>
  <c r="L33" i="27"/>
  <c r="M33" i="27"/>
  <c r="N33" i="27"/>
  <c r="O33" i="27"/>
  <c r="P33" i="27"/>
  <c r="B36" i="27"/>
  <c r="C36" i="27"/>
  <c r="D36" i="27"/>
  <c r="E36" i="27"/>
  <c r="F36" i="27"/>
  <c r="G36" i="27"/>
  <c r="H36" i="27"/>
  <c r="I36" i="27"/>
  <c r="J36" i="27"/>
  <c r="K36" i="27"/>
  <c r="L36" i="27"/>
  <c r="M36" i="27"/>
  <c r="N36" i="27"/>
  <c r="O36" i="27"/>
  <c r="P36" i="27"/>
  <c r="H37" i="27"/>
  <c r="O37" i="27"/>
  <c r="P37" i="27"/>
  <c r="C38" i="27"/>
  <c r="D38" i="27"/>
  <c r="E38" i="27"/>
  <c r="F38" i="27"/>
  <c r="H38" i="27"/>
  <c r="I38" i="27"/>
  <c r="J38" i="27"/>
  <c r="K38" i="27"/>
  <c r="L38" i="27"/>
  <c r="M38" i="27"/>
  <c r="N38" i="27"/>
  <c r="O38" i="27"/>
  <c r="P38" i="27"/>
  <c r="C39" i="27"/>
  <c r="D39" i="27"/>
  <c r="E39" i="27"/>
  <c r="F39" i="27"/>
  <c r="H39" i="27"/>
  <c r="I39" i="27"/>
  <c r="J39" i="27"/>
  <c r="K39" i="27"/>
  <c r="L39" i="27"/>
  <c r="M39" i="27"/>
  <c r="N39" i="27"/>
  <c r="O39" i="27"/>
  <c r="P39" i="27"/>
  <c r="C40" i="27"/>
  <c r="D40" i="27"/>
  <c r="E40" i="27"/>
  <c r="F40" i="27"/>
  <c r="H40" i="27"/>
  <c r="I40" i="27"/>
  <c r="J40" i="27"/>
  <c r="K40" i="27"/>
  <c r="L40" i="27"/>
  <c r="M40" i="27"/>
  <c r="N40" i="27"/>
  <c r="O40" i="27"/>
  <c r="P40" i="27"/>
  <c r="E41" i="27"/>
  <c r="H41" i="27"/>
  <c r="J41" i="27"/>
  <c r="O41" i="27"/>
  <c r="P41" i="27"/>
  <c r="B42" i="27"/>
  <c r="C42" i="27"/>
  <c r="D42" i="27"/>
  <c r="E42" i="27"/>
  <c r="F42" i="27"/>
  <c r="G42" i="27"/>
  <c r="H42" i="27"/>
  <c r="I42" i="27"/>
  <c r="J42" i="27"/>
  <c r="K42" i="27"/>
  <c r="L42" i="27"/>
  <c r="M42" i="27"/>
  <c r="N42" i="27"/>
  <c r="O42" i="27"/>
  <c r="P42" i="27"/>
  <c r="C43" i="27"/>
  <c r="D43" i="27"/>
  <c r="E43" i="27"/>
  <c r="F43" i="27"/>
  <c r="H43" i="27"/>
  <c r="I43" i="27"/>
  <c r="J43" i="27"/>
  <c r="K43" i="27"/>
  <c r="L43" i="27"/>
  <c r="M43" i="27"/>
  <c r="N43" i="27"/>
  <c r="O43" i="27"/>
  <c r="P43" i="27"/>
  <c r="H44" i="27"/>
  <c r="O44" i="27"/>
  <c r="P44" i="27"/>
  <c r="C45" i="27"/>
  <c r="E45" i="27"/>
  <c r="F45" i="27"/>
  <c r="H45" i="27"/>
  <c r="I45" i="27"/>
  <c r="J45" i="27"/>
  <c r="K45" i="27"/>
  <c r="L45" i="27"/>
  <c r="M45" i="27"/>
  <c r="N45" i="27"/>
  <c r="O45" i="27"/>
  <c r="P45" i="27"/>
  <c r="C46" i="27"/>
  <c r="D46" i="27"/>
  <c r="E46" i="27"/>
  <c r="F46" i="27"/>
  <c r="H46" i="27"/>
  <c r="I46" i="27"/>
  <c r="J46" i="27"/>
  <c r="K46" i="27"/>
  <c r="L46" i="27"/>
  <c r="M46" i="27"/>
  <c r="N46" i="27"/>
  <c r="O46" i="27"/>
  <c r="P46" i="27"/>
  <c r="C47" i="27"/>
  <c r="E47" i="27"/>
  <c r="F47" i="27"/>
  <c r="H47" i="27"/>
  <c r="J47" i="27"/>
  <c r="K47" i="27"/>
  <c r="L47" i="27"/>
  <c r="O47" i="27"/>
  <c r="P47" i="27"/>
  <c r="E48" i="27"/>
  <c r="H48" i="27"/>
  <c r="O48" i="27"/>
  <c r="P48" i="27"/>
  <c r="C49" i="27"/>
  <c r="D49" i="27"/>
  <c r="E49" i="27"/>
  <c r="F49" i="27"/>
  <c r="H49" i="27"/>
  <c r="I49" i="27"/>
  <c r="J49" i="27"/>
  <c r="K49" i="27"/>
  <c r="L49" i="27"/>
  <c r="M49" i="27"/>
  <c r="N49" i="27"/>
  <c r="O49" i="27"/>
  <c r="P49" i="27"/>
  <c r="C50" i="27"/>
  <c r="D50" i="27"/>
  <c r="E50" i="27"/>
  <c r="F50" i="27"/>
  <c r="H50" i="27"/>
  <c r="I50" i="27"/>
  <c r="J50" i="27"/>
  <c r="K50" i="27"/>
  <c r="L50" i="27"/>
  <c r="M50" i="27"/>
  <c r="N50" i="27"/>
  <c r="O50" i="27"/>
  <c r="P50" i="27"/>
  <c r="C51" i="27"/>
  <c r="D51" i="27"/>
  <c r="H51" i="27"/>
  <c r="J51" i="27"/>
  <c r="K51" i="27"/>
  <c r="O51" i="27"/>
  <c r="P51" i="27"/>
  <c r="H52" i="27"/>
  <c r="O52" i="27"/>
  <c r="P52" i="27"/>
  <c r="C53" i="27"/>
  <c r="D53" i="27"/>
  <c r="E53" i="27"/>
  <c r="F53" i="27"/>
  <c r="H53" i="27"/>
  <c r="I53" i="27"/>
  <c r="J53" i="27"/>
  <c r="K53" i="27"/>
  <c r="L53" i="27"/>
  <c r="M53" i="27"/>
  <c r="N53" i="27"/>
  <c r="O53" i="27"/>
  <c r="P53" i="27"/>
  <c r="D54" i="27"/>
  <c r="E54" i="27"/>
  <c r="F54" i="27"/>
  <c r="H54" i="27"/>
  <c r="I54" i="27"/>
  <c r="K54" i="27"/>
  <c r="L54" i="27"/>
  <c r="M54" i="27"/>
  <c r="O54" i="27"/>
  <c r="P54" i="27"/>
  <c r="E55" i="27"/>
  <c r="H55" i="27"/>
  <c r="O55" i="27"/>
  <c r="P55" i="27"/>
  <c r="C56" i="27"/>
  <c r="D56" i="27"/>
  <c r="E56" i="27"/>
  <c r="F56" i="27"/>
  <c r="H56" i="27"/>
  <c r="I56" i="27"/>
  <c r="J56" i="27"/>
  <c r="K56" i="27"/>
  <c r="L56" i="27"/>
  <c r="M56" i="27"/>
  <c r="N56" i="27"/>
  <c r="O56" i="27"/>
  <c r="P56" i="27"/>
  <c r="C57" i="27"/>
  <c r="E57" i="27"/>
  <c r="F57" i="27"/>
  <c r="H57" i="27"/>
  <c r="J57" i="27"/>
  <c r="K57" i="27"/>
  <c r="L57" i="27"/>
  <c r="N57" i="27"/>
  <c r="O57" i="27"/>
  <c r="P57" i="27"/>
  <c r="C58" i="27"/>
  <c r="H58" i="27"/>
  <c r="O58" i="27"/>
  <c r="P58" i="27"/>
  <c r="C59" i="27"/>
  <c r="D59" i="27"/>
  <c r="E59" i="27"/>
  <c r="F59" i="27"/>
  <c r="H59" i="27"/>
  <c r="I59" i="27"/>
  <c r="J59" i="27"/>
  <c r="K59" i="27"/>
  <c r="L59" i="27"/>
  <c r="M59" i="27"/>
  <c r="N59" i="27"/>
  <c r="O59" i="27"/>
  <c r="P59" i="27"/>
  <c r="H60" i="27"/>
  <c r="O60" i="27"/>
  <c r="P60" i="27"/>
  <c r="C61" i="27"/>
  <c r="D61" i="27"/>
  <c r="E61" i="27"/>
  <c r="F61" i="27"/>
  <c r="H61" i="27"/>
  <c r="I61" i="27"/>
  <c r="J61" i="27"/>
  <c r="K61" i="27"/>
  <c r="L61" i="27"/>
  <c r="M61" i="27"/>
  <c r="N61" i="27"/>
  <c r="O61" i="27"/>
  <c r="P61" i="27"/>
  <c r="C62" i="27"/>
  <c r="H62" i="27"/>
  <c r="K62" i="27"/>
  <c r="O62" i="27"/>
  <c r="P62" i="27"/>
  <c r="C63" i="27"/>
  <c r="E63" i="27"/>
  <c r="H63" i="27"/>
  <c r="N63" i="27"/>
  <c r="O63" i="27"/>
  <c r="P63" i="27"/>
  <c r="C64" i="27"/>
  <c r="D64" i="27"/>
  <c r="E64" i="27"/>
  <c r="F64" i="27"/>
  <c r="H64" i="27"/>
  <c r="I64" i="27"/>
  <c r="J64" i="27"/>
  <c r="K64" i="27"/>
  <c r="L64" i="27"/>
  <c r="M64" i="27"/>
  <c r="N64" i="27"/>
  <c r="O64" i="27"/>
  <c r="P64" i="27"/>
  <c r="H65" i="27"/>
  <c r="I65" i="27"/>
  <c r="J65" i="27"/>
  <c r="K65" i="27"/>
  <c r="O65" i="27"/>
  <c r="P65" i="27"/>
  <c r="C66" i="27"/>
  <c r="D66" i="27"/>
  <c r="E66" i="27"/>
  <c r="F66" i="27"/>
  <c r="H66" i="27"/>
  <c r="I66" i="27"/>
  <c r="J66" i="27"/>
  <c r="K66" i="27"/>
  <c r="L66" i="27"/>
  <c r="M66" i="27"/>
  <c r="N66" i="27"/>
  <c r="O66" i="27"/>
  <c r="P66" i="27"/>
  <c r="H67" i="27"/>
  <c r="N67" i="27"/>
  <c r="O67" i="27"/>
  <c r="P67" i="27"/>
  <c r="B68" i="27"/>
  <c r="C68" i="27"/>
  <c r="D68" i="27"/>
  <c r="E68" i="27"/>
  <c r="F68" i="27"/>
  <c r="G68" i="27"/>
  <c r="H68" i="27"/>
  <c r="I68" i="27"/>
  <c r="J68" i="27"/>
  <c r="K68" i="27"/>
  <c r="L68" i="27"/>
  <c r="M68" i="27"/>
  <c r="N68" i="27"/>
  <c r="O68" i="27"/>
  <c r="P68" i="27"/>
  <c r="B69" i="27"/>
  <c r="C69" i="27"/>
  <c r="D69" i="27"/>
  <c r="E69" i="27"/>
  <c r="F69" i="27"/>
  <c r="G69" i="27"/>
  <c r="H69" i="27"/>
  <c r="I69" i="27"/>
  <c r="J69" i="27"/>
  <c r="K69" i="27"/>
  <c r="L69" i="27"/>
  <c r="M69" i="27"/>
  <c r="N69" i="27"/>
  <c r="O69" i="27"/>
  <c r="P69" i="27"/>
  <c r="H70" i="27"/>
  <c r="M70" i="27"/>
  <c r="O70" i="27"/>
  <c r="P70" i="27"/>
  <c r="B71" i="27"/>
  <c r="C71" i="27"/>
  <c r="E71" i="27"/>
  <c r="F71" i="27"/>
  <c r="H71" i="27"/>
  <c r="I71" i="27"/>
  <c r="J71" i="27"/>
  <c r="K71" i="27"/>
  <c r="L71" i="27"/>
  <c r="M71" i="27"/>
  <c r="N71" i="27"/>
  <c r="O71" i="27"/>
  <c r="P71" i="27"/>
  <c r="B72" i="27"/>
  <c r="C72" i="27"/>
  <c r="D72" i="27"/>
  <c r="E72" i="27"/>
  <c r="F72" i="27"/>
  <c r="G72" i="27"/>
  <c r="H72" i="27"/>
  <c r="I72" i="27"/>
  <c r="J72" i="27"/>
  <c r="K72" i="27"/>
  <c r="L72" i="27"/>
  <c r="M72" i="27"/>
  <c r="N72" i="27"/>
  <c r="O72" i="27"/>
  <c r="P72" i="27"/>
  <c r="H73" i="27"/>
  <c r="O73" i="27"/>
  <c r="P73" i="27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O4" i="26"/>
  <c r="P4" i="26"/>
  <c r="H5" i="26"/>
  <c r="O5" i="26"/>
  <c r="P5" i="26"/>
  <c r="C6" i="26"/>
  <c r="D6" i="26"/>
  <c r="H6" i="26"/>
  <c r="O6" i="26"/>
  <c r="P6" i="26"/>
  <c r="C7" i="26"/>
  <c r="H7" i="26"/>
  <c r="O7" i="26"/>
  <c r="P7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C9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B10" i="26"/>
  <c r="H10" i="26"/>
  <c r="O10" i="26"/>
  <c r="P10" i="26"/>
  <c r="H11" i="26"/>
  <c r="O11" i="26"/>
  <c r="P11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B14" i="26"/>
  <c r="C14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B15" i="26"/>
  <c r="C15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B16" i="26"/>
  <c r="C16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C17" i="26"/>
  <c r="H17" i="26"/>
  <c r="J17" i="26"/>
  <c r="O17" i="26"/>
  <c r="P17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H20" i="26"/>
  <c r="O20" i="26"/>
  <c r="P20" i="26"/>
  <c r="C21" i="26"/>
  <c r="E21" i="26"/>
  <c r="G21" i="26"/>
  <c r="H21" i="26"/>
  <c r="J21" i="26"/>
  <c r="K21" i="26"/>
  <c r="N21" i="26"/>
  <c r="O21" i="26"/>
  <c r="P21" i="26"/>
  <c r="C22" i="26"/>
  <c r="D22" i="26"/>
  <c r="F22" i="26"/>
  <c r="H22" i="26"/>
  <c r="I22" i="26"/>
  <c r="J22" i="26"/>
  <c r="K22" i="26"/>
  <c r="L22" i="26"/>
  <c r="M22" i="26"/>
  <c r="N22" i="26"/>
  <c r="O22" i="26"/>
  <c r="P22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C25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E26" i="26"/>
  <c r="F26" i="26"/>
  <c r="H26" i="26"/>
  <c r="N26" i="26"/>
  <c r="O26" i="26"/>
  <c r="P26" i="26"/>
  <c r="H27" i="26"/>
  <c r="O27" i="26"/>
  <c r="P27" i="26"/>
  <c r="E28" i="26"/>
  <c r="H28" i="26"/>
  <c r="I28" i="26"/>
  <c r="L28" i="26"/>
  <c r="N28" i="26"/>
  <c r="O28" i="26"/>
  <c r="P28" i="26"/>
  <c r="G29" i="26"/>
  <c r="H29" i="26"/>
  <c r="I29" i="26"/>
  <c r="J29" i="26"/>
  <c r="L29" i="26"/>
  <c r="O29" i="26"/>
  <c r="P29" i="26"/>
  <c r="H30" i="26"/>
  <c r="O30" i="26"/>
  <c r="P30" i="26"/>
  <c r="C31" i="26"/>
  <c r="D31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H32" i="26"/>
  <c r="O32" i="26"/>
  <c r="P32" i="26"/>
  <c r="B33" i="26"/>
  <c r="C33" i="26"/>
  <c r="D33" i="26"/>
  <c r="E33" i="26"/>
  <c r="F33" i="26"/>
  <c r="G33" i="26"/>
  <c r="H33" i="26"/>
  <c r="I33" i="26"/>
  <c r="J33" i="26"/>
  <c r="K33" i="26"/>
  <c r="L33" i="26"/>
  <c r="M33" i="26"/>
  <c r="N33" i="26"/>
  <c r="O33" i="26"/>
  <c r="P33" i="26"/>
  <c r="B36" i="26"/>
  <c r="C36" i="26"/>
  <c r="D36" i="26"/>
  <c r="E36" i="26"/>
  <c r="F36" i="26"/>
  <c r="G36" i="26"/>
  <c r="H36" i="26"/>
  <c r="I36" i="26"/>
  <c r="J36" i="26"/>
  <c r="K36" i="26"/>
  <c r="L36" i="26"/>
  <c r="M36" i="26"/>
  <c r="N36" i="26"/>
  <c r="O36" i="26"/>
  <c r="P36" i="26"/>
  <c r="H37" i="26"/>
  <c r="O37" i="26"/>
  <c r="P37" i="26"/>
  <c r="C38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C39" i="26"/>
  <c r="D39" i="26"/>
  <c r="E39" i="26"/>
  <c r="F39" i="26"/>
  <c r="G39" i="26"/>
  <c r="H39" i="26"/>
  <c r="I39" i="26"/>
  <c r="J39" i="26"/>
  <c r="K39" i="26"/>
  <c r="L39" i="26"/>
  <c r="M39" i="26"/>
  <c r="N39" i="26"/>
  <c r="O39" i="26"/>
  <c r="P39" i="26"/>
  <c r="C40" i="26"/>
  <c r="D40" i="26"/>
  <c r="E40" i="26"/>
  <c r="F40" i="26"/>
  <c r="G40" i="26"/>
  <c r="H40" i="26"/>
  <c r="I40" i="26"/>
  <c r="J40" i="26"/>
  <c r="K40" i="26"/>
  <c r="L40" i="26"/>
  <c r="M40" i="26"/>
  <c r="N40" i="26"/>
  <c r="O40" i="26"/>
  <c r="P40" i="26"/>
  <c r="H41" i="26"/>
  <c r="O41" i="26"/>
  <c r="P41" i="26"/>
  <c r="B42" i="26"/>
  <c r="C42" i="26"/>
  <c r="D42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C43" i="26"/>
  <c r="D43" i="26"/>
  <c r="E43" i="26"/>
  <c r="F43" i="26"/>
  <c r="G43" i="26"/>
  <c r="H43" i="26"/>
  <c r="I43" i="26"/>
  <c r="J43" i="26"/>
  <c r="K43" i="26"/>
  <c r="L43" i="26"/>
  <c r="M43" i="26"/>
  <c r="N43" i="26"/>
  <c r="O43" i="26"/>
  <c r="P43" i="26"/>
  <c r="H44" i="26"/>
  <c r="K44" i="26"/>
  <c r="O44" i="26"/>
  <c r="P44" i="26"/>
  <c r="C45" i="26"/>
  <c r="D45" i="26"/>
  <c r="E45" i="26"/>
  <c r="F45" i="26"/>
  <c r="G45" i="26"/>
  <c r="H45" i="26"/>
  <c r="J45" i="26"/>
  <c r="L45" i="26"/>
  <c r="M45" i="26"/>
  <c r="O45" i="26"/>
  <c r="P45" i="26"/>
  <c r="C46" i="26"/>
  <c r="D46" i="26"/>
  <c r="E46" i="26"/>
  <c r="F46" i="26"/>
  <c r="G46" i="26"/>
  <c r="H46" i="26"/>
  <c r="I46" i="26"/>
  <c r="J46" i="26"/>
  <c r="K46" i="26"/>
  <c r="L46" i="26"/>
  <c r="O46" i="26"/>
  <c r="P46" i="26"/>
  <c r="F47" i="26"/>
  <c r="G47" i="26"/>
  <c r="H47" i="26"/>
  <c r="K47" i="26"/>
  <c r="M47" i="26"/>
  <c r="N47" i="26"/>
  <c r="O47" i="26"/>
  <c r="P47" i="26"/>
  <c r="H48" i="26"/>
  <c r="O48" i="26"/>
  <c r="P48" i="26"/>
  <c r="C49" i="26"/>
  <c r="D49" i="26"/>
  <c r="E49" i="26"/>
  <c r="F49" i="26"/>
  <c r="G49" i="26"/>
  <c r="H49" i="26"/>
  <c r="I49" i="26"/>
  <c r="J49" i="26"/>
  <c r="K49" i="26"/>
  <c r="L49" i="26"/>
  <c r="M49" i="26"/>
  <c r="N49" i="26"/>
  <c r="O49" i="26"/>
  <c r="P49" i="26"/>
  <c r="C50" i="26"/>
  <c r="D50" i="26"/>
  <c r="E50" i="26"/>
  <c r="F50" i="26"/>
  <c r="G50" i="26"/>
  <c r="H50" i="26"/>
  <c r="I50" i="26"/>
  <c r="J50" i="26"/>
  <c r="K50" i="26"/>
  <c r="L50" i="26"/>
  <c r="M50" i="26"/>
  <c r="N50" i="26"/>
  <c r="O50" i="26"/>
  <c r="P50" i="26"/>
  <c r="C51" i="26"/>
  <c r="D51" i="26"/>
  <c r="H51" i="26"/>
  <c r="I51" i="26"/>
  <c r="N51" i="26"/>
  <c r="O51" i="26"/>
  <c r="P51" i="26"/>
  <c r="H52" i="26"/>
  <c r="M52" i="26"/>
  <c r="O52" i="26"/>
  <c r="P52" i="26"/>
  <c r="C53" i="26"/>
  <c r="D53" i="26"/>
  <c r="E53" i="26"/>
  <c r="F53" i="26"/>
  <c r="G53" i="26"/>
  <c r="H53" i="26"/>
  <c r="I53" i="26"/>
  <c r="J53" i="26"/>
  <c r="K53" i="26"/>
  <c r="L53" i="26"/>
  <c r="M53" i="26"/>
  <c r="N53" i="26"/>
  <c r="O53" i="26"/>
  <c r="P53" i="26"/>
  <c r="C54" i="26"/>
  <c r="F54" i="26"/>
  <c r="H54" i="26"/>
  <c r="I54" i="26"/>
  <c r="J54" i="26"/>
  <c r="L54" i="26"/>
  <c r="M54" i="26"/>
  <c r="N54" i="26"/>
  <c r="O54" i="26"/>
  <c r="P54" i="26"/>
  <c r="C55" i="26"/>
  <c r="H55" i="26"/>
  <c r="O55" i="26"/>
  <c r="P55" i="26"/>
  <c r="C56" i="26"/>
  <c r="D56" i="26"/>
  <c r="E56" i="26"/>
  <c r="F56" i="26"/>
  <c r="G56" i="26"/>
  <c r="H56" i="26"/>
  <c r="I56" i="26"/>
  <c r="J56" i="26"/>
  <c r="K56" i="26"/>
  <c r="L56" i="26"/>
  <c r="M56" i="26"/>
  <c r="N56" i="26"/>
  <c r="O56" i="26"/>
  <c r="P56" i="26"/>
  <c r="C57" i="26"/>
  <c r="D57" i="26"/>
  <c r="E57" i="26"/>
  <c r="G57" i="26"/>
  <c r="H57" i="26"/>
  <c r="I57" i="26"/>
  <c r="J57" i="26"/>
  <c r="L57" i="26"/>
  <c r="N57" i="26"/>
  <c r="O57" i="26"/>
  <c r="P57" i="26"/>
  <c r="C58" i="26"/>
  <c r="D58" i="26"/>
  <c r="F58" i="26"/>
  <c r="G58" i="26"/>
  <c r="H58" i="26"/>
  <c r="O58" i="26"/>
  <c r="P58" i="26"/>
  <c r="B59" i="26"/>
  <c r="C59" i="26"/>
  <c r="D59" i="26"/>
  <c r="E59" i="26"/>
  <c r="F59" i="26"/>
  <c r="G59" i="26"/>
  <c r="H59" i="26"/>
  <c r="I59" i="26"/>
  <c r="J59" i="26"/>
  <c r="K59" i="26"/>
  <c r="L59" i="26"/>
  <c r="M59" i="26"/>
  <c r="N59" i="26"/>
  <c r="O59" i="26"/>
  <c r="P59" i="26"/>
  <c r="H60" i="26"/>
  <c r="N60" i="26"/>
  <c r="O60" i="26"/>
  <c r="P60" i="26"/>
  <c r="C61" i="26"/>
  <c r="D61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C62" i="26"/>
  <c r="H62" i="26"/>
  <c r="O62" i="26"/>
  <c r="P62" i="26"/>
  <c r="E63" i="26"/>
  <c r="G63" i="26"/>
  <c r="H63" i="26"/>
  <c r="K63" i="26"/>
  <c r="M63" i="26"/>
  <c r="O63" i="26"/>
  <c r="P63" i="26"/>
  <c r="C64" i="26"/>
  <c r="D64" i="26"/>
  <c r="E64" i="26"/>
  <c r="F64" i="26"/>
  <c r="G64" i="26"/>
  <c r="H64" i="26"/>
  <c r="I64" i="26"/>
  <c r="J64" i="26"/>
  <c r="K64" i="26"/>
  <c r="L64" i="26"/>
  <c r="M64" i="26"/>
  <c r="N64" i="26"/>
  <c r="O64" i="26"/>
  <c r="P64" i="26"/>
  <c r="F65" i="26"/>
  <c r="G65" i="26"/>
  <c r="H65" i="26"/>
  <c r="I65" i="26"/>
  <c r="J65" i="26"/>
  <c r="O65" i="26"/>
  <c r="P65" i="26"/>
  <c r="C66" i="26"/>
  <c r="D66" i="26"/>
  <c r="E66" i="26"/>
  <c r="F66" i="26"/>
  <c r="G66" i="26"/>
  <c r="H66" i="26"/>
  <c r="I66" i="26"/>
  <c r="J66" i="26"/>
  <c r="K66" i="26"/>
  <c r="L66" i="26"/>
  <c r="M66" i="26"/>
  <c r="N66" i="26"/>
  <c r="O66" i="26"/>
  <c r="P66" i="26"/>
  <c r="H67" i="26"/>
  <c r="N67" i="26"/>
  <c r="O67" i="26"/>
  <c r="P67" i="26"/>
  <c r="B68" i="26"/>
  <c r="C68" i="26"/>
  <c r="D68" i="26"/>
  <c r="E68" i="26"/>
  <c r="F68" i="26"/>
  <c r="G68" i="26"/>
  <c r="H68" i="26"/>
  <c r="I68" i="26"/>
  <c r="J68" i="26"/>
  <c r="K68" i="26"/>
  <c r="L68" i="26"/>
  <c r="M68" i="26"/>
  <c r="N68" i="26"/>
  <c r="O68" i="26"/>
  <c r="P68" i="26"/>
  <c r="B69" i="26"/>
  <c r="C69" i="26"/>
  <c r="D69" i="26"/>
  <c r="E69" i="26"/>
  <c r="F69" i="26"/>
  <c r="G69" i="26"/>
  <c r="H69" i="26"/>
  <c r="I69" i="26"/>
  <c r="J69" i="26"/>
  <c r="K69" i="26"/>
  <c r="L69" i="26"/>
  <c r="M69" i="26"/>
  <c r="N69" i="26"/>
  <c r="O69" i="26"/>
  <c r="P69" i="26"/>
  <c r="F70" i="26"/>
  <c r="H70" i="26"/>
  <c r="M70" i="26"/>
  <c r="O70" i="26"/>
  <c r="P70" i="26"/>
  <c r="B71" i="26"/>
  <c r="C71" i="26"/>
  <c r="D71" i="26"/>
  <c r="E71" i="26"/>
  <c r="F71" i="26"/>
  <c r="G71" i="26"/>
  <c r="H71" i="26"/>
  <c r="I71" i="26"/>
  <c r="J71" i="26"/>
  <c r="K71" i="26"/>
  <c r="L71" i="26"/>
  <c r="N71" i="26"/>
  <c r="O71" i="26"/>
  <c r="P71" i="26"/>
  <c r="B72" i="26"/>
  <c r="C72" i="26"/>
  <c r="D72" i="26"/>
  <c r="E72" i="26"/>
  <c r="F72" i="26"/>
  <c r="G72" i="26"/>
  <c r="H72" i="26"/>
  <c r="I72" i="26"/>
  <c r="J72" i="26"/>
  <c r="K72" i="26"/>
  <c r="L72" i="26"/>
  <c r="M72" i="26"/>
  <c r="N72" i="26"/>
  <c r="O72" i="26"/>
  <c r="P72" i="26"/>
  <c r="H73" i="26"/>
  <c r="O73" i="26"/>
  <c r="P73" i="26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H6" i="25"/>
  <c r="O6" i="25"/>
  <c r="P6" i="25"/>
  <c r="C7" i="25"/>
  <c r="H7" i="25"/>
  <c r="O7" i="25"/>
  <c r="P7" i="25"/>
  <c r="H8" i="25"/>
  <c r="O8" i="25"/>
  <c r="P8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H11" i="25"/>
  <c r="O11" i="25"/>
  <c r="P11" i="25"/>
  <c r="H12" i="25"/>
  <c r="N12" i="25"/>
  <c r="O12" i="25"/>
  <c r="P12" i="25"/>
  <c r="C13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B14" i="25"/>
  <c r="C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B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B17" i="25"/>
  <c r="C17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E18" i="25"/>
  <c r="H18" i="25"/>
  <c r="K18" i="25"/>
  <c r="O18" i="25"/>
  <c r="P18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C21" i="25"/>
  <c r="D21" i="25"/>
  <c r="F21" i="25"/>
  <c r="G21" i="25"/>
  <c r="H21" i="25"/>
  <c r="I21" i="25"/>
  <c r="J21" i="25"/>
  <c r="K21" i="25"/>
  <c r="L21" i="25"/>
  <c r="M21" i="25"/>
  <c r="N21" i="25"/>
  <c r="O21" i="25"/>
  <c r="P21" i="25"/>
  <c r="C22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C23" i="25"/>
  <c r="D23" i="25"/>
  <c r="E23" i="25"/>
  <c r="F23" i="25"/>
  <c r="G23" i="25"/>
  <c r="H23" i="25"/>
  <c r="J23" i="25"/>
  <c r="K23" i="25"/>
  <c r="M23" i="25"/>
  <c r="N23" i="25"/>
  <c r="O23" i="25"/>
  <c r="P23" i="25"/>
  <c r="C24" i="25"/>
  <c r="D24" i="25"/>
  <c r="E24" i="25"/>
  <c r="F24" i="25"/>
  <c r="G24" i="25"/>
  <c r="H24" i="25"/>
  <c r="J24" i="25"/>
  <c r="K24" i="25"/>
  <c r="M24" i="25"/>
  <c r="N24" i="25"/>
  <c r="O24" i="25"/>
  <c r="P24" i="25"/>
  <c r="E25" i="25"/>
  <c r="F25" i="25"/>
  <c r="H25" i="25"/>
  <c r="K25" i="25"/>
  <c r="N25" i="25"/>
  <c r="O25" i="25"/>
  <c r="P25" i="25"/>
  <c r="C26" i="25"/>
  <c r="D26" i="25"/>
  <c r="E26" i="25"/>
  <c r="F26" i="25"/>
  <c r="G26" i="25"/>
  <c r="H26" i="25"/>
  <c r="J26" i="25"/>
  <c r="K26" i="25"/>
  <c r="M26" i="25"/>
  <c r="N26" i="25"/>
  <c r="O26" i="25"/>
  <c r="P26" i="25"/>
  <c r="G27" i="25"/>
  <c r="H27" i="25"/>
  <c r="K27" i="25"/>
  <c r="L27" i="25"/>
  <c r="N27" i="25"/>
  <c r="O27" i="25"/>
  <c r="P27" i="25"/>
  <c r="D28" i="25"/>
  <c r="F28" i="25"/>
  <c r="G28" i="25"/>
  <c r="H28" i="25"/>
  <c r="I28" i="25"/>
  <c r="L28" i="25"/>
  <c r="O28" i="25"/>
  <c r="P28" i="25"/>
  <c r="H29" i="25"/>
  <c r="O29" i="25"/>
  <c r="P29" i="25"/>
  <c r="C30" i="25"/>
  <c r="D30" i="25"/>
  <c r="E30" i="25"/>
  <c r="F30" i="25"/>
  <c r="G30" i="25"/>
  <c r="H30" i="25"/>
  <c r="I30" i="25"/>
  <c r="J30" i="25"/>
  <c r="K30" i="25"/>
  <c r="L30" i="25"/>
  <c r="M30" i="25"/>
  <c r="N30" i="25"/>
  <c r="O30" i="25"/>
  <c r="P30" i="25"/>
  <c r="H31" i="25"/>
  <c r="O31" i="25"/>
  <c r="P31" i="25"/>
  <c r="B32" i="25"/>
  <c r="C32" i="25"/>
  <c r="D32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B35" i="25"/>
  <c r="C35" i="25"/>
  <c r="D35" i="25"/>
  <c r="E35" i="25"/>
  <c r="F35" i="25"/>
  <c r="G35" i="25"/>
  <c r="H35" i="25"/>
  <c r="I35" i="25"/>
  <c r="J35" i="25"/>
  <c r="K35" i="25"/>
  <c r="L35" i="25"/>
  <c r="M35" i="25"/>
  <c r="N35" i="25"/>
  <c r="O35" i="25"/>
  <c r="P35" i="25"/>
  <c r="H36" i="25"/>
  <c r="O36" i="25"/>
  <c r="P36" i="25"/>
  <c r="C37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C38" i="25"/>
  <c r="D38" i="25"/>
  <c r="E38" i="25"/>
  <c r="F38" i="25"/>
  <c r="G38" i="25"/>
  <c r="H38" i="25"/>
  <c r="I38" i="25"/>
  <c r="J38" i="25"/>
  <c r="K38" i="25"/>
  <c r="L38" i="25"/>
  <c r="M38" i="25"/>
  <c r="N38" i="25"/>
  <c r="O38" i="25"/>
  <c r="P38" i="25"/>
  <c r="C39" i="25"/>
  <c r="D39" i="25"/>
  <c r="F39" i="25"/>
  <c r="G39" i="25"/>
  <c r="H39" i="25"/>
  <c r="I39" i="25"/>
  <c r="J39" i="25"/>
  <c r="K39" i="25"/>
  <c r="L39" i="25"/>
  <c r="M39" i="25"/>
  <c r="N39" i="25"/>
  <c r="O39" i="25"/>
  <c r="P39" i="25"/>
  <c r="H40" i="25"/>
  <c r="O40" i="25"/>
  <c r="P40" i="25"/>
  <c r="B41" i="25"/>
  <c r="C41" i="25"/>
  <c r="D41" i="25"/>
  <c r="E41" i="25"/>
  <c r="F41" i="25"/>
  <c r="G41" i="25"/>
  <c r="H41" i="25"/>
  <c r="I41" i="25"/>
  <c r="J41" i="25"/>
  <c r="K41" i="25"/>
  <c r="L41" i="25"/>
  <c r="M41" i="25"/>
  <c r="N41" i="25"/>
  <c r="O41" i="25"/>
  <c r="P41" i="25"/>
  <c r="C42" i="25"/>
  <c r="D42" i="25"/>
  <c r="E42" i="25"/>
  <c r="F42" i="25"/>
  <c r="G42" i="25"/>
  <c r="H42" i="25"/>
  <c r="I42" i="25"/>
  <c r="J42" i="25"/>
  <c r="K42" i="25"/>
  <c r="L42" i="25"/>
  <c r="M42" i="25"/>
  <c r="N42" i="25"/>
  <c r="O42" i="25"/>
  <c r="P42" i="25"/>
  <c r="H43" i="25"/>
  <c r="O43" i="25"/>
  <c r="P43" i="25"/>
  <c r="C44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C45" i="25"/>
  <c r="D45" i="25"/>
  <c r="E45" i="25"/>
  <c r="F45" i="25"/>
  <c r="G45" i="25"/>
  <c r="H45" i="25"/>
  <c r="I45" i="25"/>
  <c r="J45" i="25"/>
  <c r="K45" i="25"/>
  <c r="L45" i="25"/>
  <c r="M45" i="25"/>
  <c r="N45" i="25"/>
  <c r="O45" i="25"/>
  <c r="P45" i="25"/>
  <c r="F46" i="25"/>
  <c r="G46" i="25"/>
  <c r="H46" i="25"/>
  <c r="I46" i="25"/>
  <c r="N46" i="25"/>
  <c r="O46" i="25"/>
  <c r="P46" i="25"/>
  <c r="H47" i="25"/>
  <c r="O47" i="25"/>
  <c r="P47" i="25"/>
  <c r="C48" i="25"/>
  <c r="D48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C49" i="25"/>
  <c r="D49" i="25"/>
  <c r="E49" i="25"/>
  <c r="F49" i="25"/>
  <c r="G49" i="25"/>
  <c r="H49" i="25"/>
  <c r="I49" i="25"/>
  <c r="J49" i="25"/>
  <c r="K49" i="25"/>
  <c r="L49" i="25"/>
  <c r="M49" i="25"/>
  <c r="N49" i="25"/>
  <c r="O49" i="25"/>
  <c r="P49" i="25"/>
  <c r="C50" i="25"/>
  <c r="D50" i="25"/>
  <c r="E50" i="25"/>
  <c r="F50" i="25"/>
  <c r="G50" i="25"/>
  <c r="H50" i="25"/>
  <c r="I50" i="25"/>
  <c r="J50" i="25"/>
  <c r="N50" i="25"/>
  <c r="O50" i="25"/>
  <c r="P50" i="25"/>
  <c r="E51" i="25"/>
  <c r="H51" i="25"/>
  <c r="O51" i="25"/>
  <c r="P51" i="25"/>
  <c r="C52" i="25"/>
  <c r="D52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D53" i="25"/>
  <c r="F53" i="25"/>
  <c r="G53" i="25"/>
  <c r="H53" i="25"/>
  <c r="I53" i="25"/>
  <c r="J53" i="25"/>
  <c r="K53" i="25"/>
  <c r="L53" i="25"/>
  <c r="N53" i="25"/>
  <c r="O53" i="25"/>
  <c r="P53" i="25"/>
  <c r="D54" i="25"/>
  <c r="E54" i="25"/>
  <c r="H54" i="25"/>
  <c r="O54" i="25"/>
  <c r="P54" i="25"/>
  <c r="C55" i="25"/>
  <c r="D55" i="25"/>
  <c r="E55" i="25"/>
  <c r="F55" i="25"/>
  <c r="G55" i="25"/>
  <c r="H55" i="25"/>
  <c r="I55" i="25"/>
  <c r="J55" i="25"/>
  <c r="K55" i="25"/>
  <c r="L55" i="25"/>
  <c r="M55" i="25"/>
  <c r="N55" i="25"/>
  <c r="O55" i="25"/>
  <c r="P55" i="25"/>
  <c r="C56" i="25"/>
  <c r="D56" i="25"/>
  <c r="E56" i="25"/>
  <c r="G56" i="25"/>
  <c r="H56" i="25"/>
  <c r="I56" i="25"/>
  <c r="J56" i="25"/>
  <c r="K56" i="25"/>
  <c r="L56" i="25"/>
  <c r="N56" i="25"/>
  <c r="O56" i="25"/>
  <c r="P56" i="25"/>
  <c r="C57" i="25"/>
  <c r="H57" i="25"/>
  <c r="J57" i="25"/>
  <c r="O57" i="25"/>
  <c r="P57" i="25"/>
  <c r="C58" i="25"/>
  <c r="D58" i="25"/>
  <c r="E58" i="25"/>
  <c r="F58" i="25"/>
  <c r="G58" i="25"/>
  <c r="H58" i="25"/>
  <c r="I58" i="25"/>
  <c r="J58" i="25"/>
  <c r="K58" i="25"/>
  <c r="L58" i="25"/>
  <c r="M58" i="25"/>
  <c r="N58" i="25"/>
  <c r="O58" i="25"/>
  <c r="P58" i="25"/>
  <c r="H59" i="25"/>
  <c r="M59" i="25"/>
  <c r="O59" i="25"/>
  <c r="P59" i="25"/>
  <c r="C60" i="25"/>
  <c r="D60" i="25"/>
  <c r="E60" i="25"/>
  <c r="F60" i="25"/>
  <c r="G60" i="25"/>
  <c r="H60" i="25"/>
  <c r="I60" i="25"/>
  <c r="J60" i="25"/>
  <c r="K60" i="25"/>
  <c r="L60" i="25"/>
  <c r="M60" i="25"/>
  <c r="N60" i="25"/>
  <c r="O60" i="25"/>
  <c r="P60" i="25"/>
  <c r="C61" i="25"/>
  <c r="H61" i="25"/>
  <c r="N61" i="25"/>
  <c r="O61" i="25"/>
  <c r="P61" i="25"/>
  <c r="C62" i="25"/>
  <c r="E62" i="25"/>
  <c r="F62" i="25"/>
  <c r="H62" i="25"/>
  <c r="J62" i="25"/>
  <c r="M62" i="25"/>
  <c r="O62" i="25"/>
  <c r="P62" i="25"/>
  <c r="D63" i="25"/>
  <c r="F63" i="25"/>
  <c r="G63" i="25"/>
  <c r="H63" i="25"/>
  <c r="I63" i="25"/>
  <c r="J63" i="25"/>
  <c r="K63" i="25"/>
  <c r="L63" i="25"/>
  <c r="M63" i="25"/>
  <c r="N63" i="25"/>
  <c r="O63" i="25"/>
  <c r="P63" i="25"/>
  <c r="G64" i="25"/>
  <c r="H64" i="25"/>
  <c r="I64" i="25"/>
  <c r="J64" i="25"/>
  <c r="O64" i="25"/>
  <c r="P64" i="25"/>
  <c r="C65" i="25"/>
  <c r="D65" i="25"/>
  <c r="E65" i="25"/>
  <c r="F65" i="25"/>
  <c r="G65" i="25"/>
  <c r="H65" i="25"/>
  <c r="I65" i="25"/>
  <c r="J65" i="25"/>
  <c r="K65" i="25"/>
  <c r="L65" i="25"/>
  <c r="M65" i="25"/>
  <c r="N65" i="25"/>
  <c r="O65" i="25"/>
  <c r="P65" i="25"/>
  <c r="H66" i="25"/>
  <c r="N66" i="25"/>
  <c r="O66" i="25"/>
  <c r="P66" i="25"/>
  <c r="B67" i="25"/>
  <c r="C67" i="25"/>
  <c r="D67" i="25"/>
  <c r="E67" i="25"/>
  <c r="F67" i="25"/>
  <c r="G67" i="25"/>
  <c r="H67" i="25"/>
  <c r="I67" i="25"/>
  <c r="J67" i="25"/>
  <c r="K67" i="25"/>
  <c r="L67" i="25"/>
  <c r="M67" i="25"/>
  <c r="N67" i="25"/>
  <c r="O67" i="25"/>
  <c r="P67" i="25"/>
  <c r="B68" i="25"/>
  <c r="C68" i="25"/>
  <c r="D68" i="25"/>
  <c r="E68" i="25"/>
  <c r="F68" i="25"/>
  <c r="G68" i="25"/>
  <c r="H68" i="25"/>
  <c r="I68" i="25"/>
  <c r="J68" i="25"/>
  <c r="K68" i="25"/>
  <c r="L68" i="25"/>
  <c r="M68" i="25"/>
  <c r="N68" i="25"/>
  <c r="O68" i="25"/>
  <c r="P68" i="25"/>
  <c r="F69" i="25"/>
  <c r="H69" i="25"/>
  <c r="M69" i="25"/>
  <c r="O69" i="25"/>
  <c r="P69" i="25"/>
  <c r="B70" i="25"/>
  <c r="C70" i="25"/>
  <c r="D70" i="25"/>
  <c r="E70" i="25"/>
  <c r="F70" i="25"/>
  <c r="G70" i="25"/>
  <c r="H70" i="25"/>
  <c r="I70" i="25"/>
  <c r="J70" i="25"/>
  <c r="K70" i="25"/>
  <c r="L70" i="25"/>
  <c r="M70" i="25"/>
  <c r="N70" i="25"/>
  <c r="O70" i="25"/>
  <c r="P70" i="25"/>
  <c r="B71" i="25"/>
  <c r="C71" i="25"/>
  <c r="D71" i="25"/>
  <c r="E71" i="25"/>
  <c r="F71" i="25"/>
  <c r="G71" i="25"/>
  <c r="H71" i="25"/>
  <c r="I71" i="25"/>
  <c r="J71" i="25"/>
  <c r="K71" i="25"/>
  <c r="L71" i="25"/>
  <c r="M71" i="25"/>
  <c r="N71" i="25"/>
  <c r="O71" i="25"/>
  <c r="P71" i="25"/>
  <c r="H72" i="25"/>
  <c r="O72" i="25"/>
  <c r="P72" i="25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H6" i="24"/>
  <c r="O6" i="24"/>
  <c r="P6" i="24"/>
  <c r="E7" i="24"/>
  <c r="H7" i="24"/>
  <c r="O7" i="24"/>
  <c r="P7" i="24"/>
  <c r="H8" i="24"/>
  <c r="O8" i="24"/>
  <c r="P8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H11" i="24"/>
  <c r="L11" i="24"/>
  <c r="O11" i="24"/>
  <c r="P11" i="24"/>
  <c r="H12" i="24"/>
  <c r="I12" i="24"/>
  <c r="N12" i="24"/>
  <c r="O12" i="24"/>
  <c r="P12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B17" i="24"/>
  <c r="C17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B18" i="24"/>
  <c r="C18" i="24"/>
  <c r="D18" i="24"/>
  <c r="E18" i="24"/>
  <c r="F18" i="24"/>
  <c r="H18" i="24"/>
  <c r="O18" i="24"/>
  <c r="P18" i="24"/>
  <c r="C19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H25" i="24"/>
  <c r="K25" i="24"/>
  <c r="N25" i="24"/>
  <c r="O25" i="24"/>
  <c r="P25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H27" i="24"/>
  <c r="M27" i="24"/>
  <c r="N27" i="24"/>
  <c r="O27" i="24"/>
  <c r="P27" i="24"/>
  <c r="E28" i="24"/>
  <c r="G28" i="24"/>
  <c r="H28" i="24"/>
  <c r="J28" i="24"/>
  <c r="K28" i="24"/>
  <c r="O28" i="24"/>
  <c r="P28" i="24"/>
  <c r="H29" i="24"/>
  <c r="O29" i="24"/>
  <c r="P29" i="24"/>
  <c r="C30" i="24"/>
  <c r="D30" i="24"/>
  <c r="E30" i="24"/>
  <c r="F30" i="24"/>
  <c r="G30" i="24"/>
  <c r="H30" i="24"/>
  <c r="I30" i="24"/>
  <c r="J30" i="24"/>
  <c r="K30" i="24"/>
  <c r="L30" i="24"/>
  <c r="M30" i="24"/>
  <c r="N30" i="24"/>
  <c r="O30" i="24"/>
  <c r="P30" i="24"/>
  <c r="H31" i="24"/>
  <c r="I31" i="24"/>
  <c r="K31" i="24"/>
  <c r="O31" i="24"/>
  <c r="P31" i="24"/>
  <c r="B32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B35" i="24"/>
  <c r="C35" i="24"/>
  <c r="D35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H36" i="24"/>
  <c r="J36" i="24"/>
  <c r="N36" i="24"/>
  <c r="O36" i="24"/>
  <c r="P36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C38" i="24"/>
  <c r="D38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C39" i="24"/>
  <c r="D39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H40" i="24"/>
  <c r="O40" i="24"/>
  <c r="P40" i="24"/>
  <c r="B41" i="24"/>
  <c r="C41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C42" i="24"/>
  <c r="D42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H43" i="24"/>
  <c r="O43" i="24"/>
  <c r="P43" i="24"/>
  <c r="C44" i="24"/>
  <c r="D44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C45" i="24"/>
  <c r="D45" i="24"/>
  <c r="E45" i="24"/>
  <c r="G45" i="24"/>
  <c r="H45" i="24"/>
  <c r="I45" i="24"/>
  <c r="J45" i="24"/>
  <c r="L45" i="24"/>
  <c r="M45" i="24"/>
  <c r="N45" i="24"/>
  <c r="O45" i="24"/>
  <c r="P45" i="24"/>
  <c r="C46" i="24"/>
  <c r="E46" i="24"/>
  <c r="G46" i="24"/>
  <c r="H46" i="24"/>
  <c r="I46" i="24"/>
  <c r="J46" i="24"/>
  <c r="K46" i="24"/>
  <c r="L46" i="24"/>
  <c r="M46" i="24"/>
  <c r="O46" i="24"/>
  <c r="P46" i="24"/>
  <c r="E47" i="24"/>
  <c r="H47" i="24"/>
  <c r="O47" i="24"/>
  <c r="P47" i="24"/>
  <c r="C48" i="24"/>
  <c r="D48" i="24"/>
  <c r="E48" i="24"/>
  <c r="F48" i="24"/>
  <c r="G48" i="24"/>
  <c r="H48" i="24"/>
  <c r="I48" i="24"/>
  <c r="J48" i="24"/>
  <c r="K48" i="24"/>
  <c r="L48" i="24"/>
  <c r="M48" i="24"/>
  <c r="N48" i="24"/>
  <c r="O48" i="24"/>
  <c r="P48" i="24"/>
  <c r="C49" i="24"/>
  <c r="D49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C50" i="24"/>
  <c r="D50" i="24"/>
  <c r="F50" i="24"/>
  <c r="G50" i="24"/>
  <c r="H50" i="24"/>
  <c r="J50" i="24"/>
  <c r="K50" i="24"/>
  <c r="L50" i="24"/>
  <c r="M50" i="24"/>
  <c r="O50" i="24"/>
  <c r="P50" i="24"/>
  <c r="E51" i="24"/>
  <c r="H51" i="24"/>
  <c r="M51" i="24"/>
  <c r="O51" i="24"/>
  <c r="P51" i="24"/>
  <c r="C52" i="24"/>
  <c r="D52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D53" i="24"/>
  <c r="F53" i="24"/>
  <c r="G53" i="24"/>
  <c r="H53" i="24"/>
  <c r="I53" i="24"/>
  <c r="J53" i="24"/>
  <c r="K53" i="24"/>
  <c r="L53" i="24"/>
  <c r="M53" i="24"/>
  <c r="O53" i="24"/>
  <c r="P53" i="24"/>
  <c r="E54" i="24"/>
  <c r="H54" i="24"/>
  <c r="O54" i="24"/>
  <c r="P54" i="24"/>
  <c r="C55" i="24"/>
  <c r="D55" i="24"/>
  <c r="E55" i="24"/>
  <c r="F55" i="24"/>
  <c r="G55" i="24"/>
  <c r="H55" i="24"/>
  <c r="I55" i="24"/>
  <c r="J55" i="24"/>
  <c r="K55" i="24"/>
  <c r="L55" i="24"/>
  <c r="M55" i="24"/>
  <c r="N55" i="24"/>
  <c r="O55" i="24"/>
  <c r="P55" i="24"/>
  <c r="D56" i="24"/>
  <c r="E56" i="24"/>
  <c r="F56" i="24"/>
  <c r="G56" i="24"/>
  <c r="H56" i="24"/>
  <c r="I56" i="24"/>
  <c r="K56" i="24"/>
  <c r="L56" i="24"/>
  <c r="N56" i="24"/>
  <c r="O56" i="24"/>
  <c r="P56" i="24"/>
  <c r="D57" i="24"/>
  <c r="E57" i="24"/>
  <c r="H57" i="24"/>
  <c r="N57" i="24"/>
  <c r="O57" i="24"/>
  <c r="P57" i="24"/>
  <c r="C58" i="24"/>
  <c r="D58" i="24"/>
  <c r="E58" i="24"/>
  <c r="F58" i="24"/>
  <c r="G58" i="24"/>
  <c r="H58" i="24"/>
  <c r="I58" i="24"/>
  <c r="J58" i="24"/>
  <c r="K58" i="24"/>
  <c r="L58" i="24"/>
  <c r="M58" i="24"/>
  <c r="N58" i="24"/>
  <c r="O58" i="24"/>
  <c r="P58" i="24"/>
  <c r="H59" i="24"/>
  <c r="I59" i="24"/>
  <c r="L59" i="24"/>
  <c r="O59" i="24"/>
  <c r="P59" i="24"/>
  <c r="C60" i="24"/>
  <c r="D60" i="24"/>
  <c r="E60" i="24"/>
  <c r="F60" i="24"/>
  <c r="G60" i="24"/>
  <c r="H60" i="24"/>
  <c r="I60" i="24"/>
  <c r="J60" i="24"/>
  <c r="K60" i="24"/>
  <c r="L60" i="24"/>
  <c r="M60" i="24"/>
  <c r="N60" i="24"/>
  <c r="O60" i="24"/>
  <c r="P60" i="24"/>
  <c r="C61" i="24"/>
  <c r="E61" i="24"/>
  <c r="G61" i="24"/>
  <c r="H61" i="24"/>
  <c r="O61" i="24"/>
  <c r="P61" i="24"/>
  <c r="C62" i="24"/>
  <c r="D62" i="24"/>
  <c r="E62" i="24"/>
  <c r="F62" i="24"/>
  <c r="H62" i="24"/>
  <c r="M62" i="24"/>
  <c r="O62" i="24"/>
  <c r="P62" i="24"/>
  <c r="D63" i="24"/>
  <c r="E63" i="24"/>
  <c r="F63" i="24"/>
  <c r="G63" i="24"/>
  <c r="H63" i="24"/>
  <c r="I63" i="24"/>
  <c r="J63" i="24"/>
  <c r="K63" i="24"/>
  <c r="M63" i="24"/>
  <c r="N63" i="24"/>
  <c r="O63" i="24"/>
  <c r="P63" i="24"/>
  <c r="G64" i="24"/>
  <c r="H64" i="24"/>
  <c r="I64" i="24"/>
  <c r="J64" i="24"/>
  <c r="K64" i="24"/>
  <c r="O64" i="24"/>
  <c r="P64" i="24"/>
  <c r="C65" i="24"/>
  <c r="D65" i="24"/>
  <c r="E65" i="24"/>
  <c r="F65" i="24"/>
  <c r="G65" i="24"/>
  <c r="H65" i="24"/>
  <c r="I65" i="24"/>
  <c r="J65" i="24"/>
  <c r="K65" i="24"/>
  <c r="L65" i="24"/>
  <c r="M65" i="24"/>
  <c r="N65" i="24"/>
  <c r="O65" i="24"/>
  <c r="P65" i="24"/>
  <c r="H66" i="24"/>
  <c r="N66" i="24"/>
  <c r="O66" i="24"/>
  <c r="P66" i="24"/>
  <c r="B67" i="24"/>
  <c r="C67" i="24"/>
  <c r="D67" i="24"/>
  <c r="E67" i="24"/>
  <c r="F67" i="24"/>
  <c r="G67" i="24"/>
  <c r="H67" i="24"/>
  <c r="I67" i="24"/>
  <c r="J67" i="24"/>
  <c r="K67" i="24"/>
  <c r="L67" i="24"/>
  <c r="M67" i="24"/>
  <c r="N67" i="24"/>
  <c r="O67" i="24"/>
  <c r="P67" i="24"/>
  <c r="B68" i="24"/>
  <c r="C68" i="24"/>
  <c r="D68" i="24"/>
  <c r="E68" i="24"/>
  <c r="F68" i="24"/>
  <c r="G68" i="24"/>
  <c r="H68" i="24"/>
  <c r="I68" i="24"/>
  <c r="J68" i="24"/>
  <c r="K68" i="24"/>
  <c r="L68" i="24"/>
  <c r="M68" i="24"/>
  <c r="N68" i="24"/>
  <c r="O68" i="24"/>
  <c r="P68" i="24"/>
  <c r="F69" i="24"/>
  <c r="H69" i="24"/>
  <c r="M69" i="24"/>
  <c r="O69" i="24"/>
  <c r="P69" i="24"/>
  <c r="B70" i="24"/>
  <c r="C70" i="24"/>
  <c r="D70" i="24"/>
  <c r="E70" i="24"/>
  <c r="F70" i="24"/>
  <c r="G70" i="24"/>
  <c r="H70" i="24"/>
  <c r="I70" i="24"/>
  <c r="J70" i="24"/>
  <c r="K70" i="24"/>
  <c r="L70" i="24"/>
  <c r="M70" i="24"/>
  <c r="N70" i="24"/>
  <c r="O70" i="24"/>
  <c r="P70" i="24"/>
  <c r="B71" i="24"/>
  <c r="C71" i="24"/>
  <c r="D71" i="24"/>
  <c r="E71" i="24"/>
  <c r="F71" i="24"/>
  <c r="G71" i="24"/>
  <c r="H71" i="24"/>
  <c r="I71" i="24"/>
  <c r="J71" i="24"/>
  <c r="K71" i="24"/>
  <c r="L71" i="24"/>
  <c r="M71" i="24"/>
  <c r="N71" i="24"/>
  <c r="O71" i="24"/>
  <c r="P71" i="24"/>
  <c r="H72" i="24"/>
  <c r="O72" i="24"/>
  <c r="P72" i="24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H6" i="21"/>
  <c r="O6" i="21"/>
  <c r="P6" i="21"/>
  <c r="E7" i="21"/>
  <c r="H7" i="21"/>
  <c r="O7" i="21"/>
  <c r="P7" i="21"/>
  <c r="H8" i="21"/>
  <c r="O8" i="21"/>
  <c r="P8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H11" i="21"/>
  <c r="O11" i="21"/>
  <c r="P11" i="21"/>
  <c r="B12" i="21"/>
  <c r="H12" i="21"/>
  <c r="O12" i="21"/>
  <c r="P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B18" i="21"/>
  <c r="E18" i="21"/>
  <c r="F18" i="21"/>
  <c r="G18" i="21"/>
  <c r="H18" i="21"/>
  <c r="I18" i="21"/>
  <c r="J18" i="21"/>
  <c r="K18" i="21"/>
  <c r="L18" i="21"/>
  <c r="M18" i="21"/>
  <c r="O18" i="21"/>
  <c r="P18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H26" i="21"/>
  <c r="N26" i="21"/>
  <c r="O26" i="21"/>
  <c r="P26" i="21"/>
  <c r="C27" i="21"/>
  <c r="H27" i="21"/>
  <c r="J27" i="21"/>
  <c r="K27" i="21"/>
  <c r="N27" i="21"/>
  <c r="O27" i="21"/>
  <c r="P27" i="21"/>
  <c r="H28" i="21"/>
  <c r="O28" i="21"/>
  <c r="P28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P31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H35" i="21"/>
  <c r="O35" i="21"/>
  <c r="P35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H39" i="21"/>
  <c r="O39" i="21"/>
  <c r="P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H42" i="21"/>
  <c r="O42" i="21"/>
  <c r="P42" i="21"/>
  <c r="C43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C45" i="21"/>
  <c r="D45" i="21"/>
  <c r="E45" i="21"/>
  <c r="H45" i="21"/>
  <c r="I45" i="21"/>
  <c r="K45" i="21"/>
  <c r="L45" i="21"/>
  <c r="M45" i="21"/>
  <c r="N45" i="21"/>
  <c r="O45" i="21"/>
  <c r="P45" i="21"/>
  <c r="E46" i="21"/>
  <c r="H46" i="21"/>
  <c r="O46" i="21"/>
  <c r="P46" i="21"/>
  <c r="C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D49" i="21"/>
  <c r="F49" i="21"/>
  <c r="G49" i="21"/>
  <c r="H49" i="21"/>
  <c r="I49" i="21"/>
  <c r="J49" i="21"/>
  <c r="K49" i="21"/>
  <c r="O49" i="21"/>
  <c r="P49" i="21"/>
  <c r="F50" i="21"/>
  <c r="H50" i="21"/>
  <c r="O50" i="21"/>
  <c r="P50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D52" i="21"/>
  <c r="E52" i="21"/>
  <c r="F52" i="21"/>
  <c r="G52" i="21"/>
  <c r="H52" i="21"/>
  <c r="I52" i="21"/>
  <c r="K52" i="21"/>
  <c r="L52" i="21"/>
  <c r="O52" i="21"/>
  <c r="P52" i="21"/>
  <c r="E53" i="21"/>
  <c r="H53" i="21"/>
  <c r="I53" i="21"/>
  <c r="N53" i="21"/>
  <c r="O53" i="21"/>
  <c r="P53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E55" i="21"/>
  <c r="F55" i="21"/>
  <c r="G55" i="21"/>
  <c r="H55" i="21"/>
  <c r="I55" i="21"/>
  <c r="K55" i="21"/>
  <c r="L55" i="21"/>
  <c r="O55" i="21"/>
  <c r="P55" i="21"/>
  <c r="C56" i="21"/>
  <c r="D56" i="21"/>
  <c r="H56" i="21"/>
  <c r="N56" i="21"/>
  <c r="O56" i="21"/>
  <c r="P56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P57" i="21"/>
  <c r="H58" i="21"/>
  <c r="N58" i="21"/>
  <c r="O58" i="21"/>
  <c r="P58" i="21"/>
  <c r="C59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P59" i="21"/>
  <c r="C60" i="21"/>
  <c r="F60" i="21"/>
  <c r="H60" i="21"/>
  <c r="J60" i="21"/>
  <c r="K60" i="21"/>
  <c r="O60" i="21"/>
  <c r="P60" i="21"/>
  <c r="C61" i="21"/>
  <c r="D61" i="21"/>
  <c r="E61" i="21"/>
  <c r="F61" i="21"/>
  <c r="H61" i="21"/>
  <c r="M61" i="21"/>
  <c r="N61" i="21"/>
  <c r="O61" i="21"/>
  <c r="P61" i="21"/>
  <c r="E62" i="21"/>
  <c r="G62" i="21"/>
  <c r="H62" i="21"/>
  <c r="I62" i="21"/>
  <c r="J62" i="21"/>
  <c r="K62" i="21"/>
  <c r="M62" i="21"/>
  <c r="N62" i="21"/>
  <c r="O62" i="21"/>
  <c r="P62" i="21"/>
  <c r="G63" i="21"/>
  <c r="H63" i="21"/>
  <c r="I63" i="21"/>
  <c r="J63" i="21"/>
  <c r="K63" i="21"/>
  <c r="O63" i="21"/>
  <c r="P63" i="21"/>
  <c r="C64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P64" i="21"/>
  <c r="H65" i="21"/>
  <c r="N65" i="21"/>
  <c r="O65" i="21"/>
  <c r="P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P67" i="21"/>
  <c r="C68" i="21"/>
  <c r="F68" i="21"/>
  <c r="H68" i="21"/>
  <c r="M68" i="21"/>
  <c r="N68" i="21"/>
  <c r="O68" i="21"/>
  <c r="P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H71" i="21"/>
  <c r="O71" i="21"/>
  <c r="P71" i="21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H6" i="18"/>
  <c r="O6" i="18"/>
  <c r="P6" i="18"/>
  <c r="C7" i="18"/>
  <c r="D7" i="18"/>
  <c r="H7" i="18"/>
  <c r="K7" i="18"/>
  <c r="O7" i="18"/>
  <c r="P7" i="18"/>
  <c r="C8" i="18"/>
  <c r="H8" i="18"/>
  <c r="K8" i="18"/>
  <c r="O8" i="18"/>
  <c r="P8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H11" i="18"/>
  <c r="O11" i="18"/>
  <c r="P11" i="18"/>
  <c r="H12" i="18"/>
  <c r="O12" i="18"/>
  <c r="P12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O15" i="18"/>
  <c r="P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H18" i="18"/>
  <c r="I18" i="18"/>
  <c r="L18" i="18"/>
  <c r="N18" i="18"/>
  <c r="O18" i="18"/>
  <c r="P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H20" i="18"/>
  <c r="O20" i="18"/>
  <c r="P20" i="18"/>
  <c r="C21" i="18"/>
  <c r="D21" i="18"/>
  <c r="E21" i="18"/>
  <c r="F21" i="18"/>
  <c r="G21" i="18"/>
  <c r="H21" i="18"/>
  <c r="I21" i="18"/>
  <c r="K21" i="18"/>
  <c r="L21" i="18"/>
  <c r="M21" i="18"/>
  <c r="N21" i="18"/>
  <c r="O21" i="18"/>
  <c r="P21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H28" i="18"/>
  <c r="N28" i="18"/>
  <c r="O28" i="18"/>
  <c r="P28" i="18"/>
  <c r="H29" i="18"/>
  <c r="J29" i="18"/>
  <c r="O29" i="18"/>
  <c r="P29" i="18"/>
  <c r="H30" i="18"/>
  <c r="O30" i="18"/>
  <c r="P30" i="18"/>
  <c r="C31" i="18"/>
  <c r="D31" i="18"/>
  <c r="E31" i="18"/>
  <c r="F31" i="18"/>
  <c r="H31" i="18"/>
  <c r="I31" i="18"/>
  <c r="J31" i="18"/>
  <c r="K31" i="18"/>
  <c r="L31" i="18"/>
  <c r="M31" i="18"/>
  <c r="N31" i="18"/>
  <c r="O31" i="18"/>
  <c r="P31" i="18"/>
  <c r="B32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H36" i="18"/>
  <c r="O36" i="18"/>
  <c r="P36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C38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C39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H40" i="18"/>
  <c r="O40" i="18"/>
  <c r="P40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C42" i="18"/>
  <c r="D42" i="18"/>
  <c r="F42" i="18"/>
  <c r="G42" i="18"/>
  <c r="H42" i="18"/>
  <c r="I42" i="18"/>
  <c r="J42" i="18"/>
  <c r="K42" i="18"/>
  <c r="L42" i="18"/>
  <c r="M42" i="18"/>
  <c r="N42" i="18"/>
  <c r="O42" i="18"/>
  <c r="P42" i="18"/>
  <c r="H43" i="18"/>
  <c r="O43" i="18"/>
  <c r="P43" i="18"/>
  <c r="C44" i="18"/>
  <c r="D44" i="18"/>
  <c r="F44" i="18"/>
  <c r="G44" i="18"/>
  <c r="H44" i="18"/>
  <c r="I44" i="18"/>
  <c r="J44" i="18"/>
  <c r="K44" i="18"/>
  <c r="L44" i="18"/>
  <c r="M44" i="18"/>
  <c r="N44" i="18"/>
  <c r="O44" i="18"/>
  <c r="P44" i="18"/>
  <c r="C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C46" i="18"/>
  <c r="E46" i="18"/>
  <c r="H46" i="18"/>
  <c r="J46" i="18"/>
  <c r="O46" i="18"/>
  <c r="P46" i="18"/>
  <c r="D47" i="18"/>
  <c r="H47" i="18"/>
  <c r="O47" i="18"/>
  <c r="P47" i="18"/>
  <c r="C48" i="18"/>
  <c r="D48" i="18"/>
  <c r="E48" i="18"/>
  <c r="G48" i="18"/>
  <c r="H48" i="18"/>
  <c r="I48" i="18"/>
  <c r="J48" i="18"/>
  <c r="K48" i="18"/>
  <c r="M48" i="18"/>
  <c r="O48" i="18"/>
  <c r="P48" i="18"/>
  <c r="C49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C50" i="18"/>
  <c r="D50" i="18"/>
  <c r="F50" i="18"/>
  <c r="G50" i="18"/>
  <c r="H50" i="18"/>
  <c r="I50" i="18"/>
  <c r="K50" i="18"/>
  <c r="O50" i="18"/>
  <c r="P50" i="18"/>
  <c r="H51" i="18"/>
  <c r="M51" i="18"/>
  <c r="O51" i="18"/>
  <c r="P51" i="18"/>
  <c r="C52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C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E54" i="18"/>
  <c r="H54" i="18"/>
  <c r="O54" i="18"/>
  <c r="P54" i="18"/>
  <c r="C55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C56" i="18"/>
  <c r="D56" i="18"/>
  <c r="H56" i="18"/>
  <c r="J56" i="18"/>
  <c r="O56" i="18"/>
  <c r="P56" i="18"/>
  <c r="E57" i="18"/>
  <c r="G57" i="18"/>
  <c r="H57" i="18"/>
  <c r="N57" i="18"/>
  <c r="O57" i="18"/>
  <c r="P57" i="18"/>
  <c r="C58" i="18"/>
  <c r="D58" i="18"/>
  <c r="E58" i="18"/>
  <c r="F58" i="18"/>
  <c r="G58" i="18"/>
  <c r="H58" i="18"/>
  <c r="I58" i="18"/>
  <c r="J58" i="18"/>
  <c r="K58" i="18"/>
  <c r="L58" i="18"/>
  <c r="M58" i="18"/>
  <c r="N58" i="18"/>
  <c r="O58" i="18"/>
  <c r="P58" i="18"/>
  <c r="D59" i="18"/>
  <c r="F59" i="18"/>
  <c r="G59" i="18"/>
  <c r="H59" i="18"/>
  <c r="J59" i="18"/>
  <c r="K59" i="18"/>
  <c r="M59" i="18"/>
  <c r="O59" i="18"/>
  <c r="P59" i="18"/>
  <c r="C60" i="18"/>
  <c r="D60" i="18"/>
  <c r="F60" i="18"/>
  <c r="G60" i="18"/>
  <c r="H60" i="18"/>
  <c r="I60" i="18"/>
  <c r="J60" i="18"/>
  <c r="K60" i="18"/>
  <c r="L60" i="18"/>
  <c r="M60" i="18"/>
  <c r="N60" i="18"/>
  <c r="O60" i="18"/>
  <c r="P60" i="18"/>
  <c r="C61" i="18"/>
  <c r="D61" i="18"/>
  <c r="E61" i="18"/>
  <c r="F61" i="18"/>
  <c r="G61" i="18"/>
  <c r="H61" i="18"/>
  <c r="I61" i="18"/>
  <c r="J61" i="18"/>
  <c r="L61" i="18"/>
  <c r="M61" i="18"/>
  <c r="N61" i="18"/>
  <c r="O61" i="18"/>
  <c r="P61" i="18"/>
  <c r="C62" i="18"/>
  <c r="D62" i="18"/>
  <c r="E62" i="18"/>
  <c r="G62" i="18"/>
  <c r="H62" i="18"/>
  <c r="J62" i="18"/>
  <c r="K62" i="18"/>
  <c r="O62" i="18"/>
  <c r="P62" i="18"/>
  <c r="C63" i="18"/>
  <c r="D63" i="18"/>
  <c r="E63" i="18"/>
  <c r="G63" i="18"/>
  <c r="H63" i="18"/>
  <c r="I63" i="18"/>
  <c r="K63" i="18"/>
  <c r="L63" i="18"/>
  <c r="M63" i="18"/>
  <c r="N63" i="18"/>
  <c r="O63" i="18"/>
  <c r="P63" i="18"/>
  <c r="H64" i="18"/>
  <c r="O64" i="18"/>
  <c r="P64" i="18"/>
  <c r="C65" i="18"/>
  <c r="D65" i="18"/>
  <c r="E65" i="18"/>
  <c r="F65" i="18"/>
  <c r="G65" i="18"/>
  <c r="H65" i="18"/>
  <c r="I65" i="18"/>
  <c r="J65" i="18"/>
  <c r="K65" i="18"/>
  <c r="L65" i="18"/>
  <c r="M65" i="18"/>
  <c r="N65" i="18"/>
  <c r="O65" i="18"/>
  <c r="P65" i="18"/>
  <c r="H66" i="18"/>
  <c r="N66" i="18"/>
  <c r="O66" i="18"/>
  <c r="P66" i="18"/>
  <c r="B67" i="18"/>
  <c r="C67" i="18"/>
  <c r="D67" i="18"/>
  <c r="E67" i="18"/>
  <c r="F67" i="18"/>
  <c r="G67" i="18"/>
  <c r="H67" i="18"/>
  <c r="I67" i="18"/>
  <c r="J67" i="18"/>
  <c r="K67" i="18"/>
  <c r="L67" i="18"/>
  <c r="M67" i="18"/>
  <c r="N67" i="18"/>
  <c r="O67" i="18"/>
  <c r="P67" i="18"/>
  <c r="B68" i="18"/>
  <c r="C68" i="18"/>
  <c r="D68" i="18"/>
  <c r="E68" i="18"/>
  <c r="F68" i="18"/>
  <c r="G68" i="18"/>
  <c r="H68" i="18"/>
  <c r="I68" i="18"/>
  <c r="J68" i="18"/>
  <c r="K68" i="18"/>
  <c r="L68" i="18"/>
  <c r="M68" i="18"/>
  <c r="N68" i="18"/>
  <c r="O68" i="18"/>
  <c r="P68" i="18"/>
  <c r="F69" i="18"/>
  <c r="H69" i="18"/>
  <c r="M69" i="18"/>
  <c r="O69" i="18"/>
  <c r="P69" i="18"/>
  <c r="B70" i="18"/>
  <c r="C70" i="18"/>
  <c r="D70" i="18"/>
  <c r="E70" i="18"/>
  <c r="F70" i="18"/>
  <c r="G70" i="18"/>
  <c r="H70" i="18"/>
  <c r="I70" i="18"/>
  <c r="J70" i="18"/>
  <c r="K70" i="18"/>
  <c r="L70" i="18"/>
  <c r="M70" i="18"/>
  <c r="N70" i="18"/>
  <c r="O70" i="18"/>
  <c r="P70" i="18"/>
  <c r="B71" i="18"/>
  <c r="C71" i="18"/>
  <c r="D71" i="18"/>
  <c r="E71" i="18"/>
  <c r="F71" i="18"/>
  <c r="G71" i="18"/>
  <c r="H71" i="18"/>
  <c r="I71" i="18"/>
  <c r="J71" i="18"/>
  <c r="K71" i="18"/>
  <c r="L71" i="18"/>
  <c r="M71" i="18"/>
  <c r="N71" i="18"/>
  <c r="O71" i="18"/>
  <c r="P71" i="18"/>
  <c r="H72" i="18"/>
  <c r="O72" i="18"/>
  <c r="P72" i="18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O4" i="19"/>
  <c r="P4" i="19"/>
  <c r="B5" i="19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B26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B33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B34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B50" i="19"/>
  <c r="C50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B51" i="19"/>
  <c r="C51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B52" i="19"/>
  <c r="C52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B53" i="19"/>
  <c r="C53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B55" i="19"/>
  <c r="C55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B56" i="19"/>
  <c r="C56" i="19"/>
  <c r="D56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B57" i="19"/>
  <c r="C57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B58" i="19"/>
  <c r="C58" i="19"/>
  <c r="D58" i="19"/>
  <c r="E58" i="19"/>
  <c r="F58" i="19"/>
  <c r="G58" i="19"/>
  <c r="H58" i="19"/>
  <c r="I58" i="19"/>
  <c r="J58" i="19"/>
  <c r="K58" i="19"/>
  <c r="L58" i="19"/>
  <c r="M58" i="19"/>
  <c r="N58" i="19"/>
  <c r="O58" i="19"/>
  <c r="P58" i="19"/>
  <c r="B59" i="19"/>
  <c r="C59" i="19"/>
  <c r="D59" i="19"/>
  <c r="E59" i="19"/>
  <c r="F59" i="19"/>
  <c r="G59" i="19"/>
  <c r="H59" i="19"/>
  <c r="I59" i="19"/>
  <c r="J59" i="19"/>
  <c r="K59" i="19"/>
  <c r="L59" i="19"/>
  <c r="M59" i="19"/>
  <c r="N59" i="19"/>
  <c r="O59" i="19"/>
  <c r="P59" i="19"/>
  <c r="B60" i="19"/>
  <c r="C60" i="19"/>
  <c r="D60" i="19"/>
  <c r="E60" i="19"/>
  <c r="F60" i="19"/>
  <c r="G60" i="19"/>
  <c r="H60" i="19"/>
  <c r="I60" i="19"/>
  <c r="J60" i="19"/>
  <c r="K60" i="19"/>
  <c r="L60" i="19"/>
  <c r="M60" i="19"/>
  <c r="N60" i="19"/>
  <c r="O60" i="19"/>
  <c r="P60" i="19"/>
  <c r="B61" i="19"/>
  <c r="C61" i="19"/>
  <c r="D61" i="19"/>
  <c r="E61" i="19"/>
  <c r="F61" i="19"/>
  <c r="G61" i="19"/>
  <c r="H61" i="19"/>
  <c r="I61" i="19"/>
  <c r="J61" i="19"/>
  <c r="K61" i="19"/>
  <c r="L61" i="19"/>
  <c r="M61" i="19"/>
  <c r="N61" i="19"/>
  <c r="O61" i="19"/>
  <c r="P61" i="19"/>
  <c r="B62" i="19"/>
  <c r="C62" i="19"/>
  <c r="D62" i="19"/>
  <c r="E62" i="19"/>
  <c r="F62" i="19"/>
  <c r="G62" i="19"/>
  <c r="H62" i="19"/>
  <c r="I62" i="19"/>
  <c r="J62" i="19"/>
  <c r="K62" i="19"/>
  <c r="L62" i="19"/>
  <c r="M62" i="19"/>
  <c r="N62" i="19"/>
  <c r="O62" i="19"/>
  <c r="P62" i="19"/>
  <c r="B63" i="19"/>
  <c r="C63" i="19"/>
  <c r="D63" i="19"/>
  <c r="E63" i="19"/>
  <c r="F63" i="19"/>
  <c r="G63" i="19"/>
  <c r="H63" i="19"/>
  <c r="I63" i="19"/>
  <c r="J63" i="19"/>
  <c r="K63" i="19"/>
  <c r="L63" i="19"/>
  <c r="M63" i="19"/>
  <c r="N63" i="19"/>
  <c r="O63" i="19"/>
  <c r="P63" i="19"/>
  <c r="B64" i="19"/>
  <c r="C64" i="19"/>
  <c r="D64" i="19"/>
  <c r="E64" i="19"/>
  <c r="F64" i="19"/>
  <c r="G64" i="19"/>
  <c r="H64" i="19"/>
  <c r="I64" i="19"/>
  <c r="J64" i="19"/>
  <c r="K64" i="19"/>
  <c r="L64" i="19"/>
  <c r="M64" i="19"/>
  <c r="N64" i="19"/>
  <c r="O64" i="19"/>
  <c r="P64" i="19"/>
  <c r="B65" i="19"/>
  <c r="C65" i="19"/>
  <c r="D65" i="19"/>
  <c r="E65" i="19"/>
  <c r="F65" i="19"/>
  <c r="G65" i="19"/>
  <c r="H65" i="19"/>
  <c r="I65" i="19"/>
  <c r="J65" i="19"/>
  <c r="K65" i="19"/>
  <c r="L65" i="19"/>
  <c r="M65" i="19"/>
  <c r="N65" i="19"/>
  <c r="O65" i="19"/>
  <c r="P65" i="19"/>
  <c r="B66" i="19"/>
  <c r="C66" i="19"/>
  <c r="D66" i="19"/>
  <c r="E66" i="19"/>
  <c r="F66" i="19"/>
  <c r="G66" i="19"/>
  <c r="H66" i="19"/>
  <c r="I66" i="19"/>
  <c r="J66" i="19"/>
  <c r="K66" i="19"/>
  <c r="L66" i="19"/>
  <c r="M66" i="19"/>
  <c r="N66" i="19"/>
  <c r="O66" i="19"/>
  <c r="P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7" i="19"/>
  <c r="O67" i="19"/>
  <c r="P67" i="19"/>
  <c r="H68" i="19"/>
  <c r="O68" i="19"/>
  <c r="P68" i="19"/>
  <c r="B4" i="14"/>
  <c r="C4" i="14"/>
  <c r="D4" i="14"/>
  <c r="E4" i="14"/>
  <c r="F4" i="14"/>
  <c r="G4" i="14"/>
  <c r="H4" i="14"/>
  <c r="I4" i="14"/>
  <c r="J4" i="14"/>
  <c r="K4" i="14"/>
  <c r="L4" i="14"/>
  <c r="M4" i="14"/>
  <c r="N4" i="14"/>
  <c r="O4" i="14"/>
  <c r="P4" i="14"/>
  <c r="H5" i="14"/>
  <c r="O5" i="14"/>
  <c r="P5" i="14"/>
  <c r="C6" i="14"/>
  <c r="F6" i="14"/>
  <c r="G6" i="14"/>
  <c r="H6" i="14"/>
  <c r="O6" i="14"/>
  <c r="P6" i="14"/>
  <c r="C7" i="14"/>
  <c r="G7" i="14"/>
  <c r="H7" i="14"/>
  <c r="O7" i="14"/>
  <c r="P7" i="14"/>
  <c r="B8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C9" i="14"/>
  <c r="D9" i="14"/>
  <c r="E9" i="14"/>
  <c r="F9" i="14"/>
  <c r="G9" i="14"/>
  <c r="H9" i="14"/>
  <c r="I9" i="14"/>
  <c r="J9" i="14"/>
  <c r="K9" i="14"/>
  <c r="L9" i="14"/>
  <c r="M9" i="14"/>
  <c r="O9" i="14"/>
  <c r="P9" i="14"/>
  <c r="G10" i="14"/>
  <c r="H10" i="14"/>
  <c r="N10" i="14"/>
  <c r="O10" i="14"/>
  <c r="P10" i="14"/>
  <c r="H11" i="14"/>
  <c r="O11" i="14"/>
  <c r="P11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B16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H17" i="14"/>
  <c r="I17" i="14"/>
  <c r="O17" i="14"/>
  <c r="P17" i="14"/>
  <c r="F18" i="14"/>
  <c r="G18" i="14"/>
  <c r="H18" i="14"/>
  <c r="I18" i="14"/>
  <c r="K18" i="14"/>
  <c r="O18" i="14"/>
  <c r="P18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C20" i="14"/>
  <c r="D20" i="14"/>
  <c r="F20" i="14"/>
  <c r="G20" i="14"/>
  <c r="H20" i="14"/>
  <c r="I20" i="14"/>
  <c r="J20" i="14"/>
  <c r="K20" i="14"/>
  <c r="L20" i="14"/>
  <c r="M20" i="14"/>
  <c r="N20" i="14"/>
  <c r="O20" i="14"/>
  <c r="P20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H24" i="14"/>
  <c r="N24" i="14"/>
  <c r="O24" i="14"/>
  <c r="P24" i="14"/>
  <c r="F25" i="14"/>
  <c r="H25" i="14"/>
  <c r="I25" i="14"/>
  <c r="K25" i="14"/>
  <c r="L25" i="14"/>
  <c r="N25" i="14"/>
  <c r="O25" i="14"/>
  <c r="P25" i="14"/>
  <c r="C26" i="14"/>
  <c r="H26" i="14"/>
  <c r="O26" i="14"/>
  <c r="P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B31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H32" i="14"/>
  <c r="O32" i="14"/>
  <c r="P32" i="14"/>
  <c r="C33" i="14"/>
  <c r="D33" i="14"/>
  <c r="E33" i="14"/>
  <c r="F33" i="14"/>
  <c r="H33" i="14"/>
  <c r="I33" i="14"/>
  <c r="J33" i="14"/>
  <c r="L33" i="14"/>
  <c r="M33" i="14"/>
  <c r="N33" i="14"/>
  <c r="O33" i="14"/>
  <c r="P33" i="14"/>
  <c r="C34" i="14"/>
  <c r="D34" i="14"/>
  <c r="E34" i="14"/>
  <c r="F34" i="14"/>
  <c r="G34" i="14"/>
  <c r="H34" i="14"/>
  <c r="I34" i="14"/>
  <c r="J34" i="14"/>
  <c r="L34" i="14"/>
  <c r="N34" i="14"/>
  <c r="O34" i="14"/>
  <c r="P34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H36" i="14"/>
  <c r="O36" i="14"/>
  <c r="P36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H39" i="14"/>
  <c r="O39" i="14"/>
  <c r="P39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C41" i="14"/>
  <c r="D41" i="14"/>
  <c r="E41" i="14"/>
  <c r="F41" i="14"/>
  <c r="G41" i="14"/>
  <c r="H41" i="14"/>
  <c r="J41" i="14"/>
  <c r="K41" i="14"/>
  <c r="L41" i="14"/>
  <c r="M41" i="14"/>
  <c r="N41" i="14"/>
  <c r="O41" i="14"/>
  <c r="P41" i="14"/>
  <c r="G42" i="14"/>
  <c r="H42" i="14"/>
  <c r="I42" i="14"/>
  <c r="K42" i="14"/>
  <c r="M42" i="14"/>
  <c r="N42" i="14"/>
  <c r="O42" i="14"/>
  <c r="P42" i="14"/>
  <c r="D43" i="14"/>
  <c r="H43" i="14"/>
  <c r="O43" i="14"/>
  <c r="P43" i="14"/>
  <c r="C44" i="14"/>
  <c r="D44" i="14"/>
  <c r="E44" i="14"/>
  <c r="F44" i="14"/>
  <c r="G44" i="14"/>
  <c r="H44" i="14"/>
  <c r="I44" i="14"/>
  <c r="J44" i="14"/>
  <c r="K44" i="14"/>
  <c r="L44" i="14"/>
  <c r="M44" i="14"/>
  <c r="O44" i="14"/>
  <c r="P44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D46" i="14"/>
  <c r="E46" i="14"/>
  <c r="F46" i="14"/>
  <c r="G46" i="14"/>
  <c r="H46" i="14"/>
  <c r="I46" i="14"/>
  <c r="K46" i="14"/>
  <c r="N46" i="14"/>
  <c r="O46" i="14"/>
  <c r="P46" i="14"/>
  <c r="H47" i="14"/>
  <c r="O47" i="14"/>
  <c r="P47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H49" i="14"/>
  <c r="I49" i="14"/>
  <c r="K49" i="14"/>
  <c r="L49" i="14"/>
  <c r="M49" i="14"/>
  <c r="O49" i="14"/>
  <c r="P49" i="14"/>
  <c r="H50" i="14"/>
  <c r="O50" i="14"/>
  <c r="P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C52" i="14"/>
  <c r="F52" i="14"/>
  <c r="G52" i="14"/>
  <c r="H52" i="14"/>
  <c r="I52" i="14"/>
  <c r="L52" i="14"/>
  <c r="N52" i="14"/>
  <c r="O52" i="14"/>
  <c r="P52" i="14"/>
  <c r="C53" i="14"/>
  <c r="H53" i="14"/>
  <c r="O53" i="14"/>
  <c r="P53" i="14"/>
  <c r="C54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D55" i="14"/>
  <c r="H55" i="14"/>
  <c r="M55" i="14"/>
  <c r="N55" i="14"/>
  <c r="O55" i="14"/>
  <c r="P55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C57" i="14"/>
  <c r="H57" i="14"/>
  <c r="M57" i="14"/>
  <c r="O57" i="14"/>
  <c r="P57" i="14"/>
  <c r="D58" i="14"/>
  <c r="H58" i="14"/>
  <c r="L58" i="14"/>
  <c r="N58" i="14"/>
  <c r="O58" i="14"/>
  <c r="P58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O59" i="14"/>
  <c r="P59" i="14"/>
  <c r="D60" i="14"/>
  <c r="G60" i="14"/>
  <c r="H60" i="14"/>
  <c r="I60" i="14"/>
  <c r="K60" i="14"/>
  <c r="O60" i="14"/>
  <c r="P60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H62" i="14"/>
  <c r="N62" i="14"/>
  <c r="O62" i="14"/>
  <c r="P62" i="14"/>
  <c r="B63" i="14"/>
  <c r="C63" i="14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B64" i="14"/>
  <c r="C64" i="14"/>
  <c r="D64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F65" i="14"/>
  <c r="H65" i="14"/>
  <c r="M65" i="14"/>
  <c r="N65" i="14"/>
  <c r="O65" i="14"/>
  <c r="P65" i="14"/>
  <c r="C66" i="14"/>
  <c r="D66" i="14"/>
  <c r="E66" i="14"/>
  <c r="F66" i="14"/>
  <c r="H66" i="14"/>
  <c r="I66" i="14"/>
  <c r="J66" i="14"/>
  <c r="K66" i="14"/>
  <c r="L66" i="14"/>
  <c r="M66" i="14"/>
  <c r="N66" i="14"/>
  <c r="O66" i="14"/>
  <c r="P66" i="14"/>
  <c r="B67" i="14"/>
  <c r="C67" i="14"/>
  <c r="D67" i="14"/>
  <c r="E67" i="14"/>
  <c r="F67" i="14"/>
  <c r="G67" i="14"/>
  <c r="H67" i="14"/>
  <c r="I67" i="14"/>
  <c r="J67" i="14"/>
  <c r="K67" i="14"/>
  <c r="L67" i="14"/>
  <c r="M67" i="14"/>
  <c r="N67" i="14"/>
  <c r="O67" i="14"/>
  <c r="P67" i="14"/>
  <c r="H68" i="14"/>
  <c r="O68" i="14"/>
  <c r="P68" i="14"/>
  <c r="B4" i="15"/>
  <c r="C4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H5" i="15"/>
  <c r="O5" i="15"/>
  <c r="P5" i="15"/>
  <c r="H6" i="15"/>
  <c r="O6" i="15"/>
  <c r="P6" i="15"/>
  <c r="H7" i="15"/>
  <c r="O7" i="15"/>
  <c r="P7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H9" i="15"/>
  <c r="O9" i="15"/>
  <c r="P9" i="15"/>
  <c r="H10" i="15"/>
  <c r="O10" i="15"/>
  <c r="P10" i="15"/>
  <c r="H11" i="15"/>
  <c r="O11" i="15"/>
  <c r="P11" i="15"/>
  <c r="H12" i="15"/>
  <c r="O12" i="15"/>
  <c r="P12" i="15"/>
  <c r="H13" i="15"/>
  <c r="O13" i="15"/>
  <c r="P13" i="15"/>
  <c r="H14" i="15"/>
  <c r="O14" i="15"/>
  <c r="P14" i="15"/>
  <c r="H15" i="15"/>
  <c r="O15" i="15"/>
  <c r="P15" i="15"/>
  <c r="H16" i="15"/>
  <c r="O16" i="15"/>
  <c r="P16" i="15"/>
  <c r="H17" i="15"/>
  <c r="O17" i="15"/>
  <c r="P17" i="15"/>
  <c r="H18" i="15"/>
  <c r="O18" i="15"/>
  <c r="P18" i="15"/>
  <c r="H19" i="15"/>
  <c r="O19" i="15"/>
  <c r="P19" i="15"/>
  <c r="H20" i="15"/>
  <c r="O20" i="15"/>
  <c r="P20" i="15"/>
  <c r="H21" i="15"/>
  <c r="O21" i="15"/>
  <c r="P21" i="15"/>
  <c r="H22" i="15"/>
  <c r="O22" i="15"/>
  <c r="P22" i="15"/>
  <c r="H23" i="15"/>
  <c r="O23" i="15"/>
  <c r="P23" i="15"/>
  <c r="H24" i="15"/>
  <c r="O24" i="15"/>
  <c r="P24" i="15"/>
  <c r="H25" i="15"/>
  <c r="O25" i="15"/>
  <c r="P25" i="15"/>
  <c r="H26" i="15"/>
  <c r="O26" i="15"/>
  <c r="P26" i="15"/>
  <c r="H27" i="15"/>
  <c r="O27" i="15"/>
  <c r="P27" i="15"/>
  <c r="B28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H32" i="15"/>
  <c r="O32" i="15"/>
  <c r="P32" i="15"/>
  <c r="H33" i="15"/>
  <c r="O33" i="15"/>
  <c r="P33" i="15"/>
  <c r="H34" i="15"/>
  <c r="O34" i="15"/>
  <c r="P34" i="15"/>
  <c r="H35" i="15"/>
  <c r="O35" i="15"/>
  <c r="P35" i="15"/>
  <c r="H36" i="15"/>
  <c r="O36" i="15"/>
  <c r="P36" i="15"/>
  <c r="B37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H38" i="15"/>
  <c r="O38" i="15"/>
  <c r="P38" i="15"/>
  <c r="H39" i="15"/>
  <c r="O39" i="15"/>
  <c r="P39" i="15"/>
  <c r="H40" i="15"/>
  <c r="O40" i="15"/>
  <c r="P40" i="15"/>
  <c r="H41" i="15"/>
  <c r="O41" i="15"/>
  <c r="P41" i="15"/>
  <c r="H42" i="15"/>
  <c r="O42" i="15"/>
  <c r="P42" i="15"/>
  <c r="H43" i="15"/>
  <c r="O43" i="15"/>
  <c r="P43" i="15"/>
  <c r="H44" i="15"/>
  <c r="O44" i="15"/>
  <c r="P44" i="15"/>
  <c r="H45" i="15"/>
  <c r="O45" i="15"/>
  <c r="P45" i="15"/>
  <c r="H46" i="15"/>
  <c r="O46" i="15"/>
  <c r="P46" i="15"/>
  <c r="H47" i="15"/>
  <c r="O47" i="15"/>
  <c r="P47" i="15"/>
  <c r="H48" i="15"/>
  <c r="O48" i="15"/>
  <c r="P48" i="15"/>
  <c r="H49" i="15"/>
  <c r="O49" i="15"/>
  <c r="P49" i="15"/>
  <c r="H50" i="15"/>
  <c r="O50" i="15"/>
  <c r="P50" i="15"/>
  <c r="H51" i="15"/>
  <c r="O51" i="15"/>
  <c r="P51" i="15"/>
  <c r="H52" i="15"/>
  <c r="O52" i="15"/>
  <c r="P52" i="15"/>
  <c r="H53" i="15"/>
  <c r="O53" i="15"/>
  <c r="P53" i="15"/>
  <c r="H54" i="15"/>
  <c r="O54" i="15"/>
  <c r="P54" i="15"/>
  <c r="H55" i="15"/>
  <c r="O55" i="15"/>
  <c r="P55" i="15"/>
  <c r="H56" i="15"/>
  <c r="O56" i="15"/>
  <c r="P56" i="15"/>
  <c r="H57" i="15"/>
  <c r="O57" i="15"/>
  <c r="P57" i="15"/>
  <c r="H58" i="15"/>
  <c r="O58" i="15"/>
  <c r="P58" i="15"/>
  <c r="H59" i="15"/>
  <c r="O59" i="15"/>
  <c r="P59" i="15"/>
  <c r="H60" i="15"/>
  <c r="O60" i="15"/>
  <c r="P60" i="15"/>
  <c r="H61" i="15"/>
  <c r="O61" i="15"/>
  <c r="P61" i="15"/>
  <c r="H62" i="15"/>
  <c r="O62" i="15"/>
  <c r="P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H65" i="15"/>
  <c r="O65" i="15"/>
  <c r="P65" i="15"/>
  <c r="H66" i="15"/>
  <c r="O66" i="15"/>
  <c r="P66" i="15"/>
  <c r="B67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H68" i="15"/>
  <c r="O68" i="15"/>
  <c r="P68" i="15"/>
  <c r="B4" i="12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B30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H35" i="12"/>
  <c r="O35" i="12"/>
  <c r="P35" i="12"/>
  <c r="B36" i="12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B37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B42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B43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B44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B46" i="12"/>
  <c r="C46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B47" i="12"/>
  <c r="C47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B51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B52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B53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B54" i="12"/>
  <c r="C54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B55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B57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B58" i="12"/>
  <c r="C58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B59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B60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B61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B62" i="12"/>
  <c r="C62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B63" i="12"/>
  <c r="C63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B64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B65" i="12"/>
  <c r="C65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B66" i="12"/>
  <c r="C66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B67" i="12"/>
  <c r="C67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B4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B5" i="10"/>
  <c r="C5" i="10"/>
  <c r="D5" i="10"/>
  <c r="E5" i="10"/>
  <c r="F5" i="10"/>
  <c r="G5" i="10"/>
  <c r="H5" i="10"/>
  <c r="I5" i="10"/>
  <c r="J5" i="10"/>
  <c r="K5" i="10"/>
  <c r="O5" i="10"/>
  <c r="P5" i="10"/>
  <c r="B6" i="10"/>
  <c r="C6" i="10"/>
  <c r="D6" i="10"/>
  <c r="E6" i="10"/>
  <c r="F6" i="10"/>
  <c r="G6" i="10"/>
  <c r="H6" i="10"/>
  <c r="I6" i="10"/>
  <c r="J6" i="10"/>
  <c r="K6" i="10"/>
  <c r="O6" i="10"/>
  <c r="P6" i="10"/>
  <c r="B7" i="10"/>
  <c r="C7" i="10"/>
  <c r="D7" i="10"/>
  <c r="E7" i="10"/>
  <c r="F7" i="10"/>
  <c r="G7" i="10"/>
  <c r="H7" i="10"/>
  <c r="I7" i="10"/>
  <c r="J7" i="10"/>
  <c r="K7" i="10"/>
  <c r="O7" i="10"/>
  <c r="P7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B9" i="10"/>
  <c r="C9" i="10"/>
  <c r="D9" i="10"/>
  <c r="E9" i="10"/>
  <c r="F9" i="10"/>
  <c r="G9" i="10"/>
  <c r="H9" i="10"/>
  <c r="I9" i="10"/>
  <c r="J9" i="10"/>
  <c r="K9" i="10"/>
  <c r="O9" i="10"/>
  <c r="P9" i="10"/>
  <c r="B10" i="10"/>
  <c r="C10" i="10"/>
  <c r="D10" i="10"/>
  <c r="E10" i="10"/>
  <c r="F10" i="10"/>
  <c r="G10" i="10"/>
  <c r="H10" i="10"/>
  <c r="I10" i="10"/>
  <c r="J10" i="10"/>
  <c r="K10" i="10"/>
  <c r="O10" i="10"/>
  <c r="P10" i="10"/>
  <c r="B11" i="10"/>
  <c r="C11" i="10"/>
  <c r="D11" i="10"/>
  <c r="E11" i="10"/>
  <c r="F11" i="10"/>
  <c r="G11" i="10"/>
  <c r="H11" i="10"/>
  <c r="I11" i="10"/>
  <c r="J11" i="10"/>
  <c r="K11" i="10"/>
  <c r="O11" i="10"/>
  <c r="P11" i="10"/>
  <c r="B12" i="10"/>
  <c r="C12" i="10"/>
  <c r="D12" i="10"/>
  <c r="E12" i="10"/>
  <c r="F12" i="10"/>
  <c r="G12" i="10"/>
  <c r="H12" i="10"/>
  <c r="I12" i="10"/>
  <c r="J12" i="10"/>
  <c r="K12" i="10"/>
  <c r="O12" i="10"/>
  <c r="P12" i="10"/>
  <c r="B13" i="10"/>
  <c r="C13" i="10"/>
  <c r="D13" i="10"/>
  <c r="E13" i="10"/>
  <c r="F13" i="10"/>
  <c r="G13" i="10"/>
  <c r="H13" i="10"/>
  <c r="I13" i="10"/>
  <c r="J13" i="10"/>
  <c r="K13" i="10"/>
  <c r="O13" i="10"/>
  <c r="P13" i="10"/>
  <c r="B14" i="10"/>
  <c r="C14" i="10"/>
  <c r="D14" i="10"/>
  <c r="E14" i="10"/>
  <c r="F14" i="10"/>
  <c r="G14" i="10"/>
  <c r="H14" i="10"/>
  <c r="I14" i="10"/>
  <c r="J14" i="10"/>
  <c r="K14" i="10"/>
  <c r="O14" i="10"/>
  <c r="P14" i="10"/>
  <c r="B15" i="10"/>
  <c r="C15" i="10"/>
  <c r="D15" i="10"/>
  <c r="E15" i="10"/>
  <c r="F15" i="10"/>
  <c r="G15" i="10"/>
  <c r="H15" i="10"/>
  <c r="I15" i="10"/>
  <c r="J15" i="10"/>
  <c r="K15" i="10"/>
  <c r="O15" i="10"/>
  <c r="P15" i="10"/>
  <c r="B16" i="10"/>
  <c r="C16" i="10"/>
  <c r="D16" i="10"/>
  <c r="E16" i="10"/>
  <c r="F16" i="10"/>
  <c r="G16" i="10"/>
  <c r="H16" i="10"/>
  <c r="I16" i="10"/>
  <c r="J16" i="10"/>
  <c r="K16" i="10"/>
  <c r="O16" i="10"/>
  <c r="P16" i="10"/>
  <c r="B17" i="10"/>
  <c r="C17" i="10"/>
  <c r="D17" i="10"/>
  <c r="E17" i="10"/>
  <c r="F17" i="10"/>
  <c r="G17" i="10"/>
  <c r="H17" i="10"/>
  <c r="I17" i="10"/>
  <c r="J17" i="10"/>
  <c r="K17" i="10"/>
  <c r="O17" i="10"/>
  <c r="P17" i="10"/>
  <c r="B18" i="10"/>
  <c r="C18" i="10"/>
  <c r="D18" i="10"/>
  <c r="E18" i="10"/>
  <c r="F18" i="10"/>
  <c r="G18" i="10"/>
  <c r="H18" i="10"/>
  <c r="I18" i="10"/>
  <c r="J18" i="10"/>
  <c r="K18" i="10"/>
  <c r="O18" i="10"/>
  <c r="P18" i="10"/>
  <c r="B19" i="10"/>
  <c r="C19" i="10"/>
  <c r="D19" i="10"/>
  <c r="E19" i="10"/>
  <c r="F19" i="10"/>
  <c r="G19" i="10"/>
  <c r="H19" i="10"/>
  <c r="I19" i="10"/>
  <c r="J19" i="10"/>
  <c r="K19" i="10"/>
  <c r="O19" i="10"/>
  <c r="P19" i="10"/>
  <c r="B20" i="10"/>
  <c r="C20" i="10"/>
  <c r="D20" i="10"/>
  <c r="E20" i="10"/>
  <c r="F20" i="10"/>
  <c r="G20" i="10"/>
  <c r="H20" i="10"/>
  <c r="I20" i="10"/>
  <c r="J20" i="10"/>
  <c r="K20" i="10"/>
  <c r="O20" i="10"/>
  <c r="P20" i="10"/>
  <c r="B21" i="10"/>
  <c r="C21" i="10"/>
  <c r="D21" i="10"/>
  <c r="E21" i="10"/>
  <c r="F21" i="10"/>
  <c r="G21" i="10"/>
  <c r="H21" i="10"/>
  <c r="I21" i="10"/>
  <c r="J21" i="10"/>
  <c r="K21" i="10"/>
  <c r="O21" i="10"/>
  <c r="P21" i="10"/>
  <c r="B22" i="10"/>
  <c r="C22" i="10"/>
  <c r="D22" i="10"/>
  <c r="E22" i="10"/>
  <c r="F22" i="10"/>
  <c r="G22" i="10"/>
  <c r="H22" i="10"/>
  <c r="I22" i="10"/>
  <c r="J22" i="10"/>
  <c r="K22" i="10"/>
  <c r="O22" i="10"/>
  <c r="P22" i="10"/>
  <c r="B23" i="10"/>
  <c r="C23" i="10"/>
  <c r="D23" i="10"/>
  <c r="E23" i="10"/>
  <c r="F23" i="10"/>
  <c r="G23" i="10"/>
  <c r="H23" i="10"/>
  <c r="I23" i="10"/>
  <c r="J23" i="10"/>
  <c r="K23" i="10"/>
  <c r="O23" i="10"/>
  <c r="P23" i="10"/>
  <c r="B24" i="10"/>
  <c r="C24" i="10"/>
  <c r="D24" i="10"/>
  <c r="E24" i="10"/>
  <c r="F24" i="10"/>
  <c r="G24" i="10"/>
  <c r="H24" i="10"/>
  <c r="I24" i="10"/>
  <c r="J24" i="10"/>
  <c r="K24" i="10"/>
  <c r="O24" i="10"/>
  <c r="P24" i="10"/>
  <c r="B25" i="10"/>
  <c r="C25" i="10"/>
  <c r="D25" i="10"/>
  <c r="E25" i="10"/>
  <c r="F25" i="10"/>
  <c r="G25" i="10"/>
  <c r="H25" i="10"/>
  <c r="I25" i="10"/>
  <c r="J25" i="10"/>
  <c r="K25" i="10"/>
  <c r="O25" i="10"/>
  <c r="P25" i="10"/>
  <c r="B26" i="10"/>
  <c r="C26" i="10"/>
  <c r="D26" i="10"/>
  <c r="E26" i="10"/>
  <c r="F26" i="10"/>
  <c r="G26" i="10"/>
  <c r="H26" i="10"/>
  <c r="I26" i="10"/>
  <c r="J26" i="10"/>
  <c r="K26" i="10"/>
  <c r="O26" i="10"/>
  <c r="P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B31" i="10"/>
  <c r="C31" i="10"/>
  <c r="D31" i="10"/>
  <c r="E31" i="10"/>
  <c r="F31" i="10"/>
  <c r="G31" i="10"/>
  <c r="H31" i="10"/>
  <c r="I31" i="10"/>
  <c r="J31" i="10"/>
  <c r="K31" i="10"/>
  <c r="O31" i="10"/>
  <c r="P31" i="10"/>
  <c r="B32" i="10"/>
  <c r="C32" i="10"/>
  <c r="D32" i="10"/>
  <c r="E32" i="10"/>
  <c r="F32" i="10"/>
  <c r="G32" i="10"/>
  <c r="H32" i="10"/>
  <c r="I32" i="10"/>
  <c r="J32" i="10"/>
  <c r="K32" i="10"/>
  <c r="O32" i="10"/>
  <c r="P32" i="10"/>
  <c r="B33" i="10"/>
  <c r="C33" i="10"/>
  <c r="D33" i="10"/>
  <c r="E33" i="10"/>
  <c r="F33" i="10"/>
  <c r="G33" i="10"/>
  <c r="H33" i="10"/>
  <c r="I33" i="10"/>
  <c r="J33" i="10"/>
  <c r="K33" i="10"/>
  <c r="O33" i="10"/>
  <c r="P33" i="10"/>
  <c r="B34" i="10"/>
  <c r="C34" i="10"/>
  <c r="D34" i="10"/>
  <c r="E34" i="10"/>
  <c r="F34" i="10"/>
  <c r="G34" i="10"/>
  <c r="H34" i="10"/>
  <c r="I34" i="10"/>
  <c r="J34" i="10"/>
  <c r="K34" i="10"/>
  <c r="O34" i="10"/>
  <c r="P34" i="10"/>
  <c r="B35" i="10"/>
  <c r="C35" i="10"/>
  <c r="D35" i="10"/>
  <c r="E35" i="10"/>
  <c r="F35" i="10"/>
  <c r="G35" i="10"/>
  <c r="H35" i="10"/>
  <c r="I35" i="10"/>
  <c r="J35" i="10"/>
  <c r="K35" i="10"/>
  <c r="O35" i="10"/>
  <c r="P35" i="10"/>
  <c r="B36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B37" i="10"/>
  <c r="C37" i="10"/>
  <c r="D37" i="10"/>
  <c r="E37" i="10"/>
  <c r="F37" i="10"/>
  <c r="G37" i="10"/>
  <c r="H37" i="10"/>
  <c r="I37" i="10"/>
  <c r="J37" i="10"/>
  <c r="K37" i="10"/>
  <c r="O37" i="10"/>
  <c r="P37" i="10"/>
  <c r="B38" i="10"/>
  <c r="C38" i="10"/>
  <c r="D38" i="10"/>
  <c r="E38" i="10"/>
  <c r="F38" i="10"/>
  <c r="G38" i="10"/>
  <c r="H38" i="10"/>
  <c r="I38" i="10"/>
  <c r="J38" i="10"/>
  <c r="K38" i="10"/>
  <c r="O38" i="10"/>
  <c r="P38" i="10"/>
  <c r="B39" i="10"/>
  <c r="C39" i="10"/>
  <c r="D39" i="10"/>
  <c r="E39" i="10"/>
  <c r="F39" i="10"/>
  <c r="G39" i="10"/>
  <c r="H39" i="10"/>
  <c r="I39" i="10"/>
  <c r="J39" i="10"/>
  <c r="K39" i="10"/>
  <c r="O39" i="10"/>
  <c r="P39" i="10"/>
  <c r="B40" i="10"/>
  <c r="C40" i="10"/>
  <c r="D40" i="10"/>
  <c r="E40" i="10"/>
  <c r="F40" i="10"/>
  <c r="G40" i="10"/>
  <c r="H40" i="10"/>
  <c r="I40" i="10"/>
  <c r="J40" i="10"/>
  <c r="K40" i="10"/>
  <c r="O40" i="10"/>
  <c r="P40" i="10"/>
  <c r="B41" i="10"/>
  <c r="C41" i="10"/>
  <c r="D41" i="10"/>
  <c r="E41" i="10"/>
  <c r="F41" i="10"/>
  <c r="G41" i="10"/>
  <c r="H41" i="10"/>
  <c r="I41" i="10"/>
  <c r="J41" i="10"/>
  <c r="K41" i="10"/>
  <c r="O41" i="10"/>
  <c r="P41" i="10"/>
  <c r="B42" i="10"/>
  <c r="C42" i="10"/>
  <c r="D42" i="10"/>
  <c r="E42" i="10"/>
  <c r="F42" i="10"/>
  <c r="G42" i="10"/>
  <c r="H42" i="10"/>
  <c r="I42" i="10"/>
  <c r="J42" i="10"/>
  <c r="K42" i="10"/>
  <c r="O42" i="10"/>
  <c r="P42" i="10"/>
  <c r="B43" i="10"/>
  <c r="C43" i="10"/>
  <c r="D43" i="10"/>
  <c r="E43" i="10"/>
  <c r="F43" i="10"/>
  <c r="G43" i="10"/>
  <c r="H43" i="10"/>
  <c r="I43" i="10"/>
  <c r="J43" i="10"/>
  <c r="K43" i="10"/>
  <c r="O43" i="10"/>
  <c r="P43" i="10"/>
  <c r="B44" i="10"/>
  <c r="C44" i="10"/>
  <c r="D44" i="10"/>
  <c r="E44" i="10"/>
  <c r="F44" i="10"/>
  <c r="G44" i="10"/>
  <c r="H44" i="10"/>
  <c r="I44" i="10"/>
  <c r="J44" i="10"/>
  <c r="K44" i="10"/>
  <c r="O44" i="10"/>
  <c r="P44" i="10"/>
  <c r="B45" i="10"/>
  <c r="C45" i="10"/>
  <c r="D45" i="10"/>
  <c r="E45" i="10"/>
  <c r="F45" i="10"/>
  <c r="G45" i="10"/>
  <c r="H45" i="10"/>
  <c r="I45" i="10"/>
  <c r="J45" i="10"/>
  <c r="K45" i="10"/>
  <c r="O45" i="10"/>
  <c r="P45" i="10"/>
  <c r="B46" i="10"/>
  <c r="C46" i="10"/>
  <c r="D46" i="10"/>
  <c r="E46" i="10"/>
  <c r="F46" i="10"/>
  <c r="G46" i="10"/>
  <c r="H46" i="10"/>
  <c r="I46" i="10"/>
  <c r="J46" i="10"/>
  <c r="K46" i="10"/>
  <c r="O46" i="10"/>
  <c r="P46" i="10"/>
  <c r="B47" i="10"/>
  <c r="C47" i="10"/>
  <c r="D47" i="10"/>
  <c r="E47" i="10"/>
  <c r="F47" i="10"/>
  <c r="G47" i="10"/>
  <c r="H47" i="10"/>
  <c r="I47" i="10"/>
  <c r="J47" i="10"/>
  <c r="K47" i="10"/>
  <c r="O47" i="10"/>
  <c r="P47" i="10"/>
  <c r="B48" i="10"/>
  <c r="C48" i="10"/>
  <c r="D48" i="10"/>
  <c r="E48" i="10"/>
  <c r="F48" i="10"/>
  <c r="G48" i="10"/>
  <c r="H48" i="10"/>
  <c r="I48" i="10"/>
  <c r="J48" i="10"/>
  <c r="K48" i="10"/>
  <c r="O48" i="10"/>
  <c r="P48" i="10"/>
  <c r="B49" i="10"/>
  <c r="C49" i="10"/>
  <c r="D49" i="10"/>
  <c r="E49" i="10"/>
  <c r="F49" i="10"/>
  <c r="G49" i="10"/>
  <c r="H49" i="10"/>
  <c r="I49" i="10"/>
  <c r="J49" i="10"/>
  <c r="K49" i="10"/>
  <c r="O49" i="10"/>
  <c r="P49" i="10"/>
  <c r="B50" i="10"/>
  <c r="C50" i="10"/>
  <c r="D50" i="10"/>
  <c r="E50" i="10"/>
  <c r="F50" i="10"/>
  <c r="G50" i="10"/>
  <c r="H50" i="10"/>
  <c r="I50" i="10"/>
  <c r="J50" i="10"/>
  <c r="K50" i="10"/>
  <c r="O50" i="10"/>
  <c r="P50" i="10"/>
  <c r="B51" i="10"/>
  <c r="C51" i="10"/>
  <c r="D51" i="10"/>
  <c r="E51" i="10"/>
  <c r="F51" i="10"/>
  <c r="G51" i="10"/>
  <c r="H51" i="10"/>
  <c r="I51" i="10"/>
  <c r="J51" i="10"/>
  <c r="K51" i="10"/>
  <c r="O51" i="10"/>
  <c r="P51" i="10"/>
  <c r="B52" i="10"/>
  <c r="C52" i="10"/>
  <c r="D52" i="10"/>
  <c r="E52" i="10"/>
  <c r="F52" i="10"/>
  <c r="G52" i="10"/>
  <c r="H52" i="10"/>
  <c r="I52" i="10"/>
  <c r="J52" i="10"/>
  <c r="K52" i="10"/>
  <c r="O52" i="10"/>
  <c r="P52" i="10"/>
  <c r="B53" i="10"/>
  <c r="C53" i="10"/>
  <c r="D53" i="10"/>
  <c r="E53" i="10"/>
  <c r="F53" i="10"/>
  <c r="G53" i="10"/>
  <c r="H53" i="10"/>
  <c r="I53" i="10"/>
  <c r="J53" i="10"/>
  <c r="K53" i="10"/>
  <c r="O53" i="10"/>
  <c r="P53" i="10"/>
  <c r="B54" i="10"/>
  <c r="C54" i="10"/>
  <c r="D54" i="10"/>
  <c r="E54" i="10"/>
  <c r="F54" i="10"/>
  <c r="G54" i="10"/>
  <c r="H54" i="10"/>
  <c r="I54" i="10"/>
  <c r="J54" i="10"/>
  <c r="K54" i="10"/>
  <c r="O54" i="10"/>
  <c r="P54" i="10"/>
  <c r="B55" i="10"/>
  <c r="C55" i="10"/>
  <c r="D55" i="10"/>
  <c r="E55" i="10"/>
  <c r="F55" i="10"/>
  <c r="G55" i="10"/>
  <c r="H55" i="10"/>
  <c r="I55" i="10"/>
  <c r="J55" i="10"/>
  <c r="K55" i="10"/>
  <c r="O55" i="10"/>
  <c r="P55" i="10"/>
  <c r="B56" i="10"/>
  <c r="C56" i="10"/>
  <c r="D56" i="10"/>
  <c r="E56" i="10"/>
  <c r="F56" i="10"/>
  <c r="G56" i="10"/>
  <c r="H56" i="10"/>
  <c r="I56" i="10"/>
  <c r="J56" i="10"/>
  <c r="K56" i="10"/>
  <c r="O56" i="10"/>
  <c r="P56" i="10"/>
  <c r="B57" i="10"/>
  <c r="C57" i="10"/>
  <c r="D57" i="10"/>
  <c r="E57" i="10"/>
  <c r="F57" i="10"/>
  <c r="G57" i="10"/>
  <c r="H57" i="10"/>
  <c r="I57" i="10"/>
  <c r="J57" i="10"/>
  <c r="K57" i="10"/>
  <c r="O57" i="10"/>
  <c r="P57" i="10"/>
  <c r="B58" i="10"/>
  <c r="C58" i="10"/>
  <c r="D58" i="10"/>
  <c r="E58" i="10"/>
  <c r="F58" i="10"/>
  <c r="G58" i="10"/>
  <c r="H58" i="10"/>
  <c r="I58" i="10"/>
  <c r="J58" i="10"/>
  <c r="K58" i="10"/>
  <c r="O58" i="10"/>
  <c r="P58" i="10"/>
  <c r="B59" i="10"/>
  <c r="C59" i="10"/>
  <c r="D59" i="10"/>
  <c r="E59" i="10"/>
  <c r="F59" i="10"/>
  <c r="G59" i="10"/>
  <c r="H59" i="10"/>
  <c r="I59" i="10"/>
  <c r="J59" i="10"/>
  <c r="K59" i="10"/>
  <c r="O59" i="10"/>
  <c r="P59" i="10"/>
  <c r="B60" i="10"/>
  <c r="C60" i="10"/>
  <c r="D60" i="10"/>
  <c r="E60" i="10"/>
  <c r="F60" i="10"/>
  <c r="G60" i="10"/>
  <c r="H60" i="10"/>
  <c r="I60" i="10"/>
  <c r="J60" i="10"/>
  <c r="K60" i="10"/>
  <c r="O60" i="10"/>
  <c r="P60" i="10"/>
  <c r="B61" i="10"/>
  <c r="C61" i="10"/>
  <c r="D61" i="10"/>
  <c r="E61" i="10"/>
  <c r="F61" i="10"/>
  <c r="G61" i="10"/>
  <c r="H61" i="10"/>
  <c r="I61" i="10"/>
  <c r="J61" i="10"/>
  <c r="K61" i="10"/>
  <c r="O61" i="10"/>
  <c r="P61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B64" i="10"/>
  <c r="C64" i="10"/>
  <c r="D64" i="10"/>
  <c r="E64" i="10"/>
  <c r="F64" i="10"/>
  <c r="G64" i="10"/>
  <c r="H64" i="10"/>
  <c r="I64" i="10"/>
  <c r="J64" i="10"/>
  <c r="K64" i="10"/>
  <c r="O64" i="10"/>
  <c r="P64" i="10"/>
  <c r="B65" i="10"/>
  <c r="C65" i="10"/>
  <c r="D65" i="10"/>
  <c r="E65" i="10"/>
  <c r="F65" i="10"/>
  <c r="G65" i="10"/>
  <c r="H65" i="10"/>
  <c r="I65" i="10"/>
  <c r="J65" i="10"/>
  <c r="K65" i="10"/>
  <c r="O65" i="10"/>
  <c r="P65" i="10"/>
  <c r="B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B67" i="10"/>
  <c r="C67" i="10"/>
  <c r="D67" i="10"/>
  <c r="E67" i="10"/>
  <c r="F67" i="10"/>
  <c r="G67" i="10"/>
  <c r="H67" i="10"/>
  <c r="I67" i="10"/>
  <c r="J67" i="10"/>
  <c r="O67" i="10"/>
  <c r="P67" i="10"/>
  <c r="B4" i="8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H5" i="8"/>
  <c r="O5" i="8"/>
  <c r="P5" i="8"/>
  <c r="D6" i="8"/>
  <c r="F6" i="8"/>
  <c r="H6" i="8"/>
  <c r="K6" i="8"/>
  <c r="O6" i="8"/>
  <c r="P6" i="8"/>
  <c r="H7" i="8"/>
  <c r="O7" i="8"/>
  <c r="P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E9" i="8"/>
  <c r="F9" i="8"/>
  <c r="G9" i="8"/>
  <c r="H9" i="8"/>
  <c r="I9" i="8"/>
  <c r="J9" i="8"/>
  <c r="K9" i="8"/>
  <c r="L9" i="8"/>
  <c r="M9" i="8"/>
  <c r="N9" i="8"/>
  <c r="O9" i="8"/>
  <c r="P9" i="8"/>
  <c r="H10" i="8"/>
  <c r="O10" i="8"/>
  <c r="P10" i="8"/>
  <c r="H11" i="8"/>
  <c r="O11" i="8"/>
  <c r="P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B13" i="8"/>
  <c r="C13" i="8"/>
  <c r="D13" i="8"/>
  <c r="F13" i="8"/>
  <c r="G13" i="8"/>
  <c r="H13" i="8"/>
  <c r="I13" i="8"/>
  <c r="J13" i="8"/>
  <c r="K13" i="8"/>
  <c r="L13" i="8"/>
  <c r="M13" i="8"/>
  <c r="N13" i="8"/>
  <c r="O13" i="8"/>
  <c r="P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C17" i="8"/>
  <c r="H17" i="8"/>
  <c r="I17" i="8"/>
  <c r="L17" i="8"/>
  <c r="N17" i="8"/>
  <c r="O17" i="8"/>
  <c r="P17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C20" i="8"/>
  <c r="E20" i="8"/>
  <c r="F20" i="8"/>
  <c r="G20" i="8"/>
  <c r="H20" i="8"/>
  <c r="J20" i="8"/>
  <c r="K20" i="8"/>
  <c r="M20" i="8"/>
  <c r="N20" i="8"/>
  <c r="O20" i="8"/>
  <c r="P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C22" i="8"/>
  <c r="D22" i="8"/>
  <c r="F22" i="8"/>
  <c r="G22" i="8"/>
  <c r="H22" i="8"/>
  <c r="I22" i="8"/>
  <c r="K22" i="8"/>
  <c r="L22" i="8"/>
  <c r="M22" i="8"/>
  <c r="N22" i="8"/>
  <c r="O22" i="8"/>
  <c r="P22" i="8"/>
  <c r="C23" i="8"/>
  <c r="D23" i="8"/>
  <c r="F23" i="8"/>
  <c r="G23" i="8"/>
  <c r="H23" i="8"/>
  <c r="I23" i="8"/>
  <c r="K23" i="8"/>
  <c r="L23" i="8"/>
  <c r="M23" i="8"/>
  <c r="N23" i="8"/>
  <c r="O23" i="8"/>
  <c r="P23" i="8"/>
  <c r="H24" i="8"/>
  <c r="O24" i="8"/>
  <c r="P24" i="8"/>
  <c r="C25" i="8"/>
  <c r="D25" i="8"/>
  <c r="E25" i="8"/>
  <c r="F25" i="8"/>
  <c r="H25" i="8"/>
  <c r="K25" i="8"/>
  <c r="O25" i="8"/>
  <c r="P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C27" i="8"/>
  <c r="D27" i="8"/>
  <c r="E27" i="8"/>
  <c r="G27" i="8"/>
  <c r="H27" i="8"/>
  <c r="I27" i="8"/>
  <c r="J27" i="8"/>
  <c r="K27" i="8"/>
  <c r="L27" i="8"/>
  <c r="M27" i="8"/>
  <c r="N27" i="8"/>
  <c r="O27" i="8"/>
  <c r="P27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H32" i="8"/>
  <c r="O32" i="8"/>
  <c r="P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H36" i="8"/>
  <c r="O36" i="8"/>
  <c r="P36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H39" i="8"/>
  <c r="O39" i="8"/>
  <c r="P39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C41" i="8"/>
  <c r="D41" i="8"/>
  <c r="F41" i="8"/>
  <c r="G41" i="8"/>
  <c r="H41" i="8"/>
  <c r="N41" i="8"/>
  <c r="O41" i="8"/>
  <c r="P41" i="8"/>
  <c r="D42" i="8"/>
  <c r="E42" i="8"/>
  <c r="G42" i="8"/>
  <c r="H42" i="8"/>
  <c r="I42" i="8"/>
  <c r="J42" i="8"/>
  <c r="K42" i="8"/>
  <c r="M42" i="8"/>
  <c r="N42" i="8"/>
  <c r="O42" i="8"/>
  <c r="P42" i="8"/>
  <c r="D43" i="8"/>
  <c r="H43" i="8"/>
  <c r="M43" i="8"/>
  <c r="O43" i="8"/>
  <c r="P43" i="8"/>
  <c r="C44" i="8"/>
  <c r="D44" i="8"/>
  <c r="E44" i="8"/>
  <c r="F44" i="8"/>
  <c r="G44" i="8"/>
  <c r="H44" i="8"/>
  <c r="I44" i="8"/>
  <c r="K44" i="8"/>
  <c r="M44" i="8"/>
  <c r="N44" i="8"/>
  <c r="O44" i="8"/>
  <c r="P44" i="8"/>
  <c r="C45" i="8"/>
  <c r="D45" i="8"/>
  <c r="F45" i="8"/>
  <c r="G45" i="8"/>
  <c r="H45" i="8"/>
  <c r="I45" i="8"/>
  <c r="J45" i="8"/>
  <c r="K45" i="8"/>
  <c r="L45" i="8"/>
  <c r="M45" i="8"/>
  <c r="N45" i="8"/>
  <c r="O45" i="8"/>
  <c r="P45" i="8"/>
  <c r="D46" i="8"/>
  <c r="E46" i="8"/>
  <c r="F46" i="8"/>
  <c r="G46" i="8"/>
  <c r="H46" i="8"/>
  <c r="I46" i="8"/>
  <c r="O46" i="8"/>
  <c r="P46" i="8"/>
  <c r="D47" i="8"/>
  <c r="H47" i="8"/>
  <c r="L47" i="8"/>
  <c r="O47" i="8"/>
  <c r="P47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C49" i="8"/>
  <c r="D49" i="8"/>
  <c r="H49" i="8"/>
  <c r="J49" i="8"/>
  <c r="K49" i="8"/>
  <c r="L49" i="8"/>
  <c r="M49" i="8"/>
  <c r="O49" i="8"/>
  <c r="P49" i="8"/>
  <c r="F50" i="8"/>
  <c r="H50" i="8"/>
  <c r="O50" i="8"/>
  <c r="P50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D52" i="8"/>
  <c r="E52" i="8"/>
  <c r="F52" i="8"/>
  <c r="G52" i="8"/>
  <c r="H52" i="8"/>
  <c r="I52" i="8"/>
  <c r="J52" i="8"/>
  <c r="K52" i="8"/>
  <c r="L52" i="8"/>
  <c r="O52" i="8"/>
  <c r="P52" i="8"/>
  <c r="H53" i="8"/>
  <c r="N53" i="8"/>
  <c r="O53" i="8"/>
  <c r="P53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H55" i="8"/>
  <c r="O55" i="8"/>
  <c r="P55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C57" i="8"/>
  <c r="D57" i="8"/>
  <c r="E57" i="8"/>
  <c r="H57" i="8"/>
  <c r="O57" i="8"/>
  <c r="P57" i="8"/>
  <c r="C58" i="8"/>
  <c r="E58" i="8"/>
  <c r="F58" i="8"/>
  <c r="H58" i="8"/>
  <c r="I58" i="8"/>
  <c r="K58" i="8"/>
  <c r="O58" i="8"/>
  <c r="P58" i="8"/>
  <c r="D59" i="8"/>
  <c r="E59" i="8"/>
  <c r="F59" i="8"/>
  <c r="G59" i="8"/>
  <c r="H59" i="8"/>
  <c r="J59" i="8"/>
  <c r="K59" i="8"/>
  <c r="L59" i="8"/>
  <c r="N59" i="8"/>
  <c r="O59" i="8"/>
  <c r="P59" i="8"/>
  <c r="G60" i="8"/>
  <c r="H60" i="8"/>
  <c r="O60" i="8"/>
  <c r="P60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H62" i="8"/>
  <c r="N62" i="8"/>
  <c r="O62" i="8"/>
  <c r="P62" i="8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H65" i="8"/>
  <c r="M65" i="8"/>
  <c r="O65" i="8"/>
  <c r="P65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H68" i="8"/>
  <c r="O68" i="8"/>
  <c r="P68" i="8"/>
  <c r="B4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H5" i="9"/>
  <c r="O5" i="9"/>
  <c r="P5" i="9"/>
  <c r="H6" i="9"/>
  <c r="O6" i="9"/>
  <c r="P6" i="9"/>
  <c r="H7" i="9"/>
  <c r="O7" i="9"/>
  <c r="P7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H9" i="9"/>
  <c r="O9" i="9"/>
  <c r="P9" i="9"/>
  <c r="H10" i="9"/>
  <c r="O10" i="9"/>
  <c r="P10" i="9"/>
  <c r="H11" i="9"/>
  <c r="O11" i="9"/>
  <c r="P11" i="9"/>
  <c r="H12" i="9"/>
  <c r="O12" i="9"/>
  <c r="P12" i="9"/>
  <c r="H13" i="9"/>
  <c r="O13" i="9"/>
  <c r="P13" i="9"/>
  <c r="H14" i="9"/>
  <c r="O14" i="9"/>
  <c r="P14" i="9"/>
  <c r="H15" i="9"/>
  <c r="O15" i="9"/>
  <c r="P15" i="9"/>
  <c r="H16" i="9"/>
  <c r="O16" i="9"/>
  <c r="P16" i="9"/>
  <c r="H17" i="9"/>
  <c r="O17" i="9"/>
  <c r="P17" i="9"/>
  <c r="H18" i="9"/>
  <c r="O18" i="9"/>
  <c r="P18" i="9"/>
  <c r="H19" i="9"/>
  <c r="O19" i="9"/>
  <c r="P19" i="9"/>
  <c r="H20" i="9"/>
  <c r="O20" i="9"/>
  <c r="P20" i="9"/>
  <c r="H21" i="9"/>
  <c r="O21" i="9"/>
  <c r="P21" i="9"/>
  <c r="H22" i="9"/>
  <c r="O22" i="9"/>
  <c r="P22" i="9"/>
  <c r="H23" i="9"/>
  <c r="O23" i="9"/>
  <c r="P23" i="9"/>
  <c r="H24" i="9"/>
  <c r="O24" i="9"/>
  <c r="P24" i="9"/>
  <c r="H25" i="9"/>
  <c r="O25" i="9"/>
  <c r="P25" i="9"/>
  <c r="H26" i="9"/>
  <c r="O26" i="9"/>
  <c r="P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H31" i="9"/>
  <c r="O31" i="9"/>
  <c r="P31" i="9"/>
  <c r="H32" i="9"/>
  <c r="O32" i="9"/>
  <c r="P32" i="9"/>
  <c r="H33" i="9"/>
  <c r="O33" i="9"/>
  <c r="P33" i="9"/>
  <c r="H34" i="9"/>
  <c r="O34" i="9"/>
  <c r="P34" i="9"/>
  <c r="H35" i="9"/>
  <c r="O35" i="9"/>
  <c r="P35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H37" i="9"/>
  <c r="O37" i="9"/>
  <c r="P37" i="9"/>
  <c r="H38" i="9"/>
  <c r="O38" i="9"/>
  <c r="P38" i="9"/>
  <c r="H39" i="9"/>
  <c r="O39" i="9"/>
  <c r="P39" i="9"/>
  <c r="H40" i="9"/>
  <c r="O40" i="9"/>
  <c r="P40" i="9"/>
  <c r="H41" i="9"/>
  <c r="O41" i="9"/>
  <c r="P41" i="9"/>
  <c r="H42" i="9"/>
  <c r="O42" i="9"/>
  <c r="P42" i="9"/>
  <c r="H43" i="9"/>
  <c r="O43" i="9"/>
  <c r="P43" i="9"/>
  <c r="H44" i="9"/>
  <c r="O44" i="9"/>
  <c r="P44" i="9"/>
  <c r="H45" i="9"/>
  <c r="O45" i="9"/>
  <c r="P45" i="9"/>
  <c r="H46" i="9"/>
  <c r="O46" i="9"/>
  <c r="P46" i="9"/>
  <c r="H47" i="9"/>
  <c r="O47" i="9"/>
  <c r="P47" i="9"/>
  <c r="H48" i="9"/>
  <c r="O48" i="9"/>
  <c r="P48" i="9"/>
  <c r="H49" i="9"/>
  <c r="O49" i="9"/>
  <c r="P49" i="9"/>
  <c r="H50" i="9"/>
  <c r="O50" i="9"/>
  <c r="P50" i="9"/>
  <c r="H51" i="9"/>
  <c r="O51" i="9"/>
  <c r="P51" i="9"/>
  <c r="H52" i="9"/>
  <c r="O52" i="9"/>
  <c r="P52" i="9"/>
  <c r="H53" i="9"/>
  <c r="O53" i="9"/>
  <c r="P53" i="9"/>
  <c r="H54" i="9"/>
  <c r="O54" i="9"/>
  <c r="P54" i="9"/>
  <c r="H55" i="9"/>
  <c r="O55" i="9"/>
  <c r="P55" i="9"/>
  <c r="H56" i="9"/>
  <c r="O56" i="9"/>
  <c r="P56" i="9"/>
  <c r="H57" i="9"/>
  <c r="O57" i="9"/>
  <c r="P57" i="9"/>
  <c r="H58" i="9"/>
  <c r="O58" i="9"/>
  <c r="P58" i="9"/>
  <c r="H59" i="9"/>
  <c r="O59" i="9"/>
  <c r="P59" i="9"/>
  <c r="H60" i="9"/>
  <c r="O60" i="9"/>
  <c r="P60" i="9"/>
  <c r="H61" i="9"/>
  <c r="O61" i="9"/>
  <c r="P61" i="9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H64" i="9"/>
  <c r="O64" i="9"/>
  <c r="P64" i="9"/>
  <c r="H65" i="9"/>
  <c r="O65" i="9"/>
  <c r="P65" i="9"/>
  <c r="B66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P66" i="9"/>
  <c r="H67" i="9"/>
  <c r="O67" i="9"/>
  <c r="P67" i="9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H5" i="7"/>
  <c r="O5" i="7"/>
  <c r="P5" i="7"/>
  <c r="H6" i="7"/>
  <c r="O6" i="7"/>
  <c r="P6" i="7"/>
  <c r="H7" i="7"/>
  <c r="O7" i="7"/>
  <c r="P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H9" i="7"/>
  <c r="O9" i="7"/>
  <c r="P9" i="7"/>
  <c r="H10" i="7"/>
  <c r="O10" i="7"/>
  <c r="P10" i="7"/>
  <c r="H11" i="7"/>
  <c r="O11" i="7"/>
  <c r="P11" i="7"/>
  <c r="H12" i="7"/>
  <c r="O12" i="7"/>
  <c r="P12" i="7"/>
  <c r="H13" i="7"/>
  <c r="O13" i="7"/>
  <c r="P13" i="7"/>
  <c r="H14" i="7"/>
  <c r="O14" i="7"/>
  <c r="P14" i="7"/>
  <c r="H15" i="7"/>
  <c r="O15" i="7"/>
  <c r="P15" i="7"/>
  <c r="O16" i="7"/>
  <c r="P16" i="7"/>
  <c r="O17" i="7"/>
  <c r="P17" i="7"/>
  <c r="H18" i="7"/>
  <c r="O18" i="7"/>
  <c r="P18" i="7"/>
  <c r="H19" i="7"/>
  <c r="O19" i="7"/>
  <c r="P19" i="7"/>
  <c r="H20" i="7"/>
  <c r="O20" i="7"/>
  <c r="P20" i="7"/>
  <c r="H21" i="7"/>
  <c r="O21" i="7"/>
  <c r="P21" i="7"/>
  <c r="H22" i="7"/>
  <c r="O22" i="7"/>
  <c r="P22" i="7"/>
  <c r="H23" i="7"/>
  <c r="O23" i="7"/>
  <c r="P23" i="7"/>
  <c r="H24" i="7"/>
  <c r="O24" i="7"/>
  <c r="P24" i="7"/>
  <c r="H25" i="7"/>
  <c r="O25" i="7"/>
  <c r="P25" i="7"/>
  <c r="H26" i="7"/>
  <c r="O26" i="7"/>
  <c r="P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H31" i="7"/>
  <c r="O31" i="7"/>
  <c r="P31" i="7"/>
  <c r="H32" i="7"/>
  <c r="O32" i="7"/>
  <c r="P32" i="7"/>
  <c r="H33" i="7"/>
  <c r="O33" i="7"/>
  <c r="P33" i="7"/>
  <c r="H34" i="7"/>
  <c r="O34" i="7"/>
  <c r="P34" i="7"/>
  <c r="H35" i="7"/>
  <c r="O35" i="7"/>
  <c r="P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H37" i="7"/>
  <c r="O37" i="7"/>
  <c r="P37" i="7"/>
  <c r="H38" i="7"/>
  <c r="O38" i="7"/>
  <c r="P38" i="7"/>
  <c r="H39" i="7"/>
  <c r="O39" i="7"/>
  <c r="P39" i="7"/>
  <c r="H40" i="7"/>
  <c r="O40" i="7"/>
  <c r="P40" i="7"/>
  <c r="H41" i="7"/>
  <c r="O41" i="7"/>
  <c r="P41" i="7"/>
  <c r="H42" i="7"/>
  <c r="O42" i="7"/>
  <c r="P42" i="7"/>
  <c r="H43" i="7"/>
  <c r="O43" i="7"/>
  <c r="P43" i="7"/>
  <c r="H44" i="7"/>
  <c r="O44" i="7"/>
  <c r="P44" i="7"/>
  <c r="H45" i="7"/>
  <c r="O45" i="7"/>
  <c r="P45" i="7"/>
  <c r="H46" i="7"/>
  <c r="O46" i="7"/>
  <c r="P46" i="7"/>
  <c r="H47" i="7"/>
  <c r="O47" i="7"/>
  <c r="P47" i="7"/>
  <c r="H48" i="7"/>
  <c r="O48" i="7"/>
  <c r="P48" i="7"/>
  <c r="H49" i="7"/>
  <c r="O49" i="7"/>
  <c r="P49" i="7"/>
  <c r="H50" i="7"/>
  <c r="O50" i="7"/>
  <c r="P50" i="7"/>
  <c r="H51" i="7"/>
  <c r="O51" i="7"/>
  <c r="P51" i="7"/>
  <c r="H52" i="7"/>
  <c r="O52" i="7"/>
  <c r="P52" i="7"/>
  <c r="H53" i="7"/>
  <c r="O53" i="7"/>
  <c r="P53" i="7"/>
  <c r="H54" i="7"/>
  <c r="O54" i="7"/>
  <c r="P54" i="7"/>
  <c r="H55" i="7"/>
  <c r="O55" i="7"/>
  <c r="P55" i="7"/>
  <c r="H56" i="7"/>
  <c r="O56" i="7"/>
  <c r="P56" i="7"/>
  <c r="H57" i="7"/>
  <c r="O57" i="7"/>
  <c r="P57" i="7"/>
  <c r="H58" i="7"/>
  <c r="O58" i="7"/>
  <c r="P58" i="7"/>
  <c r="H59" i="7"/>
  <c r="O59" i="7"/>
  <c r="P59" i="7"/>
  <c r="H60" i="7"/>
  <c r="O60" i="7"/>
  <c r="P60" i="7"/>
  <c r="H61" i="7"/>
  <c r="O61" i="7"/>
  <c r="P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H64" i="7"/>
  <c r="O64" i="7"/>
  <c r="P64" i="7"/>
  <c r="H65" i="7"/>
  <c r="O65" i="7"/>
  <c r="P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H67" i="7"/>
  <c r="O67" i="7"/>
  <c r="P67" i="7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H6" i="6"/>
  <c r="O6" i="6"/>
  <c r="P6" i="6"/>
  <c r="H7" i="6"/>
  <c r="O7" i="6"/>
  <c r="P7" i="6"/>
  <c r="H8" i="6"/>
  <c r="O8" i="6"/>
  <c r="P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H10" i="6"/>
  <c r="O10" i="6"/>
  <c r="P10" i="6"/>
  <c r="H11" i="6"/>
  <c r="O11" i="6"/>
  <c r="P11" i="6"/>
  <c r="H12" i="6"/>
  <c r="O12" i="6"/>
  <c r="P12" i="6"/>
  <c r="H13" i="6"/>
  <c r="O13" i="6"/>
  <c r="P13" i="6"/>
  <c r="H14" i="6"/>
  <c r="O14" i="6"/>
  <c r="P14" i="6"/>
  <c r="H15" i="6"/>
  <c r="O15" i="6"/>
  <c r="P15" i="6"/>
  <c r="H16" i="6"/>
  <c r="O16" i="6"/>
  <c r="P16" i="6"/>
  <c r="H17" i="6"/>
  <c r="O17" i="6"/>
  <c r="P17" i="6"/>
  <c r="H18" i="6"/>
  <c r="O18" i="6"/>
  <c r="P18" i="6"/>
  <c r="H19" i="6"/>
  <c r="O19" i="6"/>
  <c r="P19" i="6"/>
  <c r="H20" i="6"/>
  <c r="O20" i="6"/>
  <c r="P20" i="6"/>
  <c r="H21" i="6"/>
  <c r="O21" i="6"/>
  <c r="P21" i="6"/>
  <c r="H22" i="6"/>
  <c r="O22" i="6"/>
  <c r="P22" i="6"/>
  <c r="H23" i="6"/>
  <c r="O23" i="6"/>
  <c r="P23" i="6"/>
  <c r="H24" i="6"/>
  <c r="O24" i="6"/>
  <c r="P24" i="6"/>
  <c r="H25" i="6"/>
  <c r="O25" i="6"/>
  <c r="P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H27" i="6"/>
  <c r="H28" i="6"/>
  <c r="H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H31" i="6"/>
  <c r="O31" i="6"/>
  <c r="P31" i="6"/>
  <c r="H32" i="6"/>
  <c r="O32" i="6"/>
  <c r="P32" i="6"/>
  <c r="H33" i="6"/>
  <c r="O33" i="6"/>
  <c r="P33" i="6"/>
  <c r="H34" i="6"/>
  <c r="O34" i="6"/>
  <c r="P34" i="6"/>
  <c r="H35" i="6"/>
  <c r="O35" i="6"/>
  <c r="P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H37" i="6"/>
  <c r="O37" i="6"/>
  <c r="P37" i="6"/>
  <c r="H38" i="6"/>
  <c r="O38" i="6"/>
  <c r="P38" i="6"/>
  <c r="H39" i="6"/>
  <c r="O39" i="6"/>
  <c r="P39" i="6"/>
  <c r="H40" i="6"/>
  <c r="O40" i="6"/>
  <c r="P40" i="6"/>
  <c r="H41" i="6"/>
  <c r="O41" i="6"/>
  <c r="P41" i="6"/>
  <c r="H42" i="6"/>
  <c r="O42" i="6"/>
  <c r="P42" i="6"/>
  <c r="H43" i="6"/>
  <c r="O43" i="6"/>
  <c r="P43" i="6"/>
  <c r="H44" i="6"/>
  <c r="O44" i="6"/>
  <c r="P44" i="6"/>
  <c r="H45" i="6"/>
  <c r="O45" i="6"/>
  <c r="P45" i="6"/>
  <c r="H46" i="6"/>
  <c r="O46" i="6"/>
  <c r="P46" i="6"/>
  <c r="H47" i="6"/>
  <c r="O47" i="6"/>
  <c r="P47" i="6"/>
  <c r="H48" i="6"/>
  <c r="O48" i="6"/>
  <c r="P48" i="6"/>
  <c r="H49" i="6"/>
  <c r="O49" i="6"/>
  <c r="P49" i="6"/>
  <c r="H50" i="6"/>
  <c r="O50" i="6"/>
  <c r="P50" i="6"/>
  <c r="H51" i="6"/>
  <c r="O51" i="6"/>
  <c r="P51" i="6"/>
  <c r="H52" i="6"/>
  <c r="O52" i="6"/>
  <c r="P52" i="6"/>
  <c r="H53" i="6"/>
  <c r="O53" i="6"/>
  <c r="P53" i="6"/>
  <c r="H54" i="6"/>
  <c r="O54" i="6"/>
  <c r="P54" i="6"/>
  <c r="H55" i="6"/>
  <c r="O55" i="6"/>
  <c r="P55" i="6"/>
  <c r="H56" i="6"/>
  <c r="O56" i="6"/>
  <c r="P56" i="6"/>
  <c r="H57" i="6"/>
  <c r="O57" i="6"/>
  <c r="P57" i="6"/>
  <c r="H58" i="6"/>
  <c r="O58" i="6"/>
  <c r="P58" i="6"/>
  <c r="H59" i="6"/>
  <c r="O59" i="6"/>
  <c r="P59" i="6"/>
  <c r="H60" i="6"/>
  <c r="O60" i="6"/>
  <c r="P60" i="6"/>
  <c r="H61" i="6"/>
  <c r="O61" i="6"/>
  <c r="P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H65" i="6"/>
  <c r="O65" i="6"/>
  <c r="P65" i="6"/>
  <c r="H66" i="6"/>
  <c r="O66" i="6"/>
  <c r="P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H51" i="35"/>
  <c r="P51" i="35" s="1"/>
  <c r="L70" i="35"/>
  <c r="I70" i="35"/>
  <c r="O70" i="35"/>
  <c r="G71" i="35"/>
  <c r="G74" i="35" s="1"/>
  <c r="I35" i="35"/>
  <c r="O35" i="35" s="1"/>
  <c r="P28" i="35"/>
  <c r="F70" i="35" l="1"/>
  <c r="F71" i="35" s="1"/>
  <c r="F74" i="35" s="1"/>
  <c r="E35" i="35"/>
  <c r="E71" i="35" s="1"/>
  <c r="E74" i="35" s="1"/>
  <c r="D35" i="35"/>
  <c r="D71" i="35" s="1"/>
  <c r="D74" i="35" s="1"/>
  <c r="C35" i="35"/>
  <c r="B38" i="35"/>
  <c r="H38" i="35"/>
  <c r="P38" i="35" s="1"/>
  <c r="C70" i="35"/>
  <c r="I71" i="35"/>
  <c r="H9" i="35"/>
  <c r="P9" i="35" s="1"/>
  <c r="H40" i="35"/>
  <c r="P40" i="35" s="1"/>
  <c r="B4" i="35"/>
  <c r="H4" i="35" s="1"/>
  <c r="P4" i="35" s="1"/>
  <c r="B8" i="35"/>
  <c r="H8" i="35" s="1"/>
  <c r="P8" i="35" s="1"/>
  <c r="B44" i="35"/>
  <c r="C71" i="35" l="1"/>
  <c r="C74" i="35" s="1"/>
  <c r="I74" i="35"/>
  <c r="O74" i="35" s="1"/>
  <c r="O71" i="35"/>
  <c r="B35" i="35"/>
  <c r="H35" i="35" s="1"/>
  <c r="P35" i="35" s="1"/>
  <c r="B70" i="35"/>
  <c r="H44" i="35"/>
  <c r="P44" i="35" s="1"/>
  <c r="H70" i="35" l="1"/>
  <c r="P70" i="35" s="1"/>
  <c r="B71" i="35"/>
  <c r="H71" i="35" l="1"/>
  <c r="P71" i="35" s="1"/>
  <c r="B74" i="35"/>
  <c r="H74" i="35" s="1"/>
  <c r="P74" i="35" s="1"/>
  <c r="Q74" i="35" l="1"/>
</calcChain>
</file>

<file path=xl/sharedStrings.xml><?xml version="1.0" encoding="utf-8"?>
<sst xmlns="http://schemas.openxmlformats.org/spreadsheetml/2006/main" count="2378" uniqueCount="464">
  <si>
    <t>　１．会費</t>
    <rPh sb="3" eb="5">
      <t>カイヒ</t>
    </rPh>
    <phoneticPr fontId="3"/>
  </si>
  <si>
    <t>　　　　正会員</t>
    <rPh sb="4" eb="5">
      <t>セイ</t>
    </rPh>
    <rPh sb="5" eb="7">
      <t>カイイン</t>
    </rPh>
    <phoneticPr fontId="3"/>
  </si>
  <si>
    <t>　　　　利用会員</t>
    <rPh sb="4" eb="6">
      <t>リヨウ</t>
    </rPh>
    <rPh sb="6" eb="8">
      <t>カイイン</t>
    </rPh>
    <phoneticPr fontId="3"/>
  </si>
  <si>
    <t>　　　　賛助会員</t>
    <rPh sb="4" eb="6">
      <t>サンジョ</t>
    </rPh>
    <rPh sb="6" eb="8">
      <t>カイイン</t>
    </rPh>
    <phoneticPr fontId="3"/>
  </si>
  <si>
    <t>　２．事業収入</t>
    <rPh sb="3" eb="5">
      <t>ジギョウ</t>
    </rPh>
    <rPh sb="5" eb="7">
      <t>シュウニュウ</t>
    </rPh>
    <phoneticPr fontId="3"/>
  </si>
  <si>
    <t>　　　　居宅介護支援</t>
    <rPh sb="4" eb="6">
      <t>キョタク</t>
    </rPh>
    <rPh sb="6" eb="8">
      <t>カイゴ</t>
    </rPh>
    <rPh sb="8" eb="10">
      <t>シエン</t>
    </rPh>
    <phoneticPr fontId="3"/>
  </si>
  <si>
    <t>　　　　　　委託料・補助金</t>
    <rPh sb="6" eb="9">
      <t>イタクリョウ</t>
    </rPh>
    <rPh sb="10" eb="13">
      <t>ホジョキン</t>
    </rPh>
    <phoneticPr fontId="3"/>
  </si>
  <si>
    <t>　　　　通所介護</t>
    <rPh sb="4" eb="5">
      <t>ツウ</t>
    </rPh>
    <rPh sb="5" eb="6">
      <t>ショ</t>
    </rPh>
    <rPh sb="6" eb="8">
      <t>カイゴ</t>
    </rPh>
    <phoneticPr fontId="3"/>
  </si>
  <si>
    <r>
      <t>　　　　ミニ</t>
    </r>
    <r>
      <rPr>
        <sz val="10"/>
        <rFont val="ＭＳ Ｐゴシック"/>
        <family val="3"/>
        <charset val="128"/>
      </rPr>
      <t>デイサービス</t>
    </r>
    <phoneticPr fontId="3"/>
  </si>
  <si>
    <t>　　　　助け合い活動</t>
    <rPh sb="4" eb="5">
      <t>タス</t>
    </rPh>
    <rPh sb="6" eb="7">
      <t>ア</t>
    </rPh>
    <rPh sb="8" eb="10">
      <t>カツドウ</t>
    </rPh>
    <phoneticPr fontId="3"/>
  </si>
  <si>
    <t>　　　　預り保育</t>
    <rPh sb="4" eb="5">
      <t>アズカ</t>
    </rPh>
    <rPh sb="6" eb="8">
      <t>ホイク</t>
    </rPh>
    <phoneticPr fontId="3"/>
  </si>
  <si>
    <t>　３．寄付金収入</t>
    <rPh sb="3" eb="6">
      <t>キフキン</t>
    </rPh>
    <rPh sb="6" eb="8">
      <t>シュウニュウ</t>
    </rPh>
    <phoneticPr fontId="3"/>
  </si>
  <si>
    <t>　５．雑　収　入</t>
    <rPh sb="3" eb="4">
      <t>ザツ</t>
    </rPh>
    <rPh sb="5" eb="6">
      <t>オサム</t>
    </rPh>
    <rPh sb="7" eb="8">
      <t>イ</t>
    </rPh>
    <phoneticPr fontId="3"/>
  </si>
  <si>
    <t>経常収入合計　（A)</t>
    <rPh sb="0" eb="2">
      <t>ケイジョウ</t>
    </rPh>
    <rPh sb="2" eb="4">
      <t>シュウニュウ</t>
    </rPh>
    <rPh sb="4" eb="6">
      <t>ゴウケイ</t>
    </rPh>
    <phoneticPr fontId="3"/>
  </si>
  <si>
    <t>Ⅱ経常支出の部</t>
    <rPh sb="1" eb="3">
      <t>ケイジョウ</t>
    </rPh>
    <rPh sb="3" eb="5">
      <t>シシュツ</t>
    </rPh>
    <rPh sb="6" eb="7">
      <t>ブ</t>
    </rPh>
    <phoneticPr fontId="3"/>
  </si>
  <si>
    <t>　１．事業費</t>
    <rPh sb="3" eb="6">
      <t>ジギョウヒ</t>
    </rPh>
    <phoneticPr fontId="3"/>
  </si>
  <si>
    <t>　　１）人件費</t>
    <rPh sb="4" eb="7">
      <t>ジンケンヒ</t>
    </rPh>
    <phoneticPr fontId="3"/>
  </si>
  <si>
    <t>　　　　役員報酬</t>
    <rPh sb="4" eb="6">
      <t>ヤクイン</t>
    </rPh>
    <rPh sb="6" eb="8">
      <t>ホウシュウ</t>
    </rPh>
    <phoneticPr fontId="3"/>
  </si>
  <si>
    <t>　　　　給料・手当</t>
    <rPh sb="4" eb="6">
      <t>キュウリョウ</t>
    </rPh>
    <rPh sb="7" eb="9">
      <t>テアテ</t>
    </rPh>
    <phoneticPr fontId="3"/>
  </si>
  <si>
    <t>　　　　法定福利費</t>
    <rPh sb="4" eb="6">
      <t>ホウテイ</t>
    </rPh>
    <rPh sb="6" eb="8">
      <t>フクリ</t>
    </rPh>
    <rPh sb="8" eb="9">
      <t>ヒ</t>
    </rPh>
    <phoneticPr fontId="3"/>
  </si>
  <si>
    <t>　　２）経　　費</t>
    <rPh sb="4" eb="5">
      <t>キョウ</t>
    </rPh>
    <rPh sb="7" eb="8">
      <t>ヒ</t>
    </rPh>
    <phoneticPr fontId="3"/>
  </si>
  <si>
    <t>　　　　福利厚生費</t>
    <rPh sb="4" eb="6">
      <t>フクリ</t>
    </rPh>
    <rPh sb="6" eb="9">
      <t>コウセイヒ</t>
    </rPh>
    <phoneticPr fontId="3"/>
  </si>
  <si>
    <t>　　　　旅費・交通費</t>
    <rPh sb="4" eb="6">
      <t>リョヒ</t>
    </rPh>
    <rPh sb="7" eb="10">
      <t>コウツウヒ</t>
    </rPh>
    <phoneticPr fontId="3"/>
  </si>
  <si>
    <t>　　　　通　信　費</t>
    <rPh sb="4" eb="5">
      <t>ツウ</t>
    </rPh>
    <rPh sb="6" eb="7">
      <t>シン</t>
    </rPh>
    <rPh sb="8" eb="9">
      <t>ヒ</t>
    </rPh>
    <phoneticPr fontId="3"/>
  </si>
  <si>
    <t>　　　　事務用消耗品</t>
    <rPh sb="4" eb="6">
      <t>ジム</t>
    </rPh>
    <rPh sb="6" eb="7">
      <t>ヨウ</t>
    </rPh>
    <rPh sb="7" eb="9">
      <t>ショウモウ</t>
    </rPh>
    <rPh sb="9" eb="10">
      <t>ヒン</t>
    </rPh>
    <phoneticPr fontId="3"/>
  </si>
  <si>
    <t>　　　　会　議　費</t>
    <rPh sb="4" eb="5">
      <t>カイ</t>
    </rPh>
    <rPh sb="6" eb="7">
      <t>ギ</t>
    </rPh>
    <rPh sb="8" eb="9">
      <t>ヒ</t>
    </rPh>
    <phoneticPr fontId="3"/>
  </si>
  <si>
    <t>　　　　印　刷　費</t>
    <rPh sb="4" eb="5">
      <t>イン</t>
    </rPh>
    <rPh sb="6" eb="7">
      <t>サツ</t>
    </rPh>
    <rPh sb="8" eb="9">
      <t>ヒ</t>
    </rPh>
    <phoneticPr fontId="3"/>
  </si>
  <si>
    <t>　　　　広告宣伝費</t>
    <rPh sb="4" eb="6">
      <t>コウコク</t>
    </rPh>
    <rPh sb="6" eb="7">
      <t>セン</t>
    </rPh>
    <rPh sb="7" eb="8">
      <t>デン</t>
    </rPh>
    <rPh sb="8" eb="9">
      <t>ヒ</t>
    </rPh>
    <phoneticPr fontId="3"/>
  </si>
  <si>
    <t>　　　　図書新聞費</t>
    <rPh sb="4" eb="6">
      <t>トショ</t>
    </rPh>
    <rPh sb="6" eb="8">
      <t>シンブン</t>
    </rPh>
    <rPh sb="8" eb="9">
      <t>ヒ</t>
    </rPh>
    <phoneticPr fontId="3"/>
  </si>
  <si>
    <t>経常支出合計　（B)</t>
    <rPh sb="0" eb="2">
      <t>ケイジョウ</t>
    </rPh>
    <rPh sb="2" eb="4">
      <t>シシュツ</t>
    </rPh>
    <rPh sb="4" eb="6">
      <t>ゴウケイ</t>
    </rPh>
    <phoneticPr fontId="3"/>
  </si>
  <si>
    <t>Ⅲその他の収入</t>
    <rPh sb="3" eb="4">
      <t>タ</t>
    </rPh>
    <rPh sb="5" eb="7">
      <t>シュウニュウ</t>
    </rPh>
    <phoneticPr fontId="3"/>
  </si>
  <si>
    <t>Ⅳその他の支出</t>
    <rPh sb="3" eb="4">
      <t>タ</t>
    </rPh>
    <rPh sb="5" eb="7">
      <t>シシュツ</t>
    </rPh>
    <phoneticPr fontId="3"/>
  </si>
  <si>
    <t>　　　　水道光熱費</t>
    <rPh sb="4" eb="6">
      <t>スイドウ</t>
    </rPh>
    <rPh sb="6" eb="9">
      <t>コウネツヒ</t>
    </rPh>
    <phoneticPr fontId="3"/>
  </si>
  <si>
    <t>　　　　諸謝費・交際費</t>
    <rPh sb="4" eb="5">
      <t>ショ</t>
    </rPh>
    <rPh sb="5" eb="6">
      <t>シャ</t>
    </rPh>
    <rPh sb="6" eb="7">
      <t>ヒ</t>
    </rPh>
    <rPh sb="8" eb="11">
      <t>コウサイヒ</t>
    </rPh>
    <phoneticPr fontId="3"/>
  </si>
  <si>
    <t>　　　　負担金・会費</t>
    <rPh sb="4" eb="7">
      <t>フタンキン</t>
    </rPh>
    <rPh sb="8" eb="10">
      <t>カイヒ</t>
    </rPh>
    <phoneticPr fontId="3"/>
  </si>
  <si>
    <t>　　　　材料・教材費</t>
    <rPh sb="4" eb="5">
      <t>ザイ</t>
    </rPh>
    <rPh sb="5" eb="6">
      <t>リョウ</t>
    </rPh>
    <rPh sb="7" eb="9">
      <t>キョウザイ</t>
    </rPh>
    <rPh sb="9" eb="10">
      <t>ヒ</t>
    </rPh>
    <phoneticPr fontId="3"/>
  </si>
  <si>
    <t>　　　　地代家賃</t>
    <rPh sb="4" eb="6">
      <t>チダイ</t>
    </rPh>
    <rPh sb="6" eb="8">
      <t>ヤチン</t>
    </rPh>
    <phoneticPr fontId="3"/>
  </si>
  <si>
    <t>　　　　保守管理費</t>
    <rPh sb="4" eb="6">
      <t>ホシュ</t>
    </rPh>
    <rPh sb="6" eb="9">
      <t>カンリヒ</t>
    </rPh>
    <phoneticPr fontId="3"/>
  </si>
  <si>
    <t>　　　　租税公課</t>
    <rPh sb="4" eb="6">
      <t>ソゼイ</t>
    </rPh>
    <rPh sb="6" eb="8">
      <t>コウカ</t>
    </rPh>
    <phoneticPr fontId="3"/>
  </si>
  <si>
    <t>上期合計</t>
    <rPh sb="0" eb="2">
      <t>カミキ</t>
    </rPh>
    <rPh sb="2" eb="4">
      <t>ゴウケイ</t>
    </rPh>
    <phoneticPr fontId="3"/>
  </si>
  <si>
    <t>　</t>
    <phoneticPr fontId="3"/>
  </si>
  <si>
    <t>下期合計</t>
    <rPh sb="0" eb="2">
      <t>シモキ</t>
    </rPh>
    <rPh sb="2" eb="4">
      <t>ゴウケイ</t>
    </rPh>
    <phoneticPr fontId="3"/>
  </si>
  <si>
    <t>合　　　　計</t>
    <rPh sb="0" eb="1">
      <t>ゴウ</t>
    </rPh>
    <rPh sb="5" eb="6">
      <t>ケイ</t>
    </rPh>
    <phoneticPr fontId="3"/>
  </si>
  <si>
    <t>科　　　　　　目</t>
    <rPh sb="0" eb="1">
      <t>カ</t>
    </rPh>
    <rPh sb="7" eb="8">
      <t>メ</t>
    </rPh>
    <phoneticPr fontId="3"/>
  </si>
  <si>
    <t>Ⅰ経常収入の部</t>
    <rPh sb="1" eb="3">
      <t>ケイジョウ</t>
    </rPh>
    <rPh sb="3" eb="5">
      <t>シュウニュウ</t>
    </rPh>
    <rPh sb="6" eb="7">
      <t>ブ</t>
    </rPh>
    <phoneticPr fontId="3"/>
  </si>
  <si>
    <t>特定非営利活動法人　　ほっと大東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ダイトウ</t>
    </rPh>
    <phoneticPr fontId="3"/>
  </si>
  <si>
    <t>　　　　減価償却費</t>
    <rPh sb="4" eb="6">
      <t>ゲンカ</t>
    </rPh>
    <rPh sb="6" eb="8">
      <t>ショウキャク</t>
    </rPh>
    <rPh sb="8" eb="9">
      <t>ヒ</t>
    </rPh>
    <phoneticPr fontId="3"/>
  </si>
  <si>
    <t>　　　　賞　　　　与</t>
    <rPh sb="4" eb="5">
      <t>ショウ</t>
    </rPh>
    <rPh sb="9" eb="10">
      <t>クミ</t>
    </rPh>
    <phoneticPr fontId="3"/>
  </si>
  <si>
    <t>　　　　雑　　　　給</t>
    <rPh sb="4" eb="5">
      <t>ザツ</t>
    </rPh>
    <rPh sb="9" eb="10">
      <t>キュウ</t>
    </rPh>
    <phoneticPr fontId="3"/>
  </si>
  <si>
    <t>　　　　雑　　費</t>
    <rPh sb="4" eb="8">
      <t>ザッピ</t>
    </rPh>
    <phoneticPr fontId="3"/>
  </si>
  <si>
    <t>　　　　食　材　費</t>
    <rPh sb="4" eb="7">
      <t>ショクザイ</t>
    </rPh>
    <rPh sb="8" eb="9">
      <t>ヒ</t>
    </rPh>
    <phoneticPr fontId="3"/>
  </si>
  <si>
    <t>　　　　保　険　料</t>
    <rPh sb="4" eb="7">
      <t>ホケン</t>
    </rPh>
    <rPh sb="8" eb="9">
      <t>リョウ</t>
    </rPh>
    <phoneticPr fontId="3"/>
  </si>
  <si>
    <t>　　　　車　両　費</t>
    <rPh sb="4" eb="7">
      <t>シャリョウ</t>
    </rPh>
    <rPh sb="8" eb="9">
      <t>ヒ</t>
    </rPh>
    <phoneticPr fontId="3"/>
  </si>
  <si>
    <t>　　　　修　繕　費</t>
    <rPh sb="4" eb="9">
      <t>シュウゼンヒ</t>
    </rPh>
    <phoneticPr fontId="3"/>
  </si>
  <si>
    <t>　　　　賃　借　料</t>
    <rPh sb="4" eb="9">
      <t>チンシャクリョウ</t>
    </rPh>
    <phoneticPr fontId="3"/>
  </si>
  <si>
    <t>　　　　行　事　費</t>
    <rPh sb="4" eb="7">
      <t>ギョウジ</t>
    </rPh>
    <rPh sb="8" eb="9">
      <t>ヒ</t>
    </rPh>
    <phoneticPr fontId="3"/>
  </si>
  <si>
    <t>　　　　消耗　備品</t>
    <rPh sb="4" eb="6">
      <t>ショウモウ</t>
    </rPh>
    <rPh sb="7" eb="9">
      <t>ビヒン</t>
    </rPh>
    <phoneticPr fontId="3"/>
  </si>
  <si>
    <t>　　　　通所介護予防</t>
    <rPh sb="4" eb="5">
      <t>ツウ</t>
    </rPh>
    <rPh sb="5" eb="6">
      <t>ショ</t>
    </rPh>
    <rPh sb="6" eb="8">
      <t>カイゴ</t>
    </rPh>
    <rPh sb="8" eb="10">
      <t>ヨボウ</t>
    </rPh>
    <phoneticPr fontId="3"/>
  </si>
  <si>
    <t xml:space="preserve">  　　　　食　　費</t>
    <rPh sb="6" eb="7">
      <t>ショク</t>
    </rPh>
    <rPh sb="9" eb="10">
      <t>ヒ</t>
    </rPh>
    <phoneticPr fontId="3"/>
  </si>
  <si>
    <t>　　　　　食　　費</t>
    <rPh sb="5" eb="6">
      <t>ショク</t>
    </rPh>
    <rPh sb="8" eb="9">
      <t>ヒ</t>
    </rPh>
    <phoneticPr fontId="3"/>
  </si>
  <si>
    <t>収　支　差　額　（D)</t>
    <rPh sb="0" eb="1">
      <t>オサム</t>
    </rPh>
    <rPh sb="2" eb="3">
      <t>ササ</t>
    </rPh>
    <rPh sb="4" eb="5">
      <t>サ</t>
    </rPh>
    <rPh sb="6" eb="7">
      <t>ガク</t>
    </rPh>
    <phoneticPr fontId="3"/>
  </si>
  <si>
    <t>事業収支差額　（C)</t>
    <rPh sb="0" eb="2">
      <t>ジギョウ</t>
    </rPh>
    <rPh sb="2" eb="4">
      <t>シュウシ</t>
    </rPh>
    <rPh sb="4" eb="6">
      <t>サガク</t>
    </rPh>
    <phoneticPr fontId="3"/>
  </si>
  <si>
    <t>　　　　　　予防　委託料</t>
    <rPh sb="6" eb="8">
      <t>ヨボウ</t>
    </rPh>
    <rPh sb="9" eb="12">
      <t>イタクリョウ</t>
    </rPh>
    <phoneticPr fontId="3"/>
  </si>
  <si>
    <t>２１年　４月</t>
    <rPh sb="2" eb="3">
      <t>ネン</t>
    </rPh>
    <rPh sb="5" eb="6">
      <t>ツキ</t>
    </rPh>
    <phoneticPr fontId="3"/>
  </si>
  <si>
    <t>２１年　５月</t>
    <rPh sb="2" eb="3">
      <t>ネン</t>
    </rPh>
    <rPh sb="5" eb="6">
      <t>ツキ</t>
    </rPh>
    <phoneticPr fontId="3"/>
  </si>
  <si>
    <t>２１年　６月</t>
    <rPh sb="2" eb="3">
      <t>ネン</t>
    </rPh>
    <rPh sb="5" eb="6">
      <t>ツキ</t>
    </rPh>
    <phoneticPr fontId="3"/>
  </si>
  <si>
    <t>２１年　７月</t>
    <rPh sb="2" eb="3">
      <t>ネン</t>
    </rPh>
    <rPh sb="5" eb="6">
      <t>ツキ</t>
    </rPh>
    <phoneticPr fontId="3"/>
  </si>
  <si>
    <t>２１年　８月</t>
    <rPh sb="2" eb="3">
      <t>ネン</t>
    </rPh>
    <rPh sb="5" eb="6">
      <t>ツキ</t>
    </rPh>
    <phoneticPr fontId="3"/>
  </si>
  <si>
    <t>２１年　９月</t>
    <rPh sb="2" eb="3">
      <t>ネン</t>
    </rPh>
    <rPh sb="5" eb="6">
      <t>ツキ</t>
    </rPh>
    <phoneticPr fontId="3"/>
  </si>
  <si>
    <t>２１年　１０月</t>
    <rPh sb="2" eb="3">
      <t>ネン</t>
    </rPh>
    <rPh sb="6" eb="7">
      <t>ガツ</t>
    </rPh>
    <phoneticPr fontId="3"/>
  </si>
  <si>
    <t>２１年　１１月</t>
    <rPh sb="2" eb="3">
      <t>ネン</t>
    </rPh>
    <rPh sb="6" eb="7">
      <t>ツキ</t>
    </rPh>
    <phoneticPr fontId="3"/>
  </si>
  <si>
    <t>２１年　１２月</t>
    <rPh sb="2" eb="3">
      <t>ネン</t>
    </rPh>
    <rPh sb="6" eb="7">
      <t>ツキ</t>
    </rPh>
    <phoneticPr fontId="3"/>
  </si>
  <si>
    <t>２２年　１月</t>
    <rPh sb="2" eb="3">
      <t>ネン</t>
    </rPh>
    <rPh sb="5" eb="6">
      <t>ツキ</t>
    </rPh>
    <phoneticPr fontId="3"/>
  </si>
  <si>
    <t>２２年　２月</t>
    <rPh sb="2" eb="3">
      <t>ネン</t>
    </rPh>
    <rPh sb="5" eb="6">
      <t>ツキ</t>
    </rPh>
    <phoneticPr fontId="3"/>
  </si>
  <si>
    <t>２２年　３月</t>
    <rPh sb="2" eb="3">
      <t>ネン</t>
    </rPh>
    <rPh sb="5" eb="6">
      <t>ツキ</t>
    </rPh>
    <phoneticPr fontId="3"/>
  </si>
  <si>
    <t>平　　成　　２　　１　　年　　度　　収　　支　　実　　績</t>
    <rPh sb="0" eb="1">
      <t>ヒラ</t>
    </rPh>
    <rPh sb="3" eb="4">
      <t>シゲル</t>
    </rPh>
    <rPh sb="12" eb="13">
      <t>トシ</t>
    </rPh>
    <rPh sb="15" eb="16">
      <t>タビ</t>
    </rPh>
    <rPh sb="18" eb="19">
      <t>オサム</t>
    </rPh>
    <rPh sb="21" eb="22">
      <t>ササ</t>
    </rPh>
    <rPh sb="24" eb="28">
      <t>ジッセキ</t>
    </rPh>
    <phoneticPr fontId="3"/>
  </si>
  <si>
    <t>　　　　福祉有償移送</t>
    <rPh sb="4" eb="6">
      <t>フクシ</t>
    </rPh>
    <rPh sb="6" eb="8">
      <t>ユウショウ</t>
    </rPh>
    <rPh sb="8" eb="10">
      <t>イソウ</t>
    </rPh>
    <phoneticPr fontId="3"/>
  </si>
  <si>
    <t>　　　　ちゃれんじ</t>
    <phoneticPr fontId="3"/>
  </si>
  <si>
    <t>　　　　　　委託料</t>
    <rPh sb="6" eb="9">
      <t>イタクリョウ</t>
    </rPh>
    <phoneticPr fontId="3"/>
  </si>
  <si>
    <t>　　　　研　修　費</t>
    <rPh sb="4" eb="5">
      <t>ケン</t>
    </rPh>
    <rPh sb="6" eb="7">
      <t>オサム</t>
    </rPh>
    <rPh sb="8" eb="9">
      <t>ヒ</t>
    </rPh>
    <phoneticPr fontId="3"/>
  </si>
  <si>
    <r>
      <t>　４．</t>
    </r>
    <r>
      <rPr>
        <b/>
        <sz val="10"/>
        <rFont val="ＭＳ Ｐゴシック"/>
        <family val="3"/>
        <charset val="128"/>
      </rPr>
      <t>助成・交付金収入</t>
    </r>
    <rPh sb="3" eb="5">
      <t>ジョセイ</t>
    </rPh>
    <rPh sb="6" eb="8">
      <t>コウフ</t>
    </rPh>
    <rPh sb="8" eb="9">
      <t>キン</t>
    </rPh>
    <rPh sb="9" eb="11">
      <t>シュウニュウ</t>
    </rPh>
    <phoneticPr fontId="3"/>
  </si>
  <si>
    <t>平　　成　　２　　２　　年　　度　　収　　支　　実　　績</t>
    <rPh sb="0" eb="1">
      <t>ヒラ</t>
    </rPh>
    <rPh sb="3" eb="4">
      <t>シゲル</t>
    </rPh>
    <rPh sb="12" eb="13">
      <t>トシ</t>
    </rPh>
    <rPh sb="15" eb="16">
      <t>タビ</t>
    </rPh>
    <rPh sb="18" eb="19">
      <t>オサム</t>
    </rPh>
    <rPh sb="21" eb="22">
      <t>ササ</t>
    </rPh>
    <rPh sb="24" eb="28">
      <t>ジッセキ</t>
    </rPh>
    <phoneticPr fontId="3"/>
  </si>
  <si>
    <t>２２年　４月</t>
    <rPh sb="2" eb="3">
      <t>ネン</t>
    </rPh>
    <rPh sb="5" eb="6">
      <t>ツキ</t>
    </rPh>
    <phoneticPr fontId="3"/>
  </si>
  <si>
    <t>２２年　５月</t>
    <rPh sb="2" eb="3">
      <t>ネン</t>
    </rPh>
    <rPh sb="5" eb="6">
      <t>ツキ</t>
    </rPh>
    <phoneticPr fontId="3"/>
  </si>
  <si>
    <t>２２年　６月</t>
    <rPh sb="2" eb="3">
      <t>ネン</t>
    </rPh>
    <rPh sb="5" eb="6">
      <t>ツキ</t>
    </rPh>
    <phoneticPr fontId="3"/>
  </si>
  <si>
    <t>２２年　７月</t>
    <rPh sb="2" eb="3">
      <t>ネン</t>
    </rPh>
    <rPh sb="5" eb="6">
      <t>ツキ</t>
    </rPh>
    <phoneticPr fontId="3"/>
  </si>
  <si>
    <t>２２年　８月</t>
    <rPh sb="2" eb="3">
      <t>ネン</t>
    </rPh>
    <rPh sb="5" eb="6">
      <t>ツキ</t>
    </rPh>
    <phoneticPr fontId="3"/>
  </si>
  <si>
    <t>２２年　９月</t>
    <rPh sb="2" eb="3">
      <t>ネン</t>
    </rPh>
    <rPh sb="5" eb="6">
      <t>ツキ</t>
    </rPh>
    <phoneticPr fontId="3"/>
  </si>
  <si>
    <t>２２年　１０月</t>
    <rPh sb="2" eb="3">
      <t>ネン</t>
    </rPh>
    <rPh sb="6" eb="7">
      <t>ガツ</t>
    </rPh>
    <phoneticPr fontId="3"/>
  </si>
  <si>
    <t>２２年　１１月</t>
    <rPh sb="2" eb="3">
      <t>ネン</t>
    </rPh>
    <rPh sb="6" eb="7">
      <t>ツキ</t>
    </rPh>
    <phoneticPr fontId="3"/>
  </si>
  <si>
    <t>２２年　１２月</t>
    <rPh sb="2" eb="3">
      <t>ネン</t>
    </rPh>
    <rPh sb="6" eb="7">
      <t>ツキ</t>
    </rPh>
    <phoneticPr fontId="3"/>
  </si>
  <si>
    <t>２３年　１月</t>
    <rPh sb="2" eb="3">
      <t>ネン</t>
    </rPh>
    <rPh sb="5" eb="6">
      <t>ツキ</t>
    </rPh>
    <phoneticPr fontId="3"/>
  </si>
  <si>
    <t>２３年　２月</t>
    <rPh sb="2" eb="3">
      <t>ネン</t>
    </rPh>
    <rPh sb="5" eb="6">
      <t>ツキ</t>
    </rPh>
    <phoneticPr fontId="3"/>
  </si>
  <si>
    <t>２３年　３月</t>
    <rPh sb="2" eb="3">
      <t>ネン</t>
    </rPh>
    <rPh sb="5" eb="6">
      <t>ツキ</t>
    </rPh>
    <phoneticPr fontId="3"/>
  </si>
  <si>
    <t>　　　居宅介護支援</t>
    <rPh sb="3" eb="5">
      <t>キョタク</t>
    </rPh>
    <rPh sb="5" eb="7">
      <t>カイゴ</t>
    </rPh>
    <rPh sb="7" eb="9">
      <t>シエン</t>
    </rPh>
    <phoneticPr fontId="3"/>
  </si>
  <si>
    <t>　　　通所介護</t>
    <rPh sb="3" eb="4">
      <t>ツウ</t>
    </rPh>
    <rPh sb="4" eb="5">
      <t>ショ</t>
    </rPh>
    <rPh sb="5" eb="7">
      <t>カイゴ</t>
    </rPh>
    <phoneticPr fontId="3"/>
  </si>
  <si>
    <t>　　　通所介護予防</t>
    <rPh sb="3" eb="4">
      <t>ツウ</t>
    </rPh>
    <rPh sb="4" eb="5">
      <t>ショ</t>
    </rPh>
    <rPh sb="5" eb="7">
      <t>カイゴ</t>
    </rPh>
    <rPh sb="7" eb="9">
      <t>ヨボウ</t>
    </rPh>
    <phoneticPr fontId="3"/>
  </si>
  <si>
    <t>　　　助け合い活動</t>
    <rPh sb="3" eb="4">
      <t>タス</t>
    </rPh>
    <rPh sb="5" eb="6">
      <t>ア</t>
    </rPh>
    <rPh sb="7" eb="9">
      <t>カツドウ</t>
    </rPh>
    <phoneticPr fontId="3"/>
  </si>
  <si>
    <t>　　　福祉有償移送</t>
    <rPh sb="3" eb="5">
      <t>フクシ</t>
    </rPh>
    <rPh sb="5" eb="7">
      <t>ユウショウ</t>
    </rPh>
    <rPh sb="7" eb="9">
      <t>イソウ</t>
    </rPh>
    <phoneticPr fontId="3"/>
  </si>
  <si>
    <t>　　　　　委　託　料</t>
    <rPh sb="5" eb="6">
      <t>イ</t>
    </rPh>
    <rPh sb="7" eb="8">
      <t>コトヅケ</t>
    </rPh>
    <rPh sb="9" eb="10">
      <t>リョウ</t>
    </rPh>
    <phoneticPr fontId="3"/>
  </si>
  <si>
    <t>　　　　役　員　報　酬</t>
    <rPh sb="4" eb="5">
      <t>エキ</t>
    </rPh>
    <rPh sb="6" eb="7">
      <t>イン</t>
    </rPh>
    <rPh sb="8" eb="9">
      <t>ホウ</t>
    </rPh>
    <rPh sb="10" eb="11">
      <t>シュウ</t>
    </rPh>
    <phoneticPr fontId="3"/>
  </si>
  <si>
    <t>　　　　給　料・手　当</t>
    <rPh sb="4" eb="5">
      <t>キュウ</t>
    </rPh>
    <rPh sb="6" eb="7">
      <t>リョウ</t>
    </rPh>
    <rPh sb="8" eb="9">
      <t>テ</t>
    </rPh>
    <rPh sb="10" eb="11">
      <t>トウ</t>
    </rPh>
    <phoneticPr fontId="3"/>
  </si>
  <si>
    <t>　　　　雑　　　　　　給</t>
    <rPh sb="4" eb="5">
      <t>ザツ</t>
    </rPh>
    <rPh sb="11" eb="12">
      <t>キュウ</t>
    </rPh>
    <phoneticPr fontId="3"/>
  </si>
  <si>
    <t>　　　　通　　信　　費</t>
    <rPh sb="4" eb="5">
      <t>ツウ</t>
    </rPh>
    <rPh sb="7" eb="8">
      <t>シン</t>
    </rPh>
    <rPh sb="10" eb="11">
      <t>ヒ</t>
    </rPh>
    <phoneticPr fontId="3"/>
  </si>
  <si>
    <t>　　　　備　　　　　品</t>
    <rPh sb="4" eb="5">
      <t>ソナエ</t>
    </rPh>
    <rPh sb="10" eb="11">
      <t>ヒン</t>
    </rPh>
    <phoneticPr fontId="3"/>
  </si>
  <si>
    <t>　　　　会　　議　　費</t>
    <rPh sb="4" eb="5">
      <t>カイ</t>
    </rPh>
    <rPh sb="7" eb="8">
      <t>ギ</t>
    </rPh>
    <rPh sb="10" eb="11">
      <t>ヒ</t>
    </rPh>
    <phoneticPr fontId="3"/>
  </si>
  <si>
    <t>　　　　印　　刷　　費</t>
    <rPh sb="4" eb="5">
      <t>イン</t>
    </rPh>
    <rPh sb="7" eb="8">
      <t>サツ</t>
    </rPh>
    <rPh sb="10" eb="11">
      <t>ヒ</t>
    </rPh>
    <phoneticPr fontId="3"/>
  </si>
  <si>
    <t>　　　　研　　修　　費</t>
    <rPh sb="4" eb="5">
      <t>ケン</t>
    </rPh>
    <rPh sb="7" eb="8">
      <t>オサム</t>
    </rPh>
    <rPh sb="10" eb="11">
      <t>ヒ</t>
    </rPh>
    <phoneticPr fontId="3"/>
  </si>
  <si>
    <t>　　　　謝費・交際費</t>
    <rPh sb="4" eb="5">
      <t>シャ</t>
    </rPh>
    <rPh sb="5" eb="6">
      <t>ヒ</t>
    </rPh>
    <rPh sb="7" eb="10">
      <t>コウサイヒ</t>
    </rPh>
    <phoneticPr fontId="3"/>
  </si>
  <si>
    <t>　　　　食　　材　　費</t>
    <rPh sb="4" eb="5">
      <t>ショク</t>
    </rPh>
    <rPh sb="7" eb="8">
      <t>ザイ</t>
    </rPh>
    <rPh sb="10" eb="11">
      <t>ヒ</t>
    </rPh>
    <phoneticPr fontId="3"/>
  </si>
  <si>
    <t>　　　　保　　険　　料</t>
    <rPh sb="4" eb="5">
      <t>ホ</t>
    </rPh>
    <rPh sb="7" eb="8">
      <t>ケン</t>
    </rPh>
    <rPh sb="10" eb="11">
      <t>リョウ</t>
    </rPh>
    <phoneticPr fontId="3"/>
  </si>
  <si>
    <t>　　　　車　　両　　費</t>
    <rPh sb="4" eb="5">
      <t>クルマ</t>
    </rPh>
    <rPh sb="7" eb="8">
      <t>リョウ</t>
    </rPh>
    <rPh sb="10" eb="11">
      <t>ヒ</t>
    </rPh>
    <phoneticPr fontId="3"/>
  </si>
  <si>
    <t>　　　　修　　繕　　費</t>
    <rPh sb="4" eb="5">
      <t>シュウ</t>
    </rPh>
    <rPh sb="7" eb="8">
      <t>ヅクロイ</t>
    </rPh>
    <rPh sb="10" eb="11">
      <t>ヒ</t>
    </rPh>
    <phoneticPr fontId="3"/>
  </si>
  <si>
    <t>　　　　賃　　借　　料</t>
    <rPh sb="4" eb="5">
      <t>チン</t>
    </rPh>
    <rPh sb="7" eb="8">
      <t>シャク</t>
    </rPh>
    <rPh sb="10" eb="11">
      <t>リョウ</t>
    </rPh>
    <phoneticPr fontId="3"/>
  </si>
  <si>
    <t>　　　　行　　事　　費</t>
    <rPh sb="4" eb="5">
      <t>ユキ</t>
    </rPh>
    <rPh sb="7" eb="8">
      <t>ジ</t>
    </rPh>
    <rPh sb="10" eb="11">
      <t>ヒ</t>
    </rPh>
    <phoneticPr fontId="3"/>
  </si>
  <si>
    <t>　　　　雑　　　　　費</t>
    <rPh sb="4" eb="5">
      <t>ザツ</t>
    </rPh>
    <rPh sb="10" eb="11">
      <t>ヒ</t>
    </rPh>
    <phoneticPr fontId="3"/>
  </si>
  <si>
    <t>長期借入金返済額</t>
    <rPh sb="0" eb="2">
      <t>チョウキ</t>
    </rPh>
    <rPh sb="2" eb="4">
      <t>カリイレ</t>
    </rPh>
    <rPh sb="4" eb="5">
      <t>キン</t>
    </rPh>
    <rPh sb="5" eb="7">
      <t>ヘンサイ</t>
    </rPh>
    <rPh sb="7" eb="8">
      <t>ガク</t>
    </rPh>
    <phoneticPr fontId="3"/>
  </si>
  <si>
    <t>　　　　賞　　　　　与</t>
    <rPh sb="4" eb="5">
      <t>ショウ</t>
    </rPh>
    <rPh sb="10" eb="11">
      <t>クミ</t>
    </rPh>
    <phoneticPr fontId="3"/>
  </si>
  <si>
    <t>　　　預り保育　（園児）</t>
    <rPh sb="3" eb="4">
      <t>アズカ</t>
    </rPh>
    <rPh sb="5" eb="7">
      <t>ホイク</t>
    </rPh>
    <rPh sb="9" eb="10">
      <t>エン</t>
    </rPh>
    <rPh sb="10" eb="11">
      <t>ジ</t>
    </rPh>
    <phoneticPr fontId="3"/>
  </si>
  <si>
    <t>　　　ミニデイサービス</t>
    <phoneticPr fontId="3"/>
  </si>
  <si>
    <t>認知症対応通所介護</t>
    <rPh sb="0" eb="2">
      <t>ニンチ</t>
    </rPh>
    <rPh sb="2" eb="3">
      <t>ショウ</t>
    </rPh>
    <rPh sb="3" eb="5">
      <t>タイオウ</t>
    </rPh>
    <rPh sb="5" eb="7">
      <t>ツウショ</t>
    </rPh>
    <rPh sb="7" eb="9">
      <t>カイゴ</t>
    </rPh>
    <phoneticPr fontId="3"/>
  </si>
  <si>
    <t>　　　　地　代　家　賃</t>
    <rPh sb="4" eb="5">
      <t>チ</t>
    </rPh>
    <rPh sb="6" eb="7">
      <t>ダイ</t>
    </rPh>
    <rPh sb="8" eb="9">
      <t>ケ</t>
    </rPh>
    <rPh sb="10" eb="11">
      <t>チン</t>
    </rPh>
    <phoneticPr fontId="3"/>
  </si>
  <si>
    <t>　　　　租　税　公　課</t>
    <rPh sb="4" eb="5">
      <t>ソ</t>
    </rPh>
    <rPh sb="6" eb="7">
      <t>ゼイ</t>
    </rPh>
    <rPh sb="8" eb="9">
      <t>コウ</t>
    </rPh>
    <rPh sb="10" eb="11">
      <t>カ</t>
    </rPh>
    <phoneticPr fontId="3"/>
  </si>
  <si>
    <r>
      <t>Ⅰ　</t>
    </r>
    <r>
      <rPr>
        <b/>
        <sz val="11"/>
        <rFont val="ＭＳ Ｐゴシック"/>
        <family val="3"/>
        <charset val="128"/>
      </rPr>
      <t>経常収入の部</t>
    </r>
    <rPh sb="2" eb="4">
      <t>ケイジョウ</t>
    </rPh>
    <rPh sb="4" eb="6">
      <t>シュウニュウ</t>
    </rPh>
    <rPh sb="7" eb="8">
      <t>ブ</t>
    </rPh>
    <phoneticPr fontId="3"/>
  </si>
  <si>
    <t>Ⅱ　経常支出の部</t>
    <rPh sb="2" eb="4">
      <t>ケイジョウ</t>
    </rPh>
    <rPh sb="4" eb="6">
      <t>シシュツ</t>
    </rPh>
    <rPh sb="7" eb="8">
      <t>ブ</t>
    </rPh>
    <phoneticPr fontId="3"/>
  </si>
  <si>
    <t>　４．助成金・交付金</t>
    <rPh sb="3" eb="5">
      <t>ジョセイ</t>
    </rPh>
    <rPh sb="5" eb="6">
      <t>キン</t>
    </rPh>
    <rPh sb="7" eb="9">
      <t>コウフ</t>
    </rPh>
    <rPh sb="9" eb="10">
      <t>キン</t>
    </rPh>
    <phoneticPr fontId="3"/>
  </si>
  <si>
    <t>Ⅲ　その他の収入</t>
    <rPh sb="4" eb="5">
      <t>タ</t>
    </rPh>
    <rPh sb="6" eb="8">
      <t>シュウニュウ</t>
    </rPh>
    <phoneticPr fontId="3"/>
  </si>
  <si>
    <t>Ⅳ　その他の支出</t>
    <rPh sb="4" eb="5">
      <t>タ</t>
    </rPh>
    <rPh sb="6" eb="8">
      <t>シシュツ</t>
    </rPh>
    <phoneticPr fontId="3"/>
  </si>
  <si>
    <t>　　　　委託料・補助金</t>
    <rPh sb="4" eb="7">
      <t>イタクリョウ</t>
    </rPh>
    <rPh sb="8" eb="11">
      <t>ホジョキン</t>
    </rPh>
    <phoneticPr fontId="3"/>
  </si>
  <si>
    <t>　　　　予防　委託料</t>
    <rPh sb="4" eb="6">
      <t>ヨボウ</t>
    </rPh>
    <rPh sb="7" eb="10">
      <t>イタクリョウ</t>
    </rPh>
    <phoneticPr fontId="3"/>
  </si>
  <si>
    <t>　　　ちゃれんじ（学童）</t>
    <rPh sb="9" eb="11">
      <t>ガクドウ</t>
    </rPh>
    <phoneticPr fontId="3"/>
  </si>
  <si>
    <t>23年　4月</t>
    <rPh sb="2" eb="3">
      <t>ネン</t>
    </rPh>
    <rPh sb="5" eb="6">
      <t>ツキ</t>
    </rPh>
    <phoneticPr fontId="3"/>
  </si>
  <si>
    <t>23年　5月</t>
    <rPh sb="2" eb="3">
      <t>ネン</t>
    </rPh>
    <rPh sb="5" eb="6">
      <t>ツキ</t>
    </rPh>
    <phoneticPr fontId="3"/>
  </si>
  <si>
    <t>23年　6月</t>
    <rPh sb="2" eb="3">
      <t>ネン</t>
    </rPh>
    <rPh sb="5" eb="6">
      <t>ツキ</t>
    </rPh>
    <phoneticPr fontId="3"/>
  </si>
  <si>
    <t>23年　7月</t>
    <rPh sb="2" eb="3">
      <t>ネン</t>
    </rPh>
    <rPh sb="5" eb="6">
      <t>ツキ</t>
    </rPh>
    <phoneticPr fontId="3"/>
  </si>
  <si>
    <t>23年　8月</t>
    <rPh sb="2" eb="3">
      <t>ネン</t>
    </rPh>
    <rPh sb="5" eb="6">
      <t>ツキ</t>
    </rPh>
    <phoneticPr fontId="3"/>
  </si>
  <si>
    <t>23年　9月</t>
    <rPh sb="2" eb="3">
      <t>ネン</t>
    </rPh>
    <rPh sb="5" eb="6">
      <t>ツキ</t>
    </rPh>
    <phoneticPr fontId="3"/>
  </si>
  <si>
    <t>23年　10月</t>
    <rPh sb="2" eb="3">
      <t>ネン</t>
    </rPh>
    <rPh sb="6" eb="7">
      <t>ツキ</t>
    </rPh>
    <phoneticPr fontId="3"/>
  </si>
  <si>
    <t>23年　11月</t>
    <rPh sb="2" eb="3">
      <t>ネン</t>
    </rPh>
    <rPh sb="6" eb="7">
      <t>ツキ</t>
    </rPh>
    <phoneticPr fontId="3"/>
  </si>
  <si>
    <t>23年　12月</t>
    <rPh sb="2" eb="3">
      <t>ネン</t>
    </rPh>
    <rPh sb="6" eb="7">
      <t>ツキ</t>
    </rPh>
    <phoneticPr fontId="3"/>
  </si>
  <si>
    <t>24年　1月</t>
    <rPh sb="2" eb="3">
      <t>ネン</t>
    </rPh>
    <rPh sb="5" eb="6">
      <t>ツキ</t>
    </rPh>
    <phoneticPr fontId="3"/>
  </si>
  <si>
    <t>24年　2月</t>
    <rPh sb="2" eb="3">
      <t>ネン</t>
    </rPh>
    <rPh sb="5" eb="6">
      <t>ツキ</t>
    </rPh>
    <phoneticPr fontId="3"/>
  </si>
  <si>
    <t>24年　3月</t>
    <rPh sb="2" eb="3">
      <t>ネン</t>
    </rPh>
    <rPh sb="5" eb="6">
      <t>ツキ</t>
    </rPh>
    <phoneticPr fontId="3"/>
  </si>
  <si>
    <t>平　　成　　2 3　　年　　度 　月　 別　　収　　支　　実　　績</t>
    <rPh sb="0" eb="1">
      <t>ヒラ</t>
    </rPh>
    <rPh sb="3" eb="4">
      <t>シゲル</t>
    </rPh>
    <rPh sb="11" eb="12">
      <t>トシ</t>
    </rPh>
    <rPh sb="14" eb="15">
      <t>タビ</t>
    </rPh>
    <rPh sb="17" eb="18">
      <t>ゲツ</t>
    </rPh>
    <rPh sb="20" eb="21">
      <t>ベツ</t>
    </rPh>
    <rPh sb="23" eb="24">
      <t>オサム</t>
    </rPh>
    <rPh sb="26" eb="27">
      <t>ササ</t>
    </rPh>
    <rPh sb="29" eb="33">
      <t>ジッセキ</t>
    </rPh>
    <phoneticPr fontId="3"/>
  </si>
  <si>
    <t>平　　成　　2  3　　年　　度　　収　　支　　予　　測</t>
    <rPh sb="0" eb="1">
      <t>ヒラ</t>
    </rPh>
    <rPh sb="3" eb="4">
      <t>シゲル</t>
    </rPh>
    <rPh sb="12" eb="13">
      <t>トシ</t>
    </rPh>
    <rPh sb="15" eb="16">
      <t>タビ</t>
    </rPh>
    <rPh sb="18" eb="19">
      <t>オサム</t>
    </rPh>
    <rPh sb="21" eb="22">
      <t>ササ</t>
    </rPh>
    <rPh sb="24" eb="25">
      <t>ヨ</t>
    </rPh>
    <rPh sb="27" eb="28">
      <t>ハカリ</t>
    </rPh>
    <phoneticPr fontId="3"/>
  </si>
  <si>
    <t>２３年　４月</t>
    <rPh sb="2" eb="3">
      <t>ネン</t>
    </rPh>
    <rPh sb="5" eb="6">
      <t>ツキ</t>
    </rPh>
    <phoneticPr fontId="3"/>
  </si>
  <si>
    <t>２３年　５月</t>
    <rPh sb="2" eb="3">
      <t>ネン</t>
    </rPh>
    <rPh sb="5" eb="6">
      <t>ツキ</t>
    </rPh>
    <phoneticPr fontId="3"/>
  </si>
  <si>
    <t>２３年　６月</t>
    <rPh sb="2" eb="3">
      <t>ネン</t>
    </rPh>
    <rPh sb="5" eb="6">
      <t>ツキ</t>
    </rPh>
    <phoneticPr fontId="3"/>
  </si>
  <si>
    <t>２３年　７月</t>
    <rPh sb="2" eb="3">
      <t>ネン</t>
    </rPh>
    <rPh sb="5" eb="6">
      <t>ツキ</t>
    </rPh>
    <phoneticPr fontId="3"/>
  </si>
  <si>
    <t>２３年　８月</t>
    <rPh sb="2" eb="3">
      <t>ネン</t>
    </rPh>
    <rPh sb="5" eb="6">
      <t>ツキ</t>
    </rPh>
    <phoneticPr fontId="3"/>
  </si>
  <si>
    <t>２３年　９月</t>
    <rPh sb="2" eb="3">
      <t>ネン</t>
    </rPh>
    <rPh sb="5" eb="6">
      <t>ツキ</t>
    </rPh>
    <phoneticPr fontId="3"/>
  </si>
  <si>
    <t>２３年　１０月</t>
    <rPh sb="2" eb="3">
      <t>ネン</t>
    </rPh>
    <rPh sb="6" eb="7">
      <t>ガツ</t>
    </rPh>
    <phoneticPr fontId="3"/>
  </si>
  <si>
    <t>２３年　１１月</t>
    <rPh sb="2" eb="3">
      <t>ネン</t>
    </rPh>
    <rPh sb="6" eb="7">
      <t>ツキ</t>
    </rPh>
    <phoneticPr fontId="3"/>
  </si>
  <si>
    <t>２３年　１２月</t>
    <rPh sb="2" eb="3">
      <t>ネン</t>
    </rPh>
    <rPh sb="6" eb="7">
      <t>ガツ</t>
    </rPh>
    <phoneticPr fontId="3"/>
  </si>
  <si>
    <t>２４年　１月</t>
    <rPh sb="2" eb="3">
      <t>ネン</t>
    </rPh>
    <rPh sb="5" eb="6">
      <t>ツキ</t>
    </rPh>
    <phoneticPr fontId="3"/>
  </si>
  <si>
    <t>２４年　２月</t>
    <rPh sb="2" eb="3">
      <t>ネン</t>
    </rPh>
    <rPh sb="5" eb="6">
      <t>ツキ</t>
    </rPh>
    <phoneticPr fontId="3"/>
  </si>
  <si>
    <t>２4年　３月</t>
    <rPh sb="2" eb="3">
      <t>ネン</t>
    </rPh>
    <rPh sb="5" eb="6">
      <t>ツキ</t>
    </rPh>
    <phoneticPr fontId="3"/>
  </si>
  <si>
    <t>平成　2 3　年度 　計画対比表</t>
    <rPh sb="0" eb="1">
      <t>ヒラ</t>
    </rPh>
    <rPh sb="1" eb="2">
      <t>シゲル</t>
    </rPh>
    <rPh sb="7" eb="8">
      <t>トシ</t>
    </rPh>
    <rPh sb="8" eb="9">
      <t>タビ</t>
    </rPh>
    <rPh sb="11" eb="12">
      <t>ケイ</t>
    </rPh>
    <rPh sb="12" eb="13">
      <t>ガ</t>
    </rPh>
    <rPh sb="13" eb="15">
      <t>タイヒ</t>
    </rPh>
    <rPh sb="15" eb="16">
      <t>ヒョウ</t>
    </rPh>
    <phoneticPr fontId="3"/>
  </si>
  <si>
    <t>平　　成　　２２・２３　　年　　度 　合　　計　　月　 別　　収　　支　　実　　績</t>
    <rPh sb="0" eb="1">
      <t>ヒラ</t>
    </rPh>
    <rPh sb="3" eb="4">
      <t>シゲル</t>
    </rPh>
    <rPh sb="13" eb="14">
      <t>トシ</t>
    </rPh>
    <rPh sb="16" eb="17">
      <t>タビ</t>
    </rPh>
    <rPh sb="19" eb="20">
      <t>ア</t>
    </rPh>
    <rPh sb="22" eb="23">
      <t>ケイ</t>
    </rPh>
    <rPh sb="25" eb="26">
      <t>ゲツ</t>
    </rPh>
    <rPh sb="28" eb="29">
      <t>ベツ</t>
    </rPh>
    <rPh sb="31" eb="32">
      <t>オサム</t>
    </rPh>
    <rPh sb="34" eb="35">
      <t>ササ</t>
    </rPh>
    <rPh sb="37" eb="41">
      <t>ジッセキ</t>
    </rPh>
    <phoneticPr fontId="3"/>
  </si>
  <si>
    <t>　4月</t>
    <rPh sb="2" eb="3">
      <t>ツキ</t>
    </rPh>
    <phoneticPr fontId="3"/>
  </si>
  <si>
    <t>　5月</t>
    <rPh sb="2" eb="3">
      <t>ツキ</t>
    </rPh>
    <phoneticPr fontId="3"/>
  </si>
  <si>
    <t>　6月</t>
    <rPh sb="2" eb="3">
      <t>ツキ</t>
    </rPh>
    <phoneticPr fontId="3"/>
  </si>
  <si>
    <t>　7月</t>
    <rPh sb="2" eb="3">
      <t>ツキ</t>
    </rPh>
    <phoneticPr fontId="3"/>
  </si>
  <si>
    <t>　8月</t>
    <rPh sb="2" eb="3">
      <t>ツキ</t>
    </rPh>
    <phoneticPr fontId="3"/>
  </si>
  <si>
    <t>　9月</t>
    <rPh sb="2" eb="3">
      <t>ツキ</t>
    </rPh>
    <phoneticPr fontId="3"/>
  </si>
  <si>
    <t>10月</t>
    <rPh sb="2" eb="3">
      <t>ツキ</t>
    </rPh>
    <phoneticPr fontId="3"/>
  </si>
  <si>
    <t>11月</t>
    <rPh sb="2" eb="3">
      <t>ツキ</t>
    </rPh>
    <phoneticPr fontId="3"/>
  </si>
  <si>
    <t>12月</t>
  </si>
  <si>
    <t>1月</t>
  </si>
  <si>
    <t>2月</t>
  </si>
  <si>
    <t>3月</t>
  </si>
  <si>
    <t>24年　4月</t>
    <rPh sb="2" eb="3">
      <t>ネン</t>
    </rPh>
    <rPh sb="5" eb="6">
      <t>ツキ</t>
    </rPh>
    <phoneticPr fontId="3"/>
  </si>
  <si>
    <t>24年　5月</t>
    <rPh sb="2" eb="3">
      <t>ネン</t>
    </rPh>
    <rPh sb="5" eb="6">
      <t>ツキ</t>
    </rPh>
    <phoneticPr fontId="3"/>
  </si>
  <si>
    <t>24年　6月</t>
    <rPh sb="2" eb="3">
      <t>ネン</t>
    </rPh>
    <rPh sb="5" eb="6">
      <t>ツキ</t>
    </rPh>
    <phoneticPr fontId="3"/>
  </si>
  <si>
    <t>24年　7月</t>
    <rPh sb="2" eb="3">
      <t>ネン</t>
    </rPh>
    <rPh sb="5" eb="6">
      <t>ツキ</t>
    </rPh>
    <phoneticPr fontId="3"/>
  </si>
  <si>
    <t>24年　8月</t>
    <rPh sb="2" eb="3">
      <t>ネン</t>
    </rPh>
    <rPh sb="5" eb="6">
      <t>ツキ</t>
    </rPh>
    <phoneticPr fontId="3"/>
  </si>
  <si>
    <t>24年　9月</t>
    <rPh sb="2" eb="3">
      <t>ネン</t>
    </rPh>
    <rPh sb="5" eb="6">
      <t>ツキ</t>
    </rPh>
    <phoneticPr fontId="3"/>
  </si>
  <si>
    <t>24年　10月</t>
    <rPh sb="2" eb="3">
      <t>ネン</t>
    </rPh>
    <rPh sb="6" eb="7">
      <t>ツキ</t>
    </rPh>
    <phoneticPr fontId="3"/>
  </si>
  <si>
    <t>24年　11月</t>
    <rPh sb="2" eb="3">
      <t>ネン</t>
    </rPh>
    <rPh sb="6" eb="7">
      <t>ツキ</t>
    </rPh>
    <phoneticPr fontId="3"/>
  </si>
  <si>
    <t>24年　12月</t>
    <rPh sb="2" eb="3">
      <t>ネン</t>
    </rPh>
    <rPh sb="6" eb="7">
      <t>ツキ</t>
    </rPh>
    <phoneticPr fontId="3"/>
  </si>
  <si>
    <t>25年　1月</t>
    <rPh sb="2" eb="3">
      <t>ネン</t>
    </rPh>
    <rPh sb="5" eb="6">
      <t>ツキ</t>
    </rPh>
    <phoneticPr fontId="3"/>
  </si>
  <si>
    <t>25年　2月</t>
    <rPh sb="2" eb="3">
      <t>ネン</t>
    </rPh>
    <rPh sb="5" eb="6">
      <t>ツキ</t>
    </rPh>
    <phoneticPr fontId="3"/>
  </si>
  <si>
    <t>25年　3月</t>
    <rPh sb="2" eb="3">
      <t>ネン</t>
    </rPh>
    <rPh sb="5" eb="6">
      <t>ツキ</t>
    </rPh>
    <phoneticPr fontId="3"/>
  </si>
  <si>
    <t>平　　成　　2 4　　年　　度 　月　 別　　収　　支　　実　　績</t>
    <rPh sb="0" eb="1">
      <t>ヒラ</t>
    </rPh>
    <rPh sb="3" eb="4">
      <t>シゲル</t>
    </rPh>
    <rPh sb="11" eb="12">
      <t>トシ</t>
    </rPh>
    <rPh sb="14" eb="15">
      <t>タビ</t>
    </rPh>
    <rPh sb="17" eb="18">
      <t>ゲツ</t>
    </rPh>
    <rPh sb="20" eb="21">
      <t>ベツ</t>
    </rPh>
    <rPh sb="23" eb="24">
      <t>オサム</t>
    </rPh>
    <rPh sb="26" eb="27">
      <t>ササ</t>
    </rPh>
    <rPh sb="29" eb="33">
      <t>ジッセキ</t>
    </rPh>
    <phoneticPr fontId="3"/>
  </si>
  <si>
    <t>(認定NPOに向けた実質判定期間)</t>
    <rPh sb="1" eb="3">
      <t>ニンテイ</t>
    </rPh>
    <rPh sb="7" eb="8">
      <t>ム</t>
    </rPh>
    <rPh sb="10" eb="12">
      <t>ジッシツ</t>
    </rPh>
    <rPh sb="12" eb="14">
      <t>ハンテイ</t>
    </rPh>
    <rPh sb="14" eb="16">
      <t>キカン</t>
    </rPh>
    <phoneticPr fontId="3"/>
  </si>
  <si>
    <t>処遇改善交付金</t>
    <rPh sb="0" eb="2">
      <t>ショグウ</t>
    </rPh>
    <rPh sb="2" eb="4">
      <t>カイゼン</t>
    </rPh>
    <rPh sb="4" eb="7">
      <t>コウフキン</t>
    </rPh>
    <phoneticPr fontId="3"/>
  </si>
  <si>
    <t>平　　成　　2 4　　年　　度 　月　 別　　収　　支　　計　　画</t>
    <rPh sb="0" eb="1">
      <t>ヒラ</t>
    </rPh>
    <rPh sb="3" eb="4">
      <t>シゲル</t>
    </rPh>
    <rPh sb="11" eb="12">
      <t>トシ</t>
    </rPh>
    <rPh sb="14" eb="15">
      <t>タビ</t>
    </rPh>
    <rPh sb="17" eb="18">
      <t>ゲツ</t>
    </rPh>
    <rPh sb="20" eb="21">
      <t>ベツ</t>
    </rPh>
    <rPh sb="23" eb="24">
      <t>オサム</t>
    </rPh>
    <rPh sb="26" eb="27">
      <t>ササ</t>
    </rPh>
    <rPh sb="29" eb="30">
      <t>ケイ</t>
    </rPh>
    <rPh sb="32" eb="33">
      <t>ガ</t>
    </rPh>
    <phoneticPr fontId="3"/>
  </si>
  <si>
    <t>収入・支出の推移</t>
    <rPh sb="0" eb="2">
      <t>シュウニュウ</t>
    </rPh>
    <rPh sb="3" eb="5">
      <t>シシュツ</t>
    </rPh>
    <rPh sb="6" eb="8">
      <t>スイイ</t>
    </rPh>
    <phoneticPr fontId="3"/>
  </si>
  <si>
    <t>２１年度</t>
    <rPh sb="2" eb="4">
      <t>ネンド</t>
    </rPh>
    <phoneticPr fontId="3"/>
  </si>
  <si>
    <t>収　　入</t>
    <rPh sb="0" eb="1">
      <t>オサム</t>
    </rPh>
    <rPh sb="3" eb="4">
      <t>イレ</t>
    </rPh>
    <phoneticPr fontId="3"/>
  </si>
  <si>
    <t>支　　出</t>
    <rPh sb="0" eb="1">
      <t>シ</t>
    </rPh>
    <rPh sb="3" eb="4">
      <t>デ</t>
    </rPh>
    <phoneticPr fontId="3"/>
  </si>
  <si>
    <t>うち事業収入</t>
    <rPh sb="2" eb="4">
      <t>ジギョウ</t>
    </rPh>
    <rPh sb="4" eb="6">
      <t>シュウニュウ</t>
    </rPh>
    <phoneticPr fontId="3"/>
  </si>
  <si>
    <t>うち人件費</t>
    <rPh sb="2" eb="5">
      <t>ジンケンヒ</t>
    </rPh>
    <phoneticPr fontId="3"/>
  </si>
  <si>
    <t>うち修繕費</t>
    <rPh sb="2" eb="5">
      <t>シュウゼンヒ</t>
    </rPh>
    <phoneticPr fontId="3"/>
  </si>
  <si>
    <t>２２年度</t>
    <rPh sb="2" eb="4">
      <t>ネンド</t>
    </rPh>
    <phoneticPr fontId="3"/>
  </si>
  <si>
    <t>２３年度</t>
    <rPh sb="2" eb="4">
      <t>ネンド</t>
    </rPh>
    <phoneticPr fontId="3"/>
  </si>
  <si>
    <t>２４年度</t>
    <rPh sb="2" eb="4">
      <t>ネンド</t>
    </rPh>
    <phoneticPr fontId="3"/>
  </si>
  <si>
    <t>単位:千円</t>
    <rPh sb="0" eb="2">
      <t>タンイ</t>
    </rPh>
    <rPh sb="3" eb="5">
      <t>センエン</t>
    </rPh>
    <phoneticPr fontId="3"/>
  </si>
  <si>
    <t>最終利益</t>
    <rPh sb="0" eb="2">
      <t>サイシュウ</t>
    </rPh>
    <rPh sb="2" eb="4">
      <t>リエキ</t>
    </rPh>
    <phoneticPr fontId="3"/>
  </si>
  <si>
    <t xml:space="preserve">     月平均</t>
    <rPh sb="5" eb="6">
      <t>ツキ</t>
    </rPh>
    <rPh sb="6" eb="8">
      <t>ヘイキン</t>
    </rPh>
    <phoneticPr fontId="3"/>
  </si>
  <si>
    <t>デイ新庄</t>
    <rPh sb="2" eb="4">
      <t>シンジョウ</t>
    </rPh>
    <phoneticPr fontId="3"/>
  </si>
  <si>
    <t>水回り</t>
    <rPh sb="0" eb="1">
      <t>ミズ</t>
    </rPh>
    <rPh sb="1" eb="2">
      <t>マワ</t>
    </rPh>
    <phoneticPr fontId="3"/>
  </si>
  <si>
    <t>デイほっと</t>
    <phoneticPr fontId="3"/>
  </si>
  <si>
    <t>白蟻工事</t>
    <rPh sb="0" eb="2">
      <t>シロアリ</t>
    </rPh>
    <rPh sb="2" eb="4">
      <t>コウジ</t>
    </rPh>
    <phoneticPr fontId="3"/>
  </si>
  <si>
    <t>風呂改修</t>
    <rPh sb="0" eb="2">
      <t>フロ</t>
    </rPh>
    <rPh sb="2" eb="4">
      <t>カイシュウ</t>
    </rPh>
    <phoneticPr fontId="3"/>
  </si>
  <si>
    <t>人件費</t>
    <rPh sb="0" eb="3">
      <t>ジンケンヒ</t>
    </rPh>
    <phoneticPr fontId="3"/>
  </si>
  <si>
    <t>福利厚生費</t>
    <rPh sb="0" eb="2">
      <t>フクリ</t>
    </rPh>
    <rPh sb="2" eb="5">
      <t>コウセイヒ</t>
    </rPh>
    <phoneticPr fontId="3"/>
  </si>
  <si>
    <t>旅費交通費</t>
    <rPh sb="0" eb="2">
      <t>リョヒ</t>
    </rPh>
    <rPh sb="2" eb="5">
      <t>コウツウヒ</t>
    </rPh>
    <phoneticPr fontId="3"/>
  </si>
  <si>
    <t>通信費</t>
    <rPh sb="0" eb="3">
      <t>ツウシンヒ</t>
    </rPh>
    <phoneticPr fontId="3"/>
  </si>
  <si>
    <t>事務費</t>
    <rPh sb="0" eb="3">
      <t>ジムヒ</t>
    </rPh>
    <phoneticPr fontId="3"/>
  </si>
  <si>
    <t>備品費</t>
    <rPh sb="0" eb="2">
      <t>ビヒン</t>
    </rPh>
    <rPh sb="2" eb="3">
      <t>ヒ</t>
    </rPh>
    <phoneticPr fontId="3"/>
  </si>
  <si>
    <t>会議費</t>
    <rPh sb="0" eb="3">
      <t>カイギヒ</t>
    </rPh>
    <phoneticPr fontId="3"/>
  </si>
  <si>
    <t>印刷費</t>
    <rPh sb="0" eb="2">
      <t>インサツ</t>
    </rPh>
    <rPh sb="2" eb="3">
      <t>ヒ</t>
    </rPh>
    <phoneticPr fontId="3"/>
  </si>
  <si>
    <t>図書新聞費</t>
    <rPh sb="0" eb="2">
      <t>トショ</t>
    </rPh>
    <rPh sb="2" eb="4">
      <t>シンブン</t>
    </rPh>
    <rPh sb="4" eb="5">
      <t>ヒ</t>
    </rPh>
    <phoneticPr fontId="3"/>
  </si>
  <si>
    <t>研修費</t>
    <rPh sb="0" eb="2">
      <t>ケンシュウ</t>
    </rPh>
    <rPh sb="2" eb="3">
      <t>ヒ</t>
    </rPh>
    <phoneticPr fontId="3"/>
  </si>
  <si>
    <t>広告宣伝費</t>
    <rPh sb="0" eb="2">
      <t>コウコク</t>
    </rPh>
    <rPh sb="2" eb="5">
      <t>センデンヒ</t>
    </rPh>
    <phoneticPr fontId="3"/>
  </si>
  <si>
    <t>水道光熱費</t>
    <rPh sb="0" eb="2">
      <t>スイドウ</t>
    </rPh>
    <rPh sb="2" eb="5">
      <t>コウネツヒ</t>
    </rPh>
    <phoneticPr fontId="3"/>
  </si>
  <si>
    <t>交際費</t>
    <rPh sb="0" eb="2">
      <t>コウサイ</t>
    </rPh>
    <rPh sb="2" eb="3">
      <t>ヒ</t>
    </rPh>
    <phoneticPr fontId="3"/>
  </si>
  <si>
    <t>会費・負担金</t>
    <rPh sb="0" eb="2">
      <t>カイヒ</t>
    </rPh>
    <rPh sb="3" eb="6">
      <t>フタンキン</t>
    </rPh>
    <phoneticPr fontId="3"/>
  </si>
  <si>
    <t>食材費</t>
    <rPh sb="0" eb="2">
      <t>ショクザイ</t>
    </rPh>
    <rPh sb="2" eb="3">
      <t>ヒ</t>
    </rPh>
    <phoneticPr fontId="3"/>
  </si>
  <si>
    <t>材料・教材費</t>
    <rPh sb="0" eb="2">
      <t>ザイリョウ</t>
    </rPh>
    <rPh sb="3" eb="6">
      <t>キョウザイヒ</t>
    </rPh>
    <phoneticPr fontId="3"/>
  </si>
  <si>
    <t>保険料</t>
    <rPh sb="0" eb="3">
      <t>ホケンリョウ</t>
    </rPh>
    <phoneticPr fontId="3"/>
  </si>
  <si>
    <t>車両費</t>
    <rPh sb="0" eb="2">
      <t>シャリョウ</t>
    </rPh>
    <rPh sb="2" eb="3">
      <t>ヒ</t>
    </rPh>
    <phoneticPr fontId="3"/>
  </si>
  <si>
    <t>修繕費</t>
    <rPh sb="0" eb="3">
      <t>シュウゼンヒ</t>
    </rPh>
    <phoneticPr fontId="3"/>
  </si>
  <si>
    <t>賃借料</t>
    <rPh sb="0" eb="3">
      <t>チンシャクリョウ</t>
    </rPh>
    <phoneticPr fontId="3"/>
  </si>
  <si>
    <t>地代家賃</t>
    <rPh sb="0" eb="2">
      <t>チダイ</t>
    </rPh>
    <rPh sb="2" eb="4">
      <t>ヤチン</t>
    </rPh>
    <phoneticPr fontId="3"/>
  </si>
  <si>
    <t>租税公課</t>
    <rPh sb="0" eb="2">
      <t>ソゼイ</t>
    </rPh>
    <rPh sb="2" eb="4">
      <t>コウカ</t>
    </rPh>
    <phoneticPr fontId="3"/>
  </si>
  <si>
    <t>保守管理費</t>
    <rPh sb="0" eb="2">
      <t>ホシュ</t>
    </rPh>
    <rPh sb="2" eb="5">
      <t>カンリヒ</t>
    </rPh>
    <phoneticPr fontId="3"/>
  </si>
  <si>
    <t>行事費</t>
    <rPh sb="0" eb="2">
      <t>ギョウジ</t>
    </rPh>
    <rPh sb="2" eb="3">
      <t>ヒ</t>
    </rPh>
    <phoneticPr fontId="3"/>
  </si>
  <si>
    <t>雑費</t>
    <rPh sb="0" eb="2">
      <t>ザッピ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</si>
  <si>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</si>
  <si>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合　　計</t>
    <rPh sb="0" eb="1">
      <t>ア</t>
    </rPh>
    <rPh sb="3" eb="4">
      <t>ケイ</t>
    </rPh>
    <phoneticPr fontId="3"/>
  </si>
  <si>
    <t>平　　成　　25　　年　　度 　月　 別　　収　　支　　実　　績</t>
    <rPh sb="0" eb="1">
      <t>ヒラ</t>
    </rPh>
    <rPh sb="3" eb="4">
      <t>シゲル</t>
    </rPh>
    <rPh sb="10" eb="11">
      <t>トシ</t>
    </rPh>
    <rPh sb="13" eb="14">
      <t>タビ</t>
    </rPh>
    <rPh sb="16" eb="17">
      <t>ゲツ</t>
    </rPh>
    <rPh sb="19" eb="20">
      <t>ベツ</t>
    </rPh>
    <rPh sb="22" eb="23">
      <t>オサム</t>
    </rPh>
    <rPh sb="25" eb="26">
      <t>ササ</t>
    </rPh>
    <rPh sb="28" eb="32">
      <t>ジッセキ</t>
    </rPh>
    <phoneticPr fontId="3"/>
  </si>
  <si>
    <t>25年　4月</t>
    <rPh sb="2" eb="3">
      <t>ネン</t>
    </rPh>
    <rPh sb="5" eb="6">
      <t>ツキ</t>
    </rPh>
    <phoneticPr fontId="3"/>
  </si>
  <si>
    <t>25年　5月</t>
    <rPh sb="2" eb="3">
      <t>ネン</t>
    </rPh>
    <rPh sb="5" eb="6">
      <t>ツキ</t>
    </rPh>
    <phoneticPr fontId="3"/>
  </si>
  <si>
    <t>25年　6月</t>
    <rPh sb="2" eb="3">
      <t>ネン</t>
    </rPh>
    <rPh sb="5" eb="6">
      <t>ツキ</t>
    </rPh>
    <phoneticPr fontId="3"/>
  </si>
  <si>
    <t>25年　7月</t>
    <rPh sb="2" eb="3">
      <t>ネン</t>
    </rPh>
    <rPh sb="5" eb="6">
      <t>ツキ</t>
    </rPh>
    <phoneticPr fontId="3"/>
  </si>
  <si>
    <t>25年　8月</t>
    <rPh sb="2" eb="3">
      <t>ネン</t>
    </rPh>
    <rPh sb="5" eb="6">
      <t>ツキ</t>
    </rPh>
    <phoneticPr fontId="3"/>
  </si>
  <si>
    <t>25年　9月</t>
    <rPh sb="2" eb="3">
      <t>ネン</t>
    </rPh>
    <rPh sb="5" eb="6">
      <t>ツキ</t>
    </rPh>
    <phoneticPr fontId="3"/>
  </si>
  <si>
    <t>25年　10月</t>
    <rPh sb="2" eb="3">
      <t>ネン</t>
    </rPh>
    <rPh sb="6" eb="7">
      <t>ツキ</t>
    </rPh>
    <phoneticPr fontId="3"/>
  </si>
  <si>
    <t>25年　11月</t>
    <rPh sb="2" eb="3">
      <t>ネン</t>
    </rPh>
    <rPh sb="6" eb="7">
      <t>ツキ</t>
    </rPh>
    <phoneticPr fontId="3"/>
  </si>
  <si>
    <t>25年　12月</t>
    <rPh sb="2" eb="3">
      <t>ネン</t>
    </rPh>
    <rPh sb="6" eb="7">
      <t>ツキ</t>
    </rPh>
    <phoneticPr fontId="3"/>
  </si>
  <si>
    <t>26年　1月</t>
    <rPh sb="2" eb="3">
      <t>ネン</t>
    </rPh>
    <rPh sb="5" eb="6">
      <t>ツキ</t>
    </rPh>
    <phoneticPr fontId="3"/>
  </si>
  <si>
    <t>26年　2月</t>
    <rPh sb="2" eb="3">
      <t>ネン</t>
    </rPh>
    <rPh sb="5" eb="6">
      <t>ツキ</t>
    </rPh>
    <phoneticPr fontId="3"/>
  </si>
  <si>
    <t>65年　3月</t>
    <rPh sb="2" eb="3">
      <t>ネン</t>
    </rPh>
    <rPh sb="5" eb="6">
      <t>ツキ</t>
    </rPh>
    <phoneticPr fontId="3"/>
  </si>
  <si>
    <t>処遇改善加算金</t>
    <rPh sb="0" eb="2">
      <t>ショグウ</t>
    </rPh>
    <rPh sb="2" eb="4">
      <t>カイゼン</t>
    </rPh>
    <rPh sb="4" eb="6">
      <t>カサン</t>
    </rPh>
    <rPh sb="6" eb="7">
      <t>キン</t>
    </rPh>
    <phoneticPr fontId="3"/>
  </si>
  <si>
    <t>　４．助成金・補助金</t>
    <rPh sb="3" eb="5">
      <t>ジョセイ</t>
    </rPh>
    <rPh sb="5" eb="6">
      <t>キン</t>
    </rPh>
    <rPh sb="7" eb="10">
      <t>ホジョキン</t>
    </rPh>
    <phoneticPr fontId="3"/>
  </si>
  <si>
    <t>介護予防委託料</t>
    <rPh sb="0" eb="2">
      <t>カイゴ</t>
    </rPh>
    <rPh sb="2" eb="4">
      <t>ヨボウ</t>
    </rPh>
    <rPh sb="4" eb="7">
      <t>イタクリョウ</t>
    </rPh>
    <phoneticPr fontId="3"/>
  </si>
  <si>
    <t>訪問調査委託料</t>
    <rPh sb="0" eb="2">
      <t>ホウモン</t>
    </rPh>
    <rPh sb="2" eb="4">
      <t>チョウサ</t>
    </rPh>
    <rPh sb="4" eb="7">
      <t>イタクリョウ</t>
    </rPh>
    <phoneticPr fontId="3"/>
  </si>
  <si>
    <t>　　　ちゃれんじ（通年）</t>
    <rPh sb="9" eb="11">
      <t>ツウネン</t>
    </rPh>
    <phoneticPr fontId="3"/>
  </si>
  <si>
    <t>　　　ちゃれんじ（時々）</t>
    <rPh sb="9" eb="11">
      <t>トキドキ</t>
    </rPh>
    <phoneticPr fontId="3"/>
  </si>
  <si>
    <t>　　　預り保育　（園児）</t>
    <rPh sb="3" eb="4">
      <t>アズカ</t>
    </rPh>
    <rPh sb="5" eb="7">
      <t>ホイク</t>
    </rPh>
    <rPh sb="9" eb="11">
      <t>エンジ</t>
    </rPh>
    <phoneticPr fontId="3"/>
  </si>
  <si>
    <t>24年度</t>
    <rPh sb="2" eb="4">
      <t>ネンド</t>
    </rPh>
    <phoneticPr fontId="3"/>
  </si>
  <si>
    <t>23年度</t>
    <rPh sb="2" eb="4">
      <t>ネンド</t>
    </rPh>
    <phoneticPr fontId="3"/>
  </si>
  <si>
    <t>12月</t>
    <rPh sb="2" eb="3">
      <t>ツキ</t>
    </rPh>
    <phoneticPr fontId="3"/>
  </si>
  <si>
    <t>　1月</t>
    <rPh sb="2" eb="3">
      <t>ツキ</t>
    </rPh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</si>
  <si>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</si>
  <si>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</si>
  <si>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平　　成　　23・24　　年　　度 　月　 別　　収　　支　　実　　績(認定ＮＰＯ算定基準）</t>
    <rPh sb="0" eb="1">
      <t>ヒラ</t>
    </rPh>
    <rPh sb="3" eb="4">
      <t>シゲル</t>
    </rPh>
    <rPh sb="13" eb="14">
      <t>トシ</t>
    </rPh>
    <rPh sb="16" eb="17">
      <t>タビ</t>
    </rPh>
    <rPh sb="19" eb="20">
      <t>ゲツ</t>
    </rPh>
    <rPh sb="22" eb="23">
      <t>ベツ</t>
    </rPh>
    <rPh sb="25" eb="26">
      <t>オサム</t>
    </rPh>
    <rPh sb="28" eb="29">
      <t>ササ</t>
    </rPh>
    <rPh sb="31" eb="35">
      <t>ジッセキ</t>
    </rPh>
    <rPh sb="36" eb="38">
      <t>ニンテイ</t>
    </rPh>
    <rPh sb="41" eb="43">
      <t>サンテイ</t>
    </rPh>
    <rPh sb="43" eb="45">
      <t>キジュン</t>
    </rPh>
    <phoneticPr fontId="3"/>
  </si>
  <si>
    <t>Ⅰ　経常収入の部</t>
    <rPh sb="2" eb="4">
      <t>ケイジョウ</t>
    </rPh>
    <rPh sb="4" eb="6">
      <t>シュウニュウ</t>
    </rPh>
    <rPh sb="7" eb="8">
      <t>ブ</t>
    </rPh>
    <phoneticPr fontId="3"/>
  </si>
  <si>
    <t>認知症対応通所予防</t>
    <rPh sb="0" eb="2">
      <t>ニンチ</t>
    </rPh>
    <rPh sb="2" eb="3">
      <t>ショウ</t>
    </rPh>
    <rPh sb="3" eb="5">
      <t>タイオウ</t>
    </rPh>
    <rPh sb="5" eb="7">
      <t>ツウショ</t>
    </rPh>
    <rPh sb="7" eb="9">
      <t>ヨボウ</t>
    </rPh>
    <phoneticPr fontId="3"/>
  </si>
  <si>
    <t>平　　成　　26　　年　　度 　月　 別　　収　　支　　実　　績</t>
    <rPh sb="0" eb="1">
      <t>ヒラ</t>
    </rPh>
    <rPh sb="3" eb="4">
      <t>シゲル</t>
    </rPh>
    <rPh sb="10" eb="11">
      <t>トシ</t>
    </rPh>
    <rPh sb="13" eb="14">
      <t>タビ</t>
    </rPh>
    <rPh sb="16" eb="17">
      <t>ゲツ</t>
    </rPh>
    <rPh sb="19" eb="20">
      <t>ベツ</t>
    </rPh>
    <rPh sb="22" eb="23">
      <t>オサム</t>
    </rPh>
    <rPh sb="25" eb="26">
      <t>ササ</t>
    </rPh>
    <rPh sb="28" eb="32">
      <t>ジッセキ</t>
    </rPh>
    <phoneticPr fontId="3"/>
  </si>
  <si>
    <t>26年　4月</t>
    <rPh sb="2" eb="3">
      <t>ネン</t>
    </rPh>
    <rPh sb="5" eb="6">
      <t>ツキ</t>
    </rPh>
    <phoneticPr fontId="3"/>
  </si>
  <si>
    <t>26年　5月</t>
    <rPh sb="2" eb="3">
      <t>ネン</t>
    </rPh>
    <rPh sb="5" eb="6">
      <t>ツキ</t>
    </rPh>
    <phoneticPr fontId="3"/>
  </si>
  <si>
    <t>26年　6月</t>
    <rPh sb="2" eb="3">
      <t>ネン</t>
    </rPh>
    <rPh sb="5" eb="6">
      <t>ツキ</t>
    </rPh>
    <phoneticPr fontId="3"/>
  </si>
  <si>
    <t>26年　7月</t>
    <rPh sb="2" eb="3">
      <t>ネン</t>
    </rPh>
    <rPh sb="5" eb="6">
      <t>ツキ</t>
    </rPh>
    <phoneticPr fontId="3"/>
  </si>
  <si>
    <t>26年　8月</t>
    <rPh sb="2" eb="3">
      <t>ネン</t>
    </rPh>
    <rPh sb="5" eb="6">
      <t>ツキ</t>
    </rPh>
    <phoneticPr fontId="3"/>
  </si>
  <si>
    <t>26年　9月</t>
    <rPh sb="2" eb="3">
      <t>ネン</t>
    </rPh>
    <rPh sb="5" eb="6">
      <t>ツキ</t>
    </rPh>
    <phoneticPr fontId="3"/>
  </si>
  <si>
    <t>26年　10月</t>
    <rPh sb="2" eb="3">
      <t>ネン</t>
    </rPh>
    <rPh sb="6" eb="7">
      <t>ツキ</t>
    </rPh>
    <phoneticPr fontId="3"/>
  </si>
  <si>
    <t>26年　11月</t>
    <rPh sb="2" eb="3">
      <t>ネン</t>
    </rPh>
    <rPh sb="6" eb="7">
      <t>ツキ</t>
    </rPh>
    <phoneticPr fontId="3"/>
  </si>
  <si>
    <t>27年　12月</t>
    <rPh sb="2" eb="3">
      <t>ネン</t>
    </rPh>
    <rPh sb="6" eb="7">
      <t>ツキ</t>
    </rPh>
    <phoneticPr fontId="3"/>
  </si>
  <si>
    <t>27年　1月</t>
    <rPh sb="2" eb="3">
      <t>ネン</t>
    </rPh>
    <rPh sb="5" eb="6">
      <t>ツキ</t>
    </rPh>
    <phoneticPr fontId="3"/>
  </si>
  <si>
    <t>27年　2月</t>
    <rPh sb="2" eb="3">
      <t>ネン</t>
    </rPh>
    <rPh sb="5" eb="6">
      <t>ツキ</t>
    </rPh>
    <phoneticPr fontId="3"/>
  </si>
  <si>
    <t>27年　3月</t>
    <rPh sb="2" eb="3">
      <t>ネン</t>
    </rPh>
    <rPh sb="5" eb="6">
      <t>ツキ</t>
    </rPh>
    <phoneticPr fontId="3"/>
  </si>
  <si>
    <t>　６．通所キャンセル料</t>
    <rPh sb="3" eb="5">
      <t>ツウショ</t>
    </rPh>
    <rPh sb="10" eb="11">
      <t>リョウ</t>
    </rPh>
    <phoneticPr fontId="3"/>
  </si>
  <si>
    <t>25年度</t>
    <rPh sb="2" eb="4">
      <t>ネンド</t>
    </rPh>
    <phoneticPr fontId="3"/>
  </si>
  <si>
    <t>22年度</t>
    <rPh sb="2" eb="4">
      <t>ネンド</t>
    </rPh>
    <phoneticPr fontId="3"/>
  </si>
  <si>
    <t>21年度</t>
    <rPh sb="2" eb="4">
      <t>ネンド</t>
    </rPh>
    <phoneticPr fontId="3"/>
  </si>
  <si>
    <t>２５年度</t>
    <rPh sb="2" eb="4">
      <t>ネンド</t>
    </rPh>
    <phoneticPr fontId="3"/>
  </si>
  <si>
    <t>前年比</t>
    <rPh sb="0" eb="3">
      <t>ゼンネンヒ</t>
    </rPh>
    <phoneticPr fontId="3"/>
  </si>
  <si>
    <t>ほっと・新庄</t>
    <rPh sb="4" eb="6">
      <t>シンジョウ</t>
    </rPh>
    <phoneticPr fontId="3"/>
  </si>
  <si>
    <t>休憩室</t>
    <rPh sb="0" eb="3">
      <t>キュウケイシツ</t>
    </rPh>
    <phoneticPr fontId="3"/>
  </si>
  <si>
    <t>26年度</t>
    <rPh sb="2" eb="4">
      <t>ネンド</t>
    </rPh>
    <phoneticPr fontId="3"/>
  </si>
  <si>
    <t>27年度</t>
    <rPh sb="2" eb="4">
      <t>ネンド</t>
    </rPh>
    <phoneticPr fontId="3"/>
  </si>
  <si>
    <t>２６年度</t>
    <rPh sb="2" eb="4">
      <t>ネンド</t>
    </rPh>
    <phoneticPr fontId="3"/>
  </si>
  <si>
    <t>２７年度</t>
    <rPh sb="2" eb="4">
      <t>ネンド</t>
    </rPh>
    <phoneticPr fontId="3"/>
  </si>
  <si>
    <t>ガス調理器</t>
    <rPh sb="2" eb="5">
      <t>チョウリキ</t>
    </rPh>
    <phoneticPr fontId="3"/>
  </si>
  <si>
    <t>修理　28</t>
    <rPh sb="0" eb="2">
      <t>シュウリ</t>
    </rPh>
    <phoneticPr fontId="3"/>
  </si>
  <si>
    <t>新庄雨どい</t>
    <rPh sb="0" eb="2">
      <t>シンジョウ</t>
    </rPh>
    <rPh sb="2" eb="3">
      <t>アマ</t>
    </rPh>
    <phoneticPr fontId="3"/>
  </si>
  <si>
    <t>修理　42</t>
    <rPh sb="0" eb="2">
      <t>シュウリ</t>
    </rPh>
    <phoneticPr fontId="3"/>
  </si>
  <si>
    <t>ゆけむり</t>
    <phoneticPr fontId="3"/>
  </si>
  <si>
    <t>カーテン69</t>
    <phoneticPr fontId="3"/>
  </si>
  <si>
    <t>平　　成　　27　　年　　度 　月　 別　　収　　支　　実　　績</t>
    <rPh sb="0" eb="1">
      <t>ヒラ</t>
    </rPh>
    <rPh sb="3" eb="4">
      <t>シゲル</t>
    </rPh>
    <rPh sb="10" eb="11">
      <t>トシ</t>
    </rPh>
    <rPh sb="13" eb="14">
      <t>タビ</t>
    </rPh>
    <rPh sb="16" eb="17">
      <t>ゲツ</t>
    </rPh>
    <rPh sb="19" eb="20">
      <t>ベツ</t>
    </rPh>
    <rPh sb="22" eb="23">
      <t>オサム</t>
    </rPh>
    <rPh sb="25" eb="26">
      <t>ササ</t>
    </rPh>
    <rPh sb="28" eb="32">
      <t>ジッセキ</t>
    </rPh>
    <phoneticPr fontId="3"/>
  </si>
  <si>
    <t>27年　4月</t>
    <rPh sb="2" eb="3">
      <t>ネン</t>
    </rPh>
    <rPh sb="5" eb="6">
      <t>ツキ</t>
    </rPh>
    <phoneticPr fontId="3"/>
  </si>
  <si>
    <t>27年　5月</t>
    <rPh sb="2" eb="3">
      <t>ネン</t>
    </rPh>
    <rPh sb="5" eb="6">
      <t>ツキ</t>
    </rPh>
    <phoneticPr fontId="3"/>
  </si>
  <si>
    <t>27年　6月</t>
    <rPh sb="2" eb="3">
      <t>ネン</t>
    </rPh>
    <rPh sb="5" eb="6">
      <t>ツキ</t>
    </rPh>
    <phoneticPr fontId="3"/>
  </si>
  <si>
    <t>27年　7月</t>
    <rPh sb="2" eb="3">
      <t>ネン</t>
    </rPh>
    <rPh sb="5" eb="6">
      <t>ツキ</t>
    </rPh>
    <phoneticPr fontId="3"/>
  </si>
  <si>
    <t>27年　8月</t>
    <rPh sb="2" eb="3">
      <t>ネン</t>
    </rPh>
    <rPh sb="5" eb="6">
      <t>ツキ</t>
    </rPh>
    <phoneticPr fontId="3"/>
  </si>
  <si>
    <t>27年　9月</t>
    <rPh sb="2" eb="3">
      <t>ネン</t>
    </rPh>
    <rPh sb="5" eb="6">
      <t>ツキ</t>
    </rPh>
    <phoneticPr fontId="3"/>
  </si>
  <si>
    <t>27年　10月</t>
    <rPh sb="2" eb="3">
      <t>ネン</t>
    </rPh>
    <rPh sb="6" eb="7">
      <t>ツキ</t>
    </rPh>
    <phoneticPr fontId="3"/>
  </si>
  <si>
    <t>27年　11月</t>
    <rPh sb="2" eb="3">
      <t>ネン</t>
    </rPh>
    <rPh sb="6" eb="7">
      <t>ツキ</t>
    </rPh>
    <phoneticPr fontId="3"/>
  </si>
  <si>
    <t>28年　1月</t>
    <rPh sb="2" eb="3">
      <t>ネン</t>
    </rPh>
    <rPh sb="5" eb="6">
      <t>ツキ</t>
    </rPh>
    <phoneticPr fontId="3"/>
  </si>
  <si>
    <t>28年　3月</t>
    <rPh sb="2" eb="3">
      <t>ネン</t>
    </rPh>
    <rPh sb="5" eb="6">
      <t>ツキ</t>
    </rPh>
    <phoneticPr fontId="3"/>
  </si>
  <si>
    <t>　　　ちゃれんじ（長期）</t>
    <rPh sb="9" eb="11">
      <t>チョウキ</t>
    </rPh>
    <phoneticPr fontId="3"/>
  </si>
  <si>
    <t xml:space="preserve"> </t>
    <phoneticPr fontId="3"/>
  </si>
  <si>
    <t>平　　成　　28　　年　　度 　月　 別　　収　　支　　実　　績</t>
    <rPh sb="0" eb="1">
      <t>ヒラ</t>
    </rPh>
    <rPh sb="3" eb="4">
      <t>シゲル</t>
    </rPh>
    <rPh sb="10" eb="11">
      <t>トシ</t>
    </rPh>
    <rPh sb="13" eb="14">
      <t>タビ</t>
    </rPh>
    <rPh sb="16" eb="17">
      <t>ゲツ</t>
    </rPh>
    <rPh sb="19" eb="20">
      <t>ベツ</t>
    </rPh>
    <rPh sb="22" eb="23">
      <t>オサム</t>
    </rPh>
    <rPh sb="25" eb="26">
      <t>ササ</t>
    </rPh>
    <rPh sb="28" eb="32">
      <t>ジッセキ</t>
    </rPh>
    <phoneticPr fontId="3"/>
  </si>
  <si>
    <t>28年　4月</t>
    <rPh sb="2" eb="3">
      <t>ネン</t>
    </rPh>
    <rPh sb="5" eb="6">
      <t>ツキ</t>
    </rPh>
    <phoneticPr fontId="3"/>
  </si>
  <si>
    <t>28年　5月</t>
    <rPh sb="2" eb="3">
      <t>ネン</t>
    </rPh>
    <rPh sb="5" eb="6">
      <t>ツキ</t>
    </rPh>
    <phoneticPr fontId="3"/>
  </si>
  <si>
    <t>28年　6月</t>
    <rPh sb="2" eb="3">
      <t>ネン</t>
    </rPh>
    <rPh sb="5" eb="6">
      <t>ツキ</t>
    </rPh>
    <phoneticPr fontId="3"/>
  </si>
  <si>
    <t>28年　7月</t>
    <rPh sb="2" eb="3">
      <t>ネン</t>
    </rPh>
    <rPh sb="5" eb="6">
      <t>ツキ</t>
    </rPh>
    <phoneticPr fontId="3"/>
  </si>
  <si>
    <t>28年　8月</t>
    <rPh sb="2" eb="3">
      <t>ネン</t>
    </rPh>
    <rPh sb="5" eb="6">
      <t>ツキ</t>
    </rPh>
    <phoneticPr fontId="3"/>
  </si>
  <si>
    <t>28年　9月</t>
    <rPh sb="2" eb="3">
      <t>ネン</t>
    </rPh>
    <rPh sb="5" eb="6">
      <t>ツキ</t>
    </rPh>
    <phoneticPr fontId="3"/>
  </si>
  <si>
    <t>28年　10月</t>
    <rPh sb="2" eb="3">
      <t>ネン</t>
    </rPh>
    <rPh sb="6" eb="7">
      <t>ツキ</t>
    </rPh>
    <phoneticPr fontId="3"/>
  </si>
  <si>
    <t>28年　11月</t>
    <rPh sb="2" eb="3">
      <t>ネン</t>
    </rPh>
    <rPh sb="6" eb="7">
      <t>ツキ</t>
    </rPh>
    <phoneticPr fontId="3"/>
  </si>
  <si>
    <t>28年　12月</t>
    <rPh sb="2" eb="3">
      <t>ネン</t>
    </rPh>
    <rPh sb="6" eb="7">
      <t>ツキ</t>
    </rPh>
    <phoneticPr fontId="3"/>
  </si>
  <si>
    <t>29年　1月</t>
    <rPh sb="2" eb="3">
      <t>ネン</t>
    </rPh>
    <rPh sb="5" eb="6">
      <t>ツキ</t>
    </rPh>
    <phoneticPr fontId="3"/>
  </si>
  <si>
    <t>29年　2月</t>
    <rPh sb="2" eb="3">
      <t>ネン</t>
    </rPh>
    <rPh sb="5" eb="6">
      <t>ツキ</t>
    </rPh>
    <phoneticPr fontId="3"/>
  </si>
  <si>
    <t>29年　3月</t>
    <rPh sb="2" eb="3">
      <t>ネン</t>
    </rPh>
    <rPh sb="5" eb="6">
      <t>ツキ</t>
    </rPh>
    <phoneticPr fontId="3"/>
  </si>
  <si>
    <t>28年　2月</t>
    <rPh sb="2" eb="3">
      <t>ネン</t>
    </rPh>
    <rPh sb="5" eb="6">
      <t>ツキ</t>
    </rPh>
    <phoneticPr fontId="3"/>
  </si>
  <si>
    <t>認定調査委託料</t>
    <rPh sb="0" eb="2">
      <t>ニンテイ</t>
    </rPh>
    <rPh sb="2" eb="4">
      <t>チョウサ</t>
    </rPh>
    <rPh sb="4" eb="7">
      <t>イタクリョウ</t>
    </rPh>
    <phoneticPr fontId="3"/>
  </si>
  <si>
    <t>　　　ちゃれんじ（単発）</t>
    <rPh sb="9" eb="11">
      <t>タンパツ</t>
    </rPh>
    <phoneticPr fontId="3"/>
  </si>
  <si>
    <t>ほっと手すり</t>
    <rPh sb="3" eb="4">
      <t>テ</t>
    </rPh>
    <phoneticPr fontId="3"/>
  </si>
  <si>
    <t>ほっと新庄</t>
    <rPh sb="3" eb="5">
      <t>シンジョウ</t>
    </rPh>
    <phoneticPr fontId="3"/>
  </si>
  <si>
    <t>カーテン172</t>
    <phoneticPr fontId="3"/>
  </si>
  <si>
    <t>エアコン修理</t>
    <rPh sb="4" eb="6">
      <t>シュウリ</t>
    </rPh>
    <phoneticPr fontId="3"/>
  </si>
  <si>
    <t>7年平均</t>
    <rPh sb="1" eb="2">
      <t>ネン</t>
    </rPh>
    <rPh sb="2" eb="4">
      <t>ヘイキン</t>
    </rPh>
    <phoneticPr fontId="3"/>
  </si>
  <si>
    <t>29年　4月</t>
    <rPh sb="2" eb="3">
      <t>ネン</t>
    </rPh>
    <rPh sb="5" eb="6">
      <t>ツキ</t>
    </rPh>
    <phoneticPr fontId="3"/>
  </si>
  <si>
    <t>29年　5月</t>
    <rPh sb="2" eb="3">
      <t>ネン</t>
    </rPh>
    <rPh sb="5" eb="6">
      <t>ツキ</t>
    </rPh>
    <phoneticPr fontId="3"/>
  </si>
  <si>
    <t>29年　6月</t>
    <rPh sb="2" eb="3">
      <t>ネン</t>
    </rPh>
    <rPh sb="5" eb="6">
      <t>ツキ</t>
    </rPh>
    <phoneticPr fontId="3"/>
  </si>
  <si>
    <t>29年　7月</t>
    <rPh sb="2" eb="3">
      <t>ネン</t>
    </rPh>
    <rPh sb="5" eb="6">
      <t>ツキ</t>
    </rPh>
    <phoneticPr fontId="3"/>
  </si>
  <si>
    <t>29年　8月</t>
    <rPh sb="2" eb="3">
      <t>ネン</t>
    </rPh>
    <rPh sb="5" eb="6">
      <t>ツキ</t>
    </rPh>
    <phoneticPr fontId="3"/>
  </si>
  <si>
    <t>29年　9月</t>
    <rPh sb="2" eb="3">
      <t>ネン</t>
    </rPh>
    <rPh sb="5" eb="6">
      <t>ツキ</t>
    </rPh>
    <phoneticPr fontId="3"/>
  </si>
  <si>
    <t>29年　10月</t>
    <rPh sb="2" eb="3">
      <t>ネン</t>
    </rPh>
    <rPh sb="6" eb="7">
      <t>ツキ</t>
    </rPh>
    <phoneticPr fontId="3"/>
  </si>
  <si>
    <t>29年　11月</t>
    <rPh sb="2" eb="3">
      <t>ネン</t>
    </rPh>
    <rPh sb="6" eb="7">
      <t>ツキ</t>
    </rPh>
    <phoneticPr fontId="3"/>
  </si>
  <si>
    <t>29年　12月</t>
    <rPh sb="2" eb="3">
      <t>ネン</t>
    </rPh>
    <rPh sb="6" eb="7">
      <t>ツキ</t>
    </rPh>
    <phoneticPr fontId="3"/>
  </si>
  <si>
    <t>30年　1月</t>
    <rPh sb="2" eb="3">
      <t>ネン</t>
    </rPh>
    <rPh sb="5" eb="6">
      <t>ツキ</t>
    </rPh>
    <phoneticPr fontId="3"/>
  </si>
  <si>
    <t>30年　2月</t>
    <rPh sb="2" eb="3">
      <t>ネン</t>
    </rPh>
    <rPh sb="5" eb="6">
      <t>ツキ</t>
    </rPh>
    <phoneticPr fontId="3"/>
  </si>
  <si>
    <t>30年　3月</t>
    <rPh sb="2" eb="3">
      <t>ネン</t>
    </rPh>
    <rPh sb="5" eb="6">
      <t>ツキ</t>
    </rPh>
    <phoneticPr fontId="3"/>
  </si>
  <si>
    <t>サロンほっと</t>
    <phoneticPr fontId="3"/>
  </si>
  <si>
    <t>平　　成　　29　　年　　度 　月　 別　　収　　支　　実　　績</t>
    <rPh sb="0" eb="1">
      <t>ヒラ</t>
    </rPh>
    <rPh sb="3" eb="4">
      <t>シゲル</t>
    </rPh>
    <rPh sb="10" eb="11">
      <t>トシ</t>
    </rPh>
    <rPh sb="13" eb="14">
      <t>タビ</t>
    </rPh>
    <rPh sb="16" eb="17">
      <t>ゲツ</t>
    </rPh>
    <rPh sb="19" eb="20">
      <t>ベツ</t>
    </rPh>
    <rPh sb="22" eb="23">
      <t>オサム</t>
    </rPh>
    <rPh sb="25" eb="26">
      <t>ササ</t>
    </rPh>
    <rPh sb="28" eb="32">
      <t>ジッセキ</t>
    </rPh>
    <phoneticPr fontId="3"/>
  </si>
  <si>
    <t>30年　4月</t>
    <rPh sb="2" eb="3">
      <t>ネン</t>
    </rPh>
    <rPh sb="5" eb="6">
      <t>ツキ</t>
    </rPh>
    <phoneticPr fontId="3"/>
  </si>
  <si>
    <t>30年　5月</t>
    <rPh sb="2" eb="3">
      <t>ネン</t>
    </rPh>
    <rPh sb="5" eb="6">
      <t>ツキ</t>
    </rPh>
    <phoneticPr fontId="3"/>
  </si>
  <si>
    <t>30年　6月</t>
    <rPh sb="2" eb="3">
      <t>ネン</t>
    </rPh>
    <rPh sb="5" eb="6">
      <t>ツキ</t>
    </rPh>
    <phoneticPr fontId="3"/>
  </si>
  <si>
    <t>30年　7月</t>
    <rPh sb="2" eb="3">
      <t>ネン</t>
    </rPh>
    <rPh sb="5" eb="6">
      <t>ツキ</t>
    </rPh>
    <phoneticPr fontId="3"/>
  </si>
  <si>
    <t>30年　8月</t>
    <rPh sb="2" eb="3">
      <t>ネン</t>
    </rPh>
    <rPh sb="5" eb="6">
      <t>ツキ</t>
    </rPh>
    <phoneticPr fontId="3"/>
  </si>
  <si>
    <t>30年　9月</t>
    <rPh sb="2" eb="3">
      <t>ネン</t>
    </rPh>
    <rPh sb="5" eb="6">
      <t>ツキ</t>
    </rPh>
    <phoneticPr fontId="3"/>
  </si>
  <si>
    <t>30年　10月</t>
    <rPh sb="2" eb="3">
      <t>ネン</t>
    </rPh>
    <rPh sb="6" eb="7">
      <t>ツキ</t>
    </rPh>
    <phoneticPr fontId="3"/>
  </si>
  <si>
    <t>30年　11月</t>
    <rPh sb="2" eb="3">
      <t>ネン</t>
    </rPh>
    <rPh sb="6" eb="7">
      <t>ツキ</t>
    </rPh>
    <phoneticPr fontId="3"/>
  </si>
  <si>
    <t>30年　12月</t>
    <rPh sb="2" eb="3">
      <t>ネン</t>
    </rPh>
    <rPh sb="6" eb="7">
      <t>ツキ</t>
    </rPh>
    <phoneticPr fontId="3"/>
  </si>
  <si>
    <t>31年　1月</t>
    <rPh sb="2" eb="3">
      <t>ネン</t>
    </rPh>
    <rPh sb="5" eb="6">
      <t>ツキ</t>
    </rPh>
    <phoneticPr fontId="3"/>
  </si>
  <si>
    <t>31年　2月</t>
    <rPh sb="2" eb="3">
      <t>ネン</t>
    </rPh>
    <rPh sb="5" eb="6">
      <t>ツキ</t>
    </rPh>
    <phoneticPr fontId="3"/>
  </si>
  <si>
    <t>31年　3月</t>
    <rPh sb="2" eb="3">
      <t>ネン</t>
    </rPh>
    <rPh sb="5" eb="6">
      <t>ツキ</t>
    </rPh>
    <phoneticPr fontId="3"/>
  </si>
  <si>
    <t>平　　成　　30　　年　　度 　月　 別　　収　　支　　実　　績</t>
    <rPh sb="0" eb="1">
      <t>ヒラ</t>
    </rPh>
    <rPh sb="3" eb="4">
      <t>シゲル</t>
    </rPh>
    <rPh sb="10" eb="11">
      <t>トシ</t>
    </rPh>
    <rPh sb="13" eb="14">
      <t>タビ</t>
    </rPh>
    <rPh sb="16" eb="17">
      <t>ゲツ</t>
    </rPh>
    <rPh sb="19" eb="20">
      <t>ベツ</t>
    </rPh>
    <rPh sb="22" eb="23">
      <t>オサム</t>
    </rPh>
    <rPh sb="25" eb="26">
      <t>ササ</t>
    </rPh>
    <rPh sb="28" eb="32">
      <t>ジッセキ</t>
    </rPh>
    <phoneticPr fontId="3"/>
  </si>
  <si>
    <t>平　　成　　31年　　・令　　和　　元年　　度 　月　 別　　収　　支　　実　　績</t>
    <rPh sb="0" eb="1">
      <t>ヒラ</t>
    </rPh>
    <rPh sb="3" eb="4">
      <t>シゲル</t>
    </rPh>
    <rPh sb="8" eb="9">
      <t>ネン</t>
    </rPh>
    <rPh sb="12" eb="13">
      <t>レイ</t>
    </rPh>
    <rPh sb="15" eb="16">
      <t>ワ</t>
    </rPh>
    <rPh sb="18" eb="20">
      <t>ガンネン</t>
    </rPh>
    <rPh sb="22" eb="23">
      <t>タビ</t>
    </rPh>
    <rPh sb="25" eb="26">
      <t>ゲツ</t>
    </rPh>
    <rPh sb="28" eb="29">
      <t>ベツ</t>
    </rPh>
    <rPh sb="31" eb="32">
      <t>オサム</t>
    </rPh>
    <rPh sb="34" eb="35">
      <t>ササ</t>
    </rPh>
    <rPh sb="37" eb="41">
      <t>ジッセキ</t>
    </rPh>
    <phoneticPr fontId="3"/>
  </si>
  <si>
    <t>31年　4月</t>
    <rPh sb="2" eb="3">
      <t>ネン</t>
    </rPh>
    <rPh sb="5" eb="6">
      <t>ツキ</t>
    </rPh>
    <phoneticPr fontId="3"/>
  </si>
  <si>
    <t>１年　5月</t>
    <rPh sb="1" eb="2">
      <t>ネン</t>
    </rPh>
    <rPh sb="4" eb="5">
      <t>ツキ</t>
    </rPh>
    <phoneticPr fontId="3"/>
  </si>
  <si>
    <t>１年　6月</t>
    <rPh sb="1" eb="2">
      <t>ネン</t>
    </rPh>
    <rPh sb="4" eb="5">
      <t>ツキ</t>
    </rPh>
    <phoneticPr fontId="3"/>
  </si>
  <si>
    <t>１年　7月</t>
    <rPh sb="1" eb="2">
      <t>ネン</t>
    </rPh>
    <rPh sb="4" eb="5">
      <t>ツキ</t>
    </rPh>
    <phoneticPr fontId="3"/>
  </si>
  <si>
    <t>１年　8月</t>
    <rPh sb="1" eb="2">
      <t>ネン</t>
    </rPh>
    <rPh sb="4" eb="5">
      <t>ツキ</t>
    </rPh>
    <phoneticPr fontId="3"/>
  </si>
  <si>
    <t>１年　9月</t>
    <rPh sb="1" eb="2">
      <t>ネン</t>
    </rPh>
    <rPh sb="4" eb="5">
      <t>ツキ</t>
    </rPh>
    <phoneticPr fontId="3"/>
  </si>
  <si>
    <t>１年　10月</t>
    <rPh sb="1" eb="2">
      <t>ネン</t>
    </rPh>
    <rPh sb="5" eb="6">
      <t>ツキ</t>
    </rPh>
    <phoneticPr fontId="3"/>
  </si>
  <si>
    <t>１年　11月</t>
    <rPh sb="1" eb="2">
      <t>ネン</t>
    </rPh>
    <rPh sb="5" eb="6">
      <t>ツキ</t>
    </rPh>
    <phoneticPr fontId="3"/>
  </si>
  <si>
    <t>１年　12月</t>
    <rPh sb="1" eb="2">
      <t>ネン</t>
    </rPh>
    <rPh sb="5" eb="6">
      <t>ツキ</t>
    </rPh>
    <phoneticPr fontId="3"/>
  </si>
  <si>
    <t>2年　1月</t>
    <rPh sb="1" eb="2">
      <t>ネン</t>
    </rPh>
    <rPh sb="4" eb="5">
      <t>ツキ</t>
    </rPh>
    <phoneticPr fontId="3"/>
  </si>
  <si>
    <t>2年　2月</t>
    <rPh sb="1" eb="2">
      <t>ネン</t>
    </rPh>
    <rPh sb="4" eb="5">
      <t>ツキ</t>
    </rPh>
    <phoneticPr fontId="3"/>
  </si>
  <si>
    <t>2年　3月</t>
    <rPh sb="1" eb="2">
      <t>ネン</t>
    </rPh>
    <rPh sb="4" eb="5">
      <t>ツキ</t>
    </rPh>
    <phoneticPr fontId="3"/>
  </si>
  <si>
    <t>特定処遇改善加算金</t>
    <rPh sb="0" eb="2">
      <t>トクテイ</t>
    </rPh>
    <rPh sb="2" eb="4">
      <t>ショグウ</t>
    </rPh>
    <rPh sb="4" eb="6">
      <t>カイゼン</t>
    </rPh>
    <rPh sb="6" eb="8">
      <t>カサン</t>
    </rPh>
    <rPh sb="8" eb="9">
      <t>キン</t>
    </rPh>
    <phoneticPr fontId="3"/>
  </si>
  <si>
    <t>令　　和　　２年　　度 　月　 別　　収　　支　　実　　績</t>
    <rPh sb="0" eb="1">
      <t>レイ</t>
    </rPh>
    <rPh sb="3" eb="4">
      <t>ワ</t>
    </rPh>
    <rPh sb="7" eb="8">
      <t>ネン</t>
    </rPh>
    <rPh sb="10" eb="11">
      <t>タビ</t>
    </rPh>
    <rPh sb="13" eb="14">
      <t>ゲツ</t>
    </rPh>
    <rPh sb="16" eb="17">
      <t>ベツ</t>
    </rPh>
    <rPh sb="19" eb="20">
      <t>オサム</t>
    </rPh>
    <rPh sb="22" eb="23">
      <t>ササ</t>
    </rPh>
    <rPh sb="25" eb="29">
      <t>ジッセキ</t>
    </rPh>
    <phoneticPr fontId="3"/>
  </si>
  <si>
    <t>2年　4月</t>
    <rPh sb="1" eb="2">
      <t>ネン</t>
    </rPh>
    <rPh sb="4" eb="5">
      <t>ツキ</t>
    </rPh>
    <phoneticPr fontId="3"/>
  </si>
  <si>
    <t>2年　5月</t>
    <rPh sb="1" eb="2">
      <t>ネン</t>
    </rPh>
    <rPh sb="4" eb="5">
      <t>ツキ</t>
    </rPh>
    <phoneticPr fontId="3"/>
  </si>
  <si>
    <t>2年　6月</t>
    <rPh sb="1" eb="2">
      <t>ネン</t>
    </rPh>
    <rPh sb="4" eb="5">
      <t>ツキ</t>
    </rPh>
    <phoneticPr fontId="3"/>
  </si>
  <si>
    <t>2年　7月</t>
    <rPh sb="1" eb="2">
      <t>ネン</t>
    </rPh>
    <rPh sb="4" eb="5">
      <t>ツキ</t>
    </rPh>
    <phoneticPr fontId="3"/>
  </si>
  <si>
    <t>2年　8月</t>
    <rPh sb="1" eb="2">
      <t>ネン</t>
    </rPh>
    <rPh sb="4" eb="5">
      <t>ツキ</t>
    </rPh>
    <phoneticPr fontId="3"/>
  </si>
  <si>
    <t>2年　9月</t>
    <rPh sb="1" eb="2">
      <t>ネン</t>
    </rPh>
    <rPh sb="4" eb="5">
      <t>ツキ</t>
    </rPh>
    <phoneticPr fontId="3"/>
  </si>
  <si>
    <t>2年　10月</t>
    <rPh sb="1" eb="2">
      <t>ネン</t>
    </rPh>
    <rPh sb="5" eb="6">
      <t>ツキ</t>
    </rPh>
    <phoneticPr fontId="3"/>
  </si>
  <si>
    <t>2年　11月</t>
    <rPh sb="1" eb="2">
      <t>ネン</t>
    </rPh>
    <rPh sb="5" eb="6">
      <t>ツキ</t>
    </rPh>
    <phoneticPr fontId="3"/>
  </si>
  <si>
    <t>2年　12月</t>
    <rPh sb="1" eb="2">
      <t>ネン</t>
    </rPh>
    <rPh sb="5" eb="6">
      <t>ツキ</t>
    </rPh>
    <phoneticPr fontId="3"/>
  </si>
  <si>
    <t>3年　1月</t>
    <rPh sb="1" eb="2">
      <t>ネン</t>
    </rPh>
    <rPh sb="4" eb="5">
      <t>ツキ</t>
    </rPh>
    <phoneticPr fontId="3"/>
  </si>
  <si>
    <t>3年　2月</t>
    <rPh sb="1" eb="2">
      <t>ネン</t>
    </rPh>
    <rPh sb="4" eb="5">
      <t>ツキ</t>
    </rPh>
    <phoneticPr fontId="3"/>
  </si>
  <si>
    <t>3年　3月</t>
    <rPh sb="1" eb="2">
      <t>ネン</t>
    </rPh>
    <rPh sb="4" eb="5">
      <t>ツキ</t>
    </rPh>
    <phoneticPr fontId="3"/>
  </si>
  <si>
    <t>短期借入金利息</t>
    <rPh sb="0" eb="2">
      <t>タンキ</t>
    </rPh>
    <rPh sb="2" eb="4">
      <t>カリイレ</t>
    </rPh>
    <rPh sb="4" eb="5">
      <t>キン</t>
    </rPh>
    <rPh sb="5" eb="7">
      <t>リソク</t>
    </rPh>
    <phoneticPr fontId="3"/>
  </si>
  <si>
    <t>長期借入金利息</t>
    <rPh sb="0" eb="2">
      <t>チョウキ</t>
    </rPh>
    <rPh sb="2" eb="4">
      <t>カリイレ</t>
    </rPh>
    <rPh sb="4" eb="5">
      <t>キン</t>
    </rPh>
    <rPh sb="5" eb="7">
      <t>リソク</t>
    </rPh>
    <phoneticPr fontId="3"/>
  </si>
  <si>
    <t>雑損</t>
    <rPh sb="0" eb="2">
      <t>ザッソン</t>
    </rPh>
    <phoneticPr fontId="3"/>
  </si>
  <si>
    <t>　　　寄付金収入</t>
    <rPh sb="3" eb="6">
      <t>キフキン</t>
    </rPh>
    <rPh sb="6" eb="8">
      <t>シュウニュウ</t>
    </rPh>
    <phoneticPr fontId="3"/>
  </si>
  <si>
    <t>　　　助成金・補助金</t>
    <rPh sb="3" eb="5">
      <t>ジョセイ</t>
    </rPh>
    <rPh sb="5" eb="6">
      <t>キン</t>
    </rPh>
    <rPh sb="7" eb="10">
      <t>ホジョキン</t>
    </rPh>
    <phoneticPr fontId="3"/>
  </si>
  <si>
    <t>　　　雑　収　入</t>
    <rPh sb="3" eb="4">
      <t>ザツ</t>
    </rPh>
    <rPh sb="5" eb="6">
      <t>オサム</t>
    </rPh>
    <rPh sb="7" eb="8">
      <t>イ</t>
    </rPh>
    <phoneticPr fontId="3"/>
  </si>
  <si>
    <t>B/S差額</t>
    <rPh sb="3" eb="5">
      <t>サガク</t>
    </rPh>
    <phoneticPr fontId="3"/>
  </si>
  <si>
    <t>介護保険小計</t>
    <rPh sb="0" eb="2">
      <t>カイゴ</t>
    </rPh>
    <rPh sb="2" eb="4">
      <t>ホケン</t>
    </rPh>
    <rPh sb="4" eb="6">
      <t>ショウケイ</t>
    </rPh>
    <phoneticPr fontId="3"/>
  </si>
  <si>
    <t>　　　その他収入</t>
    <rPh sb="5" eb="6">
      <t>タ</t>
    </rPh>
    <rPh sb="6" eb="8">
      <t>シュウニュウ</t>
    </rPh>
    <phoneticPr fontId="3"/>
  </si>
  <si>
    <t>賞　　　　　与</t>
    <rPh sb="0" eb="1">
      <t>ショウ</t>
    </rPh>
    <rPh sb="6" eb="7">
      <t>ヨ</t>
    </rPh>
    <phoneticPr fontId="3"/>
  </si>
  <si>
    <t xml:space="preserve">  </t>
    <phoneticPr fontId="3"/>
  </si>
  <si>
    <t>令　　和　　3年　　度 　月　 別　　収　　支　　実　　績</t>
    <rPh sb="0" eb="1">
      <t>レイ</t>
    </rPh>
    <rPh sb="3" eb="4">
      <t>ワ</t>
    </rPh>
    <rPh sb="7" eb="8">
      <t>ネン</t>
    </rPh>
    <rPh sb="10" eb="11">
      <t>タビ</t>
    </rPh>
    <rPh sb="13" eb="14">
      <t>ゲツ</t>
    </rPh>
    <rPh sb="16" eb="17">
      <t>ベツ</t>
    </rPh>
    <rPh sb="19" eb="20">
      <t>オサム</t>
    </rPh>
    <rPh sb="22" eb="23">
      <t>ササ</t>
    </rPh>
    <rPh sb="25" eb="29">
      <t>ジッセキ</t>
    </rPh>
    <phoneticPr fontId="3"/>
  </si>
  <si>
    <t>3年 4月</t>
    <rPh sb="1" eb="2">
      <t>ネン</t>
    </rPh>
    <rPh sb="4" eb="5">
      <t>ツキ</t>
    </rPh>
    <phoneticPr fontId="3"/>
  </si>
  <si>
    <t>3年 5月</t>
    <rPh sb="1" eb="2">
      <t>ネン</t>
    </rPh>
    <rPh sb="4" eb="5">
      <t>ツキ</t>
    </rPh>
    <phoneticPr fontId="3"/>
  </si>
  <si>
    <t>3年 6月</t>
    <rPh sb="1" eb="2">
      <t>ネン</t>
    </rPh>
    <rPh sb="4" eb="5">
      <t>ツキ</t>
    </rPh>
    <phoneticPr fontId="3"/>
  </si>
  <si>
    <t>3年 7月</t>
    <rPh sb="1" eb="2">
      <t>ネン</t>
    </rPh>
    <rPh sb="4" eb="5">
      <t>ツキ</t>
    </rPh>
    <phoneticPr fontId="3"/>
  </si>
  <si>
    <t>3年 8月</t>
    <rPh sb="1" eb="2">
      <t>ネン</t>
    </rPh>
    <rPh sb="4" eb="5">
      <t>ツキ</t>
    </rPh>
    <phoneticPr fontId="3"/>
  </si>
  <si>
    <t>3年 9月</t>
    <rPh sb="1" eb="2">
      <t>ネン</t>
    </rPh>
    <rPh sb="4" eb="5">
      <t>ツキ</t>
    </rPh>
    <phoneticPr fontId="3"/>
  </si>
  <si>
    <t>3年 10月</t>
    <rPh sb="1" eb="2">
      <t>ネン</t>
    </rPh>
    <rPh sb="5" eb="6">
      <t>ツキ</t>
    </rPh>
    <phoneticPr fontId="3"/>
  </si>
  <si>
    <t xml:space="preserve"> 3年 11月</t>
    <rPh sb="2" eb="3">
      <t>ネン</t>
    </rPh>
    <rPh sb="6" eb="7">
      <t>ツキ</t>
    </rPh>
    <phoneticPr fontId="3"/>
  </si>
  <si>
    <t>3年 12月</t>
    <rPh sb="1" eb="2">
      <t>ネン</t>
    </rPh>
    <rPh sb="5" eb="6">
      <t>ツキ</t>
    </rPh>
    <phoneticPr fontId="3"/>
  </si>
  <si>
    <t>4年 1月</t>
    <rPh sb="1" eb="2">
      <t>ネン</t>
    </rPh>
    <rPh sb="4" eb="5">
      <t>ツキ</t>
    </rPh>
    <phoneticPr fontId="3"/>
  </si>
  <si>
    <t>4年 2月</t>
    <rPh sb="1" eb="2">
      <t>ネン</t>
    </rPh>
    <rPh sb="4" eb="5">
      <t>ツキ</t>
    </rPh>
    <phoneticPr fontId="3"/>
  </si>
  <si>
    <t>4年 3月</t>
    <rPh sb="1" eb="2">
      <t>ネン</t>
    </rPh>
    <rPh sb="4" eb="5">
      <t>ツキ</t>
    </rPh>
    <phoneticPr fontId="3"/>
  </si>
  <si>
    <t>　備　　品　　費</t>
    <rPh sb="1" eb="2">
      <t>ビ</t>
    </rPh>
    <rPh sb="4" eb="5">
      <t>ヒン</t>
    </rPh>
    <rPh sb="7" eb="8">
      <t>ヒ</t>
    </rPh>
    <phoneticPr fontId="3"/>
  </si>
  <si>
    <t>　　　　交　　際　　費</t>
    <rPh sb="4" eb="5">
      <t>コウ</t>
    </rPh>
    <rPh sb="7" eb="8">
      <t>サイ</t>
    </rPh>
    <rPh sb="10" eb="11">
      <t>ヒ</t>
    </rPh>
    <phoneticPr fontId="3"/>
  </si>
  <si>
    <t>　　　ちゃれんじ（一時）</t>
    <rPh sb="9" eb="11">
      <t>イチジ</t>
    </rPh>
    <phoneticPr fontId="3"/>
  </si>
  <si>
    <t>運　行　寄　付</t>
    <rPh sb="0" eb="1">
      <t>ウン</t>
    </rPh>
    <rPh sb="2" eb="3">
      <t>ギョウ</t>
    </rPh>
    <rPh sb="4" eb="5">
      <t>ヤドリキ</t>
    </rPh>
    <rPh sb="6" eb="7">
      <t>ツキ</t>
    </rPh>
    <phoneticPr fontId="3"/>
  </si>
  <si>
    <t>賞　　　　与</t>
    <rPh sb="0" eb="1">
      <t>ショウ</t>
    </rPh>
    <rPh sb="5" eb="6">
      <t>ヨ</t>
    </rPh>
    <phoneticPr fontId="3"/>
  </si>
  <si>
    <t>会費負担金</t>
    <rPh sb="0" eb="5">
      <t>カイヒフタンキン</t>
    </rPh>
    <phoneticPr fontId="3"/>
  </si>
  <si>
    <t>令　　和　　４　年　度 　　月　 別　　収　　支　　実　　績</t>
    <rPh sb="0" eb="1">
      <t>レイ</t>
    </rPh>
    <rPh sb="3" eb="4">
      <t>ワ</t>
    </rPh>
    <rPh sb="8" eb="9">
      <t>ネン</t>
    </rPh>
    <rPh sb="10" eb="11">
      <t>タビ</t>
    </rPh>
    <rPh sb="14" eb="15">
      <t>ゲツ</t>
    </rPh>
    <rPh sb="17" eb="18">
      <t>ベツ</t>
    </rPh>
    <rPh sb="20" eb="21">
      <t>オサム</t>
    </rPh>
    <rPh sb="23" eb="24">
      <t>ササ</t>
    </rPh>
    <rPh sb="26" eb="30">
      <t>ジッセキ</t>
    </rPh>
    <phoneticPr fontId="3"/>
  </si>
  <si>
    <t>4年 4月</t>
    <rPh sb="1" eb="2">
      <t>ネン</t>
    </rPh>
    <rPh sb="4" eb="5">
      <t>ツキ</t>
    </rPh>
    <phoneticPr fontId="3"/>
  </si>
  <si>
    <t>4年 5月</t>
    <rPh sb="1" eb="2">
      <t>ネン</t>
    </rPh>
    <rPh sb="4" eb="5">
      <t>ツキ</t>
    </rPh>
    <phoneticPr fontId="3"/>
  </si>
  <si>
    <t>4年 6月</t>
    <rPh sb="1" eb="2">
      <t>ネン</t>
    </rPh>
    <rPh sb="4" eb="5">
      <t>ツキ</t>
    </rPh>
    <phoneticPr fontId="3"/>
  </si>
  <si>
    <t>4年 7月</t>
    <rPh sb="1" eb="2">
      <t>ネン</t>
    </rPh>
    <rPh sb="4" eb="5">
      <t>ツキ</t>
    </rPh>
    <phoneticPr fontId="3"/>
  </si>
  <si>
    <t>4年 8月</t>
    <rPh sb="1" eb="2">
      <t>ネン</t>
    </rPh>
    <rPh sb="4" eb="5">
      <t>ツキ</t>
    </rPh>
    <phoneticPr fontId="3"/>
  </si>
  <si>
    <t>4年 9月</t>
    <rPh sb="1" eb="2">
      <t>ネン</t>
    </rPh>
    <rPh sb="4" eb="5">
      <t>ツキ</t>
    </rPh>
    <phoneticPr fontId="3"/>
  </si>
  <si>
    <t>4年 10月</t>
    <rPh sb="1" eb="2">
      <t>ネン</t>
    </rPh>
    <rPh sb="5" eb="6">
      <t>ツキ</t>
    </rPh>
    <phoneticPr fontId="3"/>
  </si>
  <si>
    <t xml:space="preserve"> 4年 11月</t>
    <rPh sb="2" eb="3">
      <t>ネン</t>
    </rPh>
    <rPh sb="6" eb="7">
      <t>ツキ</t>
    </rPh>
    <phoneticPr fontId="3"/>
  </si>
  <si>
    <t>4年 12月</t>
    <rPh sb="1" eb="2">
      <t>ネン</t>
    </rPh>
    <rPh sb="5" eb="6">
      <t>ツキ</t>
    </rPh>
    <phoneticPr fontId="3"/>
  </si>
  <si>
    <t>5年 1月</t>
    <rPh sb="1" eb="2">
      <t>ネン</t>
    </rPh>
    <rPh sb="4" eb="5">
      <t>ツキ</t>
    </rPh>
    <phoneticPr fontId="3"/>
  </si>
  <si>
    <t>5年 2月</t>
    <rPh sb="1" eb="2">
      <t>ネン</t>
    </rPh>
    <rPh sb="4" eb="5">
      <t>ツキ</t>
    </rPh>
    <phoneticPr fontId="3"/>
  </si>
  <si>
    <t>5年 3月</t>
    <rPh sb="1" eb="2">
      <t>ネン</t>
    </rPh>
    <rPh sb="4" eb="5">
      <t>ツキ</t>
    </rPh>
    <phoneticPr fontId="3"/>
  </si>
  <si>
    <t>ベースアップ加算</t>
    <rPh sb="6" eb="8">
      <t>カサン</t>
    </rPh>
    <phoneticPr fontId="3"/>
  </si>
  <si>
    <t>令　　和　　５　年　度 　　月　 別　　収　　支　　実　　績</t>
    <rPh sb="0" eb="1">
      <t>レイ</t>
    </rPh>
    <rPh sb="3" eb="4">
      <t>ワ</t>
    </rPh>
    <rPh sb="8" eb="9">
      <t>ネン</t>
    </rPh>
    <rPh sb="10" eb="11">
      <t>タビ</t>
    </rPh>
    <rPh sb="14" eb="15">
      <t>ゲツ</t>
    </rPh>
    <rPh sb="17" eb="18">
      <t>ベツ</t>
    </rPh>
    <rPh sb="20" eb="21">
      <t>オサム</t>
    </rPh>
    <rPh sb="23" eb="24">
      <t>ササ</t>
    </rPh>
    <rPh sb="26" eb="30">
      <t>ジッセキ</t>
    </rPh>
    <phoneticPr fontId="3"/>
  </si>
  <si>
    <t>５年 ４月</t>
    <rPh sb="1" eb="2">
      <t>ネン</t>
    </rPh>
    <rPh sb="4" eb="5">
      <t>ツキ</t>
    </rPh>
    <phoneticPr fontId="3"/>
  </si>
  <si>
    <t>５年 ５月</t>
    <rPh sb="1" eb="2">
      <t>ネン</t>
    </rPh>
    <rPh sb="4" eb="5">
      <t>ツキ</t>
    </rPh>
    <phoneticPr fontId="3"/>
  </si>
  <si>
    <t>５年 ６月</t>
    <rPh sb="1" eb="2">
      <t>ネン</t>
    </rPh>
    <rPh sb="4" eb="5">
      <t>ツキ</t>
    </rPh>
    <phoneticPr fontId="3"/>
  </si>
  <si>
    <t>５年 ７月</t>
    <rPh sb="1" eb="2">
      <t>ネン</t>
    </rPh>
    <rPh sb="4" eb="5">
      <t>ツキ</t>
    </rPh>
    <phoneticPr fontId="3"/>
  </si>
  <si>
    <t>５年 ８月</t>
    <rPh sb="1" eb="2">
      <t>ネン</t>
    </rPh>
    <rPh sb="4" eb="5">
      <t>ツキ</t>
    </rPh>
    <phoneticPr fontId="3"/>
  </si>
  <si>
    <t>５年 ９月</t>
    <rPh sb="1" eb="2">
      <t>ネン</t>
    </rPh>
    <rPh sb="4" eb="5">
      <t>ツキ</t>
    </rPh>
    <phoneticPr fontId="3"/>
  </si>
  <si>
    <t>５年 １０月</t>
    <rPh sb="1" eb="2">
      <t>ネン</t>
    </rPh>
    <rPh sb="5" eb="6">
      <t>ツキ</t>
    </rPh>
    <phoneticPr fontId="3"/>
  </si>
  <si>
    <t xml:space="preserve"> ５年 １１月</t>
    <rPh sb="2" eb="3">
      <t>ネン</t>
    </rPh>
    <rPh sb="6" eb="7">
      <t>ツキ</t>
    </rPh>
    <phoneticPr fontId="3"/>
  </si>
  <si>
    <t>５年 １２月</t>
    <rPh sb="1" eb="2">
      <t>ネン</t>
    </rPh>
    <rPh sb="5" eb="6">
      <t>ツキ</t>
    </rPh>
    <phoneticPr fontId="3"/>
  </si>
  <si>
    <t>６年 １月</t>
    <rPh sb="1" eb="2">
      <t>ネン</t>
    </rPh>
    <rPh sb="4" eb="5">
      <t>ツキ</t>
    </rPh>
    <phoneticPr fontId="3"/>
  </si>
  <si>
    <t>６年 ２月</t>
    <rPh sb="1" eb="2">
      <t>ネン</t>
    </rPh>
    <rPh sb="4" eb="5">
      <t>ツキ</t>
    </rPh>
    <phoneticPr fontId="3"/>
  </si>
  <si>
    <t>６年 ３月</t>
    <rPh sb="1" eb="2">
      <t>ネン</t>
    </rPh>
    <rPh sb="4" eb="5">
      <t>ツキ</t>
    </rPh>
    <phoneticPr fontId="3"/>
  </si>
  <si>
    <t>　　　　会費負担金</t>
    <rPh sb="4" eb="9">
      <t>カイヒフタンキン</t>
    </rPh>
    <phoneticPr fontId="3"/>
  </si>
  <si>
    <t>令　　和　　６　年　度 　　月　 別　　収　　支　　実　　績</t>
    <rPh sb="0" eb="1">
      <t>レイ</t>
    </rPh>
    <rPh sb="3" eb="4">
      <t>ワ</t>
    </rPh>
    <rPh sb="8" eb="9">
      <t>ネン</t>
    </rPh>
    <rPh sb="10" eb="11">
      <t>タビ</t>
    </rPh>
    <rPh sb="14" eb="15">
      <t>ゲツ</t>
    </rPh>
    <rPh sb="17" eb="18">
      <t>ベツ</t>
    </rPh>
    <rPh sb="20" eb="21">
      <t>オサム</t>
    </rPh>
    <rPh sb="23" eb="24">
      <t>ササ</t>
    </rPh>
    <rPh sb="26" eb="30">
      <t>ジッセキ</t>
    </rPh>
    <phoneticPr fontId="3"/>
  </si>
  <si>
    <t>６年 ４月</t>
    <rPh sb="1" eb="2">
      <t>ネン</t>
    </rPh>
    <rPh sb="4" eb="5">
      <t>ツキ</t>
    </rPh>
    <phoneticPr fontId="3"/>
  </si>
  <si>
    <t>６年 ５月</t>
    <rPh sb="1" eb="2">
      <t>ネン</t>
    </rPh>
    <rPh sb="4" eb="5">
      <t>ツキ</t>
    </rPh>
    <phoneticPr fontId="3"/>
  </si>
  <si>
    <t>６年 ６月</t>
    <rPh sb="1" eb="2">
      <t>ネン</t>
    </rPh>
    <rPh sb="4" eb="5">
      <t>ツキ</t>
    </rPh>
    <phoneticPr fontId="3"/>
  </si>
  <si>
    <t>６年 ７月</t>
    <rPh sb="1" eb="2">
      <t>ネン</t>
    </rPh>
    <rPh sb="4" eb="5">
      <t>ツキ</t>
    </rPh>
    <phoneticPr fontId="3"/>
  </si>
  <si>
    <t>６年 ８月</t>
    <rPh sb="1" eb="2">
      <t>ネン</t>
    </rPh>
    <rPh sb="4" eb="5">
      <t>ツキ</t>
    </rPh>
    <phoneticPr fontId="3"/>
  </si>
  <si>
    <t>６年 ９月</t>
    <rPh sb="1" eb="2">
      <t>ネン</t>
    </rPh>
    <rPh sb="4" eb="5">
      <t>ツキ</t>
    </rPh>
    <phoneticPr fontId="3"/>
  </si>
  <si>
    <t>６年 １０月</t>
    <rPh sb="1" eb="2">
      <t>ネン</t>
    </rPh>
    <rPh sb="5" eb="6">
      <t>ツキ</t>
    </rPh>
    <phoneticPr fontId="3"/>
  </si>
  <si>
    <t xml:space="preserve"> ６年 １１月</t>
    <rPh sb="2" eb="3">
      <t>ネン</t>
    </rPh>
    <rPh sb="6" eb="7">
      <t>ツキ</t>
    </rPh>
    <phoneticPr fontId="3"/>
  </si>
  <si>
    <t>６年 １２月</t>
    <rPh sb="1" eb="2">
      <t>ネン</t>
    </rPh>
    <rPh sb="5" eb="6">
      <t>ツキ</t>
    </rPh>
    <phoneticPr fontId="3"/>
  </si>
  <si>
    <t>７年 １月</t>
    <rPh sb="1" eb="2">
      <t>ネン</t>
    </rPh>
    <rPh sb="4" eb="5">
      <t>ツキ</t>
    </rPh>
    <phoneticPr fontId="3"/>
  </si>
  <si>
    <t>７年 ２月</t>
    <rPh sb="1" eb="2">
      <t>ネン</t>
    </rPh>
    <rPh sb="4" eb="5">
      <t>ツキ</t>
    </rPh>
    <phoneticPr fontId="3"/>
  </si>
  <si>
    <t>７年 ３月</t>
    <rPh sb="1" eb="2">
      <t>ネン</t>
    </rPh>
    <rPh sb="4" eb="5">
      <t>ツキ</t>
    </rPh>
    <phoneticPr fontId="3"/>
  </si>
  <si>
    <t>令　和　７　年　度 　　月　　 別　　収　　支　　実　　績</t>
    <rPh sb="0" eb="1">
      <t>レイ</t>
    </rPh>
    <rPh sb="2" eb="3">
      <t>ワ</t>
    </rPh>
    <rPh sb="7" eb="8">
      <t>タビ</t>
    </rPh>
    <rPh sb="11" eb="12">
      <t>ゲツ</t>
    </rPh>
    <rPh sb="15" eb="16">
      <t>ベツ</t>
    </rPh>
    <rPh sb="18" eb="19">
      <t>オサム</t>
    </rPh>
    <rPh sb="21" eb="22">
      <t>ササ</t>
    </rPh>
    <rPh sb="24" eb="28">
      <t>ジッセキ</t>
    </rPh>
    <phoneticPr fontId="3"/>
  </si>
  <si>
    <t>７年 ４月</t>
    <rPh sb="1" eb="2">
      <t>ネン</t>
    </rPh>
    <rPh sb="4" eb="5">
      <t>ツキ</t>
    </rPh>
    <phoneticPr fontId="3"/>
  </si>
  <si>
    <t>７年 ５月</t>
    <rPh sb="1" eb="2">
      <t>ネン</t>
    </rPh>
    <rPh sb="4" eb="5">
      <t>ツキ</t>
    </rPh>
    <phoneticPr fontId="3"/>
  </si>
  <si>
    <t>７年 ６月</t>
    <rPh sb="1" eb="2">
      <t>ネン</t>
    </rPh>
    <rPh sb="4" eb="5">
      <t>ツキ</t>
    </rPh>
    <phoneticPr fontId="3"/>
  </si>
  <si>
    <t>７年 ７月</t>
    <rPh sb="1" eb="2">
      <t>ネン</t>
    </rPh>
    <rPh sb="4" eb="5">
      <t>ツキ</t>
    </rPh>
    <phoneticPr fontId="3"/>
  </si>
  <si>
    <t>７年 ８月</t>
    <rPh sb="1" eb="2">
      <t>ネン</t>
    </rPh>
    <rPh sb="4" eb="5">
      <t>ツキ</t>
    </rPh>
    <phoneticPr fontId="3"/>
  </si>
  <si>
    <t>７年 ９月</t>
    <rPh sb="1" eb="2">
      <t>ネン</t>
    </rPh>
    <rPh sb="4" eb="5">
      <t>ツキ</t>
    </rPh>
    <phoneticPr fontId="3"/>
  </si>
  <si>
    <t>７年 １０月</t>
    <rPh sb="1" eb="2">
      <t>ネン</t>
    </rPh>
    <rPh sb="5" eb="6">
      <t>ツキ</t>
    </rPh>
    <phoneticPr fontId="3"/>
  </si>
  <si>
    <t xml:space="preserve"> ７年 １１月</t>
    <rPh sb="2" eb="3">
      <t>ネン</t>
    </rPh>
    <rPh sb="6" eb="7">
      <t>ツキ</t>
    </rPh>
    <phoneticPr fontId="3"/>
  </si>
  <si>
    <t>７年 １２月</t>
    <rPh sb="1" eb="2">
      <t>ネン</t>
    </rPh>
    <rPh sb="5" eb="6">
      <t>ツキ</t>
    </rPh>
    <phoneticPr fontId="3"/>
  </si>
  <si>
    <t>８年 １月</t>
    <rPh sb="1" eb="2">
      <t>ネン</t>
    </rPh>
    <rPh sb="4" eb="5">
      <t>ツキ</t>
    </rPh>
    <phoneticPr fontId="3"/>
  </si>
  <si>
    <t>８年 ２月</t>
    <rPh sb="1" eb="2">
      <t>ネン</t>
    </rPh>
    <rPh sb="4" eb="5">
      <t>ツキ</t>
    </rPh>
    <phoneticPr fontId="3"/>
  </si>
  <si>
    <t>８年 ３月</t>
    <rPh sb="1" eb="2">
      <t>ネン</t>
    </rPh>
    <rPh sb="4" eb="5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</si>
</sst>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87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57" fontId="2" fillId="0" borderId="1" xfId="0" applyNumberFormat="1" applyFont="1" applyBorder="1" applyAlignment="1">
      <alignment horizontal="center"/>
    </xf>
    <xf numFmtId="0" fontId="0" fillId="0" borderId="1" xfId="0" applyBorder="1"/>
    <xf numFmtId="38" fontId="0" fillId="0" borderId="1" xfId="1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8" fontId="0" fillId="0" borderId="1" xfId="1" applyFont="1" applyBorder="1"/>
    <xf numFmtId="38" fontId="6" fillId="0" borderId="1" xfId="1" applyFont="1" applyBorder="1"/>
    <xf numFmtId="38" fontId="0" fillId="0" borderId="2" xfId="1" applyFont="1" applyBorder="1"/>
    <xf numFmtId="0" fontId="0" fillId="0" borderId="2" xfId="0" applyBorder="1"/>
    <xf numFmtId="38" fontId="1" fillId="0" borderId="1" xfId="1" applyFont="1" applyBorder="1"/>
    <xf numFmtId="38" fontId="2" fillId="0" borderId="1" xfId="1" applyBorder="1"/>
    <xf numFmtId="38" fontId="6" fillId="0" borderId="1" xfId="0" applyNumberFormat="1" applyFont="1" applyBorder="1"/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38" fontId="5" fillId="0" borderId="1" xfId="1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38" fontId="2" fillId="0" borderId="2" xfId="1" applyBorder="1"/>
    <xf numFmtId="0" fontId="4" fillId="0" borderId="3" xfId="0" applyFont="1" applyBorder="1"/>
    <xf numFmtId="0" fontId="10" fillId="0" borderId="1" xfId="0" applyFont="1" applyBorder="1" applyAlignment="1">
      <alignment horizontal="center" vertical="center"/>
    </xf>
    <xf numFmtId="38" fontId="7" fillId="0" borderId="1" xfId="1" applyFont="1" applyBorder="1"/>
    <xf numFmtId="38" fontId="7" fillId="0" borderId="1" xfId="0" applyNumberFormat="1" applyFont="1" applyBorder="1"/>
    <xf numFmtId="0" fontId="8" fillId="0" borderId="0" xfId="0" applyFont="1" applyAlignment="1">
      <alignment horizontal="right"/>
    </xf>
    <xf numFmtId="0" fontId="0" fillId="0" borderId="4" xfId="0" applyBorder="1"/>
    <xf numFmtId="0" fontId="0" fillId="0" borderId="5" xfId="0" applyBorder="1"/>
    <xf numFmtId="38" fontId="0" fillId="0" borderId="5" xfId="1" applyFont="1" applyBorder="1"/>
    <xf numFmtId="38" fontId="0" fillId="0" borderId="6" xfId="1" applyFont="1" applyBorder="1"/>
    <xf numFmtId="0" fontId="5" fillId="0" borderId="7" xfId="0" applyFont="1" applyBorder="1" applyAlignment="1">
      <alignment horizontal="center"/>
    </xf>
    <xf numFmtId="38" fontId="0" fillId="0" borderId="0" xfId="1" applyFont="1"/>
    <xf numFmtId="38" fontId="0" fillId="0" borderId="8" xfId="1" applyFont="1" applyBorder="1"/>
    <xf numFmtId="38" fontId="0" fillId="0" borderId="9" xfId="1" applyFont="1" applyBorder="1"/>
    <xf numFmtId="38" fontId="0" fillId="0" borderId="10" xfId="1" applyFont="1" applyBorder="1"/>
    <xf numFmtId="38" fontId="2" fillId="0" borderId="8" xfId="1" applyBorder="1"/>
    <xf numFmtId="176" fontId="5" fillId="0" borderId="1" xfId="0" applyNumberFormat="1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2" xfId="1" applyFont="1" applyBorder="1"/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7" fillId="0" borderId="1" xfId="0" applyFont="1" applyBorder="1" applyAlignment="1">
      <alignment horizontal="center"/>
    </xf>
    <xf numFmtId="38" fontId="0" fillId="0" borderId="11" xfId="1" applyFont="1" applyBorder="1"/>
    <xf numFmtId="38" fontId="0" fillId="0" borderId="12" xfId="1" applyFont="1" applyBorder="1"/>
    <xf numFmtId="38" fontId="0" fillId="0" borderId="13" xfId="1" applyFont="1" applyBorder="1"/>
    <xf numFmtId="38" fontId="0" fillId="0" borderId="14" xfId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38" fontId="0" fillId="0" borderId="21" xfId="1" applyFont="1" applyBorder="1"/>
    <xf numFmtId="38" fontId="0" fillId="0" borderId="22" xfId="1" applyFont="1" applyBorder="1"/>
    <xf numFmtId="0" fontId="5" fillId="0" borderId="23" xfId="0" applyFont="1" applyBorder="1" applyAlignment="1">
      <alignment horizontal="center"/>
    </xf>
    <xf numFmtId="38" fontId="0" fillId="0" borderId="24" xfId="1" applyFont="1" applyBorder="1"/>
    <xf numFmtId="38" fontId="0" fillId="0" borderId="25" xfId="1" applyFont="1" applyBorder="1"/>
    <xf numFmtId="38" fontId="0" fillId="0" borderId="26" xfId="0" applyNumberFormat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38" fontId="0" fillId="0" borderId="29" xfId="1" applyFont="1" applyBorder="1"/>
    <xf numFmtId="0" fontId="5" fillId="0" borderId="15" xfId="0" applyFont="1" applyBorder="1" applyAlignment="1">
      <alignment horizontal="center"/>
    </xf>
    <xf numFmtId="38" fontId="0" fillId="0" borderId="16" xfId="1" applyFont="1" applyBorder="1"/>
    <xf numFmtId="38" fontId="0" fillId="0" borderId="17" xfId="1" applyFont="1" applyBorder="1"/>
    <xf numFmtId="38" fontId="0" fillId="0" borderId="28" xfId="1" applyFont="1" applyBorder="1"/>
    <xf numFmtId="38" fontId="0" fillId="0" borderId="30" xfId="1" applyFont="1" applyBorder="1"/>
    <xf numFmtId="38" fontId="0" fillId="0" borderId="31" xfId="1" applyFont="1" applyBorder="1"/>
    <xf numFmtId="38" fontId="0" fillId="0" borderId="32" xfId="1" applyFont="1" applyBorder="1"/>
    <xf numFmtId="38" fontId="0" fillId="0" borderId="33" xfId="1" applyFont="1" applyBorder="1"/>
    <xf numFmtId="38" fontId="0" fillId="0" borderId="34" xfId="1" applyFont="1" applyBorder="1"/>
    <xf numFmtId="38" fontId="0" fillId="0" borderId="35" xfId="1" applyFont="1" applyBorder="1"/>
    <xf numFmtId="0" fontId="5" fillId="0" borderId="0" xfId="0" applyFont="1" applyAlignment="1">
      <alignment horizontal="center"/>
    </xf>
    <xf numFmtId="38" fontId="0" fillId="0" borderId="0" xfId="0" applyNumberFormat="1"/>
    <xf numFmtId="38" fontId="0" fillId="0" borderId="36" xfId="1" applyFont="1" applyBorder="1"/>
    <xf numFmtId="0" fontId="0" fillId="0" borderId="12" xfId="0" applyBorder="1"/>
    <xf numFmtId="0" fontId="0" fillId="0" borderId="37" xfId="0" applyBorder="1"/>
    <xf numFmtId="38" fontId="0" fillId="0" borderId="38" xfId="1" applyFont="1" applyBorder="1"/>
    <xf numFmtId="38" fontId="0" fillId="0" borderId="39" xfId="0" applyNumberForma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38" fontId="0" fillId="0" borderId="44" xfId="0" applyNumberFormat="1" applyBorder="1"/>
    <xf numFmtId="38" fontId="0" fillId="0" borderId="45" xfId="0" applyNumberFormat="1" applyBorder="1"/>
    <xf numFmtId="38" fontId="0" fillId="0" borderId="46" xfId="0" applyNumberFormat="1" applyBorder="1"/>
    <xf numFmtId="38" fontId="0" fillId="0" borderId="47" xfId="1" applyFont="1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38" fontId="0" fillId="0" borderId="51" xfId="0" applyNumberFormat="1" applyBorder="1"/>
    <xf numFmtId="38" fontId="0" fillId="0" borderId="51" xfId="1" applyFont="1" applyBorder="1"/>
    <xf numFmtId="38" fontId="0" fillId="0" borderId="52" xfId="1" applyFont="1" applyBorder="1"/>
    <xf numFmtId="38" fontId="0" fillId="0" borderId="53" xfId="0" applyNumberFormat="1" applyBorder="1"/>
    <xf numFmtId="38" fontId="0" fillId="0" borderId="54" xfId="0" applyNumberFormat="1" applyBorder="1"/>
    <xf numFmtId="38" fontId="0" fillId="0" borderId="52" xfId="0" applyNumberFormat="1" applyBorder="1"/>
    <xf numFmtId="38" fontId="0" fillId="0" borderId="29" xfId="0" applyNumberFormat="1" applyBorder="1"/>
    <xf numFmtId="38" fontId="0" fillId="0" borderId="28" xfId="0" applyNumberFormat="1" applyBorder="1"/>
    <xf numFmtId="38" fontId="7" fillId="2" borderId="1" xfId="1" applyFont="1" applyFill="1" applyBorder="1"/>
    <xf numFmtId="38" fontId="5" fillId="0" borderId="1" xfId="1" applyFont="1" applyFill="1" applyBorder="1"/>
    <xf numFmtId="0" fontId="4" fillId="0" borderId="0" xfId="0" applyFont="1"/>
    <xf numFmtId="38" fontId="5" fillId="0" borderId="1" xfId="1" applyFont="1" applyFill="1" applyBorder="1" applyAlignment="1">
      <alignment horizontal="right"/>
    </xf>
    <xf numFmtId="38" fontId="7" fillId="0" borderId="1" xfId="1" applyFont="1" applyFill="1" applyBorder="1"/>
    <xf numFmtId="38" fontId="5" fillId="0" borderId="2" xfId="1" applyFont="1" applyFill="1" applyBorder="1"/>
    <xf numFmtId="38" fontId="0" fillId="0" borderId="0" xfId="1" applyFont="1" applyFill="1"/>
    <xf numFmtId="38" fontId="2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38" fontId="5" fillId="3" borderId="1" xfId="1" applyFont="1" applyFill="1" applyBorder="1"/>
    <xf numFmtId="38" fontId="2" fillId="2" borderId="0" xfId="1" applyFont="1" applyFill="1"/>
    <xf numFmtId="38" fontId="2" fillId="0" borderId="0" xfId="1" applyFont="1" applyFill="1"/>
    <xf numFmtId="38" fontId="5" fillId="4" borderId="1" xfId="1" applyFont="1" applyFill="1" applyBorder="1"/>
    <xf numFmtId="38" fontId="5" fillId="5" borderId="1" xfId="1" applyFont="1" applyFill="1" applyBorder="1"/>
    <xf numFmtId="38" fontId="5" fillId="5" borderId="2" xfId="1" applyFont="1" applyFill="1" applyBorder="1"/>
    <xf numFmtId="38" fontId="0" fillId="0" borderId="0" xfId="1" applyFont="1" applyFill="1" applyBorder="1"/>
    <xf numFmtId="0" fontId="0" fillId="0" borderId="55" xfId="0" applyBorder="1"/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5" fillId="5" borderId="1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5" fillId="4" borderId="1" xfId="1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38" fontId="0" fillId="0" borderId="0" xfId="1" applyFont="1" applyFill="1" applyAlignment="1">
      <alignment vertical="center"/>
    </xf>
    <xf numFmtId="38" fontId="2" fillId="2" borderId="0" xfId="1" applyFont="1" applyFill="1" applyAlignment="1">
      <alignment vertical="center"/>
    </xf>
    <xf numFmtId="38" fontId="2" fillId="2" borderId="0" xfId="1" applyFont="1" applyFill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0" applyNumberFormat="1" applyFont="1" applyBorder="1" applyAlignment="1">
      <alignment vertical="center"/>
    </xf>
    <xf numFmtId="38" fontId="7" fillId="0" borderId="1" xfId="1" applyFont="1" applyFill="1" applyBorder="1" applyAlignment="1">
      <alignment vertical="center" shrinkToFit="1"/>
    </xf>
    <xf numFmtId="38" fontId="7" fillId="0" borderId="1" xfId="0" applyNumberFormat="1" applyFont="1" applyBorder="1" applyAlignment="1">
      <alignment vertical="center" shrinkToFit="1"/>
    </xf>
    <xf numFmtId="38" fontId="7" fillId="0" borderId="1" xfId="0" applyNumberFormat="1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/>
    </xf>
    <xf numFmtId="38" fontId="5" fillId="0" borderId="56" xfId="1" applyFont="1" applyFill="1" applyBorder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5" fillId="5" borderId="56" xfId="1" applyFont="1" applyFill="1" applyBorder="1" applyAlignment="1">
      <alignment vertical="center"/>
    </xf>
    <xf numFmtId="38" fontId="7" fillId="0" borderId="56" xfId="0" applyNumberFormat="1" applyFont="1" applyBorder="1" applyAlignment="1">
      <alignment vertical="center"/>
    </xf>
    <xf numFmtId="38" fontId="5" fillId="4" borderId="56" xfId="1" applyFont="1" applyFill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38" fontId="5" fillId="0" borderId="57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5" fillId="5" borderId="57" xfId="1" applyFont="1" applyFill="1" applyBorder="1" applyAlignment="1">
      <alignment vertical="center"/>
    </xf>
    <xf numFmtId="38" fontId="7" fillId="0" borderId="57" xfId="0" applyNumberFormat="1" applyFont="1" applyBorder="1" applyAlignment="1">
      <alignment vertical="center"/>
    </xf>
    <xf numFmtId="38" fontId="5" fillId="4" borderId="57" xfId="1" applyFont="1" applyFill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38" fontId="5" fillId="0" borderId="58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26" xfId="1" applyFont="1" applyFill="1" applyBorder="1" applyAlignment="1">
      <alignment vertical="center"/>
    </xf>
    <xf numFmtId="38" fontId="7" fillId="2" borderId="58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5" fillId="0" borderId="51" xfId="1" applyFont="1" applyFill="1" applyBorder="1" applyAlignment="1">
      <alignment vertical="center"/>
    </xf>
    <xf numFmtId="38" fontId="5" fillId="6" borderId="1" xfId="1" applyFont="1" applyFill="1" applyBorder="1" applyAlignment="1">
      <alignment vertical="center"/>
    </xf>
    <xf numFmtId="38" fontId="5" fillId="6" borderId="56" xfId="1" applyFont="1" applyFill="1" applyBorder="1" applyAlignment="1">
      <alignment vertical="center"/>
    </xf>
    <xf numFmtId="38" fontId="5" fillId="6" borderId="57" xfId="1" applyFont="1" applyFill="1" applyBorder="1" applyAlignment="1">
      <alignment vertical="center"/>
    </xf>
    <xf numFmtId="38" fontId="5" fillId="7" borderId="57" xfId="1" applyFont="1" applyFill="1" applyBorder="1" applyAlignment="1">
      <alignment vertical="center"/>
    </xf>
    <xf numFmtId="38" fontId="0" fillId="2" borderId="0" xfId="1" applyFont="1" applyFill="1" applyAlignment="1">
      <alignment vertical="center"/>
    </xf>
    <xf numFmtId="0" fontId="4" fillId="0" borderId="0" xfId="0" applyFont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38" fontId="0" fillId="0" borderId="12" xfId="1" applyFont="1" applyFill="1" applyBorder="1" applyAlignment="1"/>
    <xf numFmtId="38" fontId="0" fillId="0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38" fontId="0" fillId="0" borderId="0" xfId="1" applyFont="1" applyFill="1" applyAlignme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80</xdr:row>
      <xdr:rowOff>59530</xdr:rowOff>
    </xdr:from>
    <xdr:to>
      <xdr:col>16</xdr:col>
      <xdr:colOff>238126</xdr:colOff>
      <xdr:row>88</xdr:row>
      <xdr:rowOff>35718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913432-A002-63B9-599B-FF874C8ECE26}"/>
            </a:ext>
          </a:extLst>
        </xdr:cNvPr>
        <xdr:cNvSpPr txBox="1"/>
      </xdr:nvSpPr>
      <xdr:spPr>
        <a:xfrm>
          <a:off x="10644188" y="12561093"/>
          <a:ext cx="4607719" cy="1309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月次更新の際、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①黄色の箇所以外を転記する（前月同額）</a:t>
          </a:r>
          <a:endParaRPr kumimoji="1" lang="en-US" altLang="ja-JP" sz="1100"/>
        </a:p>
        <a:p>
          <a:r>
            <a:rPr kumimoji="1" lang="ja-JP" altLang="en-US" sz="1100"/>
            <a:t>　②</a:t>
          </a:r>
          <a:r>
            <a:rPr kumimoji="1" lang="en-US" altLang="ja-JP" sz="1100"/>
            <a:t>B/S</a:t>
          </a:r>
          <a:r>
            <a:rPr kumimoji="1" lang="ja-JP" altLang="en-US" sz="1100"/>
            <a:t>差額欄の</a:t>
          </a:r>
          <a:r>
            <a:rPr kumimoji="1" lang="en-US" altLang="ja-JP" sz="1100"/>
            <a:t>B/S</a:t>
          </a:r>
          <a:r>
            <a:rPr kumimoji="1" lang="ja-JP" altLang="en-US" sz="1100"/>
            <a:t>側金額を当月シートのセルに計算式を変更する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762001</xdr:colOff>
      <xdr:row>80</xdr:row>
      <xdr:rowOff>95248</xdr:rowOff>
    </xdr:from>
    <xdr:to>
      <xdr:col>20</xdr:col>
      <xdr:colOff>619127</xdr:colOff>
      <xdr:row>88</xdr:row>
      <xdr:rowOff>71435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CE4844-A7B5-D694-1D6B-5E1D7230721E}"/>
            </a:ext>
          </a:extLst>
        </xdr:cNvPr>
        <xdr:cNvSpPr txBox="1"/>
      </xdr:nvSpPr>
      <xdr:spPr>
        <a:xfrm>
          <a:off x="13787439" y="12596811"/>
          <a:ext cx="4607719" cy="1309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月次更新処理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①黄色の箇所以外を転記する（当月以降全ての月次数値）</a:t>
          </a:r>
          <a:endParaRPr kumimoji="1" lang="en-US" altLang="ja-JP" sz="1100"/>
        </a:p>
        <a:p>
          <a:r>
            <a:rPr kumimoji="1" lang="ja-JP" altLang="en-US" sz="1100"/>
            <a:t>　②新当月の差額式を入力する</a:t>
          </a:r>
          <a:r>
            <a:rPr kumimoji="1" lang="ja-JP" altLang="en-US" sz="1100">
              <a:solidFill>
                <a:srgbClr val="FF0000"/>
              </a:solidFill>
            </a:rPr>
            <a:t>（寄付金～その他収入は注意）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③</a:t>
          </a:r>
          <a:r>
            <a:rPr kumimoji="1" lang="en-US" altLang="ja-JP" sz="1100"/>
            <a:t>B/S</a:t>
          </a:r>
          <a:r>
            <a:rPr kumimoji="1" lang="ja-JP" altLang="en-US" sz="1100"/>
            <a:t>差額欄の</a:t>
          </a:r>
          <a:r>
            <a:rPr kumimoji="1" lang="en-US" altLang="ja-JP" sz="1100"/>
            <a:t>B/S</a:t>
          </a:r>
          <a:r>
            <a:rPr kumimoji="1" lang="ja-JP" altLang="en-US" sz="1100"/>
            <a:t>側金額を当月シートのセルに計算式を変更する</a:t>
          </a:r>
        </a:p>
      </xdr:txBody>
    </xdr:sp>
    <xdr:clientData/>
  </xdr:twoCellAnchor>
  <xdr:twoCellAnchor>
    <xdr:from>
      <xdr:col>16</xdr:col>
      <xdr:colOff>417534</xdr:colOff>
      <xdr:row>56</xdr:row>
      <xdr:rowOff>52192</xdr:rowOff>
    </xdr:from>
    <xdr:to>
      <xdr:col>18</xdr:col>
      <xdr:colOff>665445</xdr:colOff>
      <xdr:row>61</xdr:row>
      <xdr:rowOff>26096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FAE16F-E6CA-A393-2E59-C2496803FC47}"/>
            </a:ext>
          </a:extLst>
        </xdr:cNvPr>
        <xdr:cNvSpPr txBox="1"/>
      </xdr:nvSpPr>
      <xdr:spPr>
        <a:xfrm>
          <a:off x="15461815" y="8859555"/>
          <a:ext cx="1630993" cy="756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期初の</a:t>
          </a:r>
          <a:r>
            <a:rPr kumimoji="1" lang="en-US" altLang="ja-JP" sz="1100"/>
            <a:t>4</a:t>
          </a:r>
          <a:r>
            <a:rPr kumimoji="1" lang="ja-JP" altLang="en-US" sz="1100"/>
            <a:t>月分は左欄</a:t>
          </a:r>
          <a:endParaRPr kumimoji="1" lang="en-US" altLang="ja-JP" sz="1100"/>
        </a:p>
        <a:p>
          <a:r>
            <a:rPr kumimoji="1" lang="ja-JP" altLang="en-US" sz="1100"/>
            <a:t>手入力！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762001</xdr:colOff>
      <xdr:row>81</xdr:row>
      <xdr:rowOff>95248</xdr:rowOff>
    </xdr:from>
    <xdr:to>
      <xdr:col>20</xdr:col>
      <xdr:colOff>619127</xdr:colOff>
      <xdr:row>89</xdr:row>
      <xdr:rowOff>71435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745EEF-E445-C08D-5AB6-117B548E99A9}"/>
            </a:ext>
          </a:extLst>
        </xdr:cNvPr>
        <xdr:cNvSpPr txBox="1"/>
      </xdr:nvSpPr>
      <xdr:spPr>
        <a:xfrm>
          <a:off x="13801726" y="12449173"/>
          <a:ext cx="4591051" cy="1347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月次更新処理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①黄色の箇所以外を転記する（当月以降全ての月次数値）</a:t>
          </a:r>
          <a:endParaRPr kumimoji="1" lang="en-US" altLang="ja-JP" sz="1100"/>
        </a:p>
        <a:p>
          <a:r>
            <a:rPr kumimoji="1" lang="ja-JP" altLang="en-US" sz="1100"/>
            <a:t>　②新当月の差額式を入力する</a:t>
          </a:r>
          <a:r>
            <a:rPr kumimoji="1" lang="ja-JP" altLang="en-US" sz="1100">
              <a:solidFill>
                <a:srgbClr val="FF0000"/>
              </a:solidFill>
            </a:rPr>
            <a:t>（寄付金～その他収入は注意）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③</a:t>
          </a:r>
          <a:r>
            <a:rPr kumimoji="1" lang="en-US" altLang="ja-JP" sz="1100"/>
            <a:t>B/S</a:t>
          </a:r>
          <a:r>
            <a:rPr kumimoji="1" lang="ja-JP" altLang="en-US" sz="1100"/>
            <a:t>差額欄の</a:t>
          </a:r>
          <a:r>
            <a:rPr kumimoji="1" lang="en-US" altLang="ja-JP" sz="1100"/>
            <a:t>B/S</a:t>
          </a:r>
          <a:r>
            <a:rPr kumimoji="1" lang="ja-JP" altLang="en-US" sz="1100"/>
            <a:t>側金額を当月シートのセルに計算式を変更する</a:t>
          </a:r>
        </a:p>
      </xdr:txBody>
    </xdr:sp>
    <xdr:clientData/>
  </xdr:twoCellAnchor>
  <xdr:twoCellAnchor>
    <xdr:from>
      <xdr:col>16</xdr:col>
      <xdr:colOff>417534</xdr:colOff>
      <xdr:row>57</xdr:row>
      <xdr:rowOff>52192</xdr:rowOff>
    </xdr:from>
    <xdr:to>
      <xdr:col>18</xdr:col>
      <xdr:colOff>665445</xdr:colOff>
      <xdr:row>62</xdr:row>
      <xdr:rowOff>26096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218F3-CEDC-0240-F907-5B4782BE2634}"/>
            </a:ext>
          </a:extLst>
        </xdr:cNvPr>
        <xdr:cNvSpPr txBox="1"/>
      </xdr:nvSpPr>
      <xdr:spPr>
        <a:xfrm>
          <a:off x="15447984" y="8634217"/>
          <a:ext cx="1619511" cy="7359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期初の</a:t>
          </a:r>
          <a:r>
            <a:rPr kumimoji="1" lang="en-US" altLang="ja-JP" sz="1100"/>
            <a:t>4</a:t>
          </a:r>
          <a:r>
            <a:rPr kumimoji="1" lang="ja-JP" altLang="en-US" sz="1100"/>
            <a:t>月分は左欄</a:t>
          </a:r>
          <a:endParaRPr kumimoji="1" lang="en-US" altLang="ja-JP" sz="1100"/>
        </a:p>
        <a:p>
          <a:r>
            <a:rPr kumimoji="1" lang="ja-JP" altLang="en-US" sz="1100"/>
            <a:t>手入力！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762001</xdr:colOff>
      <xdr:row>81</xdr:row>
      <xdr:rowOff>95248</xdr:rowOff>
    </xdr:from>
    <xdr:to>
      <xdr:col>20</xdr:col>
      <xdr:colOff>619127</xdr:colOff>
      <xdr:row>89</xdr:row>
      <xdr:rowOff>71435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67D4E8-97EC-EE7E-373C-AD0ACD111857}"/>
            </a:ext>
          </a:extLst>
        </xdr:cNvPr>
        <xdr:cNvSpPr txBox="1"/>
      </xdr:nvSpPr>
      <xdr:spPr>
        <a:xfrm>
          <a:off x="13801726" y="12601573"/>
          <a:ext cx="4591051" cy="1347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月次更新処理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①黄色の箇所以外を転記する（当月以降全ての月次数値）</a:t>
          </a:r>
          <a:endParaRPr kumimoji="1" lang="en-US" altLang="ja-JP" sz="1100"/>
        </a:p>
        <a:p>
          <a:r>
            <a:rPr kumimoji="1" lang="ja-JP" altLang="en-US" sz="1100"/>
            <a:t>　②新当月の差額式を入力する</a:t>
          </a:r>
          <a:r>
            <a:rPr kumimoji="1" lang="ja-JP" altLang="en-US" sz="1100">
              <a:solidFill>
                <a:srgbClr val="FF0000"/>
              </a:solidFill>
            </a:rPr>
            <a:t>（寄付金～その他収入は注意）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③</a:t>
          </a:r>
          <a:r>
            <a:rPr kumimoji="1" lang="en-US" altLang="ja-JP" sz="1100"/>
            <a:t>B/S</a:t>
          </a:r>
          <a:r>
            <a:rPr kumimoji="1" lang="ja-JP" altLang="en-US" sz="1100"/>
            <a:t>差額欄の</a:t>
          </a:r>
          <a:r>
            <a:rPr kumimoji="1" lang="en-US" altLang="ja-JP" sz="1100"/>
            <a:t>B/S</a:t>
          </a:r>
          <a:r>
            <a:rPr kumimoji="1" lang="ja-JP" altLang="en-US" sz="1100"/>
            <a:t>側金額を当月シートのセルに計算式を変更する</a:t>
          </a:r>
        </a:p>
      </xdr:txBody>
    </xdr:sp>
    <xdr:clientData/>
  </xdr:twoCellAnchor>
  <xdr:twoCellAnchor>
    <xdr:from>
      <xdr:col>16</xdr:col>
      <xdr:colOff>417534</xdr:colOff>
      <xdr:row>57</xdr:row>
      <xdr:rowOff>52192</xdr:rowOff>
    </xdr:from>
    <xdr:to>
      <xdr:col>18</xdr:col>
      <xdr:colOff>665445</xdr:colOff>
      <xdr:row>62</xdr:row>
      <xdr:rowOff>26096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96912C-F8D1-FFC5-AA79-14896495E2B2}"/>
            </a:ext>
          </a:extLst>
        </xdr:cNvPr>
        <xdr:cNvSpPr txBox="1"/>
      </xdr:nvSpPr>
      <xdr:spPr>
        <a:xfrm>
          <a:off x="15447984" y="8786617"/>
          <a:ext cx="1619511" cy="7359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期初の</a:t>
          </a:r>
          <a:r>
            <a:rPr kumimoji="1" lang="en-US" altLang="ja-JP" sz="1100"/>
            <a:t>4</a:t>
          </a:r>
          <a:r>
            <a:rPr kumimoji="1" lang="ja-JP" altLang="en-US" sz="1100"/>
            <a:t>月分は左欄</a:t>
          </a:r>
          <a:endParaRPr kumimoji="1" lang="en-US" altLang="ja-JP" sz="1100"/>
        </a:p>
        <a:p>
          <a:r>
            <a:rPr kumimoji="1" lang="ja-JP" altLang="en-US" sz="1100"/>
            <a:t>手入力！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762001</xdr:colOff>
      <xdr:row>81</xdr:row>
      <xdr:rowOff>95248</xdr:rowOff>
    </xdr:from>
    <xdr:to>
      <xdr:col>20</xdr:col>
      <xdr:colOff>619127</xdr:colOff>
      <xdr:row>89</xdr:row>
      <xdr:rowOff>71435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B00C7A-023D-548C-EBDB-D886692DDBF8}"/>
            </a:ext>
          </a:extLst>
        </xdr:cNvPr>
        <xdr:cNvSpPr txBox="1"/>
      </xdr:nvSpPr>
      <xdr:spPr>
        <a:xfrm>
          <a:off x="13801726" y="12601573"/>
          <a:ext cx="4591051" cy="1347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月次更新処理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①黄色の箇所以外を転記する（当月以降全ての月次数値）</a:t>
          </a:r>
          <a:endParaRPr kumimoji="1" lang="en-US" altLang="ja-JP" sz="1100"/>
        </a:p>
        <a:p>
          <a:r>
            <a:rPr kumimoji="1" lang="ja-JP" altLang="en-US" sz="1100"/>
            <a:t>　②新当月の差額式を入力する</a:t>
          </a:r>
          <a:r>
            <a:rPr kumimoji="1" lang="ja-JP" altLang="en-US" sz="1100">
              <a:solidFill>
                <a:srgbClr val="FF0000"/>
              </a:solidFill>
            </a:rPr>
            <a:t>（寄付金～その他収入は注意）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③</a:t>
          </a:r>
          <a:r>
            <a:rPr kumimoji="1" lang="en-US" altLang="ja-JP" sz="1100"/>
            <a:t>B/S</a:t>
          </a:r>
          <a:r>
            <a:rPr kumimoji="1" lang="ja-JP" altLang="en-US" sz="1100"/>
            <a:t>差額欄の</a:t>
          </a:r>
          <a:r>
            <a:rPr kumimoji="1" lang="en-US" altLang="ja-JP" sz="1100"/>
            <a:t>B/S</a:t>
          </a:r>
          <a:r>
            <a:rPr kumimoji="1" lang="ja-JP" altLang="en-US" sz="1100"/>
            <a:t>側金額を当月シートのセルに計算式を変更する</a:t>
          </a:r>
        </a:p>
      </xdr:txBody>
    </xdr:sp>
    <xdr:clientData/>
  </xdr:twoCellAnchor>
  <xdr:twoCellAnchor>
    <xdr:from>
      <xdr:col>16</xdr:col>
      <xdr:colOff>417534</xdr:colOff>
      <xdr:row>57</xdr:row>
      <xdr:rowOff>52192</xdr:rowOff>
    </xdr:from>
    <xdr:to>
      <xdr:col>18</xdr:col>
      <xdr:colOff>665445</xdr:colOff>
      <xdr:row>62</xdr:row>
      <xdr:rowOff>26096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8B5450-AFBE-9810-EAC0-F3C43CAAA3BF}"/>
            </a:ext>
          </a:extLst>
        </xdr:cNvPr>
        <xdr:cNvSpPr txBox="1"/>
      </xdr:nvSpPr>
      <xdr:spPr>
        <a:xfrm>
          <a:off x="15447984" y="8786617"/>
          <a:ext cx="1619511" cy="7359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期初の</a:t>
          </a:r>
          <a:r>
            <a:rPr kumimoji="1" lang="en-US" altLang="ja-JP" sz="1100"/>
            <a:t>4</a:t>
          </a:r>
          <a:r>
            <a:rPr kumimoji="1" lang="ja-JP" altLang="en-US" sz="1100"/>
            <a:t>月分は左欄</a:t>
          </a:r>
          <a:endParaRPr kumimoji="1" lang="en-US" altLang="ja-JP" sz="1100"/>
        </a:p>
        <a:p>
          <a:r>
            <a:rPr kumimoji="1" lang="ja-JP" altLang="en-US" sz="1100"/>
            <a:t>手入力！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762001</xdr:colOff>
      <xdr:row>81</xdr:row>
      <xdr:rowOff>95248</xdr:rowOff>
    </xdr:from>
    <xdr:to>
      <xdr:col>20</xdr:col>
      <xdr:colOff>619127</xdr:colOff>
      <xdr:row>89</xdr:row>
      <xdr:rowOff>71435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C7047C-535E-EBEA-CF2D-11F38C71B139}"/>
            </a:ext>
          </a:extLst>
        </xdr:cNvPr>
        <xdr:cNvSpPr txBox="1"/>
      </xdr:nvSpPr>
      <xdr:spPr>
        <a:xfrm>
          <a:off x="13801726" y="12601573"/>
          <a:ext cx="4591051" cy="1347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月次更新処理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①黄色の箇所以外を転記する（当月以降全ての月次数値）</a:t>
          </a:r>
          <a:endParaRPr kumimoji="1" lang="en-US" altLang="ja-JP" sz="1100"/>
        </a:p>
        <a:p>
          <a:r>
            <a:rPr kumimoji="1" lang="ja-JP" altLang="en-US" sz="1100"/>
            <a:t>　②新当月の差額式を入力する</a:t>
          </a:r>
          <a:r>
            <a:rPr kumimoji="1" lang="ja-JP" altLang="en-US" sz="1100">
              <a:solidFill>
                <a:srgbClr val="FF0000"/>
              </a:solidFill>
            </a:rPr>
            <a:t>（寄付金～その他収入は注意）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③</a:t>
          </a:r>
          <a:r>
            <a:rPr kumimoji="1" lang="en-US" altLang="ja-JP" sz="1100"/>
            <a:t>B/S</a:t>
          </a:r>
          <a:r>
            <a:rPr kumimoji="1" lang="ja-JP" altLang="en-US" sz="1100"/>
            <a:t>差額欄の</a:t>
          </a:r>
          <a:r>
            <a:rPr kumimoji="1" lang="en-US" altLang="ja-JP" sz="1100"/>
            <a:t>B/S</a:t>
          </a:r>
          <a:r>
            <a:rPr kumimoji="1" lang="ja-JP" altLang="en-US" sz="1100"/>
            <a:t>側金額を当月シートのセルに計算式を変更する</a:t>
          </a:r>
        </a:p>
      </xdr:txBody>
    </xdr:sp>
    <xdr:clientData/>
  </xdr:twoCellAnchor>
  <xdr:twoCellAnchor>
    <xdr:from>
      <xdr:col>16</xdr:col>
      <xdr:colOff>417534</xdr:colOff>
      <xdr:row>57</xdr:row>
      <xdr:rowOff>52192</xdr:rowOff>
    </xdr:from>
    <xdr:to>
      <xdr:col>18</xdr:col>
      <xdr:colOff>665445</xdr:colOff>
      <xdr:row>62</xdr:row>
      <xdr:rowOff>26096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674EDA-4CD7-B18A-F000-A3FACFE5E235}"/>
            </a:ext>
          </a:extLst>
        </xdr:cNvPr>
        <xdr:cNvSpPr txBox="1"/>
      </xdr:nvSpPr>
      <xdr:spPr>
        <a:xfrm>
          <a:off x="15447984" y="8786617"/>
          <a:ext cx="1619511" cy="7359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期初の</a:t>
          </a:r>
          <a:r>
            <a:rPr kumimoji="1" lang="en-US" altLang="ja-JP" sz="1100"/>
            <a:t>4</a:t>
          </a:r>
          <a:r>
            <a:rPr kumimoji="1" lang="ja-JP" altLang="en-US" sz="1100"/>
            <a:t>月分入力時に</a:t>
          </a:r>
          <a:endParaRPr kumimoji="1" lang="en-US" altLang="ja-JP" sz="1100"/>
        </a:p>
        <a:p>
          <a:r>
            <a:rPr kumimoji="1" lang="en-US" altLang="ja-JP" sz="1100"/>
            <a:t>5</a:t>
          </a:r>
          <a:r>
            <a:rPr kumimoji="1" lang="ja-JP" altLang="en-US" sz="1100"/>
            <a:t>月以降の計算式を削除する！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\&#36001;&#21209;&#35576;&#34920;\&#36024;&#20511;&#23550;&#29031;&#34920;.&#12539;&#36001;&#29987;&#30446;&#376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tto-disk\&#20107;&#21209;&#23616;\&#20013;&#20117;\&#36001;&#21209;&#35576;&#34920;\&#36024;&#20511;&#23550;&#29031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otto-disk\&#20107;&#21209;&#23616;\&#20013;&#20117;&#24341;&#32153;\&#36001;&#21209;&#35576;&#34920;\&#36024;&#20511;&#23550;&#29031;&#34920;.xlsx" TargetMode="External"/><Relationship Id="rId1" Type="http://schemas.openxmlformats.org/officeDocument/2006/relationships/externalLinkPath" Target="file:///\\Hotto-disk\&#20107;&#21209;&#23616;\&#20013;&#20117;&#24341;&#32153;\&#36001;&#21209;&#35576;&#34920;\&#36024;&#20511;&#23550;&#2903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.3月"/>
      <sheetName val="23.3月"/>
      <sheetName val="24.3月 "/>
      <sheetName val="25.3月"/>
      <sheetName val="26.3月 "/>
      <sheetName val="27.3月"/>
      <sheetName val="28.3月"/>
      <sheetName val="29.3月"/>
      <sheetName val="30.3月 "/>
      <sheetName val="31.3月 "/>
      <sheetName val="31.4月"/>
      <sheetName val="令和1.5月"/>
      <sheetName val="1.6月 "/>
      <sheetName val="1.7月 "/>
      <sheetName val="1.8月 "/>
      <sheetName val="1.9月 "/>
      <sheetName val="1.10月 "/>
      <sheetName val="1.11月"/>
      <sheetName val="1.12月 "/>
      <sheetName val="2.1月"/>
      <sheetName val="2.2月 "/>
      <sheetName val="2.3月"/>
      <sheetName val="2.4月"/>
      <sheetName val="2.5月"/>
      <sheetName val="2.6月"/>
      <sheetName val="2.7月 "/>
      <sheetName val="2.8月"/>
      <sheetName val="2.9月 "/>
      <sheetName val="2.10月"/>
      <sheetName val="2.11月"/>
      <sheetName val="2.12月"/>
      <sheetName val="3.1月"/>
      <sheetName val="3.2月 "/>
      <sheetName val="3.3月"/>
      <sheetName val="3.4月"/>
      <sheetName val="3.5月 "/>
      <sheetName val="3.6月  "/>
      <sheetName val="3.7月"/>
      <sheetName val="3.8月"/>
      <sheetName val="3.9月 "/>
      <sheetName val="3.10月"/>
      <sheetName val="3.11月"/>
      <sheetName val="3.12月"/>
      <sheetName val="4.1月"/>
      <sheetName val="4.2月"/>
      <sheetName val="4.3月"/>
      <sheetName val="4.4月"/>
      <sheetName val="4.５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2">
          <cell r="D62">
            <v>1575444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2">
          <cell r="D62">
            <v>23427</v>
          </cell>
        </row>
      </sheetData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.3月"/>
      <sheetName val="23.3月"/>
      <sheetName val="24.3月 "/>
      <sheetName val="25.3月"/>
      <sheetName val="26.3月 "/>
      <sheetName val="27.3月"/>
      <sheetName val="28.3月"/>
      <sheetName val="29.3月"/>
      <sheetName val="30.3月 "/>
      <sheetName val="31.3月 "/>
      <sheetName val="31.4月"/>
      <sheetName val="令和1.5月"/>
      <sheetName val="1.6月 "/>
      <sheetName val="1.7月 "/>
      <sheetName val="1.8月 "/>
      <sheetName val="1.9月 "/>
      <sheetName val="1.10月 "/>
      <sheetName val="1.11月"/>
      <sheetName val="1.12月 "/>
      <sheetName val="2.1月"/>
      <sheetName val="2.2月 "/>
      <sheetName val="2.3月"/>
      <sheetName val="2.4月"/>
      <sheetName val="2.5月"/>
      <sheetName val="2.6月"/>
      <sheetName val="2.7月 "/>
      <sheetName val="2.8月"/>
      <sheetName val="2.9月 "/>
      <sheetName val="2.10月"/>
      <sheetName val="2.11月"/>
      <sheetName val="2.12月"/>
      <sheetName val="3.1月"/>
      <sheetName val="3.2月 "/>
      <sheetName val="3.3月"/>
      <sheetName val="3.4月"/>
      <sheetName val="3.5月 "/>
      <sheetName val="3.6月  "/>
      <sheetName val="3.7月"/>
      <sheetName val="3.8月"/>
      <sheetName val="3.9月 "/>
      <sheetName val="3.10月"/>
      <sheetName val="3.11月"/>
      <sheetName val="3.12月"/>
      <sheetName val="4.1月"/>
      <sheetName val="4.2月"/>
      <sheetName val="4.3月"/>
      <sheetName val="4.4月"/>
      <sheetName val="4.５月"/>
      <sheetName val="4.6月"/>
      <sheetName val="4.7月"/>
      <sheetName val="4.8月"/>
      <sheetName val="4.9月"/>
      <sheetName val="4.10月"/>
      <sheetName val="4.11月"/>
      <sheetName val="4.12月"/>
      <sheetName val="5.1月"/>
      <sheetName val="5.2月"/>
      <sheetName val="5.3月"/>
      <sheetName val="5.4月"/>
      <sheetName val="5.5月"/>
      <sheetName val="5.6月"/>
      <sheetName val="5.7月"/>
      <sheetName val="5.8月"/>
      <sheetName val="5.9月"/>
      <sheetName val="5.10月"/>
      <sheetName val="5.11月"/>
      <sheetName val="5.12月"/>
      <sheetName val="6.1月"/>
      <sheetName val="6.2月"/>
      <sheetName val="6.3月"/>
      <sheetName val="6.5月"/>
      <sheetName val="6.6月"/>
      <sheetName val="6.7月"/>
      <sheetName val="6.8月"/>
      <sheetName val="6.9月"/>
      <sheetName val="6.10月"/>
      <sheetName val="6.11月"/>
      <sheetName val="6.12月"/>
      <sheetName val="7.1月"/>
      <sheetName val="7.2月"/>
      <sheetName val="7.3月"/>
      <sheetName val="7.４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63">
          <cell r="D63">
            <v>-5206797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63">
          <cell r="D63">
            <v>-19456516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63">
          <cell r="D63">
            <v>-4770050</v>
          </cell>
        </row>
      </sheetData>
      <sheetData sheetId="81">
        <row r="63">
          <cell r="D63">
            <v>-681602</v>
          </cell>
        </row>
      </sheetData>
      <sheetData sheetId="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.3月"/>
      <sheetName val="23.3月"/>
      <sheetName val="24.3月 "/>
      <sheetName val="25.3月"/>
      <sheetName val="26.3月 "/>
      <sheetName val="27.3月"/>
      <sheetName val="28.3月"/>
      <sheetName val="29.3月"/>
      <sheetName val="30.3月 "/>
      <sheetName val="31.3月 "/>
      <sheetName val="31.4月"/>
      <sheetName val="令和1.5月"/>
      <sheetName val="1.6月 "/>
      <sheetName val="1.7月 "/>
      <sheetName val="1.8月 "/>
      <sheetName val="1.9月 "/>
      <sheetName val="1.10月 "/>
      <sheetName val="1.11月"/>
      <sheetName val="1.12月 "/>
      <sheetName val="2.1月"/>
      <sheetName val="2.2月 "/>
      <sheetName val="2.3月"/>
      <sheetName val="2.4月"/>
      <sheetName val="2.5月"/>
      <sheetName val="2.6月"/>
      <sheetName val="2.7月 "/>
      <sheetName val="2.8月"/>
      <sheetName val="2.9月 "/>
      <sheetName val="2.10月"/>
      <sheetName val="2.11月"/>
      <sheetName val="2.12月"/>
      <sheetName val="3.1月"/>
      <sheetName val="3.2月 "/>
      <sheetName val="3.3月"/>
      <sheetName val="3.4月"/>
      <sheetName val="3.5月 "/>
      <sheetName val="3.6月  "/>
      <sheetName val="3.7月"/>
      <sheetName val="3.8月"/>
      <sheetName val="3.9月 "/>
      <sheetName val="3.10月"/>
      <sheetName val="3.11月"/>
      <sheetName val="3.12月"/>
      <sheetName val="4.1月"/>
      <sheetName val="4.2月"/>
      <sheetName val="4.3月"/>
      <sheetName val="4.4月"/>
      <sheetName val="4.５月"/>
      <sheetName val="4.6月"/>
      <sheetName val="4.7月"/>
      <sheetName val="4.8月"/>
      <sheetName val="4.9月"/>
      <sheetName val="4.10月"/>
      <sheetName val="4.11月"/>
      <sheetName val="4.12月"/>
      <sheetName val="5.1月"/>
      <sheetName val="5.2月"/>
      <sheetName val="5.3月"/>
      <sheetName val="5.4月"/>
      <sheetName val="5.5月"/>
      <sheetName val="5.6月"/>
      <sheetName val="5.7月"/>
      <sheetName val="5.8月"/>
      <sheetName val="5.9月"/>
      <sheetName val="5.10月"/>
      <sheetName val="5.11月"/>
      <sheetName val="5.12月"/>
      <sheetName val="6.1月"/>
      <sheetName val="6.2月"/>
      <sheetName val="6.3月"/>
      <sheetName val="6.5月"/>
      <sheetName val="6.6月"/>
      <sheetName val="6.7月"/>
      <sheetName val="6.8月"/>
      <sheetName val="6.9月"/>
      <sheetName val="6.10月"/>
      <sheetName val="6.11月"/>
      <sheetName val="6.12月"/>
      <sheetName val="7.1月"/>
      <sheetName val="7.2月"/>
      <sheetName val="7.3月"/>
      <sheetName val="7.４月"/>
      <sheetName val="7.５月"/>
      <sheetName val="7.6月"/>
      <sheetName val="7.7月 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63">
          <cell r="D63">
            <v>-75709</v>
          </cell>
        </row>
      </sheetData>
      <sheetData sheetId="83" refreshError="1"/>
      <sheetData sheetId="84" refreshError="1"/>
      <sheetData sheetId="8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5952-6F68-4486-A4A9-78039A41FF86}">
  <dimension ref="A1:P67"/>
  <sheetViews>
    <sheetView topLeftCell="A22" workbookViewId="0">
      <selection activeCell="E59" sqref="E59"/>
    </sheetView>
  </sheetViews>
  <sheetFormatPr defaultRowHeight="13.5" x14ac:dyDescent="0.15"/>
  <cols>
    <col min="1" max="1" width="18.25" customWidth="1"/>
    <col min="2" max="7" width="11.25" customWidth="1"/>
    <col min="8" max="8" width="12.375" customWidth="1"/>
    <col min="9" max="10" width="12.125" customWidth="1"/>
    <col min="11" max="11" width="11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6" t="s">
        <v>75</v>
      </c>
      <c r="D1" s="16"/>
      <c r="E1" s="16"/>
      <c r="F1" s="16"/>
      <c r="G1" s="16"/>
      <c r="H1" s="16"/>
    </row>
    <row r="2" spans="1:16" ht="12.75" customHeight="1" x14ac:dyDescent="0.15">
      <c r="N2" s="17" t="s">
        <v>45</v>
      </c>
      <c r="O2" s="17"/>
      <c r="P2" s="17"/>
    </row>
    <row r="3" spans="1:16" x14ac:dyDescent="0.15">
      <c r="A3" s="1" t="s">
        <v>43</v>
      </c>
      <c r="B3" s="2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39</v>
      </c>
      <c r="I3" s="3" t="s">
        <v>69</v>
      </c>
      <c r="J3" s="1" t="s">
        <v>70</v>
      </c>
      <c r="K3" s="1" t="s">
        <v>71</v>
      </c>
      <c r="L3" s="1" t="s">
        <v>72</v>
      </c>
      <c r="M3" s="1" t="s">
        <v>73</v>
      </c>
      <c r="N3" s="1" t="s">
        <v>74</v>
      </c>
      <c r="O3" s="1" t="s">
        <v>41</v>
      </c>
      <c r="P3" s="1" t="s">
        <v>42</v>
      </c>
    </row>
    <row r="4" spans="1:16" x14ac:dyDescent="0.15">
      <c r="A4" s="7" t="s">
        <v>44</v>
      </c>
      <c r="B4" s="5" t="s">
        <v>40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15">
      <c r="A5" s="7" t="s">
        <v>0</v>
      </c>
      <c r="B5" s="10">
        <f>SUM(B6:B8)</f>
        <v>123000</v>
      </c>
      <c r="C5" s="10">
        <f t="shared" ref="C5:N5" si="0">SUM(C6:C8)</f>
        <v>18000</v>
      </c>
      <c r="D5" s="10">
        <f t="shared" si="0"/>
        <v>25000</v>
      </c>
      <c r="E5" s="10">
        <f t="shared" si="0"/>
        <v>3000</v>
      </c>
      <c r="F5" s="10">
        <f t="shared" si="0"/>
        <v>5000</v>
      </c>
      <c r="G5" s="10">
        <f t="shared" si="0"/>
        <v>4000</v>
      </c>
      <c r="H5" s="10">
        <f>SUM(B5:G5)</f>
        <v>178000</v>
      </c>
      <c r="I5" s="10">
        <f t="shared" si="0"/>
        <v>8000</v>
      </c>
      <c r="J5" s="10">
        <f t="shared" si="0"/>
        <v>1000</v>
      </c>
      <c r="K5" s="10">
        <f t="shared" si="0"/>
        <v>2000</v>
      </c>
      <c r="L5" s="10">
        <f t="shared" si="0"/>
        <v>6000</v>
      </c>
      <c r="M5" s="10">
        <f t="shared" si="0"/>
        <v>1000</v>
      </c>
      <c r="N5" s="10">
        <f t="shared" si="0"/>
        <v>7000</v>
      </c>
      <c r="O5" s="10">
        <f>SUM(I5:N5)</f>
        <v>25000</v>
      </c>
      <c r="P5" s="10">
        <f>H5+O5</f>
        <v>203000</v>
      </c>
    </row>
    <row r="6" spans="1:16" x14ac:dyDescent="0.15">
      <c r="A6" s="4" t="s">
        <v>1</v>
      </c>
      <c r="B6" s="9">
        <v>70000</v>
      </c>
      <c r="C6" s="9">
        <v>2000</v>
      </c>
      <c r="D6" s="9">
        <v>1000</v>
      </c>
      <c r="E6" s="9">
        <v>1000</v>
      </c>
      <c r="F6" s="9">
        <v>0</v>
      </c>
      <c r="G6" s="9">
        <v>1000</v>
      </c>
      <c r="H6" s="9">
        <f t="shared" ref="H6:H67" si="1">SUM(B6:G6)</f>
        <v>75000</v>
      </c>
      <c r="I6" s="9">
        <v>4000</v>
      </c>
      <c r="J6" s="9">
        <v>1000</v>
      </c>
      <c r="K6" s="9">
        <v>0</v>
      </c>
      <c r="L6" s="9">
        <v>0</v>
      </c>
      <c r="M6" s="9">
        <v>0</v>
      </c>
      <c r="N6" s="9">
        <v>2000</v>
      </c>
      <c r="O6" s="9">
        <f t="shared" ref="O6:O67" si="2">SUM(I6:N6)</f>
        <v>7000</v>
      </c>
      <c r="P6" s="9">
        <f t="shared" ref="P6:P67" si="3">H6+O6</f>
        <v>82000</v>
      </c>
    </row>
    <row r="7" spans="1:16" x14ac:dyDescent="0.15">
      <c r="A7" s="4" t="s">
        <v>2</v>
      </c>
      <c r="B7" s="9">
        <v>41000</v>
      </c>
      <c r="C7" s="9">
        <v>13000</v>
      </c>
      <c r="D7" s="9">
        <v>16000</v>
      </c>
      <c r="E7" s="9">
        <v>1000</v>
      </c>
      <c r="F7" s="9">
        <v>4000</v>
      </c>
      <c r="G7" s="9">
        <v>3000</v>
      </c>
      <c r="H7" s="9">
        <f t="shared" si="1"/>
        <v>78000</v>
      </c>
      <c r="I7" s="9">
        <v>4000</v>
      </c>
      <c r="J7" s="9">
        <v>0</v>
      </c>
      <c r="K7" s="9">
        <v>2000</v>
      </c>
      <c r="L7" s="9">
        <v>5000</v>
      </c>
      <c r="M7" s="9">
        <v>1000</v>
      </c>
      <c r="N7" s="9">
        <v>5000</v>
      </c>
      <c r="O7" s="9">
        <f t="shared" si="2"/>
        <v>17000</v>
      </c>
      <c r="P7" s="9">
        <f t="shared" si="3"/>
        <v>95000</v>
      </c>
    </row>
    <row r="8" spans="1:16" x14ac:dyDescent="0.15">
      <c r="A8" s="4" t="s">
        <v>3</v>
      </c>
      <c r="B8" s="9">
        <v>12000</v>
      </c>
      <c r="C8" s="9">
        <v>3000</v>
      </c>
      <c r="D8" s="9">
        <v>8000</v>
      </c>
      <c r="E8" s="9">
        <v>1000</v>
      </c>
      <c r="F8" s="9">
        <v>1000</v>
      </c>
      <c r="G8" s="9">
        <v>0</v>
      </c>
      <c r="H8" s="9">
        <f t="shared" si="1"/>
        <v>25000</v>
      </c>
      <c r="I8" s="9">
        <v>0</v>
      </c>
      <c r="J8" s="9">
        <v>0</v>
      </c>
      <c r="K8" s="9">
        <v>0</v>
      </c>
      <c r="L8" s="9">
        <v>1000</v>
      </c>
      <c r="M8" s="9">
        <v>0</v>
      </c>
      <c r="N8" s="9">
        <v>0</v>
      </c>
      <c r="O8" s="9">
        <f t="shared" si="2"/>
        <v>1000</v>
      </c>
      <c r="P8" s="9">
        <f t="shared" si="3"/>
        <v>26000</v>
      </c>
    </row>
    <row r="9" spans="1:16" x14ac:dyDescent="0.15">
      <c r="A9" s="7" t="s">
        <v>4</v>
      </c>
      <c r="B9" s="10">
        <f t="shared" ref="B9:N9" si="4">SUM(B10:B22)</f>
        <v>13067210</v>
      </c>
      <c r="C9" s="10">
        <f t="shared" si="4"/>
        <v>14146530</v>
      </c>
      <c r="D9" s="10">
        <f t="shared" si="4"/>
        <v>15569820</v>
      </c>
      <c r="E9" s="10">
        <f t="shared" si="4"/>
        <v>15729130</v>
      </c>
      <c r="F9" s="10">
        <f t="shared" si="4"/>
        <v>15939940</v>
      </c>
      <c r="G9" s="10">
        <f t="shared" si="4"/>
        <v>15532820</v>
      </c>
      <c r="H9" s="10">
        <f t="shared" si="1"/>
        <v>89985450</v>
      </c>
      <c r="I9" s="10">
        <f t="shared" si="4"/>
        <v>15733080</v>
      </c>
      <c r="J9" s="10">
        <f t="shared" si="4"/>
        <v>14938240</v>
      </c>
      <c r="K9" s="10">
        <f t="shared" si="4"/>
        <v>15137110</v>
      </c>
      <c r="L9" s="10">
        <f t="shared" si="4"/>
        <v>14105660</v>
      </c>
      <c r="M9" s="10">
        <f t="shared" si="4"/>
        <v>14734690</v>
      </c>
      <c r="N9" s="10">
        <f t="shared" si="4"/>
        <v>16096010</v>
      </c>
      <c r="O9" s="10">
        <f t="shared" si="2"/>
        <v>90744790</v>
      </c>
      <c r="P9" s="10">
        <f t="shared" si="3"/>
        <v>180730240</v>
      </c>
    </row>
    <row r="10" spans="1:16" x14ac:dyDescent="0.15">
      <c r="A10" s="4" t="s">
        <v>5</v>
      </c>
      <c r="B10" s="9">
        <v>2107500</v>
      </c>
      <c r="C10" s="9">
        <v>2158500</v>
      </c>
      <c r="D10" s="9">
        <v>2155500</v>
      </c>
      <c r="E10" s="9">
        <v>2138000</v>
      </c>
      <c r="F10" s="9">
        <v>2258500</v>
      </c>
      <c r="G10" s="9">
        <v>2196500</v>
      </c>
      <c r="H10" s="9">
        <f t="shared" si="1"/>
        <v>13014500</v>
      </c>
      <c r="I10" s="9">
        <v>2239000</v>
      </c>
      <c r="J10" s="9">
        <v>2323500</v>
      </c>
      <c r="K10" s="9">
        <v>2299500</v>
      </c>
      <c r="L10" s="9">
        <v>2158000</v>
      </c>
      <c r="M10" s="9">
        <v>2293500</v>
      </c>
      <c r="N10" s="9">
        <v>2412000</v>
      </c>
      <c r="O10" s="9">
        <f t="shared" si="2"/>
        <v>13725500</v>
      </c>
      <c r="P10" s="9">
        <f t="shared" si="3"/>
        <v>26740000</v>
      </c>
    </row>
    <row r="11" spans="1:16" x14ac:dyDescent="0.15">
      <c r="A11" s="6" t="s">
        <v>6</v>
      </c>
      <c r="B11" s="9">
        <v>37500</v>
      </c>
      <c r="C11" s="9">
        <v>65000</v>
      </c>
      <c r="D11" s="9">
        <v>65000</v>
      </c>
      <c r="E11" s="9">
        <v>67500</v>
      </c>
      <c r="F11" s="9">
        <v>80000</v>
      </c>
      <c r="G11" s="9">
        <v>80000</v>
      </c>
      <c r="H11" s="9">
        <f t="shared" si="1"/>
        <v>395000</v>
      </c>
      <c r="I11" s="9">
        <v>60000</v>
      </c>
      <c r="J11" s="9">
        <v>77500</v>
      </c>
      <c r="K11" s="9">
        <v>102500</v>
      </c>
      <c r="L11" s="9">
        <v>52500</v>
      </c>
      <c r="M11" s="9">
        <v>55000</v>
      </c>
      <c r="N11" s="9">
        <v>70000</v>
      </c>
      <c r="O11" s="9">
        <f t="shared" si="2"/>
        <v>417500</v>
      </c>
      <c r="P11" s="9">
        <f t="shared" si="3"/>
        <v>812500</v>
      </c>
    </row>
    <row r="12" spans="1:16" ht="14.25" customHeight="1" x14ac:dyDescent="0.15">
      <c r="A12" s="6" t="s">
        <v>62</v>
      </c>
      <c r="B12" s="9">
        <v>174500</v>
      </c>
      <c r="C12" s="9">
        <v>162500</v>
      </c>
      <c r="D12" s="9">
        <v>180160</v>
      </c>
      <c r="E12" s="9">
        <v>168920</v>
      </c>
      <c r="F12" s="9">
        <v>176040</v>
      </c>
      <c r="G12" s="9">
        <v>152440</v>
      </c>
      <c r="H12" s="9">
        <f t="shared" si="1"/>
        <v>1014560</v>
      </c>
      <c r="I12" s="9">
        <v>170800</v>
      </c>
      <c r="J12" s="9">
        <v>168920</v>
      </c>
      <c r="K12" s="9">
        <v>160680</v>
      </c>
      <c r="L12" s="9">
        <v>160680</v>
      </c>
      <c r="M12" s="9">
        <v>155440</v>
      </c>
      <c r="N12" s="9">
        <v>159560</v>
      </c>
      <c r="O12" s="9">
        <f t="shared" si="2"/>
        <v>976080</v>
      </c>
      <c r="P12" s="9">
        <f t="shared" si="3"/>
        <v>1990640</v>
      </c>
    </row>
    <row r="13" spans="1:16" x14ac:dyDescent="0.15">
      <c r="A13" s="4" t="s">
        <v>7</v>
      </c>
      <c r="B13" s="11">
        <v>7749470</v>
      </c>
      <c r="C13" s="9">
        <v>8749310</v>
      </c>
      <c r="D13" s="9">
        <v>9926500</v>
      </c>
      <c r="E13" s="9">
        <v>9953790</v>
      </c>
      <c r="F13" s="9">
        <v>9951820</v>
      </c>
      <c r="G13" s="9">
        <v>10135940</v>
      </c>
      <c r="H13" s="9">
        <f t="shared" si="1"/>
        <v>56466830</v>
      </c>
      <c r="I13" s="9">
        <v>10248670</v>
      </c>
      <c r="J13" s="9">
        <v>9524910</v>
      </c>
      <c r="K13" s="9">
        <v>9771470</v>
      </c>
      <c r="L13" s="9">
        <v>9027750</v>
      </c>
      <c r="M13" s="9">
        <v>9398830</v>
      </c>
      <c r="N13" s="9">
        <v>10229600</v>
      </c>
      <c r="O13" s="9">
        <f t="shared" si="2"/>
        <v>58201230</v>
      </c>
      <c r="P13" s="9">
        <f t="shared" si="3"/>
        <v>114668060</v>
      </c>
    </row>
    <row r="14" spans="1:16" x14ac:dyDescent="0.15">
      <c r="A14" s="4" t="s">
        <v>58</v>
      </c>
      <c r="B14" s="9">
        <v>407000</v>
      </c>
      <c r="C14" s="9">
        <v>481000</v>
      </c>
      <c r="D14" s="9">
        <v>533000</v>
      </c>
      <c r="E14" s="9">
        <v>542000</v>
      </c>
      <c r="F14" s="9">
        <v>547500</v>
      </c>
      <c r="G14" s="9">
        <v>555500</v>
      </c>
      <c r="H14" s="9">
        <f t="shared" si="1"/>
        <v>3066000</v>
      </c>
      <c r="I14" s="9">
        <v>563000</v>
      </c>
      <c r="J14" s="9">
        <v>513000</v>
      </c>
      <c r="K14" s="9">
        <v>526500</v>
      </c>
      <c r="L14" s="9">
        <v>483500</v>
      </c>
      <c r="M14" s="9">
        <v>513500</v>
      </c>
      <c r="N14" s="9">
        <v>560000</v>
      </c>
      <c r="O14" s="9">
        <f t="shared" si="2"/>
        <v>3159500</v>
      </c>
      <c r="P14" s="9">
        <f t="shared" si="3"/>
        <v>6225500</v>
      </c>
    </row>
    <row r="15" spans="1:16" x14ac:dyDescent="0.15">
      <c r="A15" s="4" t="s">
        <v>57</v>
      </c>
      <c r="B15" s="9">
        <v>1707190</v>
      </c>
      <c r="C15" s="9">
        <v>1661970</v>
      </c>
      <c r="D15" s="9">
        <v>1707860</v>
      </c>
      <c r="E15" s="9">
        <v>1567670</v>
      </c>
      <c r="F15" s="9">
        <v>1570230</v>
      </c>
      <c r="G15" s="9">
        <v>1550190</v>
      </c>
      <c r="H15" s="9">
        <f t="shared" si="1"/>
        <v>9765110</v>
      </c>
      <c r="I15" s="9">
        <v>1482110</v>
      </c>
      <c r="J15" s="9">
        <v>1482410</v>
      </c>
      <c r="K15" s="9">
        <v>1424710</v>
      </c>
      <c r="L15" s="9">
        <v>1399330</v>
      </c>
      <c r="M15" s="9">
        <v>1397670</v>
      </c>
      <c r="N15" s="9">
        <v>1374100</v>
      </c>
      <c r="O15" s="9">
        <f t="shared" si="2"/>
        <v>8560330</v>
      </c>
      <c r="P15" s="9">
        <f t="shared" si="3"/>
        <v>18325440</v>
      </c>
    </row>
    <row r="16" spans="1:16" x14ac:dyDescent="0.15">
      <c r="A16" s="4" t="s">
        <v>59</v>
      </c>
      <c r="B16" s="9">
        <v>129500</v>
      </c>
      <c r="C16" s="9">
        <v>123000</v>
      </c>
      <c r="D16" s="9">
        <v>123500</v>
      </c>
      <c r="E16" s="9">
        <v>117500</v>
      </c>
      <c r="F16" s="9">
        <v>109500</v>
      </c>
      <c r="G16" s="9">
        <v>116000</v>
      </c>
      <c r="H16" s="9">
        <f t="shared" si="1"/>
        <v>719000</v>
      </c>
      <c r="I16" s="9">
        <v>109000</v>
      </c>
      <c r="J16" s="9">
        <v>104500</v>
      </c>
      <c r="K16" s="9">
        <v>101000</v>
      </c>
      <c r="L16" s="9">
        <v>89000</v>
      </c>
      <c r="M16" s="9">
        <v>90000</v>
      </c>
      <c r="N16" s="9">
        <v>100000</v>
      </c>
      <c r="O16" s="9">
        <f t="shared" si="2"/>
        <v>593500</v>
      </c>
      <c r="P16" s="9">
        <f t="shared" si="3"/>
        <v>1312500</v>
      </c>
    </row>
    <row r="17" spans="1:16" x14ac:dyDescent="0.15">
      <c r="A17" s="4" t="s">
        <v>8</v>
      </c>
      <c r="B17" s="9">
        <v>83600</v>
      </c>
      <c r="C17" s="9">
        <v>57200</v>
      </c>
      <c r="D17" s="9">
        <v>69400</v>
      </c>
      <c r="E17" s="9">
        <v>82000</v>
      </c>
      <c r="F17" s="9">
        <v>63400</v>
      </c>
      <c r="G17" s="9">
        <v>56200</v>
      </c>
      <c r="H17" s="9">
        <f>SUM(B17:G17)</f>
        <v>411800</v>
      </c>
      <c r="I17" s="9">
        <v>63200</v>
      </c>
      <c r="J17" s="9">
        <v>57800</v>
      </c>
      <c r="K17" s="9">
        <v>61800</v>
      </c>
      <c r="L17" s="9">
        <v>56400</v>
      </c>
      <c r="M17" s="9">
        <v>54800</v>
      </c>
      <c r="N17" s="9">
        <v>55800</v>
      </c>
      <c r="O17" s="9">
        <f t="shared" si="2"/>
        <v>349800</v>
      </c>
      <c r="P17" s="9">
        <f t="shared" si="3"/>
        <v>761600</v>
      </c>
    </row>
    <row r="18" spans="1:16" x14ac:dyDescent="0.15">
      <c r="A18" s="4" t="s">
        <v>9</v>
      </c>
      <c r="B18" s="14">
        <v>13500</v>
      </c>
      <c r="C18" s="14">
        <v>14000</v>
      </c>
      <c r="D18" s="14">
        <v>7250</v>
      </c>
      <c r="E18" s="14">
        <v>4500</v>
      </c>
      <c r="F18" s="14">
        <v>4000</v>
      </c>
      <c r="G18" s="14">
        <v>3500</v>
      </c>
      <c r="H18" s="14">
        <f t="shared" si="1"/>
        <v>46750</v>
      </c>
      <c r="I18" s="14">
        <v>1750</v>
      </c>
      <c r="J18" s="14">
        <v>2500</v>
      </c>
      <c r="K18" s="14">
        <v>0</v>
      </c>
      <c r="L18" s="14">
        <v>3600</v>
      </c>
      <c r="M18" s="14">
        <v>48500</v>
      </c>
      <c r="N18" s="14">
        <v>32900</v>
      </c>
      <c r="O18" s="14">
        <f t="shared" si="2"/>
        <v>89250</v>
      </c>
      <c r="P18" s="14">
        <f t="shared" si="3"/>
        <v>136000</v>
      </c>
    </row>
    <row r="19" spans="1:16" x14ac:dyDescent="0.15">
      <c r="A19" s="4" t="s">
        <v>76</v>
      </c>
      <c r="B19" s="14">
        <v>104900</v>
      </c>
      <c r="C19" s="14">
        <v>117100</v>
      </c>
      <c r="D19" s="14">
        <v>181300</v>
      </c>
      <c r="E19" s="14">
        <v>141700</v>
      </c>
      <c r="F19" s="14">
        <v>126450</v>
      </c>
      <c r="G19" s="14">
        <v>88600</v>
      </c>
      <c r="H19" s="14">
        <f t="shared" si="1"/>
        <v>760050</v>
      </c>
      <c r="I19" s="14">
        <v>136400</v>
      </c>
      <c r="J19" s="14">
        <v>119650</v>
      </c>
      <c r="K19" s="14">
        <v>117650</v>
      </c>
      <c r="L19" s="14">
        <v>84350</v>
      </c>
      <c r="M19" s="14">
        <v>144550</v>
      </c>
      <c r="N19" s="14">
        <v>120300</v>
      </c>
      <c r="O19" s="9">
        <f t="shared" si="2"/>
        <v>722900</v>
      </c>
      <c r="P19" s="14">
        <f t="shared" si="3"/>
        <v>1482950</v>
      </c>
    </row>
    <row r="20" spans="1:16" x14ac:dyDescent="0.15">
      <c r="A20" s="4" t="s">
        <v>10</v>
      </c>
      <c r="B20" s="14">
        <v>122550</v>
      </c>
      <c r="C20" s="14">
        <v>101900</v>
      </c>
      <c r="D20" s="14">
        <v>120800</v>
      </c>
      <c r="E20" s="14">
        <v>209300</v>
      </c>
      <c r="F20" s="14">
        <v>268800</v>
      </c>
      <c r="G20" s="14">
        <v>150150</v>
      </c>
      <c r="H20" s="14">
        <f t="shared" si="1"/>
        <v>973500</v>
      </c>
      <c r="I20" s="14">
        <v>188900</v>
      </c>
      <c r="J20" s="14">
        <v>143100</v>
      </c>
      <c r="K20" s="14">
        <v>148800</v>
      </c>
      <c r="L20" s="14">
        <v>173250</v>
      </c>
      <c r="M20" s="14">
        <v>176700</v>
      </c>
      <c r="N20" s="14">
        <v>269250</v>
      </c>
      <c r="O20" s="9">
        <f t="shared" si="2"/>
        <v>1100000</v>
      </c>
      <c r="P20" s="14">
        <f t="shared" si="3"/>
        <v>2073500</v>
      </c>
    </row>
    <row r="21" spans="1:16" x14ac:dyDescent="0.15">
      <c r="A21" s="4" t="s">
        <v>77</v>
      </c>
      <c r="B21" s="14">
        <v>430000</v>
      </c>
      <c r="C21" s="14">
        <v>255050</v>
      </c>
      <c r="D21" s="14">
        <v>299550</v>
      </c>
      <c r="E21" s="14">
        <v>536250</v>
      </c>
      <c r="F21" s="14">
        <v>583700</v>
      </c>
      <c r="G21" s="14">
        <v>247800</v>
      </c>
      <c r="H21" s="14">
        <f t="shared" si="1"/>
        <v>2352350</v>
      </c>
      <c r="I21" s="14">
        <v>270250</v>
      </c>
      <c r="J21" s="14">
        <v>220450</v>
      </c>
      <c r="K21" s="14">
        <v>222500</v>
      </c>
      <c r="L21" s="14">
        <v>217300</v>
      </c>
      <c r="M21" s="14">
        <v>206200</v>
      </c>
      <c r="N21" s="14">
        <v>304500</v>
      </c>
      <c r="O21" s="9">
        <f t="shared" si="2"/>
        <v>1441200</v>
      </c>
      <c r="P21" s="14">
        <f t="shared" si="3"/>
        <v>3793550</v>
      </c>
    </row>
    <row r="22" spans="1:16" x14ac:dyDescent="0.15">
      <c r="A22" s="6" t="s">
        <v>78</v>
      </c>
      <c r="B22" s="14">
        <v>0</v>
      </c>
      <c r="C22" s="14">
        <v>200000</v>
      </c>
      <c r="D22" s="14">
        <v>200000</v>
      </c>
      <c r="E22" s="14">
        <v>200000</v>
      </c>
      <c r="F22" s="14">
        <v>200000</v>
      </c>
      <c r="G22" s="14">
        <v>200000</v>
      </c>
      <c r="H22" s="13">
        <f t="shared" si="1"/>
        <v>1000000</v>
      </c>
      <c r="I22" s="14">
        <v>200000</v>
      </c>
      <c r="J22" s="14">
        <v>200000</v>
      </c>
      <c r="K22" s="14">
        <v>200000</v>
      </c>
      <c r="L22" s="14">
        <v>200000</v>
      </c>
      <c r="M22" s="14">
        <v>200000</v>
      </c>
      <c r="N22" s="14">
        <v>408000</v>
      </c>
      <c r="O22" s="14">
        <f t="shared" si="2"/>
        <v>1408000</v>
      </c>
      <c r="P22" s="14">
        <f t="shared" si="3"/>
        <v>2408000</v>
      </c>
    </row>
    <row r="23" spans="1:16" x14ac:dyDescent="0.15">
      <c r="A23" s="7" t="s">
        <v>11</v>
      </c>
      <c r="B23" s="10">
        <v>25000</v>
      </c>
      <c r="C23" s="10">
        <v>0</v>
      </c>
      <c r="D23" s="10">
        <v>0</v>
      </c>
      <c r="E23" s="10">
        <v>0</v>
      </c>
      <c r="F23" s="10">
        <v>8000</v>
      </c>
      <c r="G23" s="10">
        <v>0</v>
      </c>
      <c r="H23" s="10">
        <f t="shared" si="1"/>
        <v>33000</v>
      </c>
      <c r="I23" s="10">
        <v>20000</v>
      </c>
      <c r="J23" s="10">
        <v>25000</v>
      </c>
      <c r="K23" s="10">
        <v>55000</v>
      </c>
      <c r="L23" s="10">
        <v>0</v>
      </c>
      <c r="M23" s="10">
        <v>30000</v>
      </c>
      <c r="N23" s="10">
        <v>20000</v>
      </c>
      <c r="O23" s="10">
        <f t="shared" si="2"/>
        <v>150000</v>
      </c>
      <c r="P23" s="10">
        <f t="shared" si="3"/>
        <v>183000</v>
      </c>
    </row>
    <row r="24" spans="1:16" x14ac:dyDescent="0.15">
      <c r="A24" s="7" t="s">
        <v>80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300000</v>
      </c>
      <c r="H24" s="10">
        <f t="shared" si="1"/>
        <v>300000</v>
      </c>
      <c r="I24" s="10">
        <v>300000</v>
      </c>
      <c r="J24" s="10">
        <v>0</v>
      </c>
      <c r="K24" s="10">
        <v>0</v>
      </c>
      <c r="L24" s="10">
        <v>300000</v>
      </c>
      <c r="M24" s="10">
        <v>0</v>
      </c>
      <c r="N24" s="10">
        <v>841471</v>
      </c>
      <c r="O24" s="10">
        <f t="shared" si="2"/>
        <v>1441471</v>
      </c>
      <c r="P24" s="10">
        <f t="shared" si="3"/>
        <v>1741471</v>
      </c>
    </row>
    <row r="25" spans="1:16" x14ac:dyDescent="0.15">
      <c r="A25" s="7" t="s">
        <v>12</v>
      </c>
      <c r="B25" s="10">
        <v>384687</v>
      </c>
      <c r="C25" s="10">
        <v>215295</v>
      </c>
      <c r="D25" s="10">
        <v>204700</v>
      </c>
      <c r="E25" s="10">
        <v>193950</v>
      </c>
      <c r="F25" s="10">
        <v>208780</v>
      </c>
      <c r="G25" s="10">
        <v>196925</v>
      </c>
      <c r="H25" s="10">
        <f t="shared" si="1"/>
        <v>1404337</v>
      </c>
      <c r="I25" s="10">
        <v>192850</v>
      </c>
      <c r="J25" s="10">
        <v>199410</v>
      </c>
      <c r="K25" s="10">
        <v>171885</v>
      </c>
      <c r="L25" s="10">
        <v>157405</v>
      </c>
      <c r="M25" s="10">
        <v>8242577</v>
      </c>
      <c r="N25" s="10">
        <v>178470</v>
      </c>
      <c r="O25" s="10">
        <f t="shared" si="2"/>
        <v>9142597</v>
      </c>
      <c r="P25" s="10">
        <f t="shared" si="3"/>
        <v>10546934</v>
      </c>
    </row>
    <row r="26" spans="1:16" x14ac:dyDescent="0.15">
      <c r="A26" s="8" t="s">
        <v>13</v>
      </c>
      <c r="B26" s="10">
        <f t="shared" ref="B26:G26" si="5">B5+B9+B23+B24+B25</f>
        <v>13599897</v>
      </c>
      <c r="C26" s="10">
        <f t="shared" si="5"/>
        <v>14379825</v>
      </c>
      <c r="D26" s="10">
        <f t="shared" si="5"/>
        <v>15799520</v>
      </c>
      <c r="E26" s="10">
        <f t="shared" si="5"/>
        <v>15926080</v>
      </c>
      <c r="F26" s="10">
        <f t="shared" si="5"/>
        <v>16161720</v>
      </c>
      <c r="G26" s="10">
        <f t="shared" si="5"/>
        <v>16033745</v>
      </c>
      <c r="H26" s="10">
        <f t="shared" si="1"/>
        <v>91900787</v>
      </c>
      <c r="I26" s="10">
        <f t="shared" ref="I26:N26" si="6">I5+I9+I23+I24+I25</f>
        <v>16253930</v>
      </c>
      <c r="J26" s="10">
        <f t="shared" si="6"/>
        <v>15163650</v>
      </c>
      <c r="K26" s="10">
        <f t="shared" si="6"/>
        <v>15365995</v>
      </c>
      <c r="L26" s="10">
        <f t="shared" si="6"/>
        <v>14569065</v>
      </c>
      <c r="M26" s="10">
        <f t="shared" si="6"/>
        <v>23008267</v>
      </c>
      <c r="N26" s="10">
        <f t="shared" si="6"/>
        <v>17142951</v>
      </c>
      <c r="O26" s="10">
        <f t="shared" si="2"/>
        <v>101503858</v>
      </c>
      <c r="P26" s="10">
        <f t="shared" si="3"/>
        <v>193404645</v>
      </c>
    </row>
    <row r="27" spans="1:16" ht="4.5" customHeight="1" x14ac:dyDescent="0.15">
      <c r="A27" s="4"/>
      <c r="B27" s="14"/>
      <c r="C27" s="14"/>
      <c r="D27" s="14"/>
      <c r="E27" s="14"/>
      <c r="F27" s="14"/>
      <c r="G27" s="14"/>
      <c r="H27" s="10">
        <f t="shared" si="1"/>
        <v>0</v>
      </c>
      <c r="I27" s="10"/>
      <c r="J27" s="10"/>
      <c r="K27" s="10"/>
      <c r="L27" s="10"/>
      <c r="M27" s="10"/>
      <c r="N27" s="10"/>
      <c r="O27" s="14"/>
      <c r="P27" s="14"/>
    </row>
    <row r="28" spans="1:16" x14ac:dyDescent="0.15">
      <c r="A28" s="7" t="s">
        <v>14</v>
      </c>
      <c r="B28" s="9"/>
      <c r="C28" s="9"/>
      <c r="D28" s="9"/>
      <c r="E28" s="9"/>
      <c r="F28" s="9"/>
      <c r="G28" s="9"/>
      <c r="H28" s="9">
        <f t="shared" si="1"/>
        <v>0</v>
      </c>
      <c r="I28" s="9"/>
      <c r="J28" s="9"/>
      <c r="K28" s="9"/>
      <c r="L28" s="9"/>
      <c r="M28" s="9"/>
      <c r="N28" s="9"/>
      <c r="O28" s="9"/>
      <c r="P28" s="9"/>
    </row>
    <row r="29" spans="1:16" x14ac:dyDescent="0.15">
      <c r="A29" s="4" t="s">
        <v>15</v>
      </c>
      <c r="B29" s="9"/>
      <c r="C29" s="9"/>
      <c r="D29" s="9"/>
      <c r="E29" s="9"/>
      <c r="F29" s="9"/>
      <c r="G29" s="9"/>
      <c r="H29" s="9">
        <f t="shared" si="1"/>
        <v>0</v>
      </c>
      <c r="I29" s="9"/>
      <c r="J29" s="9"/>
      <c r="K29" s="9"/>
      <c r="L29" s="9"/>
      <c r="M29" s="9"/>
      <c r="N29" s="9"/>
      <c r="O29" s="9"/>
      <c r="P29" s="9"/>
    </row>
    <row r="30" spans="1:16" x14ac:dyDescent="0.15">
      <c r="A30" s="7" t="s">
        <v>16</v>
      </c>
      <c r="B30" s="10">
        <f t="shared" ref="B30:N30" si="7">SUM(B31:B35)</f>
        <v>7825351</v>
      </c>
      <c r="C30" s="10">
        <f t="shared" si="7"/>
        <v>8173321</v>
      </c>
      <c r="D30" s="10">
        <f t="shared" si="7"/>
        <v>8559524</v>
      </c>
      <c r="E30" s="10">
        <f t="shared" si="7"/>
        <v>17011686</v>
      </c>
      <c r="F30" s="10">
        <f t="shared" si="7"/>
        <v>9368949</v>
      </c>
      <c r="G30" s="10">
        <f t="shared" si="7"/>
        <v>8833897</v>
      </c>
      <c r="H30" s="10">
        <f t="shared" si="1"/>
        <v>59772728</v>
      </c>
      <c r="I30" s="10">
        <f t="shared" si="7"/>
        <v>8595098</v>
      </c>
      <c r="J30" s="10">
        <f t="shared" si="7"/>
        <v>8826881</v>
      </c>
      <c r="K30" s="10">
        <f t="shared" si="7"/>
        <v>20474142</v>
      </c>
      <c r="L30" s="10">
        <f t="shared" si="7"/>
        <v>8089670</v>
      </c>
      <c r="M30" s="10">
        <f t="shared" si="7"/>
        <v>8815579</v>
      </c>
      <c r="N30" s="10">
        <f t="shared" si="7"/>
        <v>18406850</v>
      </c>
      <c r="O30" s="10">
        <f t="shared" si="2"/>
        <v>73208220</v>
      </c>
      <c r="P30" s="10">
        <f t="shared" si="3"/>
        <v>132980948</v>
      </c>
    </row>
    <row r="31" spans="1:16" x14ac:dyDescent="0.15">
      <c r="A31" s="4" t="s">
        <v>17</v>
      </c>
      <c r="B31" s="9">
        <v>30000</v>
      </c>
      <c r="C31" s="9">
        <v>30000</v>
      </c>
      <c r="D31" s="9">
        <v>30000</v>
      </c>
      <c r="E31" s="9">
        <v>61500</v>
      </c>
      <c r="F31" s="9">
        <v>30000</v>
      </c>
      <c r="G31" s="9">
        <v>30000</v>
      </c>
      <c r="H31" s="9">
        <f t="shared" si="1"/>
        <v>211500</v>
      </c>
      <c r="I31" s="9">
        <v>30000</v>
      </c>
      <c r="J31" s="9">
        <v>30000</v>
      </c>
      <c r="K31" s="9">
        <v>30000</v>
      </c>
      <c r="L31" s="9">
        <v>30000</v>
      </c>
      <c r="M31" s="9">
        <v>30000</v>
      </c>
      <c r="N31" s="9">
        <v>30000</v>
      </c>
      <c r="O31" s="9">
        <f t="shared" si="2"/>
        <v>180000</v>
      </c>
      <c r="P31" s="9">
        <f t="shared" si="3"/>
        <v>391500</v>
      </c>
    </row>
    <row r="32" spans="1:16" x14ac:dyDescent="0.15">
      <c r="A32" s="4" t="s">
        <v>18</v>
      </c>
      <c r="B32" s="9">
        <v>6278800</v>
      </c>
      <c r="C32" s="9">
        <v>6513350</v>
      </c>
      <c r="D32" s="9">
        <v>6861400</v>
      </c>
      <c r="E32" s="9">
        <v>13596930</v>
      </c>
      <c r="F32" s="9">
        <v>7480700</v>
      </c>
      <c r="G32" s="9">
        <v>7112050</v>
      </c>
      <c r="H32" s="9">
        <f t="shared" si="1"/>
        <v>47843230</v>
      </c>
      <c r="I32" s="9">
        <v>6883500</v>
      </c>
      <c r="J32" s="9">
        <v>6988000</v>
      </c>
      <c r="K32" s="9">
        <v>16953830</v>
      </c>
      <c r="L32" s="9">
        <v>6438000</v>
      </c>
      <c r="M32" s="9">
        <v>6925350</v>
      </c>
      <c r="N32" s="9">
        <v>15257960</v>
      </c>
      <c r="O32" s="9">
        <f t="shared" si="2"/>
        <v>59446640</v>
      </c>
      <c r="P32" s="9">
        <f t="shared" si="3"/>
        <v>107289870</v>
      </c>
    </row>
    <row r="33" spans="1:16" x14ac:dyDescent="0.15">
      <c r="A33" s="4" t="s">
        <v>48</v>
      </c>
      <c r="B33" s="14">
        <v>979750</v>
      </c>
      <c r="C33" s="14">
        <v>1017150</v>
      </c>
      <c r="D33" s="14">
        <v>1054500</v>
      </c>
      <c r="E33" s="14">
        <v>2073450</v>
      </c>
      <c r="F33" s="14">
        <v>1268300</v>
      </c>
      <c r="G33" s="14">
        <v>1101300</v>
      </c>
      <c r="H33" s="14">
        <f t="shared" si="1"/>
        <v>7494450</v>
      </c>
      <c r="I33" s="14">
        <v>1068000</v>
      </c>
      <c r="J33" s="14">
        <v>1177700</v>
      </c>
      <c r="K33" s="14">
        <v>2860420</v>
      </c>
      <c r="L33" s="13">
        <v>992500</v>
      </c>
      <c r="M33" s="14">
        <v>1267600</v>
      </c>
      <c r="N33" s="14">
        <v>2481750</v>
      </c>
      <c r="O33" s="14">
        <f t="shared" si="2"/>
        <v>9847970</v>
      </c>
      <c r="P33" s="14">
        <f t="shared" si="3"/>
        <v>17342420</v>
      </c>
    </row>
    <row r="34" spans="1:16" x14ac:dyDescent="0.15">
      <c r="A34" s="4" t="s">
        <v>19</v>
      </c>
      <c r="B34" s="9">
        <v>536801</v>
      </c>
      <c r="C34" s="9">
        <v>612821</v>
      </c>
      <c r="D34" s="9">
        <v>613624</v>
      </c>
      <c r="E34" s="9">
        <v>1279806</v>
      </c>
      <c r="F34" s="9">
        <v>589949</v>
      </c>
      <c r="G34" s="9">
        <v>590547</v>
      </c>
      <c r="H34" s="9">
        <f t="shared" si="1"/>
        <v>4223548</v>
      </c>
      <c r="I34" s="9">
        <v>613598</v>
      </c>
      <c r="J34" s="9">
        <v>631181</v>
      </c>
      <c r="K34" s="9">
        <v>629892</v>
      </c>
      <c r="L34" s="9">
        <v>629170</v>
      </c>
      <c r="M34" s="9">
        <v>592629</v>
      </c>
      <c r="N34" s="9">
        <v>637140</v>
      </c>
      <c r="O34" s="13">
        <f t="shared" si="2"/>
        <v>3733610</v>
      </c>
      <c r="P34" s="9">
        <f t="shared" si="3"/>
        <v>7957158</v>
      </c>
    </row>
    <row r="35" spans="1:16" x14ac:dyDescent="0.15">
      <c r="A35" s="4" t="s">
        <v>47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f t="shared" si="1"/>
        <v>0</v>
      </c>
      <c r="I35" s="9"/>
      <c r="J35" s="9"/>
      <c r="K35" s="9"/>
      <c r="L35" s="9"/>
      <c r="M35" s="9"/>
      <c r="N35" s="9"/>
      <c r="O35" s="13">
        <f t="shared" si="2"/>
        <v>0</v>
      </c>
      <c r="P35" s="9">
        <f t="shared" si="3"/>
        <v>0</v>
      </c>
    </row>
    <row r="36" spans="1:16" x14ac:dyDescent="0.15">
      <c r="A36" s="7" t="s">
        <v>20</v>
      </c>
      <c r="B36" s="10">
        <f t="shared" ref="B36:N36" si="8">SUM(B37:B61)</f>
        <v>3057182</v>
      </c>
      <c r="C36" s="10">
        <f t="shared" si="8"/>
        <v>3607765</v>
      </c>
      <c r="D36" s="10">
        <f t="shared" si="8"/>
        <v>3887793</v>
      </c>
      <c r="E36" s="10">
        <f t="shared" si="8"/>
        <v>4147885</v>
      </c>
      <c r="F36" s="10">
        <f t="shared" si="8"/>
        <v>2771128</v>
      </c>
      <c r="G36" s="10">
        <f t="shared" si="8"/>
        <v>8089207</v>
      </c>
      <c r="H36" s="10">
        <f t="shared" si="1"/>
        <v>25560960</v>
      </c>
      <c r="I36" s="10">
        <f t="shared" si="8"/>
        <v>3459801</v>
      </c>
      <c r="J36" s="10">
        <f t="shared" si="8"/>
        <v>4485707</v>
      </c>
      <c r="K36" s="10">
        <f t="shared" si="8"/>
        <v>3662846</v>
      </c>
      <c r="L36" s="10">
        <f t="shared" si="8"/>
        <v>3091316</v>
      </c>
      <c r="M36" s="10">
        <f t="shared" si="8"/>
        <v>2216351</v>
      </c>
      <c r="N36" s="10">
        <f t="shared" si="8"/>
        <v>4295212</v>
      </c>
      <c r="O36" s="10">
        <f t="shared" si="2"/>
        <v>21211233</v>
      </c>
      <c r="P36" s="10">
        <f t="shared" si="3"/>
        <v>46772193</v>
      </c>
    </row>
    <row r="37" spans="1:16" x14ac:dyDescent="0.15">
      <c r="A37" s="4" t="s">
        <v>21</v>
      </c>
      <c r="B37" s="9">
        <v>349171</v>
      </c>
      <c r="C37" s="9">
        <v>241000</v>
      </c>
      <c r="D37" s="9">
        <v>270500</v>
      </c>
      <c r="E37" s="9">
        <v>408600</v>
      </c>
      <c r="F37" s="9">
        <v>260000</v>
      </c>
      <c r="G37" s="9">
        <v>260500</v>
      </c>
      <c r="H37" s="9">
        <f t="shared" si="1"/>
        <v>1789771</v>
      </c>
      <c r="I37" s="9">
        <v>260000</v>
      </c>
      <c r="J37" s="9">
        <v>342698</v>
      </c>
      <c r="K37" s="9">
        <v>600150</v>
      </c>
      <c r="L37" s="9">
        <v>276480</v>
      </c>
      <c r="M37" s="9">
        <v>261000</v>
      </c>
      <c r="N37" s="9">
        <v>696885</v>
      </c>
      <c r="O37" s="13">
        <f t="shared" si="2"/>
        <v>2437213</v>
      </c>
      <c r="P37" s="9">
        <f t="shared" si="3"/>
        <v>4226984</v>
      </c>
    </row>
    <row r="38" spans="1:16" x14ac:dyDescent="0.15">
      <c r="A38" s="4" t="s">
        <v>22</v>
      </c>
      <c r="B38" s="9">
        <v>0</v>
      </c>
      <c r="C38" s="9">
        <v>0</v>
      </c>
      <c r="D38" s="9">
        <v>3000</v>
      </c>
      <c r="E38" s="9">
        <v>2500</v>
      </c>
      <c r="F38" s="9">
        <v>4520</v>
      </c>
      <c r="G38" s="9">
        <v>2000</v>
      </c>
      <c r="H38" s="9">
        <f t="shared" si="1"/>
        <v>12020</v>
      </c>
      <c r="I38" s="9">
        <v>0</v>
      </c>
      <c r="J38" s="9">
        <v>2500</v>
      </c>
      <c r="K38" s="9">
        <v>2000</v>
      </c>
      <c r="L38" s="9">
        <v>5100</v>
      </c>
      <c r="M38" s="9">
        <v>800</v>
      </c>
      <c r="N38" s="9">
        <v>5000</v>
      </c>
      <c r="O38" s="13">
        <f t="shared" si="2"/>
        <v>15400</v>
      </c>
      <c r="P38" s="9">
        <f t="shared" si="3"/>
        <v>27420</v>
      </c>
    </row>
    <row r="39" spans="1:16" x14ac:dyDescent="0.15">
      <c r="A39" s="4" t="s">
        <v>23</v>
      </c>
      <c r="B39" s="9">
        <v>65356</v>
      </c>
      <c r="C39" s="9">
        <v>31925</v>
      </c>
      <c r="D39" s="9">
        <v>116916</v>
      </c>
      <c r="E39" s="9">
        <v>53814</v>
      </c>
      <c r="F39" s="9">
        <v>47836</v>
      </c>
      <c r="G39" s="9">
        <v>52726</v>
      </c>
      <c r="H39" s="9">
        <f t="shared" si="1"/>
        <v>368573</v>
      </c>
      <c r="I39" s="9">
        <v>41587</v>
      </c>
      <c r="J39" s="9">
        <v>74473</v>
      </c>
      <c r="K39" s="9">
        <v>56498</v>
      </c>
      <c r="L39" s="9">
        <v>66990</v>
      </c>
      <c r="M39" s="9">
        <v>83059</v>
      </c>
      <c r="N39" s="9">
        <v>68129</v>
      </c>
      <c r="O39" s="13">
        <f t="shared" si="2"/>
        <v>390736</v>
      </c>
      <c r="P39" s="9">
        <f t="shared" si="3"/>
        <v>759309</v>
      </c>
    </row>
    <row r="40" spans="1:16" x14ac:dyDescent="0.15">
      <c r="A40" s="4" t="s">
        <v>24</v>
      </c>
      <c r="B40" s="9">
        <v>13961</v>
      </c>
      <c r="C40" s="9">
        <v>14567</v>
      </c>
      <c r="D40" s="9">
        <v>15561</v>
      </c>
      <c r="E40" s="9">
        <v>27299</v>
      </c>
      <c r="F40" s="9">
        <v>64814</v>
      </c>
      <c r="G40" s="9">
        <v>10961</v>
      </c>
      <c r="H40" s="9">
        <f t="shared" si="1"/>
        <v>147163</v>
      </c>
      <c r="I40" s="9">
        <v>25545</v>
      </c>
      <c r="J40" s="9">
        <v>5638</v>
      </c>
      <c r="K40" s="9">
        <v>8899</v>
      </c>
      <c r="L40" s="9">
        <v>9487</v>
      </c>
      <c r="M40" s="9">
        <v>12081</v>
      </c>
      <c r="N40" s="9">
        <v>13300</v>
      </c>
      <c r="O40" s="13">
        <f t="shared" si="2"/>
        <v>74950</v>
      </c>
      <c r="P40" s="9">
        <f t="shared" si="3"/>
        <v>222113</v>
      </c>
    </row>
    <row r="41" spans="1:16" x14ac:dyDescent="0.15">
      <c r="A41" s="4" t="s">
        <v>56</v>
      </c>
      <c r="B41" s="9">
        <v>444995</v>
      </c>
      <c r="C41" s="9">
        <v>68540</v>
      </c>
      <c r="D41" s="9">
        <v>23000</v>
      </c>
      <c r="E41" s="9">
        <v>588095</v>
      </c>
      <c r="F41" s="9">
        <v>25780</v>
      </c>
      <c r="G41" s="9">
        <v>57071</v>
      </c>
      <c r="H41" s="9">
        <f t="shared" si="1"/>
        <v>1207481</v>
      </c>
      <c r="I41" s="9">
        <v>809880</v>
      </c>
      <c r="J41" s="9">
        <v>159360</v>
      </c>
      <c r="K41" s="9">
        <v>99389</v>
      </c>
      <c r="L41" s="9">
        <v>578550</v>
      </c>
      <c r="M41" s="9">
        <v>66045</v>
      </c>
      <c r="N41" s="9">
        <v>102345</v>
      </c>
      <c r="O41" s="13">
        <f t="shared" si="2"/>
        <v>1815569</v>
      </c>
      <c r="P41" s="9">
        <f t="shared" si="3"/>
        <v>3023050</v>
      </c>
    </row>
    <row r="42" spans="1:16" x14ac:dyDescent="0.15">
      <c r="A42" s="4" t="s">
        <v>25</v>
      </c>
      <c r="B42" s="9">
        <v>23625</v>
      </c>
      <c r="C42" s="9">
        <v>0</v>
      </c>
      <c r="D42" s="9">
        <v>81062</v>
      </c>
      <c r="E42" s="9">
        <v>27445</v>
      </c>
      <c r="F42" s="9">
        <v>0</v>
      </c>
      <c r="G42" s="9">
        <v>0</v>
      </c>
      <c r="H42" s="9">
        <f t="shared" si="1"/>
        <v>132132</v>
      </c>
      <c r="I42" s="9">
        <v>0</v>
      </c>
      <c r="J42" s="9">
        <v>0</v>
      </c>
      <c r="K42" s="9">
        <v>51775</v>
      </c>
      <c r="L42" s="9">
        <v>53930</v>
      </c>
      <c r="M42" s="9">
        <v>0</v>
      </c>
      <c r="N42" s="9">
        <v>15000</v>
      </c>
      <c r="O42" s="13">
        <f t="shared" si="2"/>
        <v>120705</v>
      </c>
      <c r="P42" s="9">
        <f t="shared" si="3"/>
        <v>252837</v>
      </c>
    </row>
    <row r="43" spans="1:16" x14ac:dyDescent="0.15">
      <c r="A43" s="4" t="s">
        <v>26</v>
      </c>
      <c r="B43" s="9">
        <v>0</v>
      </c>
      <c r="C43" s="9">
        <v>7875</v>
      </c>
      <c r="D43" s="9">
        <v>6300</v>
      </c>
      <c r="E43" s="9">
        <v>78750</v>
      </c>
      <c r="F43" s="9">
        <v>2100</v>
      </c>
      <c r="G43" s="9">
        <v>0</v>
      </c>
      <c r="H43" s="9">
        <f t="shared" si="1"/>
        <v>95025</v>
      </c>
      <c r="I43" s="9">
        <v>0</v>
      </c>
      <c r="J43" s="9">
        <v>144165</v>
      </c>
      <c r="K43" s="9">
        <v>0</v>
      </c>
      <c r="L43" s="9">
        <v>88095</v>
      </c>
      <c r="M43" s="9">
        <v>8400</v>
      </c>
      <c r="N43" s="9">
        <v>133665</v>
      </c>
      <c r="O43" s="13">
        <f t="shared" si="2"/>
        <v>374325</v>
      </c>
      <c r="P43" s="9">
        <f t="shared" si="3"/>
        <v>469350</v>
      </c>
    </row>
    <row r="44" spans="1:16" x14ac:dyDescent="0.15">
      <c r="A44" s="4" t="s">
        <v>28</v>
      </c>
      <c r="B44" s="9">
        <v>13655</v>
      </c>
      <c r="C44" s="9">
        <v>23965</v>
      </c>
      <c r="D44" s="9">
        <v>30945</v>
      </c>
      <c r="E44" s="9">
        <v>28288</v>
      </c>
      <c r="F44" s="9">
        <v>12805</v>
      </c>
      <c r="G44" s="9">
        <v>14805</v>
      </c>
      <c r="H44" s="9">
        <f t="shared" si="1"/>
        <v>124463</v>
      </c>
      <c r="I44" s="9">
        <v>43075</v>
      </c>
      <c r="J44" s="9">
        <v>17460</v>
      </c>
      <c r="K44" s="9">
        <v>16210</v>
      </c>
      <c r="L44" s="9">
        <v>26410</v>
      </c>
      <c r="M44" s="9">
        <v>14810</v>
      </c>
      <c r="N44" s="9">
        <v>7710</v>
      </c>
      <c r="O44" s="13">
        <f t="shared" si="2"/>
        <v>125675</v>
      </c>
      <c r="P44" s="9">
        <f t="shared" si="3"/>
        <v>250138</v>
      </c>
    </row>
    <row r="45" spans="1:16" x14ac:dyDescent="0.15">
      <c r="A45" s="4" t="s">
        <v>79</v>
      </c>
      <c r="B45" s="9">
        <v>1200</v>
      </c>
      <c r="C45" s="9">
        <v>18200</v>
      </c>
      <c r="D45" s="9">
        <v>9500</v>
      </c>
      <c r="E45" s="9">
        <v>11000</v>
      </c>
      <c r="F45" s="9">
        <v>32000</v>
      </c>
      <c r="G45" s="9">
        <v>19500</v>
      </c>
      <c r="H45" s="9">
        <f t="shared" si="1"/>
        <v>91400</v>
      </c>
      <c r="I45" s="9">
        <v>11200</v>
      </c>
      <c r="J45" s="9">
        <v>54000</v>
      </c>
      <c r="K45" s="9">
        <v>0</v>
      </c>
      <c r="L45" s="9">
        <v>0</v>
      </c>
      <c r="M45" s="9">
        <v>0</v>
      </c>
      <c r="N45" s="9">
        <v>0</v>
      </c>
      <c r="O45" s="13">
        <f t="shared" si="2"/>
        <v>65200</v>
      </c>
      <c r="P45" s="9">
        <f t="shared" si="3"/>
        <v>156600</v>
      </c>
    </row>
    <row r="46" spans="1:16" x14ac:dyDescent="0.15">
      <c r="A46" s="4" t="s">
        <v>27</v>
      </c>
      <c r="B46" s="9">
        <v>0</v>
      </c>
      <c r="C46" s="9">
        <v>0</v>
      </c>
      <c r="D46" s="9">
        <v>0</v>
      </c>
      <c r="E46" s="9">
        <v>7350</v>
      </c>
      <c r="F46" s="9">
        <v>10500</v>
      </c>
      <c r="G46" s="9">
        <v>3150</v>
      </c>
      <c r="H46" s="9">
        <f t="shared" si="1"/>
        <v>21000</v>
      </c>
      <c r="I46" s="9">
        <v>15750</v>
      </c>
      <c r="J46" s="9">
        <v>42000</v>
      </c>
      <c r="K46" s="9">
        <v>6825</v>
      </c>
      <c r="L46" s="9">
        <v>90650</v>
      </c>
      <c r="M46" s="9">
        <v>0</v>
      </c>
      <c r="N46" s="9">
        <v>0</v>
      </c>
      <c r="O46" s="13">
        <f t="shared" si="2"/>
        <v>155225</v>
      </c>
      <c r="P46" s="9">
        <f t="shared" si="3"/>
        <v>176225</v>
      </c>
    </row>
    <row r="47" spans="1:16" x14ac:dyDescent="0.15">
      <c r="A47" s="4" t="s">
        <v>32</v>
      </c>
      <c r="B47" s="9">
        <v>307436</v>
      </c>
      <c r="C47" s="9">
        <v>232904</v>
      </c>
      <c r="D47" s="9">
        <v>348906</v>
      </c>
      <c r="E47" s="9">
        <v>288940</v>
      </c>
      <c r="F47" s="9">
        <v>294986</v>
      </c>
      <c r="G47" s="9">
        <v>296747</v>
      </c>
      <c r="H47" s="9">
        <f t="shared" si="1"/>
        <v>1769919</v>
      </c>
      <c r="I47" s="9">
        <v>201454</v>
      </c>
      <c r="J47" s="9">
        <v>351441</v>
      </c>
      <c r="K47" s="9">
        <v>354371</v>
      </c>
      <c r="L47" s="9">
        <v>338041</v>
      </c>
      <c r="M47" s="9">
        <v>421579</v>
      </c>
      <c r="N47" s="9">
        <v>469840</v>
      </c>
      <c r="O47" s="13">
        <f t="shared" si="2"/>
        <v>2136726</v>
      </c>
      <c r="P47" s="9">
        <f t="shared" si="3"/>
        <v>3906645</v>
      </c>
    </row>
    <row r="48" spans="1:16" x14ac:dyDescent="0.15">
      <c r="A48" s="4" t="s">
        <v>33</v>
      </c>
      <c r="B48" s="9">
        <v>45835</v>
      </c>
      <c r="C48" s="9">
        <v>13000</v>
      </c>
      <c r="D48" s="9">
        <v>10000</v>
      </c>
      <c r="E48" s="9">
        <v>21806</v>
      </c>
      <c r="F48" s="9">
        <v>12000</v>
      </c>
      <c r="G48" s="9">
        <v>3000</v>
      </c>
      <c r="H48" s="9">
        <f t="shared" si="1"/>
        <v>105641</v>
      </c>
      <c r="I48" s="9">
        <v>2000</v>
      </c>
      <c r="J48" s="9">
        <v>10150</v>
      </c>
      <c r="K48" s="9">
        <v>134000</v>
      </c>
      <c r="L48" s="9">
        <v>26154</v>
      </c>
      <c r="M48" s="9">
        <v>19460</v>
      </c>
      <c r="N48" s="9">
        <v>93000</v>
      </c>
      <c r="O48" s="13">
        <f t="shared" si="2"/>
        <v>284764</v>
      </c>
      <c r="P48" s="9">
        <f t="shared" si="3"/>
        <v>390405</v>
      </c>
    </row>
    <row r="49" spans="1:16" x14ac:dyDescent="0.15">
      <c r="A49" s="4" t="s">
        <v>34</v>
      </c>
      <c r="B49" s="9">
        <v>30000</v>
      </c>
      <c r="C49" s="9">
        <v>4900</v>
      </c>
      <c r="D49" s="9">
        <v>8000</v>
      </c>
      <c r="E49" s="9">
        <v>15500</v>
      </c>
      <c r="F49" s="9">
        <v>10000</v>
      </c>
      <c r="G49" s="9">
        <v>0</v>
      </c>
      <c r="H49" s="9">
        <f t="shared" si="1"/>
        <v>68400</v>
      </c>
      <c r="I49" s="9">
        <v>0</v>
      </c>
      <c r="J49" s="9">
        <v>0</v>
      </c>
      <c r="K49" s="9">
        <v>0</v>
      </c>
      <c r="L49" s="9">
        <v>3000</v>
      </c>
      <c r="M49" s="9">
        <v>0</v>
      </c>
      <c r="N49" s="9">
        <v>30000</v>
      </c>
      <c r="O49" s="13">
        <f t="shared" si="2"/>
        <v>33000</v>
      </c>
      <c r="P49" s="9">
        <f t="shared" si="3"/>
        <v>101400</v>
      </c>
    </row>
    <row r="50" spans="1:16" x14ac:dyDescent="0.15">
      <c r="A50" s="4" t="s">
        <v>50</v>
      </c>
      <c r="B50" s="9">
        <v>510563</v>
      </c>
      <c r="C50" s="9">
        <v>515791</v>
      </c>
      <c r="D50" s="9">
        <v>553640</v>
      </c>
      <c r="E50" s="9">
        <v>554811</v>
      </c>
      <c r="F50" s="9">
        <v>579131</v>
      </c>
      <c r="G50" s="9">
        <v>887062</v>
      </c>
      <c r="H50" s="9">
        <f t="shared" si="1"/>
        <v>3600998</v>
      </c>
      <c r="I50" s="9">
        <v>654811</v>
      </c>
      <c r="J50" s="9">
        <v>573919</v>
      </c>
      <c r="K50" s="9">
        <v>537012</v>
      </c>
      <c r="L50" s="9">
        <v>501104</v>
      </c>
      <c r="M50" s="14">
        <v>511073</v>
      </c>
      <c r="N50" s="9">
        <v>507573</v>
      </c>
      <c r="O50" s="13">
        <f t="shared" si="2"/>
        <v>3285492</v>
      </c>
      <c r="P50" s="9">
        <f t="shared" si="3"/>
        <v>6886490</v>
      </c>
    </row>
    <row r="51" spans="1:16" x14ac:dyDescent="0.15">
      <c r="A51" s="4" t="s">
        <v>35</v>
      </c>
      <c r="B51" s="9">
        <v>0</v>
      </c>
      <c r="C51" s="9">
        <v>4000</v>
      </c>
      <c r="D51" s="9">
        <v>11324</v>
      </c>
      <c r="E51" s="9">
        <v>30355</v>
      </c>
      <c r="F51" s="9">
        <v>21485</v>
      </c>
      <c r="G51" s="9">
        <v>520</v>
      </c>
      <c r="H51" s="9">
        <f t="shared" si="1"/>
        <v>67684</v>
      </c>
      <c r="I51" s="9">
        <v>3980</v>
      </c>
      <c r="J51" s="9">
        <v>102677</v>
      </c>
      <c r="K51" s="9">
        <v>1000</v>
      </c>
      <c r="L51" s="9">
        <v>20310</v>
      </c>
      <c r="M51" s="9">
        <v>2566</v>
      </c>
      <c r="N51" s="9">
        <v>4000</v>
      </c>
      <c r="O51" s="13">
        <f t="shared" si="2"/>
        <v>134533</v>
      </c>
      <c r="P51" s="9">
        <f t="shared" si="3"/>
        <v>202217</v>
      </c>
    </row>
    <row r="52" spans="1:16" x14ac:dyDescent="0.15">
      <c r="A52" s="4" t="s">
        <v>51</v>
      </c>
      <c r="B52" s="9">
        <v>5915</v>
      </c>
      <c r="C52" s="9">
        <v>0</v>
      </c>
      <c r="D52" s="9">
        <v>0</v>
      </c>
      <c r="E52" s="9">
        <v>80440</v>
      </c>
      <c r="F52" s="9">
        <v>34180</v>
      </c>
      <c r="G52" s="9">
        <v>0</v>
      </c>
      <c r="H52" s="9">
        <f t="shared" si="1"/>
        <v>120535</v>
      </c>
      <c r="I52" s="9">
        <v>0</v>
      </c>
      <c r="J52" s="9">
        <v>0</v>
      </c>
      <c r="K52" s="9">
        <v>554530</v>
      </c>
      <c r="L52" s="9">
        <v>0</v>
      </c>
      <c r="M52" s="9">
        <v>0</v>
      </c>
      <c r="N52" s="9">
        <v>364880</v>
      </c>
      <c r="O52" s="13">
        <f t="shared" si="2"/>
        <v>919410</v>
      </c>
      <c r="P52" s="9">
        <f t="shared" si="3"/>
        <v>1039945</v>
      </c>
    </row>
    <row r="53" spans="1:16" x14ac:dyDescent="0.15">
      <c r="A53" s="4" t="s">
        <v>52</v>
      </c>
      <c r="B53" s="9">
        <v>167483</v>
      </c>
      <c r="C53" s="9">
        <v>263817</v>
      </c>
      <c r="D53" s="9">
        <v>579647</v>
      </c>
      <c r="E53" s="9">
        <v>347577</v>
      </c>
      <c r="F53" s="9">
        <v>397387</v>
      </c>
      <c r="G53" s="9">
        <v>507053</v>
      </c>
      <c r="H53" s="9">
        <f t="shared" si="1"/>
        <v>2262964</v>
      </c>
      <c r="I53" s="9">
        <v>464415</v>
      </c>
      <c r="J53" s="9">
        <v>613982</v>
      </c>
      <c r="K53" s="9">
        <v>266078</v>
      </c>
      <c r="L53" s="9">
        <v>248171</v>
      </c>
      <c r="M53" s="9">
        <v>284572</v>
      </c>
      <c r="N53" s="9">
        <v>573327</v>
      </c>
      <c r="O53" s="13">
        <f t="shared" si="2"/>
        <v>2450545</v>
      </c>
      <c r="P53" s="9">
        <f t="shared" si="3"/>
        <v>4713509</v>
      </c>
    </row>
    <row r="54" spans="1:16" x14ac:dyDescent="0.15">
      <c r="A54" s="4" t="s">
        <v>53</v>
      </c>
      <c r="B54" s="9">
        <v>0</v>
      </c>
      <c r="C54" s="9">
        <v>0</v>
      </c>
      <c r="D54" s="9">
        <v>568050</v>
      </c>
      <c r="E54" s="9">
        <v>255675</v>
      </c>
      <c r="F54" s="9">
        <v>0</v>
      </c>
      <c r="G54" s="9">
        <v>14700</v>
      </c>
      <c r="H54" s="9">
        <f t="shared" si="1"/>
        <v>838425</v>
      </c>
      <c r="I54" s="9">
        <v>27748</v>
      </c>
      <c r="J54" s="9">
        <v>0</v>
      </c>
      <c r="K54" s="9">
        <v>5775</v>
      </c>
      <c r="L54" s="9">
        <v>0</v>
      </c>
      <c r="M54" s="9">
        <v>0</v>
      </c>
      <c r="N54" s="9">
        <v>58800</v>
      </c>
      <c r="O54" s="13">
        <f t="shared" si="2"/>
        <v>92323</v>
      </c>
      <c r="P54" s="9">
        <f t="shared" si="3"/>
        <v>930748</v>
      </c>
    </row>
    <row r="55" spans="1:16" x14ac:dyDescent="0.15">
      <c r="A55" s="4" t="s">
        <v>54</v>
      </c>
      <c r="B55" s="9">
        <v>249330</v>
      </c>
      <c r="C55" s="9">
        <v>267810</v>
      </c>
      <c r="D55" s="9">
        <v>320810</v>
      </c>
      <c r="E55" s="9">
        <v>385175</v>
      </c>
      <c r="F55" s="9">
        <v>235445</v>
      </c>
      <c r="G55" s="9">
        <v>347900</v>
      </c>
      <c r="H55" s="9">
        <f t="shared" si="1"/>
        <v>1806470</v>
      </c>
      <c r="I55" s="9">
        <v>235445</v>
      </c>
      <c r="J55" s="9">
        <v>235445</v>
      </c>
      <c r="K55" s="9">
        <v>222320</v>
      </c>
      <c r="L55" s="9">
        <v>238070</v>
      </c>
      <c r="M55" s="9">
        <v>281120</v>
      </c>
      <c r="N55" s="9">
        <v>281120</v>
      </c>
      <c r="O55" s="13">
        <f t="shared" si="2"/>
        <v>1493520</v>
      </c>
      <c r="P55" s="9">
        <f t="shared" si="3"/>
        <v>3299990</v>
      </c>
    </row>
    <row r="56" spans="1:16" x14ac:dyDescent="0.15">
      <c r="A56" s="4" t="s">
        <v>36</v>
      </c>
      <c r="B56" s="9">
        <v>300000</v>
      </c>
      <c r="C56" s="9">
        <v>400000</v>
      </c>
      <c r="D56" s="9">
        <v>300000</v>
      </c>
      <c r="E56" s="9">
        <v>300000</v>
      </c>
      <c r="F56" s="9">
        <v>300000</v>
      </c>
      <c r="G56" s="9">
        <v>300000</v>
      </c>
      <c r="H56" s="9">
        <f>SUM(B56:G56)</f>
        <v>1900000</v>
      </c>
      <c r="I56" s="9">
        <v>300000</v>
      </c>
      <c r="J56" s="9">
        <v>300000</v>
      </c>
      <c r="K56" s="9">
        <v>300000</v>
      </c>
      <c r="L56" s="9">
        <v>150000</v>
      </c>
      <c r="M56" s="9">
        <v>150000</v>
      </c>
      <c r="N56" s="9">
        <v>150000</v>
      </c>
      <c r="O56" s="13">
        <f t="shared" si="2"/>
        <v>1350000</v>
      </c>
      <c r="P56" s="9">
        <f t="shared" si="3"/>
        <v>3250000</v>
      </c>
    </row>
    <row r="57" spans="1:16" x14ac:dyDescent="0.15">
      <c r="A57" s="4" t="s">
        <v>38</v>
      </c>
      <c r="B57" s="11">
        <v>1000</v>
      </c>
      <c r="C57" s="9">
        <v>689100</v>
      </c>
      <c r="D57" s="9">
        <v>20900</v>
      </c>
      <c r="E57" s="9">
        <v>13500</v>
      </c>
      <c r="F57" s="9">
        <v>0</v>
      </c>
      <c r="G57" s="9">
        <v>83000</v>
      </c>
      <c r="H57" s="9">
        <f t="shared" si="1"/>
        <v>807500</v>
      </c>
      <c r="I57" s="9">
        <v>0</v>
      </c>
      <c r="J57" s="9">
        <v>1001100</v>
      </c>
      <c r="K57" s="9">
        <v>128580</v>
      </c>
      <c r="L57" s="9">
        <v>4500</v>
      </c>
      <c r="M57" s="9">
        <v>0</v>
      </c>
      <c r="N57" s="9">
        <v>28000</v>
      </c>
      <c r="O57" s="13">
        <f t="shared" si="2"/>
        <v>1162180</v>
      </c>
      <c r="P57" s="9">
        <f t="shared" si="3"/>
        <v>1969680</v>
      </c>
    </row>
    <row r="58" spans="1:16" x14ac:dyDescent="0.15">
      <c r="A58" s="4" t="s">
        <v>37</v>
      </c>
      <c r="B58" s="9">
        <v>263748</v>
      </c>
      <c r="C58" s="9">
        <v>78750</v>
      </c>
      <c r="D58" s="9">
        <v>231625</v>
      </c>
      <c r="E58" s="9">
        <v>340334</v>
      </c>
      <c r="F58" s="9">
        <v>71598</v>
      </c>
      <c r="G58" s="9">
        <v>217106</v>
      </c>
      <c r="H58" s="9">
        <f t="shared" si="1"/>
        <v>1203161</v>
      </c>
      <c r="I58" s="9">
        <v>57220</v>
      </c>
      <c r="J58" s="9">
        <v>130710</v>
      </c>
      <c r="K58" s="9">
        <v>136434</v>
      </c>
      <c r="L58" s="9">
        <v>166110</v>
      </c>
      <c r="M58" s="9">
        <v>73005</v>
      </c>
      <c r="N58" s="9">
        <v>179472</v>
      </c>
      <c r="O58" s="13">
        <f t="shared" si="2"/>
        <v>742951</v>
      </c>
      <c r="P58" s="9">
        <f t="shared" si="3"/>
        <v>1946112</v>
      </c>
    </row>
    <row r="59" spans="1:16" x14ac:dyDescent="0.15">
      <c r="A59" s="4" t="s">
        <v>55</v>
      </c>
      <c r="B59" s="14">
        <v>1995</v>
      </c>
      <c r="C59" s="14">
        <v>26040</v>
      </c>
      <c r="D59" s="14">
        <v>21105</v>
      </c>
      <c r="E59" s="14">
        <v>23625</v>
      </c>
      <c r="F59" s="14">
        <v>38315</v>
      </c>
      <c r="G59" s="14">
        <v>26455</v>
      </c>
      <c r="H59" s="14">
        <f t="shared" si="1"/>
        <v>137535</v>
      </c>
      <c r="I59" s="14">
        <v>23880</v>
      </c>
      <c r="J59" s="14">
        <v>24700</v>
      </c>
      <c r="K59" s="14">
        <v>34023</v>
      </c>
      <c r="L59" s="14">
        <v>25260</v>
      </c>
      <c r="M59" s="14">
        <v>27280</v>
      </c>
      <c r="N59" s="14">
        <v>26860</v>
      </c>
      <c r="O59" s="14">
        <f t="shared" si="2"/>
        <v>162003</v>
      </c>
      <c r="P59" s="14">
        <f t="shared" si="3"/>
        <v>299538</v>
      </c>
    </row>
    <row r="60" spans="1:16" x14ac:dyDescent="0.15">
      <c r="A60" s="12" t="s">
        <v>49</v>
      </c>
      <c r="B60" s="14">
        <v>261914</v>
      </c>
      <c r="C60" s="14">
        <v>705581</v>
      </c>
      <c r="D60" s="14">
        <v>357002</v>
      </c>
      <c r="E60" s="14">
        <v>257006</v>
      </c>
      <c r="F60" s="14">
        <v>316246</v>
      </c>
      <c r="G60" s="14">
        <v>283152</v>
      </c>
      <c r="H60" s="14">
        <f t="shared" si="1"/>
        <v>2180901</v>
      </c>
      <c r="I60" s="14">
        <v>281811</v>
      </c>
      <c r="J60" s="14">
        <v>299289</v>
      </c>
      <c r="K60" s="14">
        <v>146977</v>
      </c>
      <c r="L60" s="14">
        <v>174904</v>
      </c>
      <c r="M60" s="14">
        <v>162977</v>
      </c>
      <c r="N60" s="14">
        <v>486306</v>
      </c>
      <c r="O60" s="14">
        <f t="shared" si="2"/>
        <v>1552264</v>
      </c>
      <c r="P60" s="14">
        <f t="shared" si="3"/>
        <v>3733165</v>
      </c>
    </row>
    <row r="61" spans="1:16" x14ac:dyDescent="0.15">
      <c r="A61" s="4" t="s">
        <v>46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4701799</v>
      </c>
      <c r="H61" s="9">
        <f t="shared" si="1"/>
        <v>4701799</v>
      </c>
      <c r="I61" s="9">
        <v>0</v>
      </c>
      <c r="J61" s="9">
        <v>0</v>
      </c>
      <c r="K61" s="9">
        <v>0</v>
      </c>
      <c r="L61" s="9">
        <v>0</v>
      </c>
      <c r="M61" s="9">
        <v>-163476</v>
      </c>
      <c r="N61" s="9">
        <v>0</v>
      </c>
      <c r="O61" s="13">
        <f t="shared" si="2"/>
        <v>-163476</v>
      </c>
      <c r="P61" s="9">
        <f t="shared" si="3"/>
        <v>4538323</v>
      </c>
    </row>
    <row r="62" spans="1:16" x14ac:dyDescent="0.15">
      <c r="A62" s="8" t="s">
        <v>29</v>
      </c>
      <c r="B62" s="10">
        <f t="shared" ref="B62:N62" si="9">B30+B36</f>
        <v>10882533</v>
      </c>
      <c r="C62" s="10">
        <f t="shared" si="9"/>
        <v>11781086</v>
      </c>
      <c r="D62" s="10">
        <f t="shared" si="9"/>
        <v>12447317</v>
      </c>
      <c r="E62" s="10">
        <f t="shared" si="9"/>
        <v>21159571</v>
      </c>
      <c r="F62" s="10">
        <f t="shared" si="9"/>
        <v>12140077</v>
      </c>
      <c r="G62" s="10">
        <f t="shared" si="9"/>
        <v>16923104</v>
      </c>
      <c r="H62" s="10">
        <f t="shared" si="1"/>
        <v>85333688</v>
      </c>
      <c r="I62" s="10">
        <f t="shared" si="9"/>
        <v>12054899</v>
      </c>
      <c r="J62" s="10">
        <f t="shared" si="9"/>
        <v>13312588</v>
      </c>
      <c r="K62" s="10">
        <f t="shared" si="9"/>
        <v>24136988</v>
      </c>
      <c r="L62" s="10">
        <f t="shared" si="9"/>
        <v>11180986</v>
      </c>
      <c r="M62" s="10">
        <f t="shared" si="9"/>
        <v>11031930</v>
      </c>
      <c r="N62" s="10">
        <f t="shared" si="9"/>
        <v>22702062</v>
      </c>
      <c r="O62" s="10">
        <f t="shared" si="2"/>
        <v>94419453</v>
      </c>
      <c r="P62" s="10">
        <f t="shared" si="3"/>
        <v>179753141</v>
      </c>
    </row>
    <row r="63" spans="1:16" x14ac:dyDescent="0.15">
      <c r="A63" s="8" t="s">
        <v>61</v>
      </c>
      <c r="B63" s="10">
        <f t="shared" ref="B63:J63" si="10">B26-B62</f>
        <v>2717364</v>
      </c>
      <c r="C63" s="10">
        <f t="shared" si="10"/>
        <v>2598739</v>
      </c>
      <c r="D63" s="10">
        <f t="shared" si="10"/>
        <v>3352203</v>
      </c>
      <c r="E63" s="10">
        <f t="shared" si="10"/>
        <v>-5233491</v>
      </c>
      <c r="F63" s="10">
        <f t="shared" si="10"/>
        <v>4021643</v>
      </c>
      <c r="G63" s="10">
        <f t="shared" si="10"/>
        <v>-889359</v>
      </c>
      <c r="H63" s="10">
        <f t="shared" si="1"/>
        <v>6567099</v>
      </c>
      <c r="I63" s="10">
        <f t="shared" si="10"/>
        <v>4199031</v>
      </c>
      <c r="J63" s="10">
        <f t="shared" si="10"/>
        <v>1851062</v>
      </c>
      <c r="K63" s="10">
        <f>K26-K62</f>
        <v>-8770993</v>
      </c>
      <c r="L63" s="10">
        <f>L26-L62</f>
        <v>3388079</v>
      </c>
      <c r="M63" s="10">
        <f>M26-M62</f>
        <v>11976337</v>
      </c>
      <c r="N63" s="10">
        <f>N26-N62</f>
        <v>-5559111</v>
      </c>
      <c r="O63" s="10">
        <f t="shared" si="2"/>
        <v>7084405</v>
      </c>
      <c r="P63" s="10">
        <f t="shared" si="3"/>
        <v>13651504</v>
      </c>
    </row>
    <row r="64" spans="1:16" ht="6" customHeight="1" x14ac:dyDescent="0.15">
      <c r="A64" s="4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3"/>
      <c r="P64" s="10"/>
    </row>
    <row r="65" spans="1:16" x14ac:dyDescent="0.15">
      <c r="A65" s="7" t="s">
        <v>30</v>
      </c>
      <c r="B65" s="14">
        <v>353</v>
      </c>
      <c r="C65" s="14">
        <v>0</v>
      </c>
      <c r="D65" s="14">
        <v>0</v>
      </c>
      <c r="E65" s="14">
        <v>0</v>
      </c>
      <c r="F65" s="14">
        <v>1377</v>
      </c>
      <c r="G65" s="14">
        <v>9</v>
      </c>
      <c r="H65" s="10">
        <f t="shared" si="1"/>
        <v>1739</v>
      </c>
      <c r="I65" s="14">
        <v>86</v>
      </c>
      <c r="J65" s="14">
        <v>0</v>
      </c>
      <c r="K65" s="14">
        <v>0</v>
      </c>
      <c r="L65" s="14">
        <v>0</v>
      </c>
      <c r="M65" s="10">
        <v>1509</v>
      </c>
      <c r="N65" s="14">
        <v>24</v>
      </c>
      <c r="O65" s="10">
        <f t="shared" si="2"/>
        <v>1619</v>
      </c>
      <c r="P65" s="10">
        <f t="shared" si="3"/>
        <v>3358</v>
      </c>
    </row>
    <row r="66" spans="1:16" x14ac:dyDescent="0.15">
      <c r="A66" s="7" t="s">
        <v>31</v>
      </c>
      <c r="B66" s="14">
        <v>55913</v>
      </c>
      <c r="C66" s="9">
        <v>74384</v>
      </c>
      <c r="D66" s="9">
        <v>62827</v>
      </c>
      <c r="E66" s="9">
        <v>79450</v>
      </c>
      <c r="F66" s="9">
        <v>59823</v>
      </c>
      <c r="G66" s="9">
        <v>59303</v>
      </c>
      <c r="H66" s="10">
        <f t="shared" si="1"/>
        <v>391700</v>
      </c>
      <c r="I66" s="14">
        <v>56886</v>
      </c>
      <c r="J66" s="10">
        <v>56383</v>
      </c>
      <c r="K66" s="10">
        <v>57742</v>
      </c>
      <c r="L66" s="10">
        <v>57222</v>
      </c>
      <c r="M66" s="10">
        <v>51215</v>
      </c>
      <c r="N66" s="10">
        <v>80594</v>
      </c>
      <c r="O66" s="10">
        <f t="shared" si="2"/>
        <v>360042</v>
      </c>
      <c r="P66" s="10">
        <f t="shared" si="3"/>
        <v>751742</v>
      </c>
    </row>
    <row r="67" spans="1:16" x14ac:dyDescent="0.15">
      <c r="A67" s="8" t="s">
        <v>60</v>
      </c>
      <c r="B67" s="15">
        <f t="shared" ref="B67:G67" si="11">B63+B65-B66</f>
        <v>2661804</v>
      </c>
      <c r="C67" s="15">
        <f t="shared" si="11"/>
        <v>2524355</v>
      </c>
      <c r="D67" s="15">
        <f t="shared" si="11"/>
        <v>3289376</v>
      </c>
      <c r="E67" s="15">
        <f t="shared" si="11"/>
        <v>-5312941</v>
      </c>
      <c r="F67" s="15">
        <f t="shared" si="11"/>
        <v>3963197</v>
      </c>
      <c r="G67" s="15">
        <f t="shared" si="11"/>
        <v>-948653</v>
      </c>
      <c r="H67" s="10">
        <f t="shared" si="1"/>
        <v>6177138</v>
      </c>
      <c r="I67" s="15">
        <f t="shared" ref="I67:N67" si="12">I63+I65-I66</f>
        <v>4142231</v>
      </c>
      <c r="J67" s="15">
        <f t="shared" si="12"/>
        <v>1794679</v>
      </c>
      <c r="K67" s="15">
        <f t="shared" si="12"/>
        <v>-8828735</v>
      </c>
      <c r="L67" s="15">
        <f t="shared" si="12"/>
        <v>3330857</v>
      </c>
      <c r="M67" s="15">
        <f t="shared" si="12"/>
        <v>11926631</v>
      </c>
      <c r="N67" s="15">
        <f t="shared" si="12"/>
        <v>-5639681</v>
      </c>
      <c r="O67" s="10">
        <f t="shared" si="2"/>
        <v>6725982</v>
      </c>
      <c r="P67" s="10">
        <f t="shared" si="3"/>
        <v>12903120</v>
      </c>
    </row>
  </sheetData>
  <phoneticPr fontId="3"/>
  <pageMargins left="1.1811023622047245" right="0" top="0" bottom="0" header="0.51181102362204722" footer="0.51181102362204722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1D7F-BFCB-4334-8433-9790AEF771D8}">
  <dimension ref="A2:P72"/>
  <sheetViews>
    <sheetView workbookViewId="0">
      <pane xSplit="1" topLeftCell="F1" activePane="topRight" state="frozen"/>
      <selection activeCell="A10" sqref="A10"/>
      <selection pane="topRight" activeCell="N34" sqref="N34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2" spans="1:16" ht="15.75" customHeight="1" x14ac:dyDescent="0.2">
      <c r="C2" s="172" t="s">
        <v>232</v>
      </c>
      <c r="D2" s="172"/>
      <c r="E2" s="172"/>
      <c r="F2" s="172"/>
      <c r="G2" s="172"/>
      <c r="H2" s="172"/>
    </row>
    <row r="3" spans="1:16" ht="12" customHeight="1" x14ac:dyDescent="0.15">
      <c r="A3" s="26" t="s">
        <v>43</v>
      </c>
      <c r="B3" s="45" t="s">
        <v>233</v>
      </c>
      <c r="C3" s="26" t="s">
        <v>234</v>
      </c>
      <c r="D3" s="45" t="s">
        <v>235</v>
      </c>
      <c r="E3" s="26" t="s">
        <v>236</v>
      </c>
      <c r="F3" s="45" t="s">
        <v>237</v>
      </c>
      <c r="G3" s="26" t="s">
        <v>238</v>
      </c>
      <c r="H3" s="26" t="s">
        <v>39</v>
      </c>
      <c r="I3" s="26" t="s">
        <v>239</v>
      </c>
      <c r="J3" s="26" t="s">
        <v>240</v>
      </c>
      <c r="K3" s="26" t="s">
        <v>241</v>
      </c>
      <c r="L3" s="26" t="s">
        <v>242</v>
      </c>
      <c r="M3" s="26" t="s">
        <v>243</v>
      </c>
      <c r="N3" s="26" t="s">
        <v>244</v>
      </c>
      <c r="O3" s="26" t="s">
        <v>41</v>
      </c>
      <c r="P3" s="26" t="s">
        <v>42</v>
      </c>
    </row>
    <row r="4" spans="1:16" ht="12" customHeight="1" x14ac:dyDescent="0.15">
      <c r="A4" s="24" t="s">
        <v>259</v>
      </c>
      <c r="B4" s="46" t="s">
        <v>40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2" customHeight="1" x14ac:dyDescent="0.15">
      <c r="A5" s="24" t="s">
        <v>0</v>
      </c>
      <c r="B5" s="32">
        <f>SUM(B6:B8)</f>
        <v>138000</v>
      </c>
      <c r="C5" s="32">
        <f t="shared" ref="C5:N5" si="0">SUM(C6:C8)</f>
        <v>29000</v>
      </c>
      <c r="D5" s="32">
        <f t="shared" si="0"/>
        <v>10000</v>
      </c>
      <c r="E5" s="32">
        <f t="shared" si="0"/>
        <v>9000</v>
      </c>
      <c r="F5" s="32">
        <f t="shared" si="0"/>
        <v>8000</v>
      </c>
      <c r="G5" s="32">
        <f t="shared" si="0"/>
        <v>3000</v>
      </c>
      <c r="H5" s="32">
        <f t="shared" ref="H5:H32" si="1">SUM(B5:G5)</f>
        <v>197000</v>
      </c>
      <c r="I5" s="32">
        <f t="shared" si="0"/>
        <v>4000</v>
      </c>
      <c r="J5" s="32">
        <f t="shared" si="0"/>
        <v>6000</v>
      </c>
      <c r="K5" s="32">
        <f t="shared" si="0"/>
        <v>10000</v>
      </c>
      <c r="L5" s="32">
        <f t="shared" si="0"/>
        <v>6000</v>
      </c>
      <c r="M5" s="32">
        <f t="shared" si="0"/>
        <v>3000</v>
      </c>
      <c r="N5" s="32">
        <f t="shared" si="0"/>
        <v>3000</v>
      </c>
      <c r="O5" s="32">
        <f>SUM(I5:N5)</f>
        <v>32000</v>
      </c>
      <c r="P5" s="32">
        <f>H5+O5</f>
        <v>229000</v>
      </c>
    </row>
    <row r="6" spans="1:16" ht="12" customHeight="1" x14ac:dyDescent="0.15">
      <c r="A6" s="21" t="s">
        <v>1</v>
      </c>
      <c r="B6" s="25">
        <v>90000</v>
      </c>
      <c r="C6" s="25">
        <v>1000</v>
      </c>
      <c r="D6" s="25">
        <v>3000</v>
      </c>
      <c r="E6" s="25">
        <v>1000</v>
      </c>
      <c r="F6" s="25">
        <v>0</v>
      </c>
      <c r="G6" s="25">
        <v>0</v>
      </c>
      <c r="H6" s="25">
        <f t="shared" si="1"/>
        <v>95000</v>
      </c>
      <c r="I6" s="25">
        <v>0</v>
      </c>
      <c r="J6" s="25">
        <v>0</v>
      </c>
      <c r="K6" s="25">
        <v>0</v>
      </c>
      <c r="L6" s="25">
        <v>0</v>
      </c>
      <c r="M6" s="25">
        <v>1000</v>
      </c>
      <c r="N6" s="25">
        <v>0</v>
      </c>
      <c r="O6" s="25">
        <f t="shared" ref="O6:O72" si="2">SUM(I6:N6)</f>
        <v>1000</v>
      </c>
      <c r="P6" s="25">
        <f t="shared" ref="P6:P72" si="3">H6+O6</f>
        <v>96000</v>
      </c>
    </row>
    <row r="7" spans="1:16" ht="12" customHeight="1" x14ac:dyDescent="0.15">
      <c r="A7" s="21" t="s">
        <v>2</v>
      </c>
      <c r="B7" s="25">
        <v>39000</v>
      </c>
      <c r="C7" s="25">
        <f>59000-39000</f>
        <v>20000</v>
      </c>
      <c r="D7" s="25">
        <f>62000-59000</f>
        <v>3000</v>
      </c>
      <c r="E7" s="25">
        <v>5000</v>
      </c>
      <c r="F7" s="25">
        <v>7000</v>
      </c>
      <c r="G7" s="25">
        <v>3000</v>
      </c>
      <c r="H7" s="25">
        <f t="shared" si="1"/>
        <v>77000</v>
      </c>
      <c r="I7" s="25">
        <v>4000</v>
      </c>
      <c r="J7" s="25">
        <v>5000</v>
      </c>
      <c r="K7" s="25">
        <f>91000-86000</f>
        <v>5000</v>
      </c>
      <c r="L7" s="25">
        <v>4000</v>
      </c>
      <c r="M7" s="25">
        <v>1000</v>
      </c>
      <c r="N7" s="25">
        <v>2000</v>
      </c>
      <c r="O7" s="25">
        <f t="shared" si="2"/>
        <v>21000</v>
      </c>
      <c r="P7" s="25">
        <f t="shared" si="3"/>
        <v>98000</v>
      </c>
    </row>
    <row r="8" spans="1:16" ht="12" customHeight="1" x14ac:dyDescent="0.15">
      <c r="A8" s="21" t="s">
        <v>3</v>
      </c>
      <c r="B8" s="25">
        <v>9000</v>
      </c>
      <c r="C8" s="25">
        <f>17000-9000</f>
        <v>8000</v>
      </c>
      <c r="D8" s="25">
        <v>4000</v>
      </c>
      <c r="E8" s="25">
        <v>3000</v>
      </c>
      <c r="F8" s="25">
        <v>1000</v>
      </c>
      <c r="G8" s="25">
        <v>0</v>
      </c>
      <c r="H8" s="25">
        <f t="shared" si="1"/>
        <v>25000</v>
      </c>
      <c r="I8" s="25">
        <v>0</v>
      </c>
      <c r="J8" s="25">
        <v>1000</v>
      </c>
      <c r="K8" s="25">
        <f>31000-26000</f>
        <v>5000</v>
      </c>
      <c r="L8" s="25">
        <v>2000</v>
      </c>
      <c r="M8" s="25">
        <v>1000</v>
      </c>
      <c r="N8" s="25">
        <v>1000</v>
      </c>
      <c r="O8" s="25">
        <f t="shared" si="2"/>
        <v>10000</v>
      </c>
      <c r="P8" s="25">
        <f t="shared" si="3"/>
        <v>35000</v>
      </c>
    </row>
    <row r="9" spans="1:16" ht="12" customHeight="1" x14ac:dyDescent="0.15">
      <c r="A9" s="24" t="s">
        <v>4</v>
      </c>
      <c r="B9" s="32">
        <f t="shared" ref="B9:N9" si="4">SUM(B10:B28)</f>
        <v>18877360</v>
      </c>
      <c r="C9" s="32">
        <f t="shared" si="4"/>
        <v>18432960</v>
      </c>
      <c r="D9" s="32">
        <f t="shared" si="4"/>
        <v>18173630</v>
      </c>
      <c r="E9" s="32">
        <f t="shared" si="4"/>
        <v>19434690</v>
      </c>
      <c r="F9" s="32">
        <f t="shared" si="4"/>
        <v>18832270</v>
      </c>
      <c r="G9" s="32">
        <f t="shared" si="4"/>
        <v>17156060</v>
      </c>
      <c r="H9" s="32">
        <f t="shared" si="1"/>
        <v>110906970</v>
      </c>
      <c r="I9" s="32">
        <f t="shared" si="4"/>
        <v>19197500</v>
      </c>
      <c r="J9" s="32">
        <f t="shared" si="4"/>
        <v>17410840</v>
      </c>
      <c r="K9" s="32">
        <f t="shared" si="4"/>
        <v>16279010</v>
      </c>
      <c r="L9" s="32">
        <f t="shared" si="4"/>
        <v>16367230</v>
      </c>
      <c r="M9" s="32">
        <f t="shared" si="4"/>
        <v>15441610</v>
      </c>
      <c r="N9" s="32">
        <f t="shared" si="4"/>
        <v>18121900</v>
      </c>
      <c r="O9" s="32">
        <f t="shared" si="2"/>
        <v>102818090</v>
      </c>
      <c r="P9" s="32">
        <f t="shared" si="3"/>
        <v>213725060</v>
      </c>
    </row>
    <row r="10" spans="1:16" ht="12" customHeight="1" x14ac:dyDescent="0.15">
      <c r="A10" s="47" t="s">
        <v>94</v>
      </c>
      <c r="B10" s="25">
        <v>2877000</v>
      </c>
      <c r="C10" s="25">
        <f>5667000-2877000</f>
        <v>2790000</v>
      </c>
      <c r="D10" s="25">
        <f>8319000-5667000</f>
        <v>2652000</v>
      </c>
      <c r="E10" s="25">
        <f>11075500-8319000</f>
        <v>2756500</v>
      </c>
      <c r="F10" s="25">
        <f>13654000-11075500</f>
        <v>2578500</v>
      </c>
      <c r="G10" s="25">
        <f>16273500-13654000</f>
        <v>2619500</v>
      </c>
      <c r="H10" s="25">
        <f t="shared" si="1"/>
        <v>16273500</v>
      </c>
      <c r="I10" s="25">
        <f>18898500-16273500</f>
        <v>2625000</v>
      </c>
      <c r="J10" s="25">
        <f>21578000-18898500</f>
        <v>2679500</v>
      </c>
      <c r="K10" s="25">
        <f>24132500-21578000</f>
        <v>2554500</v>
      </c>
      <c r="L10" s="25">
        <f>26756500-24132500</f>
        <v>2624000</v>
      </c>
      <c r="M10" s="25">
        <f>29276000-26756500</f>
        <v>2519500</v>
      </c>
      <c r="N10" s="25">
        <f>31854000-29276000</f>
        <v>2578000</v>
      </c>
      <c r="O10" s="25">
        <f t="shared" si="2"/>
        <v>15580500</v>
      </c>
      <c r="P10" s="25">
        <f t="shared" si="3"/>
        <v>31854000</v>
      </c>
    </row>
    <row r="11" spans="1:16" ht="12" customHeight="1" x14ac:dyDescent="0.15">
      <c r="A11" s="48" t="s">
        <v>247</v>
      </c>
      <c r="B11" s="25">
        <v>151320</v>
      </c>
      <c r="C11" s="25">
        <v>135960</v>
      </c>
      <c r="D11" s="25">
        <v>193280</v>
      </c>
      <c r="E11" s="25">
        <v>197400</v>
      </c>
      <c r="F11" s="25">
        <v>195520</v>
      </c>
      <c r="G11" s="25">
        <v>180160</v>
      </c>
      <c r="H11" s="25">
        <f t="shared" si="1"/>
        <v>1053640</v>
      </c>
      <c r="I11" s="25">
        <v>187280</v>
      </c>
      <c r="J11" s="25">
        <v>195520</v>
      </c>
      <c r="K11" s="25">
        <v>173040</v>
      </c>
      <c r="L11" s="25">
        <v>168920</v>
      </c>
      <c r="M11" s="25" ph="1">
        <v>186160</v>
      </c>
      <c r="N11" s="25">
        <v>167800</v>
      </c>
      <c r="O11" s="25">
        <f t="shared" si="2"/>
        <v>1078720</v>
      </c>
      <c r="P11" s="25">
        <f t="shared" si="3"/>
        <v>2132360</v>
      </c>
    </row>
    <row r="12" spans="1:16" ht="12" customHeight="1" x14ac:dyDescent="0.15">
      <c r="A12" s="48" t="s">
        <v>248</v>
      </c>
      <c r="B12" s="25">
        <v>55000</v>
      </c>
      <c r="C12" s="25">
        <v>67500</v>
      </c>
      <c r="D12" s="25">
        <v>65000</v>
      </c>
      <c r="E12" s="25">
        <v>57500</v>
      </c>
      <c r="F12" s="25">
        <v>67500</v>
      </c>
      <c r="G12" s="25">
        <v>37500</v>
      </c>
      <c r="H12" s="25">
        <f t="shared" si="1"/>
        <v>350000</v>
      </c>
      <c r="I12" s="25">
        <v>32500</v>
      </c>
      <c r="J12" s="25">
        <v>57500</v>
      </c>
      <c r="K12" s="25">
        <v>50000</v>
      </c>
      <c r="L12" s="25">
        <v>52500</v>
      </c>
      <c r="M12" s="25">
        <v>42500</v>
      </c>
      <c r="N12" s="25">
        <v>55000</v>
      </c>
      <c r="O12" s="25">
        <f t="shared" si="2"/>
        <v>290000</v>
      </c>
      <c r="P12" s="25">
        <f t="shared" si="3"/>
        <v>640000</v>
      </c>
    </row>
    <row r="13" spans="1:16" ht="12" customHeight="1" x14ac:dyDescent="0.15">
      <c r="A13" s="47" t="s">
        <v>95</v>
      </c>
      <c r="B13" s="49">
        <f>5681550-288500-10500+4950890-256000-4500</f>
        <v>10072940</v>
      </c>
      <c r="C13" s="25">
        <f>11368130-299000-5681550+9655410-248000-4950890</f>
        <v>9844100</v>
      </c>
      <c r="D13" s="25">
        <f>16898490-288000-11368130+14587550-9655410-241500-10000</f>
        <v>9923000</v>
      </c>
      <c r="E13" s="25">
        <f>22304780-16898490-280500-1500+19792130-14587550-265500-2000</f>
        <v>10061370</v>
      </c>
      <c r="F13" s="25">
        <f>28010120-280500-11000-22304780+24583370-19792130-246000</f>
        <v>9959080</v>
      </c>
      <c r="G13" s="25">
        <f>33387540-28010120-260000-9500-7500+28801430-24583370-216000</f>
        <v>9102480</v>
      </c>
      <c r="H13" s="25">
        <f t="shared" si="1"/>
        <v>58962970</v>
      </c>
      <c r="I13" s="25">
        <f>39335120-33387540+33958430-28801430-I14</f>
        <v>10540580</v>
      </c>
      <c r="J13" s="25">
        <f>44416650-39335120-260000+38562100-33958430-225000</f>
        <v>9200200</v>
      </c>
      <c r="K13" s="25">
        <f>48829930-44416650-228000+42933060-38562100-209500-1500</f>
        <v>8345240</v>
      </c>
      <c r="L13" s="25">
        <f>53323200-48829930-213000-15000+46824230-42933060-191500</f>
        <v>7964940</v>
      </c>
      <c r="M13" s="25">
        <f>57173610-53323200-196000+50649110-46824230-191000</f>
        <v>7288290</v>
      </c>
      <c r="N13" s="25">
        <f>61409300-216000-57173610+55256350-50649110-3500-222000</f>
        <v>8401430</v>
      </c>
      <c r="O13" s="25">
        <f t="shared" si="2"/>
        <v>51740680</v>
      </c>
      <c r="P13" s="25">
        <f t="shared" si="3"/>
        <v>110703650</v>
      </c>
    </row>
    <row r="14" spans="1:16" ht="12" customHeight="1" x14ac:dyDescent="0.15">
      <c r="A14" s="21" t="s">
        <v>58</v>
      </c>
      <c r="B14" s="25">
        <f>288500+10500+256000+4500</f>
        <v>559500</v>
      </c>
      <c r="C14" s="25">
        <f>299000+248000</f>
        <v>547000</v>
      </c>
      <c r="D14" s="25">
        <f>288000+241500+10000</f>
        <v>539500</v>
      </c>
      <c r="E14" s="25">
        <f>280500+1500+265500+2000</f>
        <v>549500</v>
      </c>
      <c r="F14" s="25">
        <f>280500+11000+246000</f>
        <v>537500</v>
      </c>
      <c r="G14" s="25">
        <f>216000+260000+9500+7500</f>
        <v>493000</v>
      </c>
      <c r="H14" s="25">
        <f t="shared" si="1"/>
        <v>3226000</v>
      </c>
      <c r="I14" s="25">
        <f>297500+4000+249000+13500</f>
        <v>564000</v>
      </c>
      <c r="J14" s="25">
        <f>260000+225000</f>
        <v>485000</v>
      </c>
      <c r="K14" s="25">
        <f>228000+209500+1500</f>
        <v>439000</v>
      </c>
      <c r="L14" s="25">
        <f>213000+15000+191500</f>
        <v>419500</v>
      </c>
      <c r="M14" s="25">
        <f>191000+196000</f>
        <v>387000</v>
      </c>
      <c r="N14" s="25">
        <f>216000+3500+222000</f>
        <v>441500</v>
      </c>
      <c r="O14" s="25">
        <f t="shared" si="2"/>
        <v>2736000</v>
      </c>
      <c r="P14" s="25">
        <f t="shared" si="3"/>
        <v>5962000</v>
      </c>
    </row>
    <row r="15" spans="1:16" ht="12" customHeight="1" x14ac:dyDescent="0.15">
      <c r="A15" s="47" t="s">
        <v>96</v>
      </c>
      <c r="B15" s="25">
        <f>675790-48500+404220-24000-4000-3500</f>
        <v>1000010</v>
      </c>
      <c r="C15" s="25">
        <f>1406280-675790-54500+909430-33500-500-404220</f>
        <v>1147200</v>
      </c>
      <c r="D15" s="25">
        <f>2086560-1406280-49000+1396090-909430-34500</f>
        <v>1083440</v>
      </c>
      <c r="E15" s="25">
        <f>2842260-2086560-58500-2000+1943980-1396090-44000-500</f>
        <v>1198590</v>
      </c>
      <c r="F15" s="25">
        <f>3573790-2842260-57500+2482920-1943980-42000</f>
        <v>1170970</v>
      </c>
      <c r="G15" s="25">
        <f>4322920-3573790-53000+2970670-2482920-39000</f>
        <v>1144880</v>
      </c>
      <c r="H15" s="25">
        <f t="shared" si="1"/>
        <v>6745090</v>
      </c>
      <c r="I15" s="25">
        <f>5080430-4322920+3456890-2970670-I16</f>
        <v>1146230</v>
      </c>
      <c r="J15" s="25">
        <f>5830560-5080430-54000+3944050-3456890-35000</f>
        <v>1148290</v>
      </c>
      <c r="K15" s="25">
        <f>6626280-5830560-53500+4384430-3944050-33000</f>
        <v>1149600</v>
      </c>
      <c r="L15" s="25">
        <f>7302030-6626280-46500+4872090-4384430-35500</f>
        <v>1081410</v>
      </c>
      <c r="M15" s="25">
        <f>8099860-7302030-57500+5278740-4872090-29500</f>
        <v>1117480</v>
      </c>
      <c r="N15" s="25">
        <v>1146140</v>
      </c>
      <c r="O15" s="25">
        <f t="shared" si="2"/>
        <v>6789150</v>
      </c>
      <c r="P15" s="25">
        <f t="shared" si="3"/>
        <v>13534240</v>
      </c>
    </row>
    <row r="16" spans="1:16" ht="12" customHeight="1" x14ac:dyDescent="0.15">
      <c r="A16" s="21" t="s">
        <v>59</v>
      </c>
      <c r="B16" s="25">
        <f>24000+4000+3500+48500</f>
        <v>80000</v>
      </c>
      <c r="C16" s="25">
        <f>54500+33500+500</f>
        <v>88500</v>
      </c>
      <c r="D16" s="25">
        <f>34500+49000</f>
        <v>83500</v>
      </c>
      <c r="E16" s="25">
        <f>44000+500+58500+2000</f>
        <v>105000</v>
      </c>
      <c r="F16" s="25">
        <f>42000+57500</f>
        <v>99500</v>
      </c>
      <c r="G16" s="25">
        <f>53000+39000</f>
        <v>92000</v>
      </c>
      <c r="H16" s="25">
        <f t="shared" si="1"/>
        <v>548500</v>
      </c>
      <c r="I16" s="25">
        <f>60000+36500+1000</f>
        <v>97500</v>
      </c>
      <c r="J16" s="25">
        <f>54000+35000</f>
        <v>89000</v>
      </c>
      <c r="K16" s="25">
        <f>53500+33000</f>
        <v>86500</v>
      </c>
      <c r="L16" s="25">
        <f>46500+35500</f>
        <v>82000</v>
      </c>
      <c r="M16" s="25">
        <f>29500+57500</f>
        <v>87000</v>
      </c>
      <c r="N16" s="25">
        <f>55500+29500+2500</f>
        <v>87500</v>
      </c>
      <c r="O16" s="25">
        <f t="shared" si="2"/>
        <v>529500</v>
      </c>
      <c r="P16" s="25">
        <f t="shared" si="3"/>
        <v>1078000</v>
      </c>
    </row>
    <row r="17" spans="1:16" ht="12" customHeight="1" x14ac:dyDescent="0.15">
      <c r="A17" s="50" t="s">
        <v>120</v>
      </c>
      <c r="B17" s="25">
        <f>3034460-113000</f>
        <v>2921460</v>
      </c>
      <c r="C17" s="25">
        <f>5626090-3034460-97000</f>
        <v>2494630</v>
      </c>
      <c r="D17" s="25">
        <f>7994500-5626090-89000</f>
        <v>2279410</v>
      </c>
      <c r="E17" s="25">
        <f>10828550-7994500-109500</f>
        <v>2724550</v>
      </c>
      <c r="F17" s="25">
        <f>13256500-10828550-89000</f>
        <v>2338950</v>
      </c>
      <c r="G17" s="25">
        <f>15606470-13256500-87500</f>
        <v>2262470</v>
      </c>
      <c r="H17" s="25">
        <f t="shared" si="1"/>
        <v>15021470</v>
      </c>
      <c r="I17" s="25">
        <f>18186620-15606470-I18</f>
        <v>2484650</v>
      </c>
      <c r="J17" s="25">
        <f>20598710-18186620-88000</f>
        <v>2324090</v>
      </c>
      <c r="K17" s="25">
        <f>22891070-20598710-83500</f>
        <v>2208860</v>
      </c>
      <c r="L17" s="25">
        <f>25180040-22891070-83000-2500</f>
        <v>2203470</v>
      </c>
      <c r="M17" s="25">
        <f>27389680-25180040-83000</f>
        <v>2126640</v>
      </c>
      <c r="N17" s="25">
        <f>29693960-27389680-84000-3000</f>
        <v>2217280</v>
      </c>
      <c r="O17" s="25">
        <f t="shared" si="2"/>
        <v>13564990</v>
      </c>
      <c r="P17" s="25">
        <f t="shared" si="3"/>
        <v>28586460</v>
      </c>
    </row>
    <row r="18" spans="1:16" ht="12" customHeight="1" x14ac:dyDescent="0.15">
      <c r="A18" s="21" t="s">
        <v>59</v>
      </c>
      <c r="B18" s="25">
        <v>113000</v>
      </c>
      <c r="C18" s="25">
        <v>97000</v>
      </c>
      <c r="D18" s="25">
        <v>89000</v>
      </c>
      <c r="E18" s="25">
        <v>109500</v>
      </c>
      <c r="F18" s="25">
        <v>89000</v>
      </c>
      <c r="G18" s="25">
        <v>87500</v>
      </c>
      <c r="H18" s="25">
        <f t="shared" si="1"/>
        <v>585000</v>
      </c>
      <c r="I18" s="25">
        <f>2000+93500</f>
        <v>95500</v>
      </c>
      <c r="J18" s="25">
        <v>88000</v>
      </c>
      <c r="K18" s="25">
        <v>83500</v>
      </c>
      <c r="L18" s="25">
        <f>83000+2500</f>
        <v>85500</v>
      </c>
      <c r="M18" s="25">
        <v>83000</v>
      </c>
      <c r="N18" s="25">
        <f>84000+3000</f>
        <v>87000</v>
      </c>
      <c r="O18" s="25">
        <f t="shared" si="2"/>
        <v>522500</v>
      </c>
      <c r="P18" s="25">
        <f t="shared" si="3"/>
        <v>1107500</v>
      </c>
    </row>
    <row r="19" spans="1:16" ht="12" customHeight="1" x14ac:dyDescent="0.15">
      <c r="A19" s="50" t="s">
        <v>260</v>
      </c>
      <c r="B19" s="25"/>
      <c r="C19" s="25"/>
      <c r="D19" s="25">
        <f>3784+34056</f>
        <v>37840</v>
      </c>
      <c r="E19" s="25">
        <f>4730+42570</f>
        <v>47300</v>
      </c>
      <c r="F19" s="25">
        <f>2838+25542</f>
        <v>28380</v>
      </c>
      <c r="G19" s="25">
        <f>2838+25542</f>
        <v>28380</v>
      </c>
      <c r="H19" s="25">
        <f t="shared" si="1"/>
        <v>141900</v>
      </c>
      <c r="I19" s="25">
        <f>189240-149400-I20</f>
        <v>37840</v>
      </c>
      <c r="J19" s="25">
        <f>219120-189240-1500</f>
        <v>28380</v>
      </c>
      <c r="K19" s="25">
        <f>258960-219120-2000</f>
        <v>37840</v>
      </c>
      <c r="L19" s="25">
        <f>288840-258960-1500</f>
        <v>28380</v>
      </c>
      <c r="M19" s="25">
        <f>298800-288840-500</f>
        <v>9460</v>
      </c>
      <c r="N19" s="25">
        <f>3784+34056</f>
        <v>37840</v>
      </c>
      <c r="O19" s="25">
        <f>SUM(I19:N19)</f>
        <v>179740</v>
      </c>
      <c r="P19" s="25">
        <f>H19+O19</f>
        <v>321640</v>
      </c>
    </row>
    <row r="20" spans="1:16" ht="12" customHeight="1" x14ac:dyDescent="0.15">
      <c r="A20" s="21" t="s">
        <v>59</v>
      </c>
      <c r="B20" s="25"/>
      <c r="C20" s="25"/>
      <c r="D20" s="25">
        <v>2000</v>
      </c>
      <c r="E20" s="25">
        <v>2500</v>
      </c>
      <c r="F20" s="25">
        <v>1500</v>
      </c>
      <c r="G20" s="25">
        <v>1500</v>
      </c>
      <c r="H20" s="25">
        <f t="shared" si="1"/>
        <v>7500</v>
      </c>
      <c r="I20" s="25">
        <v>2000</v>
      </c>
      <c r="J20" s="25">
        <v>1500</v>
      </c>
      <c r="K20" s="25">
        <v>2000</v>
      </c>
      <c r="L20" s="25">
        <v>1500</v>
      </c>
      <c r="M20" s="25">
        <v>500</v>
      </c>
      <c r="N20" s="25">
        <v>2000</v>
      </c>
      <c r="O20" s="25">
        <f>SUM(I20:N20)</f>
        <v>9500</v>
      </c>
      <c r="P20" s="25">
        <f>H20+O20</f>
        <v>17000</v>
      </c>
    </row>
    <row r="21" spans="1:16" ht="12" customHeight="1" x14ac:dyDescent="0.15">
      <c r="A21" s="51" t="s">
        <v>245</v>
      </c>
      <c r="B21" s="25">
        <v>295080</v>
      </c>
      <c r="C21" s="25">
        <f>576300-295080</f>
        <v>281220</v>
      </c>
      <c r="D21" s="25">
        <f>852610-576300</f>
        <v>276310</v>
      </c>
      <c r="E21" s="25">
        <f>1146940-852610</f>
        <v>294330</v>
      </c>
      <c r="F21" s="25">
        <f>1430460-1146940</f>
        <v>283520</v>
      </c>
      <c r="G21" s="25">
        <f>1691600-1430460</f>
        <v>261140</v>
      </c>
      <c r="H21" s="25">
        <f t="shared" si="1"/>
        <v>1691600</v>
      </c>
      <c r="I21" s="25">
        <f>1986770-1691600</f>
        <v>295170</v>
      </c>
      <c r="J21" s="25">
        <v>264910</v>
      </c>
      <c r="K21" s="25">
        <f>2497240-2251680</f>
        <v>245560</v>
      </c>
      <c r="L21" s="25">
        <f>2733880-2497240</f>
        <v>236640</v>
      </c>
      <c r="M21" s="25">
        <f>2955560-2733880</f>
        <v>221680</v>
      </c>
      <c r="N21" s="25">
        <f>3206340-2955560</f>
        <v>250780</v>
      </c>
      <c r="O21" s="25">
        <f>SUM(I21:N21)</f>
        <v>1514740</v>
      </c>
      <c r="P21" s="25">
        <f t="shared" si="3"/>
        <v>3206340</v>
      </c>
    </row>
    <row r="22" spans="1:16" ht="12" customHeight="1" x14ac:dyDescent="0.15">
      <c r="A22" s="47" t="s">
        <v>119</v>
      </c>
      <c r="B22" s="25">
        <v>72000</v>
      </c>
      <c r="C22" s="25">
        <f>157000-72000</f>
        <v>85000</v>
      </c>
      <c r="D22" s="25">
        <f>222000-157000</f>
        <v>65000</v>
      </c>
      <c r="E22" s="25">
        <f>296000-222000</f>
        <v>74000</v>
      </c>
      <c r="F22" s="25">
        <f>354000-296000</f>
        <v>58000</v>
      </c>
      <c r="G22" s="25">
        <f>424000-354000</f>
        <v>70000</v>
      </c>
      <c r="H22" s="25">
        <f t="shared" si="1"/>
        <v>424000</v>
      </c>
      <c r="I22" s="25">
        <f>491500-424000</f>
        <v>67500</v>
      </c>
      <c r="J22" s="25">
        <f>565500-491500</f>
        <v>74000</v>
      </c>
      <c r="K22" s="25">
        <f>640500-565500</f>
        <v>75000</v>
      </c>
      <c r="L22" s="25">
        <f>708500-640500</f>
        <v>68000</v>
      </c>
      <c r="M22" s="25">
        <f>774500-708500</f>
        <v>66000</v>
      </c>
      <c r="N22" s="25">
        <f>839500-774500</f>
        <v>65000</v>
      </c>
      <c r="O22" s="25">
        <f t="shared" si="2"/>
        <v>415500</v>
      </c>
      <c r="P22" s="25">
        <f t="shared" si="3"/>
        <v>839500</v>
      </c>
    </row>
    <row r="23" spans="1:16" ht="12" customHeight="1" x14ac:dyDescent="0.15">
      <c r="A23" s="47" t="s">
        <v>97</v>
      </c>
      <c r="B23" s="25">
        <v>2000</v>
      </c>
      <c r="C23" s="25">
        <v>1500</v>
      </c>
      <c r="D23" s="25">
        <f>21150-3500</f>
        <v>17650</v>
      </c>
      <c r="E23" s="25">
        <f>29250-21150</f>
        <v>8100</v>
      </c>
      <c r="F23" s="25">
        <f>41050-29250</f>
        <v>11800</v>
      </c>
      <c r="G23" s="25">
        <f>43550-41050</f>
        <v>2500</v>
      </c>
      <c r="H23" s="25">
        <f t="shared" si="1"/>
        <v>43550</v>
      </c>
      <c r="I23" s="25">
        <f>235150-43550</f>
        <v>191600</v>
      </c>
      <c r="J23" s="25">
        <f>243150-235150</f>
        <v>8000</v>
      </c>
      <c r="K23" s="25">
        <f>261070-243150</f>
        <v>17920</v>
      </c>
      <c r="L23" s="25">
        <f>278890-261070</f>
        <v>17820</v>
      </c>
      <c r="M23" s="25">
        <f>293590-278890</f>
        <v>14700</v>
      </c>
      <c r="N23" s="25">
        <f>482970-293590</f>
        <v>189380</v>
      </c>
      <c r="O23" s="25">
        <f t="shared" si="2"/>
        <v>439420</v>
      </c>
      <c r="P23" s="25">
        <f t="shared" si="3"/>
        <v>482970</v>
      </c>
    </row>
    <row r="24" spans="1:16" ht="12" customHeight="1" x14ac:dyDescent="0.15">
      <c r="A24" s="47" t="s">
        <v>98</v>
      </c>
      <c r="B24" s="25">
        <v>68700</v>
      </c>
      <c r="C24" s="25">
        <f>184100-68700</f>
        <v>115400</v>
      </c>
      <c r="D24" s="25">
        <f>313000-184100</f>
        <v>128900</v>
      </c>
      <c r="E24" s="25">
        <f>460300-313000</f>
        <v>147300</v>
      </c>
      <c r="F24" s="25">
        <f>526900-460300</f>
        <v>66600</v>
      </c>
      <c r="G24" s="25">
        <f>629600-526900</f>
        <v>102700</v>
      </c>
      <c r="H24" s="25">
        <f t="shared" si="1"/>
        <v>629600</v>
      </c>
      <c r="I24" s="25">
        <f>780000-629600</f>
        <v>150400</v>
      </c>
      <c r="J24" s="25">
        <f>868000-780000</f>
        <v>88000</v>
      </c>
      <c r="K24" s="25">
        <f>979300-868000</f>
        <v>111300</v>
      </c>
      <c r="L24" s="25">
        <f>1059600-979300</f>
        <v>80300</v>
      </c>
      <c r="M24" s="25">
        <f>1149100-1059600</f>
        <v>89500</v>
      </c>
      <c r="N24" s="25">
        <f>1288800-1149100</f>
        <v>139700</v>
      </c>
      <c r="O24" s="25">
        <f t="shared" si="2"/>
        <v>659200</v>
      </c>
      <c r="P24" s="25">
        <f t="shared" si="3"/>
        <v>1288800</v>
      </c>
    </row>
    <row r="25" spans="1:16" ht="12" customHeight="1" x14ac:dyDescent="0.15">
      <c r="A25" s="47" t="s">
        <v>249</v>
      </c>
      <c r="B25" s="25">
        <v>395450</v>
      </c>
      <c r="C25" s="25">
        <f>712850-395450</f>
        <v>317400</v>
      </c>
      <c r="D25" s="25">
        <f>986150-712850</f>
        <v>273300</v>
      </c>
      <c r="E25" s="25">
        <f>1417950-986150</f>
        <v>431800</v>
      </c>
      <c r="F25" s="25">
        <f>1926950-1417950</f>
        <v>509000</v>
      </c>
      <c r="G25" s="25">
        <f>2164100-1926950</f>
        <v>237150</v>
      </c>
      <c r="H25" s="25">
        <f t="shared" si="1"/>
        <v>2164100</v>
      </c>
      <c r="I25" s="25">
        <f>2407650-2164100</f>
        <v>243550</v>
      </c>
      <c r="J25" s="25">
        <f>2653100-2407650</f>
        <v>245450</v>
      </c>
      <c r="K25" s="25">
        <f>2892250-2653100</f>
        <v>239150</v>
      </c>
      <c r="L25" s="25">
        <f>3118750-2892250</f>
        <v>226500</v>
      </c>
      <c r="M25" s="25">
        <f>3326300-3118750</f>
        <v>207550</v>
      </c>
      <c r="N25" s="25">
        <f>3618950-3326300</f>
        <v>292650</v>
      </c>
      <c r="O25" s="25">
        <f t="shared" si="2"/>
        <v>1454850</v>
      </c>
      <c r="P25" s="25">
        <f t="shared" si="3"/>
        <v>3618950</v>
      </c>
    </row>
    <row r="26" spans="1:16" ht="12" customHeight="1" x14ac:dyDescent="0.15">
      <c r="A26" s="47" t="s">
        <v>250</v>
      </c>
      <c r="B26" s="25">
        <v>112700</v>
      </c>
      <c r="C26" s="25">
        <f>156850-112700</f>
        <v>44150</v>
      </c>
      <c r="D26" s="25">
        <f>223350-156850</f>
        <v>66500</v>
      </c>
      <c r="E26" s="25">
        <f>455900-223350</f>
        <v>232550</v>
      </c>
      <c r="F26" s="25">
        <f>810050-455900</f>
        <v>354150</v>
      </c>
      <c r="G26" s="25">
        <f>872400-810050</f>
        <v>62350</v>
      </c>
      <c r="H26" s="25">
        <f t="shared" si="1"/>
        <v>872400</v>
      </c>
      <c r="I26" s="25">
        <f>921650-872400</f>
        <v>49250</v>
      </c>
      <c r="J26" s="25">
        <f>972250-921650</f>
        <v>50600</v>
      </c>
      <c r="K26" s="25">
        <f>1046050-972250</f>
        <v>73800</v>
      </c>
      <c r="L26" s="25">
        <f>1109500-1046050</f>
        <v>63450</v>
      </c>
      <c r="M26" s="25">
        <f>1148550-1109500</f>
        <v>39050</v>
      </c>
      <c r="N26" s="25">
        <f>1261050-1148550</f>
        <v>112500</v>
      </c>
      <c r="O26" s="25">
        <f t="shared" si="2"/>
        <v>388650</v>
      </c>
      <c r="P26" s="25">
        <f t="shared" si="3"/>
        <v>1261050</v>
      </c>
    </row>
    <row r="27" spans="1:16" ht="12" customHeight="1" x14ac:dyDescent="0.15">
      <c r="A27" s="47" t="s">
        <v>251</v>
      </c>
      <c r="B27" s="25">
        <v>101200</v>
      </c>
      <c r="C27" s="25">
        <f>186850-101200</f>
        <v>85650</v>
      </c>
      <c r="D27" s="25">
        <f>294100-186850</f>
        <v>107250</v>
      </c>
      <c r="E27" s="25">
        <f>440250-294100</f>
        <v>146150</v>
      </c>
      <c r="F27" s="25">
        <f>632300-440250</f>
        <v>192050</v>
      </c>
      <c r="G27" s="25">
        <f>712400-632300</f>
        <v>80100</v>
      </c>
      <c r="H27" s="25">
        <f t="shared" si="1"/>
        <v>712400</v>
      </c>
      <c r="I27" s="25">
        <f>808600-712400</f>
        <v>96200</v>
      </c>
      <c r="J27" s="25">
        <f>900750-808600</f>
        <v>92150</v>
      </c>
      <c r="K27" s="25">
        <f>996200-900750</f>
        <v>95450</v>
      </c>
      <c r="L27" s="25">
        <f>1088350-996200</f>
        <v>92150</v>
      </c>
      <c r="M27" s="25">
        <f>1173700-1088350</f>
        <v>85350</v>
      </c>
      <c r="N27" s="25">
        <f>1283600-1173700</f>
        <v>109900</v>
      </c>
      <c r="O27" s="25">
        <f>SUM(I27:N27)</f>
        <v>571200</v>
      </c>
      <c r="P27" s="25">
        <f>H27+O27</f>
        <v>1283600</v>
      </c>
    </row>
    <row r="28" spans="1:16" ht="12" customHeight="1" x14ac:dyDescent="0.15">
      <c r="A28" s="21" t="s">
        <v>99</v>
      </c>
      <c r="B28" s="25">
        <v>0</v>
      </c>
      <c r="C28" s="25">
        <v>290750</v>
      </c>
      <c r="D28" s="25">
        <v>290750</v>
      </c>
      <c r="E28" s="25">
        <v>290750</v>
      </c>
      <c r="F28" s="25">
        <v>290750</v>
      </c>
      <c r="G28" s="25">
        <v>290750</v>
      </c>
      <c r="H28" s="25">
        <f t="shared" si="1"/>
        <v>1453750</v>
      </c>
      <c r="I28" s="25">
        <v>290750</v>
      </c>
      <c r="J28" s="25">
        <v>290750</v>
      </c>
      <c r="K28" s="25">
        <v>290750</v>
      </c>
      <c r="L28" s="25">
        <v>870250</v>
      </c>
      <c r="M28" s="25">
        <v>870250</v>
      </c>
      <c r="N28" s="25">
        <f>5807000-4066500</f>
        <v>1740500</v>
      </c>
      <c r="O28" s="25">
        <f t="shared" si="2"/>
        <v>4353250</v>
      </c>
      <c r="P28" s="25">
        <f t="shared" si="3"/>
        <v>5807000</v>
      </c>
    </row>
    <row r="29" spans="1:16" ht="12" customHeight="1" x14ac:dyDescent="0.15">
      <c r="A29" s="24" t="s">
        <v>11</v>
      </c>
      <c r="B29" s="32">
        <v>17000</v>
      </c>
      <c r="C29" s="32">
        <v>25000</v>
      </c>
      <c r="D29" s="32">
        <v>20000</v>
      </c>
      <c r="E29" s="32">
        <v>10000</v>
      </c>
      <c r="F29" s="32">
        <v>0</v>
      </c>
      <c r="G29" s="32">
        <v>10000</v>
      </c>
      <c r="H29" s="32">
        <f t="shared" si="1"/>
        <v>82000</v>
      </c>
      <c r="I29" s="32">
        <v>0</v>
      </c>
      <c r="J29" s="32">
        <f>103800-82000</f>
        <v>21800</v>
      </c>
      <c r="K29" s="32">
        <v>10000</v>
      </c>
      <c r="L29" s="32">
        <v>0</v>
      </c>
      <c r="M29" s="32">
        <v>150000</v>
      </c>
      <c r="N29" s="32">
        <v>10000</v>
      </c>
      <c r="O29" s="32">
        <f t="shared" si="2"/>
        <v>191800</v>
      </c>
      <c r="P29" s="32">
        <f t="shared" si="3"/>
        <v>273800</v>
      </c>
    </row>
    <row r="30" spans="1:16" ht="12" customHeight="1" x14ac:dyDescent="0.15">
      <c r="A30" s="24" t="s">
        <v>246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f t="shared" si="1"/>
        <v>0</v>
      </c>
      <c r="I30" s="32">
        <v>0</v>
      </c>
      <c r="J30" s="32">
        <v>100000</v>
      </c>
      <c r="K30" s="32">
        <v>450000</v>
      </c>
      <c r="L30" s="32">
        <v>0</v>
      </c>
      <c r="M30" s="32">
        <v>0</v>
      </c>
      <c r="N30" s="32">
        <v>0</v>
      </c>
      <c r="O30" s="32">
        <f t="shared" si="2"/>
        <v>550000</v>
      </c>
      <c r="P30" s="32">
        <f t="shared" si="3"/>
        <v>550000</v>
      </c>
    </row>
    <row r="31" spans="1:16" ht="12" customHeight="1" x14ac:dyDescent="0.15">
      <c r="A31" s="24" t="s">
        <v>12</v>
      </c>
      <c r="B31" s="32">
        <v>116292</v>
      </c>
      <c r="C31" s="32">
        <f>224252-116292</f>
        <v>107960</v>
      </c>
      <c r="D31" s="32">
        <f>316097-224252</f>
        <v>91845</v>
      </c>
      <c r="E31" s="32">
        <f>409432-316097</f>
        <v>93335</v>
      </c>
      <c r="F31" s="32">
        <f>512047-409432</f>
        <v>102615</v>
      </c>
      <c r="G31" s="32">
        <v>152750</v>
      </c>
      <c r="H31" s="32">
        <f t="shared" si="1"/>
        <v>664797</v>
      </c>
      <c r="I31" s="32">
        <f>883952-664797</f>
        <v>219155</v>
      </c>
      <c r="J31" s="32">
        <f>978992-883952</f>
        <v>95040</v>
      </c>
      <c r="K31" s="32">
        <f>1069782-978992</f>
        <v>90790</v>
      </c>
      <c r="L31" s="32">
        <f>1151392-1069782</f>
        <v>81610</v>
      </c>
      <c r="M31" s="32">
        <f>1252249-1151392</f>
        <v>100857</v>
      </c>
      <c r="N31" s="32">
        <f>1345309-1252249+3000</f>
        <v>96060</v>
      </c>
      <c r="O31" s="32">
        <f t="shared" si="2"/>
        <v>683512</v>
      </c>
      <c r="P31" s="32">
        <f t="shared" si="3"/>
        <v>1348309</v>
      </c>
    </row>
    <row r="32" spans="1:16" ht="12" customHeight="1" x14ac:dyDescent="0.15">
      <c r="A32" s="52" t="s">
        <v>13</v>
      </c>
      <c r="B32" s="32">
        <f t="shared" ref="B32:G32" si="5">B5+B9+B29+B30+B31</f>
        <v>19148652</v>
      </c>
      <c r="C32" s="32">
        <f t="shared" si="5"/>
        <v>18594920</v>
      </c>
      <c r="D32" s="32">
        <f t="shared" si="5"/>
        <v>18295475</v>
      </c>
      <c r="E32" s="32">
        <f t="shared" si="5"/>
        <v>19547025</v>
      </c>
      <c r="F32" s="32">
        <f t="shared" si="5"/>
        <v>18942885</v>
      </c>
      <c r="G32" s="32">
        <f t="shared" si="5"/>
        <v>17321810</v>
      </c>
      <c r="H32" s="32">
        <f t="shared" si="1"/>
        <v>111850767</v>
      </c>
      <c r="I32" s="32">
        <f t="shared" ref="I32:N32" si="6">I5+I9+I29+I30+I31</f>
        <v>19420655</v>
      </c>
      <c r="J32" s="32">
        <f t="shared" si="6"/>
        <v>17633680</v>
      </c>
      <c r="K32" s="32">
        <f t="shared" si="6"/>
        <v>16839800</v>
      </c>
      <c r="L32" s="32">
        <f t="shared" si="6"/>
        <v>16454840</v>
      </c>
      <c r="M32" s="32">
        <f t="shared" si="6"/>
        <v>15695467</v>
      </c>
      <c r="N32" s="32">
        <f t="shared" si="6"/>
        <v>18230960</v>
      </c>
      <c r="O32" s="32">
        <f t="shared" si="2"/>
        <v>104275402</v>
      </c>
      <c r="P32" s="32">
        <f t="shared" si="3"/>
        <v>216126169</v>
      </c>
    </row>
    <row r="33" spans="1:16" ht="12" customHeight="1" x14ac:dyDescent="0.15">
      <c r="A33" s="23" t="s">
        <v>124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ht="12" customHeight="1" x14ac:dyDescent="0.15">
      <c r="A34" s="6" t="s">
        <v>15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12" customHeight="1" x14ac:dyDescent="0.15">
      <c r="A35" s="23" t="s">
        <v>16</v>
      </c>
      <c r="B35" s="32">
        <f t="shared" ref="B35:N35" si="7">SUM(B36:B40)</f>
        <v>12602713</v>
      </c>
      <c r="C35" s="32">
        <f t="shared" si="7"/>
        <v>11540677</v>
      </c>
      <c r="D35" s="32">
        <f t="shared" si="7"/>
        <v>12522897</v>
      </c>
      <c r="E35" s="32">
        <f t="shared" si="7"/>
        <v>22131227</v>
      </c>
      <c r="F35" s="32">
        <f t="shared" si="7"/>
        <v>12598331</v>
      </c>
      <c r="G35" s="32">
        <f t="shared" si="7"/>
        <v>12544951</v>
      </c>
      <c r="H35" s="32">
        <f t="shared" ref="H35:H72" si="8">SUM(B35:G35)</f>
        <v>83940796</v>
      </c>
      <c r="I35" s="32">
        <f t="shared" si="7"/>
        <v>11701411</v>
      </c>
      <c r="J35" s="32">
        <f t="shared" si="7"/>
        <v>18885084</v>
      </c>
      <c r="K35" s="32">
        <f t="shared" si="7"/>
        <v>11407257</v>
      </c>
      <c r="L35" s="32">
        <f t="shared" si="7"/>
        <v>10976831</v>
      </c>
      <c r="M35" s="32">
        <f t="shared" si="7"/>
        <v>11681934</v>
      </c>
      <c r="N35" s="32">
        <f t="shared" si="7"/>
        <v>11274539</v>
      </c>
      <c r="O35" s="32">
        <f t="shared" si="2"/>
        <v>75927056</v>
      </c>
      <c r="P35" s="32">
        <f t="shared" si="3"/>
        <v>159867852</v>
      </c>
    </row>
    <row r="36" spans="1:16" ht="12" customHeight="1" x14ac:dyDescent="0.15">
      <c r="A36" s="6" t="s">
        <v>100</v>
      </c>
      <c r="B36" s="25">
        <v>420000</v>
      </c>
      <c r="C36" s="25">
        <v>420000</v>
      </c>
      <c r="D36" s="25">
        <v>420000</v>
      </c>
      <c r="E36" s="25">
        <v>420000</v>
      </c>
      <c r="F36" s="25">
        <v>420000</v>
      </c>
      <c r="G36" s="25">
        <v>420000</v>
      </c>
      <c r="H36" s="25">
        <f t="shared" si="8"/>
        <v>2520000</v>
      </c>
      <c r="I36" s="25">
        <v>420000</v>
      </c>
      <c r="J36" s="25">
        <v>420000</v>
      </c>
      <c r="K36" s="25">
        <v>420000</v>
      </c>
      <c r="L36" s="25">
        <v>420000</v>
      </c>
      <c r="M36" s="25">
        <v>420000</v>
      </c>
      <c r="N36" s="25">
        <v>420000</v>
      </c>
      <c r="O36" s="25">
        <f t="shared" si="2"/>
        <v>2520000</v>
      </c>
      <c r="P36" s="25">
        <f t="shared" si="3"/>
        <v>5040000</v>
      </c>
    </row>
    <row r="37" spans="1:16" ht="12" customHeight="1" x14ac:dyDescent="0.15">
      <c r="A37" s="6" t="s">
        <v>101</v>
      </c>
      <c r="B37" s="25">
        <v>9831691</v>
      </c>
      <c r="C37" s="25">
        <f>18694217-9831691</f>
        <v>8862526</v>
      </c>
      <c r="D37" s="25">
        <f>27969986-18694217</f>
        <v>9275769</v>
      </c>
      <c r="E37" s="25">
        <f>45961747-27969986</f>
        <v>17991761</v>
      </c>
      <c r="F37" s="25">
        <f>55633498-45961747</f>
        <v>9671751</v>
      </c>
      <c r="G37" s="25">
        <f>65292972-55633498</f>
        <v>9659474</v>
      </c>
      <c r="H37" s="25">
        <f t="shared" si="8"/>
        <v>65292972</v>
      </c>
      <c r="I37" s="25">
        <f>74390952-65292972-391600</f>
        <v>8706380</v>
      </c>
      <c r="J37" s="25">
        <f>89209620-73999352</f>
        <v>15210268</v>
      </c>
      <c r="K37" s="25">
        <f>97974167-89209620</f>
        <v>8764547</v>
      </c>
      <c r="L37" s="25">
        <f>106298742-97974167</f>
        <v>8324575</v>
      </c>
      <c r="M37" s="25">
        <f>115215351-106298742</f>
        <v>8916609</v>
      </c>
      <c r="N37" s="25">
        <f>123941816-115215351</f>
        <v>8726465</v>
      </c>
      <c r="O37" s="25">
        <f t="shared" si="2"/>
        <v>58648844</v>
      </c>
      <c r="P37" s="25">
        <f t="shared" si="3"/>
        <v>123941816</v>
      </c>
    </row>
    <row r="38" spans="1:16" ht="12" customHeight="1" x14ac:dyDescent="0.15">
      <c r="A38" s="6" t="s">
        <v>102</v>
      </c>
      <c r="B38" s="25">
        <v>1360700</v>
      </c>
      <c r="C38" s="25">
        <f>2576750-1360700</f>
        <v>1216050</v>
      </c>
      <c r="D38" s="25">
        <f>3821600-2576750</f>
        <v>1244850</v>
      </c>
      <c r="E38" s="25">
        <f>6439675-3821600</f>
        <v>2618075</v>
      </c>
      <c r="F38" s="25">
        <f>7957400-6439675</f>
        <v>1517725</v>
      </c>
      <c r="G38" s="25">
        <f>9392900-7957400</f>
        <v>1435500</v>
      </c>
      <c r="H38" s="25">
        <f t="shared" si="8"/>
        <v>9392900</v>
      </c>
      <c r="I38" s="25">
        <f>10820350-9392900</f>
        <v>1427450</v>
      </c>
      <c r="J38" s="25">
        <f>12995350-10820350</f>
        <v>2175000</v>
      </c>
      <c r="K38" s="25">
        <f>14195975-12995350</f>
        <v>1200625</v>
      </c>
      <c r="L38" s="25">
        <f>15212450-14195975</f>
        <v>1016475</v>
      </c>
      <c r="M38" s="25">
        <f>16546625-15212450</f>
        <v>1334175</v>
      </c>
      <c r="N38" s="25">
        <f>17639725-16546625</f>
        <v>1093100</v>
      </c>
      <c r="O38" s="25">
        <f t="shared" si="2"/>
        <v>8246825</v>
      </c>
      <c r="P38" s="25">
        <f t="shared" si="3"/>
        <v>17639725</v>
      </c>
    </row>
    <row r="39" spans="1:16" ht="12" customHeight="1" x14ac:dyDescent="0.15">
      <c r="A39" s="6" t="s">
        <v>19</v>
      </c>
      <c r="B39" s="25">
        <v>990322</v>
      </c>
      <c r="C39" s="25">
        <f>2032423-990322</f>
        <v>1042101</v>
      </c>
      <c r="D39" s="25">
        <f>3614701-2032423</f>
        <v>1582278</v>
      </c>
      <c r="E39" s="25">
        <f>4716092-3614701</f>
        <v>1101391</v>
      </c>
      <c r="F39" s="25">
        <f>5704947-4716092</f>
        <v>988855</v>
      </c>
      <c r="G39" s="25">
        <f>6734924-5704947</f>
        <v>1029977</v>
      </c>
      <c r="H39" s="25">
        <f t="shared" si="8"/>
        <v>6734924</v>
      </c>
      <c r="I39" s="25">
        <f>7882505-6734924</f>
        <v>1147581</v>
      </c>
      <c r="J39" s="25">
        <f>8962321-7882505</f>
        <v>1079816</v>
      </c>
      <c r="K39" s="25">
        <f>9984406-8962321</f>
        <v>1022085</v>
      </c>
      <c r="L39" s="25">
        <f>11200187-9984406</f>
        <v>1215781</v>
      </c>
      <c r="M39" s="25">
        <f>12211337-11200187</f>
        <v>1011150</v>
      </c>
      <c r="N39" s="25">
        <f>13246311-12211337</f>
        <v>1034974</v>
      </c>
      <c r="O39" s="25">
        <f t="shared" si="2"/>
        <v>6511387</v>
      </c>
      <c r="P39" s="25">
        <f t="shared" si="3"/>
        <v>13246311</v>
      </c>
    </row>
    <row r="40" spans="1:16" ht="12" customHeight="1" x14ac:dyDescent="0.15">
      <c r="A40" s="6" t="s">
        <v>117</v>
      </c>
      <c r="B40" s="25"/>
      <c r="C40" s="25"/>
      <c r="D40" s="25"/>
      <c r="E40" s="25"/>
      <c r="F40" s="25"/>
      <c r="G40" s="25"/>
      <c r="H40" s="25">
        <f t="shared" si="8"/>
        <v>0</v>
      </c>
      <c r="I40" s="25"/>
      <c r="J40" s="25"/>
      <c r="K40" s="25"/>
      <c r="L40" s="25"/>
      <c r="M40" s="25"/>
      <c r="N40" s="25"/>
      <c r="O40" s="25">
        <f t="shared" si="2"/>
        <v>0</v>
      </c>
      <c r="P40" s="25">
        <f t="shared" si="3"/>
        <v>0</v>
      </c>
    </row>
    <row r="41" spans="1:16" ht="12" customHeight="1" x14ac:dyDescent="0.15">
      <c r="A41" s="23" t="s">
        <v>20</v>
      </c>
      <c r="B41" s="32">
        <f>SUM(B42:B66)</f>
        <v>4082075</v>
      </c>
      <c r="C41" s="32">
        <f t="shared" ref="C41:N41" si="9">SUM(C42:C66)</f>
        <v>4719775</v>
      </c>
      <c r="D41" s="32">
        <f t="shared" si="9"/>
        <v>3388765</v>
      </c>
      <c r="E41" s="32">
        <f t="shared" si="9"/>
        <v>4190064</v>
      </c>
      <c r="F41" s="32">
        <f t="shared" si="9"/>
        <v>3282832</v>
      </c>
      <c r="G41" s="32">
        <f t="shared" si="9"/>
        <v>7818742</v>
      </c>
      <c r="H41" s="32">
        <f t="shared" si="8"/>
        <v>27482253</v>
      </c>
      <c r="I41" s="32">
        <f t="shared" si="9"/>
        <v>3307035</v>
      </c>
      <c r="J41" s="32">
        <f t="shared" si="9"/>
        <v>3681427</v>
      </c>
      <c r="K41" s="32">
        <f t="shared" si="9"/>
        <v>4113060</v>
      </c>
      <c r="L41" s="32">
        <f t="shared" si="9"/>
        <v>3663929</v>
      </c>
      <c r="M41" s="32">
        <f t="shared" si="9"/>
        <v>3252566</v>
      </c>
      <c r="N41" s="32">
        <f t="shared" si="9"/>
        <v>7411343</v>
      </c>
      <c r="O41" s="32">
        <f t="shared" si="2"/>
        <v>25429360</v>
      </c>
      <c r="P41" s="32">
        <f t="shared" si="3"/>
        <v>52911613</v>
      </c>
    </row>
    <row r="42" spans="1:16" ht="12" customHeight="1" x14ac:dyDescent="0.15">
      <c r="A42" s="6" t="s">
        <v>21</v>
      </c>
      <c r="B42" s="25">
        <v>315600</v>
      </c>
      <c r="C42" s="25">
        <f>39500+272000</f>
        <v>311500</v>
      </c>
      <c r="D42" s="25">
        <f>932600-627100</f>
        <v>305500</v>
      </c>
      <c r="E42" s="25">
        <v>381000</v>
      </c>
      <c r="F42" s="25">
        <f>1593100-1313600</f>
        <v>279500</v>
      </c>
      <c r="G42" s="25">
        <f>1887100-1593100</f>
        <v>294000</v>
      </c>
      <c r="H42" s="25">
        <f t="shared" si="8"/>
        <v>1887100</v>
      </c>
      <c r="I42" s="25">
        <f>2174600-1887100</f>
        <v>287500</v>
      </c>
      <c r="J42" s="25">
        <f>2489280-2174600</f>
        <v>314680</v>
      </c>
      <c r="K42" s="25">
        <f>3068580-2489280</f>
        <v>579300</v>
      </c>
      <c r="L42" s="25">
        <f>3347580-3068580</f>
        <v>279000</v>
      </c>
      <c r="M42" s="25">
        <f>3647580-3347580</f>
        <v>300000</v>
      </c>
      <c r="N42" s="25">
        <f>4201860-3647580</f>
        <v>554280</v>
      </c>
      <c r="O42" s="25">
        <f t="shared" si="2"/>
        <v>2314760</v>
      </c>
      <c r="P42" s="25">
        <f t="shared" si="3"/>
        <v>4201860</v>
      </c>
    </row>
    <row r="43" spans="1:16" ht="12" customHeight="1" x14ac:dyDescent="0.15">
      <c r="A43" s="6" t="s">
        <v>22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f t="shared" si="8"/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f t="shared" si="2"/>
        <v>0</v>
      </c>
      <c r="P43" s="25">
        <f t="shared" si="3"/>
        <v>0</v>
      </c>
    </row>
    <row r="44" spans="1:16" ht="12" customHeight="1" x14ac:dyDescent="0.15">
      <c r="A44" s="6" t="s">
        <v>103</v>
      </c>
      <c r="B44" s="25">
        <v>72458</v>
      </c>
      <c r="C44" s="25">
        <f>146010-72458</f>
        <v>73552</v>
      </c>
      <c r="D44" s="25">
        <f>207526-146010</f>
        <v>61516</v>
      </c>
      <c r="E44" s="25">
        <v>76582</v>
      </c>
      <c r="F44" s="25">
        <f>348459-284108</f>
        <v>64351</v>
      </c>
      <c r="G44" s="25">
        <f>426200-348459</f>
        <v>77741</v>
      </c>
      <c r="H44" s="25">
        <f t="shared" si="8"/>
        <v>426200</v>
      </c>
      <c r="I44" s="25">
        <f>494910-426200</f>
        <v>68710</v>
      </c>
      <c r="J44" s="25">
        <f>540883-494910</f>
        <v>45973</v>
      </c>
      <c r="K44" s="25">
        <f>609721-540883</f>
        <v>68838</v>
      </c>
      <c r="L44" s="25">
        <f>691970-609721</f>
        <v>82249</v>
      </c>
      <c r="M44" s="25">
        <f>758174-691970</f>
        <v>66204</v>
      </c>
      <c r="N44" s="25">
        <f>828378-758174</f>
        <v>70204</v>
      </c>
      <c r="O44" s="25">
        <f t="shared" si="2"/>
        <v>402178</v>
      </c>
      <c r="P44" s="25">
        <f t="shared" si="3"/>
        <v>828378</v>
      </c>
    </row>
    <row r="45" spans="1:16" ht="12" customHeight="1" x14ac:dyDescent="0.15">
      <c r="A45" s="6" t="s">
        <v>24</v>
      </c>
      <c r="B45" s="25">
        <v>37507</v>
      </c>
      <c r="C45" s="25">
        <f>68463-37507</f>
        <v>30956</v>
      </c>
      <c r="D45" s="25">
        <v>24236</v>
      </c>
      <c r="E45" s="25">
        <f>13951+13666</f>
        <v>27617</v>
      </c>
      <c r="F45" s="25">
        <f>126134-120316</f>
        <v>5818</v>
      </c>
      <c r="G45" s="25">
        <f>155277-126134</f>
        <v>29143</v>
      </c>
      <c r="H45" s="25">
        <f t="shared" si="8"/>
        <v>155277</v>
      </c>
      <c r="I45" s="25">
        <f>18619+36928</f>
        <v>55547</v>
      </c>
      <c r="J45" s="25">
        <f>343434-210824</f>
        <v>132610</v>
      </c>
      <c r="K45" s="25">
        <f>386158-343434</f>
        <v>42724</v>
      </c>
      <c r="L45" s="25">
        <f>442047-386158</f>
        <v>55889</v>
      </c>
      <c r="M45" s="25">
        <f>490960-442047</f>
        <v>48913</v>
      </c>
      <c r="N45" s="25">
        <f>521083-490960</f>
        <v>30123</v>
      </c>
      <c r="O45" s="25">
        <f t="shared" si="2"/>
        <v>365806</v>
      </c>
      <c r="P45" s="25">
        <f t="shared" si="3"/>
        <v>521083</v>
      </c>
    </row>
    <row r="46" spans="1:16" ht="12" customHeight="1" x14ac:dyDescent="0.15">
      <c r="A46" s="6" t="s">
        <v>104</v>
      </c>
      <c r="B46" s="25">
        <v>17800</v>
      </c>
      <c r="C46" s="25">
        <f>172500-17800</f>
        <v>154700</v>
      </c>
      <c r="D46" s="25">
        <v>46800</v>
      </c>
      <c r="E46" s="25">
        <f>654450-219300</f>
        <v>435150</v>
      </c>
      <c r="F46" s="25">
        <v>0</v>
      </c>
      <c r="G46" s="25">
        <v>68780</v>
      </c>
      <c r="H46" s="25">
        <f t="shared" si="8"/>
        <v>723230</v>
      </c>
      <c r="I46" s="25">
        <v>0</v>
      </c>
      <c r="J46" s="25">
        <f>1029790-723230</f>
        <v>306560</v>
      </c>
      <c r="K46" s="25">
        <v>0</v>
      </c>
      <c r="L46" s="25">
        <v>0</v>
      </c>
      <c r="M46" s="25">
        <v>0</v>
      </c>
      <c r="N46" s="25">
        <v>31050</v>
      </c>
      <c r="O46" s="25">
        <f t="shared" si="2"/>
        <v>337610</v>
      </c>
      <c r="P46" s="25">
        <f t="shared" si="3"/>
        <v>1060840</v>
      </c>
    </row>
    <row r="47" spans="1:16" ht="12" customHeight="1" x14ac:dyDescent="0.15">
      <c r="A47" s="6" t="s">
        <v>105</v>
      </c>
      <c r="B47" s="25"/>
      <c r="C47" s="25">
        <v>6000</v>
      </c>
      <c r="D47" s="25">
        <f>133593-6000</f>
        <v>127593</v>
      </c>
      <c r="E47" s="25">
        <v>26540</v>
      </c>
      <c r="F47" s="25">
        <v>23625</v>
      </c>
      <c r="G47" s="25">
        <v>0</v>
      </c>
      <c r="H47" s="25">
        <f t="shared" si="8"/>
        <v>183758</v>
      </c>
      <c r="I47" s="25">
        <v>13125</v>
      </c>
      <c r="J47" s="25">
        <v>0</v>
      </c>
      <c r="K47" s="25">
        <v>0</v>
      </c>
      <c r="L47" s="25">
        <v>0</v>
      </c>
      <c r="M47" s="25">
        <v>0</v>
      </c>
      <c r="N47" s="25">
        <v>43281</v>
      </c>
      <c r="O47" s="25">
        <f t="shared" si="2"/>
        <v>56406</v>
      </c>
      <c r="P47" s="25">
        <f t="shared" si="3"/>
        <v>240164</v>
      </c>
    </row>
    <row r="48" spans="1:16" ht="12" customHeight="1" x14ac:dyDescent="0.15">
      <c r="A48" s="6" t="s">
        <v>106</v>
      </c>
      <c r="B48" s="25">
        <v>66892</v>
      </c>
      <c r="C48" s="25">
        <f>152772-66892</f>
        <v>85880</v>
      </c>
      <c r="D48" s="25">
        <f>13859+15580</f>
        <v>29439</v>
      </c>
      <c r="E48" s="25">
        <f>269846-182211</f>
        <v>87635</v>
      </c>
      <c r="F48" s="25">
        <v>16945</v>
      </c>
      <c r="G48" s="25">
        <f>326685-286791</f>
        <v>39894</v>
      </c>
      <c r="H48" s="25">
        <f t="shared" si="8"/>
        <v>326685</v>
      </c>
      <c r="I48" s="25">
        <f>19993+29400</f>
        <v>49393</v>
      </c>
      <c r="J48" s="25">
        <f>431539-376078</f>
        <v>55461</v>
      </c>
      <c r="K48" s="25">
        <f>476335-431539</f>
        <v>44796</v>
      </c>
      <c r="L48" s="25">
        <v>27153</v>
      </c>
      <c r="M48" s="25">
        <f>625166-503488</f>
        <v>121678</v>
      </c>
      <c r="N48" s="25">
        <v>36366</v>
      </c>
      <c r="O48" s="25">
        <f t="shared" si="2"/>
        <v>334847</v>
      </c>
      <c r="P48" s="25">
        <f t="shared" si="3"/>
        <v>661532</v>
      </c>
    </row>
    <row r="49" spans="1:16" ht="12" customHeight="1" x14ac:dyDescent="0.15">
      <c r="A49" s="6" t="s">
        <v>28</v>
      </c>
      <c r="B49" s="25">
        <v>32765</v>
      </c>
      <c r="C49" s="25">
        <f>56750-32765</f>
        <v>23985</v>
      </c>
      <c r="D49" s="25">
        <f>83215-56750</f>
        <v>26465</v>
      </c>
      <c r="E49" s="25">
        <f>105430-83215</f>
        <v>22215</v>
      </c>
      <c r="F49" s="25">
        <f>128095-105430</f>
        <v>22665</v>
      </c>
      <c r="G49" s="25">
        <f>181560-128095</f>
        <v>53465</v>
      </c>
      <c r="H49" s="25">
        <f t="shared" si="8"/>
        <v>181560</v>
      </c>
      <c r="I49" s="25">
        <f>195125-181560</f>
        <v>13565</v>
      </c>
      <c r="J49" s="25">
        <f>232868-195125</f>
        <v>37743</v>
      </c>
      <c r="K49" s="25">
        <f>249883-232868</f>
        <v>17015</v>
      </c>
      <c r="L49" s="25">
        <f>260548-249883</f>
        <v>10665</v>
      </c>
      <c r="M49" s="25">
        <f>271213-260548</f>
        <v>10665</v>
      </c>
      <c r="N49" s="25">
        <f>299128-271213</f>
        <v>27915</v>
      </c>
      <c r="O49" s="25">
        <f t="shared" si="2"/>
        <v>117568</v>
      </c>
      <c r="P49" s="25">
        <f t="shared" si="3"/>
        <v>299128</v>
      </c>
    </row>
    <row r="50" spans="1:16" ht="12" customHeight="1" x14ac:dyDescent="0.15">
      <c r="A50" s="6" t="s">
        <v>107</v>
      </c>
      <c r="B50" s="25">
        <v>40000</v>
      </c>
      <c r="C50" s="25">
        <f>72350-40000</f>
        <v>32350</v>
      </c>
      <c r="D50" s="25">
        <f>101350-72350</f>
        <v>29000</v>
      </c>
      <c r="E50" s="25">
        <v>15000</v>
      </c>
      <c r="F50" s="25">
        <f>166350-116350</f>
        <v>50000</v>
      </c>
      <c r="G50" s="25">
        <f>177350-166350</f>
        <v>11000</v>
      </c>
      <c r="H50" s="25">
        <f t="shared" si="8"/>
        <v>177350</v>
      </c>
      <c r="I50" s="25">
        <f>204110-177350</f>
        <v>26760</v>
      </c>
      <c r="J50" s="25">
        <v>5400</v>
      </c>
      <c r="K50" s="25">
        <f>213455-209510</f>
        <v>3945</v>
      </c>
      <c r="L50" s="25">
        <v>0</v>
      </c>
      <c r="M50" s="25">
        <v>0</v>
      </c>
      <c r="N50" s="25">
        <v>1000</v>
      </c>
      <c r="O50" s="25">
        <f t="shared" si="2"/>
        <v>37105</v>
      </c>
      <c r="P50" s="25">
        <f t="shared" si="3"/>
        <v>214455</v>
      </c>
    </row>
    <row r="51" spans="1:16" ht="12" customHeight="1" x14ac:dyDescent="0.15">
      <c r="A51" s="6" t="s">
        <v>27</v>
      </c>
      <c r="B51" s="25">
        <v>0</v>
      </c>
      <c r="C51" s="25">
        <v>0</v>
      </c>
      <c r="D51" s="25">
        <v>0</v>
      </c>
      <c r="E51" s="25">
        <v>0</v>
      </c>
      <c r="F51" s="25">
        <v>10500</v>
      </c>
      <c r="G51" s="25">
        <v>42000</v>
      </c>
      <c r="H51" s="25">
        <f t="shared" si="8"/>
        <v>52500</v>
      </c>
      <c r="I51" s="25">
        <v>0</v>
      </c>
      <c r="J51" s="25">
        <v>0</v>
      </c>
      <c r="K51" s="25">
        <v>0</v>
      </c>
      <c r="L51" s="25">
        <v>10500</v>
      </c>
      <c r="M51" s="25">
        <f>94500-63000</f>
        <v>31500</v>
      </c>
      <c r="N51" s="25">
        <v>0</v>
      </c>
      <c r="O51" s="25">
        <f t="shared" si="2"/>
        <v>42000</v>
      </c>
      <c r="P51" s="25">
        <f t="shared" si="3"/>
        <v>94500</v>
      </c>
    </row>
    <row r="52" spans="1:16" ht="12" customHeight="1" x14ac:dyDescent="0.15">
      <c r="A52" s="6" t="s">
        <v>32</v>
      </c>
      <c r="B52" s="25">
        <v>692911</v>
      </c>
      <c r="C52" s="25">
        <f>1223291-692911</f>
        <v>530380</v>
      </c>
      <c r="D52" s="25">
        <f>1645203-1223291</f>
        <v>421912</v>
      </c>
      <c r="E52" s="25">
        <f>2203437-1645203</f>
        <v>558234</v>
      </c>
      <c r="F52" s="25">
        <f>2600796-2203437</f>
        <v>397359</v>
      </c>
      <c r="G52" s="25">
        <f>3208586-2600796</f>
        <v>607790</v>
      </c>
      <c r="H52" s="25">
        <f t="shared" si="8"/>
        <v>3208586</v>
      </c>
      <c r="I52" s="25">
        <f>3592601-3208586</f>
        <v>384015</v>
      </c>
      <c r="J52" s="25">
        <f>3921887-3592601</f>
        <v>329286</v>
      </c>
      <c r="K52" s="25">
        <f>4548856-3921887</f>
        <v>626969</v>
      </c>
      <c r="L52" s="25">
        <f>5210178-4548856</f>
        <v>661322</v>
      </c>
      <c r="M52" s="25">
        <f>5872612-5210178</f>
        <v>662434</v>
      </c>
      <c r="N52" s="25">
        <f>6539139-5872612</f>
        <v>666527</v>
      </c>
      <c r="O52" s="25">
        <f t="shared" si="2"/>
        <v>3330553</v>
      </c>
      <c r="P52" s="25">
        <f t="shared" si="3"/>
        <v>6539139</v>
      </c>
    </row>
    <row r="53" spans="1:16" ht="12" customHeight="1" x14ac:dyDescent="0.15">
      <c r="A53" s="6" t="s">
        <v>108</v>
      </c>
      <c r="B53" s="25">
        <v>4000</v>
      </c>
      <c r="C53" s="25">
        <f>16000-4000</f>
        <v>12000</v>
      </c>
      <c r="D53" s="25">
        <v>8000</v>
      </c>
      <c r="E53" s="25">
        <f>53000-24000</f>
        <v>29000</v>
      </c>
      <c r="F53" s="25">
        <f>61000-53000</f>
        <v>8000</v>
      </c>
      <c r="G53" s="25">
        <f>67200-61000</f>
        <v>6200</v>
      </c>
      <c r="H53" s="25">
        <f t="shared" si="8"/>
        <v>67200</v>
      </c>
      <c r="I53" s="25">
        <f>74200-67200</f>
        <v>7000</v>
      </c>
      <c r="J53" s="25">
        <f>95700-74200</f>
        <v>21500</v>
      </c>
      <c r="K53" s="25">
        <f>110700-95700</f>
        <v>15000</v>
      </c>
      <c r="L53" s="25">
        <f>141700-110700</f>
        <v>31000</v>
      </c>
      <c r="M53" s="25">
        <f>159700-141700</f>
        <v>18000</v>
      </c>
      <c r="N53" s="25">
        <f>172700-159700</f>
        <v>13000</v>
      </c>
      <c r="O53" s="25">
        <f t="shared" si="2"/>
        <v>105500</v>
      </c>
      <c r="P53" s="25">
        <f t="shared" si="3"/>
        <v>172700</v>
      </c>
    </row>
    <row r="54" spans="1:16" ht="12" customHeight="1" x14ac:dyDescent="0.15">
      <c r="A54" s="6" t="s">
        <v>34</v>
      </c>
      <c r="B54" s="25">
        <v>8800</v>
      </c>
      <c r="C54" s="25">
        <v>0</v>
      </c>
      <c r="D54" s="25">
        <v>0</v>
      </c>
      <c r="E54" s="25">
        <f>31300-8800</f>
        <v>22500</v>
      </c>
      <c r="F54" s="25">
        <v>10000</v>
      </c>
      <c r="G54" s="25">
        <v>6000</v>
      </c>
      <c r="H54" s="25">
        <f t="shared" si="8"/>
        <v>47300</v>
      </c>
      <c r="I54" s="25">
        <v>3500</v>
      </c>
      <c r="J54" s="25">
        <v>0</v>
      </c>
      <c r="K54" s="25">
        <v>0</v>
      </c>
      <c r="L54" s="25">
        <v>0</v>
      </c>
      <c r="M54" s="25">
        <v>0</v>
      </c>
      <c r="N54" s="25">
        <v>50000</v>
      </c>
      <c r="O54" s="25">
        <f t="shared" si="2"/>
        <v>53500</v>
      </c>
      <c r="P54" s="25">
        <f t="shared" si="3"/>
        <v>100800</v>
      </c>
    </row>
    <row r="55" spans="1:16" ht="12" customHeight="1" x14ac:dyDescent="0.15">
      <c r="A55" s="6" t="s">
        <v>109</v>
      </c>
      <c r="B55" s="25">
        <v>551354</v>
      </c>
      <c r="C55" s="25">
        <f>1063640-551354</f>
        <v>512286</v>
      </c>
      <c r="D55" s="25">
        <f>1563695-1063640</f>
        <v>500055</v>
      </c>
      <c r="E55" s="25">
        <f>1999300-1563695</f>
        <v>435605</v>
      </c>
      <c r="F55" s="25">
        <f>2518360-1999300</f>
        <v>519060</v>
      </c>
      <c r="G55" s="25">
        <f>2999007-2518360</f>
        <v>480647</v>
      </c>
      <c r="H55" s="25">
        <f t="shared" si="8"/>
        <v>2999007</v>
      </c>
      <c r="I55" s="25">
        <f>3773696-2999007</f>
        <v>774689</v>
      </c>
      <c r="J55" s="25">
        <f>4221036-3773696</f>
        <v>447340</v>
      </c>
      <c r="K55" s="25">
        <f>4764038-4221036</f>
        <v>543002</v>
      </c>
      <c r="L55" s="25">
        <f>5215010-4764038</f>
        <v>450972</v>
      </c>
      <c r="M55" s="25">
        <f>5682158-5215010</f>
        <v>467148</v>
      </c>
      <c r="N55" s="25">
        <f>6064811-5682158</f>
        <v>382653</v>
      </c>
      <c r="O55" s="25">
        <f t="shared" si="2"/>
        <v>3065804</v>
      </c>
      <c r="P55" s="25">
        <f t="shared" si="3"/>
        <v>6064811</v>
      </c>
    </row>
    <row r="56" spans="1:16" ht="12" customHeight="1" x14ac:dyDescent="0.15">
      <c r="A56" s="6" t="s">
        <v>35</v>
      </c>
      <c r="B56" s="25">
        <v>6546</v>
      </c>
      <c r="C56" s="25">
        <f>15342-6546</f>
        <v>8796</v>
      </c>
      <c r="D56" s="25">
        <f>19386-15342</f>
        <v>4044</v>
      </c>
      <c r="E56" s="25">
        <v>3500</v>
      </c>
      <c r="F56" s="25">
        <v>4300</v>
      </c>
      <c r="G56" s="25">
        <v>315</v>
      </c>
      <c r="H56" s="25">
        <f t="shared" si="8"/>
        <v>27501</v>
      </c>
      <c r="I56" s="25">
        <v>4200</v>
      </c>
      <c r="J56" s="25">
        <f>93591-31701</f>
        <v>61890</v>
      </c>
      <c r="K56" s="25">
        <v>7400</v>
      </c>
      <c r="L56" s="25">
        <v>0</v>
      </c>
      <c r="M56" s="25">
        <v>0</v>
      </c>
      <c r="N56" s="25">
        <v>3600</v>
      </c>
      <c r="O56" s="25">
        <f t="shared" si="2"/>
        <v>77090</v>
      </c>
      <c r="P56" s="25">
        <f t="shared" si="3"/>
        <v>104591</v>
      </c>
    </row>
    <row r="57" spans="1:16" ht="12" customHeight="1" x14ac:dyDescent="0.15">
      <c r="A57" s="6" t="s">
        <v>110</v>
      </c>
      <c r="B57" s="25">
        <v>222008</v>
      </c>
      <c r="C57" s="25">
        <v>27840</v>
      </c>
      <c r="D57" s="25"/>
      <c r="E57" s="25">
        <f>309708-249848</f>
        <v>59860</v>
      </c>
      <c r="F57" s="25">
        <v>0</v>
      </c>
      <c r="G57" s="25">
        <f>418478-309708</f>
        <v>108770</v>
      </c>
      <c r="H57" s="25">
        <f t="shared" si="8"/>
        <v>418478</v>
      </c>
      <c r="I57" s="25">
        <v>0</v>
      </c>
      <c r="J57" s="25">
        <v>27840</v>
      </c>
      <c r="K57" s="25">
        <v>27840</v>
      </c>
      <c r="L57" s="25">
        <v>415160</v>
      </c>
      <c r="M57" s="25">
        <v>27840</v>
      </c>
      <c r="N57" s="25">
        <f>1017178-917158</f>
        <v>100020</v>
      </c>
      <c r="O57" s="25">
        <f t="shared" si="2"/>
        <v>598700</v>
      </c>
      <c r="P57" s="25">
        <f t="shared" si="3"/>
        <v>1017178</v>
      </c>
    </row>
    <row r="58" spans="1:16" ht="12" customHeight="1" x14ac:dyDescent="0.15">
      <c r="A58" s="6" t="s">
        <v>111</v>
      </c>
      <c r="B58" s="25">
        <v>480231</v>
      </c>
      <c r="C58" s="25">
        <f>1050401-480231</f>
        <v>570170</v>
      </c>
      <c r="D58" s="25">
        <f>1390340-1050401</f>
        <v>339939</v>
      </c>
      <c r="E58" s="25">
        <f>2093026-1390340</f>
        <v>702686</v>
      </c>
      <c r="F58" s="25">
        <f>2717939-2093026</f>
        <v>624913</v>
      </c>
      <c r="G58" s="25">
        <f>3433486-2717939</f>
        <v>715547</v>
      </c>
      <c r="H58" s="25">
        <f t="shared" si="8"/>
        <v>3433486</v>
      </c>
      <c r="I58" s="25">
        <f>3970937-3433486</f>
        <v>537451</v>
      </c>
      <c r="J58" s="25">
        <f>4567012-3970937</f>
        <v>596075</v>
      </c>
      <c r="K58" s="25">
        <f>5171800-4567012</f>
        <v>604788</v>
      </c>
      <c r="L58" s="25">
        <f>5708202-5171800</f>
        <v>536402</v>
      </c>
      <c r="M58" s="25">
        <f>6112396-5708202</f>
        <v>404194</v>
      </c>
      <c r="N58" s="25">
        <f>6539570-6112396</f>
        <v>427174</v>
      </c>
      <c r="O58" s="25">
        <f t="shared" si="2"/>
        <v>3106084</v>
      </c>
      <c r="P58" s="25">
        <f t="shared" si="3"/>
        <v>6539570</v>
      </c>
    </row>
    <row r="59" spans="1:16" ht="12" customHeight="1" x14ac:dyDescent="0.15">
      <c r="A59" s="6" t="s">
        <v>112</v>
      </c>
      <c r="B59" s="25">
        <v>63000</v>
      </c>
      <c r="C59" s="25">
        <v>55545</v>
      </c>
      <c r="D59" s="25">
        <f>347445-118545</f>
        <v>228900</v>
      </c>
      <c r="E59" s="25">
        <v>0</v>
      </c>
      <c r="F59" s="25">
        <f>552302-347445</f>
        <v>204857</v>
      </c>
      <c r="G59" s="25">
        <f>583802-552302</f>
        <v>31500</v>
      </c>
      <c r="H59" s="25">
        <f t="shared" si="8"/>
        <v>583802</v>
      </c>
      <c r="I59" s="25">
        <v>0</v>
      </c>
      <c r="J59" s="25">
        <f>645857-583802</f>
        <v>62055</v>
      </c>
      <c r="K59" s="25">
        <f>668957-645857</f>
        <v>23100</v>
      </c>
      <c r="L59" s="25">
        <v>0</v>
      </c>
      <c r="M59" s="25">
        <f>717446-668957</f>
        <v>48489</v>
      </c>
      <c r="N59" s="25">
        <v>1575</v>
      </c>
      <c r="O59" s="25">
        <f t="shared" si="2"/>
        <v>135219</v>
      </c>
      <c r="P59" s="25">
        <f t="shared" si="3"/>
        <v>719021</v>
      </c>
    </row>
    <row r="60" spans="1:16" ht="12" customHeight="1" x14ac:dyDescent="0.15">
      <c r="A60" s="6" t="s">
        <v>113</v>
      </c>
      <c r="B60" s="25">
        <v>405785</v>
      </c>
      <c r="C60" s="25">
        <f>811570-405785</f>
        <v>405785</v>
      </c>
      <c r="D60" s="25">
        <f>1217355-811570</f>
        <v>405785</v>
      </c>
      <c r="E60" s="25">
        <v>390035</v>
      </c>
      <c r="F60" s="25">
        <f>1994485-1607390</f>
        <v>387095</v>
      </c>
      <c r="G60" s="25">
        <f>2389930-1994485</f>
        <v>395445</v>
      </c>
      <c r="H60" s="25">
        <f t="shared" si="8"/>
        <v>2389930</v>
      </c>
      <c r="I60" s="25">
        <f>2758125-2389930</f>
        <v>368195</v>
      </c>
      <c r="J60" s="25">
        <f>3172520-2758125</f>
        <v>414395</v>
      </c>
      <c r="K60" s="25">
        <f>3540715-3172520</f>
        <v>368195</v>
      </c>
      <c r="L60" s="25">
        <f>3908910-3540715</f>
        <v>368195</v>
      </c>
      <c r="M60" s="25">
        <f>4277105-3908910</f>
        <v>368195</v>
      </c>
      <c r="N60" s="25">
        <f>4698220-4277105</f>
        <v>421115</v>
      </c>
      <c r="O60" s="25">
        <f t="shared" si="2"/>
        <v>2308290</v>
      </c>
      <c r="P60" s="25">
        <f t="shared" si="3"/>
        <v>4698220</v>
      </c>
    </row>
    <row r="61" spans="1:16" ht="12" customHeight="1" x14ac:dyDescent="0.15">
      <c r="A61" s="6" t="s">
        <v>121</v>
      </c>
      <c r="B61" s="25">
        <v>295000</v>
      </c>
      <c r="C61" s="25">
        <f>710000-295000</f>
        <v>415000</v>
      </c>
      <c r="D61" s="25">
        <f>1005000-710000</f>
        <v>295000</v>
      </c>
      <c r="E61" s="25">
        <f>1200000-1005000</f>
        <v>195000</v>
      </c>
      <c r="F61" s="25">
        <f>1595000-1200000</f>
        <v>395000</v>
      </c>
      <c r="G61" s="25">
        <f>1890000-1595000</f>
        <v>295000</v>
      </c>
      <c r="H61" s="25">
        <f t="shared" si="8"/>
        <v>1890000</v>
      </c>
      <c r="I61" s="25">
        <f>2085000-1890000</f>
        <v>195000</v>
      </c>
      <c r="J61" s="25">
        <f>2480000-2085000</f>
        <v>395000</v>
      </c>
      <c r="K61" s="25">
        <v>195000</v>
      </c>
      <c r="L61" s="25">
        <f>3070000-2675000</f>
        <v>395000</v>
      </c>
      <c r="M61" s="25">
        <f>3365000-3070000</f>
        <v>295000</v>
      </c>
      <c r="N61" s="25">
        <f>3660000-3365000</f>
        <v>295000</v>
      </c>
      <c r="O61" s="25">
        <f t="shared" si="2"/>
        <v>1770000</v>
      </c>
      <c r="P61" s="25">
        <f t="shared" si="3"/>
        <v>3660000</v>
      </c>
    </row>
    <row r="62" spans="1:16" ht="12" customHeight="1" x14ac:dyDescent="0.15">
      <c r="A62" s="6" t="s">
        <v>122</v>
      </c>
      <c r="B62" s="49">
        <v>6613</v>
      </c>
      <c r="C62" s="25">
        <f>1204013-6613</f>
        <v>1197400</v>
      </c>
      <c r="D62" s="25">
        <f>1211233-1204013</f>
        <v>7220</v>
      </c>
      <c r="E62" s="25">
        <f>1287933-1211233</f>
        <v>76700</v>
      </c>
      <c r="F62" s="25">
        <v>0</v>
      </c>
      <c r="G62" s="25">
        <f>1321333-1287933</f>
        <v>33400</v>
      </c>
      <c r="H62" s="25">
        <f t="shared" si="8"/>
        <v>1321333</v>
      </c>
      <c r="I62" s="25">
        <v>11</v>
      </c>
      <c r="J62" s="25">
        <f>1347494-1321344</f>
        <v>26150</v>
      </c>
      <c r="K62" s="25">
        <f>1411694-1347494</f>
        <v>64200</v>
      </c>
      <c r="L62" s="25">
        <v>0</v>
      </c>
      <c r="M62" s="25">
        <v>51000</v>
      </c>
      <c r="N62" s="25">
        <v>0</v>
      </c>
      <c r="O62" s="25">
        <f t="shared" si="2"/>
        <v>141361</v>
      </c>
      <c r="P62" s="25">
        <f t="shared" si="3"/>
        <v>1462694</v>
      </c>
    </row>
    <row r="63" spans="1:16" ht="12" customHeight="1" x14ac:dyDescent="0.15">
      <c r="A63" s="6" t="s">
        <v>37</v>
      </c>
      <c r="B63" s="25">
        <v>142343</v>
      </c>
      <c r="C63" s="25">
        <f>204942-142343</f>
        <v>62599</v>
      </c>
      <c r="D63" s="25">
        <f>337242-204942</f>
        <v>132300</v>
      </c>
      <c r="E63" s="25">
        <f>624097-337242</f>
        <v>286855</v>
      </c>
      <c r="F63" s="25">
        <v>0</v>
      </c>
      <c r="G63" s="25">
        <f>1168675-624097</f>
        <v>544578</v>
      </c>
      <c r="H63" s="25">
        <f t="shared" si="8"/>
        <v>1168675</v>
      </c>
      <c r="I63" s="25">
        <f>1224995-1168675</f>
        <v>56320</v>
      </c>
      <c r="J63" s="25">
        <v>10500</v>
      </c>
      <c r="K63" s="25">
        <f>1658850-1235495</f>
        <v>423355</v>
      </c>
      <c r="L63" s="25">
        <f>1727003-1658850</f>
        <v>68153</v>
      </c>
      <c r="M63" s="25">
        <f>1786221-1727003</f>
        <v>59218</v>
      </c>
      <c r="N63" s="25">
        <f>1975565-1786221</f>
        <v>189344</v>
      </c>
      <c r="O63" s="25">
        <f t="shared" si="2"/>
        <v>806890</v>
      </c>
      <c r="P63" s="25">
        <f t="shared" si="3"/>
        <v>1975565</v>
      </c>
    </row>
    <row r="64" spans="1:16" ht="12" customHeight="1" x14ac:dyDescent="0.15">
      <c r="A64" s="6" t="s">
        <v>114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f t="shared" si="8"/>
        <v>0</v>
      </c>
      <c r="I64" s="25">
        <v>70396</v>
      </c>
      <c r="J64" s="25">
        <v>73092</v>
      </c>
      <c r="K64" s="25">
        <v>11101</v>
      </c>
      <c r="L64" s="25">
        <v>0</v>
      </c>
      <c r="M64" s="25">
        <v>0</v>
      </c>
      <c r="N64" s="25">
        <v>0</v>
      </c>
      <c r="O64" s="25">
        <f t="shared" si="2"/>
        <v>154589</v>
      </c>
      <c r="P64" s="25">
        <f t="shared" si="3"/>
        <v>154589</v>
      </c>
    </row>
    <row r="65" spans="1:16" ht="12" customHeight="1" x14ac:dyDescent="0.15">
      <c r="A65" s="53" t="s">
        <v>115</v>
      </c>
      <c r="B65" s="25">
        <v>620462</v>
      </c>
      <c r="C65" s="25">
        <f>823513-620462</f>
        <v>203051</v>
      </c>
      <c r="D65" s="25">
        <f>1218574-823513</f>
        <v>395061</v>
      </c>
      <c r="E65" s="25">
        <f>1576924-1218574</f>
        <v>358350</v>
      </c>
      <c r="F65" s="25">
        <f>1835768-1576924</f>
        <v>258844</v>
      </c>
      <c r="G65" s="25">
        <f>2024888-1835768</f>
        <v>189120</v>
      </c>
      <c r="H65" s="25">
        <f t="shared" si="8"/>
        <v>2024888</v>
      </c>
      <c r="I65" s="25">
        <f>2416546-2024888</f>
        <v>391658</v>
      </c>
      <c r="J65" s="25">
        <f>2734423-2416546</f>
        <v>317877</v>
      </c>
      <c r="K65" s="25">
        <f>3180915-2734423</f>
        <v>446492</v>
      </c>
      <c r="L65" s="25">
        <f>3453184-3180915</f>
        <v>272269</v>
      </c>
      <c r="M65" s="25">
        <f>3725272-3453184</f>
        <v>272088</v>
      </c>
      <c r="N65" s="25">
        <f>4003971-3725272</f>
        <v>278699</v>
      </c>
      <c r="O65" s="25">
        <f t="shared" si="2"/>
        <v>1979083</v>
      </c>
      <c r="P65" s="25">
        <f t="shared" si="3"/>
        <v>4003971</v>
      </c>
    </row>
    <row r="66" spans="1:16" ht="12" customHeight="1" x14ac:dyDescent="0.15">
      <c r="A66" s="6" t="s">
        <v>46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3788407</v>
      </c>
      <c r="H66" s="25">
        <f t="shared" si="8"/>
        <v>3788407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f>7576824-3788407</f>
        <v>3788417</v>
      </c>
      <c r="O66" s="25">
        <f t="shared" si="2"/>
        <v>3788417</v>
      </c>
      <c r="P66" s="25">
        <f t="shared" si="3"/>
        <v>7576824</v>
      </c>
    </row>
    <row r="67" spans="1:16" ht="12" customHeight="1" x14ac:dyDescent="0.15">
      <c r="A67" s="54" t="s">
        <v>29</v>
      </c>
      <c r="B67" s="32">
        <f t="shared" ref="B67:N67" si="10">B35+B41</f>
        <v>16684788</v>
      </c>
      <c r="C67" s="32">
        <f t="shared" si="10"/>
        <v>16260452</v>
      </c>
      <c r="D67" s="32">
        <f t="shared" si="10"/>
        <v>15911662</v>
      </c>
      <c r="E67" s="32">
        <f t="shared" si="10"/>
        <v>26321291</v>
      </c>
      <c r="F67" s="32">
        <f t="shared" si="10"/>
        <v>15881163</v>
      </c>
      <c r="G67" s="32">
        <f t="shared" si="10"/>
        <v>20363693</v>
      </c>
      <c r="H67" s="32">
        <f t="shared" si="8"/>
        <v>111423049</v>
      </c>
      <c r="I67" s="32">
        <f t="shared" si="10"/>
        <v>15008446</v>
      </c>
      <c r="J67" s="32">
        <f t="shared" si="10"/>
        <v>22566511</v>
      </c>
      <c r="K67" s="32">
        <f t="shared" si="10"/>
        <v>15520317</v>
      </c>
      <c r="L67" s="32">
        <f t="shared" si="10"/>
        <v>14640760</v>
      </c>
      <c r="M67" s="32">
        <f t="shared" si="10"/>
        <v>14934500</v>
      </c>
      <c r="N67" s="32">
        <f t="shared" si="10"/>
        <v>18685882</v>
      </c>
      <c r="O67" s="32">
        <f t="shared" si="2"/>
        <v>101356416</v>
      </c>
      <c r="P67" s="32">
        <f t="shared" si="3"/>
        <v>212779465</v>
      </c>
    </row>
    <row r="68" spans="1:16" ht="12" customHeight="1" x14ac:dyDescent="0.15">
      <c r="A68" s="54" t="s">
        <v>61</v>
      </c>
      <c r="B68" s="32">
        <f t="shared" ref="B68:G68" si="11">B32-B67</f>
        <v>2463864</v>
      </c>
      <c r="C68" s="32">
        <f t="shared" si="11"/>
        <v>2334468</v>
      </c>
      <c r="D68" s="32">
        <f t="shared" si="11"/>
        <v>2383813</v>
      </c>
      <c r="E68" s="32">
        <f t="shared" si="11"/>
        <v>-6774266</v>
      </c>
      <c r="F68" s="32">
        <f t="shared" si="11"/>
        <v>3061722</v>
      </c>
      <c r="G68" s="32">
        <f t="shared" si="11"/>
        <v>-3041883</v>
      </c>
      <c r="H68" s="32">
        <f t="shared" si="8"/>
        <v>427718</v>
      </c>
      <c r="I68" s="32">
        <f t="shared" ref="I68:N68" si="12">I32-I67</f>
        <v>4412209</v>
      </c>
      <c r="J68" s="32">
        <f t="shared" si="12"/>
        <v>-4932831</v>
      </c>
      <c r="K68" s="32">
        <f t="shared" si="12"/>
        <v>1319483</v>
      </c>
      <c r="L68" s="32">
        <f t="shared" si="12"/>
        <v>1814080</v>
      </c>
      <c r="M68" s="32">
        <f t="shared" si="12"/>
        <v>760967</v>
      </c>
      <c r="N68" s="32">
        <f t="shared" si="12"/>
        <v>-454922</v>
      </c>
      <c r="O68" s="32">
        <f t="shared" si="2"/>
        <v>2918986</v>
      </c>
      <c r="P68" s="32">
        <f t="shared" si="3"/>
        <v>3346704</v>
      </c>
    </row>
    <row r="69" spans="1:16" ht="12" customHeight="1" x14ac:dyDescent="0.15">
      <c r="A69" s="23" t="s">
        <v>126</v>
      </c>
      <c r="B69" s="25">
        <v>67</v>
      </c>
      <c r="C69" s="25">
        <v>0</v>
      </c>
      <c r="D69" s="25">
        <v>0</v>
      </c>
      <c r="E69" s="25">
        <v>0</v>
      </c>
      <c r="F69" s="25">
        <f>1009-67</f>
        <v>942</v>
      </c>
      <c r="G69" s="25">
        <v>19</v>
      </c>
      <c r="H69" s="32">
        <f t="shared" si="8"/>
        <v>1028</v>
      </c>
      <c r="I69" s="25">
        <v>59</v>
      </c>
      <c r="J69" s="25">
        <v>0</v>
      </c>
      <c r="K69" s="25">
        <v>0</v>
      </c>
      <c r="L69" s="25">
        <v>0</v>
      </c>
      <c r="M69" s="25">
        <f>2084-1087</f>
        <v>997</v>
      </c>
      <c r="N69" s="25">
        <v>14</v>
      </c>
      <c r="O69" s="32">
        <f t="shared" si="2"/>
        <v>1070</v>
      </c>
      <c r="P69" s="32">
        <f t="shared" si="3"/>
        <v>2098</v>
      </c>
    </row>
    <row r="70" spans="1:16" ht="12" customHeight="1" x14ac:dyDescent="0.15">
      <c r="A70" s="23" t="s">
        <v>127</v>
      </c>
      <c r="B70" s="25">
        <f>38126+37987</f>
        <v>76113</v>
      </c>
      <c r="C70" s="25">
        <f>34065+34037</f>
        <v>68102</v>
      </c>
      <c r="D70" s="25">
        <f>34736+34808+112164+884</f>
        <v>182592</v>
      </c>
      <c r="E70" s="25">
        <f>36515+36699+9</f>
        <v>73223</v>
      </c>
      <c r="F70" s="25">
        <f>33729+34003+2500</f>
        <v>70232</v>
      </c>
      <c r="G70" s="25">
        <f>33226+33600+1000</f>
        <v>67826</v>
      </c>
      <c r="H70" s="32">
        <f t="shared" si="8"/>
        <v>538088</v>
      </c>
      <c r="I70" s="25">
        <f>34305+3350+33813</f>
        <v>71468</v>
      </c>
      <c r="J70" s="25">
        <f>32219+32795+500</f>
        <v>65514</v>
      </c>
      <c r="K70" s="25">
        <f>34887+35632+111554+7000</f>
        <v>189073</v>
      </c>
      <c r="L70" s="25">
        <f>30171+30924</f>
        <v>61095</v>
      </c>
      <c r="M70" s="25">
        <f>28661+29482</f>
        <v>58143</v>
      </c>
      <c r="N70" s="25">
        <f>31212+32225</f>
        <v>63437</v>
      </c>
      <c r="O70" s="32">
        <f t="shared" si="2"/>
        <v>508730</v>
      </c>
      <c r="P70" s="32">
        <f t="shared" si="3"/>
        <v>1046818</v>
      </c>
    </row>
    <row r="71" spans="1:16" ht="12" customHeight="1" x14ac:dyDescent="0.15">
      <c r="A71" s="54" t="s">
        <v>60</v>
      </c>
      <c r="B71" s="33">
        <f t="shared" ref="B71:G71" si="13">B68+B69-B70</f>
        <v>2387818</v>
      </c>
      <c r="C71" s="33">
        <f t="shared" si="13"/>
        <v>2266366</v>
      </c>
      <c r="D71" s="33">
        <f t="shared" si="13"/>
        <v>2201221</v>
      </c>
      <c r="E71" s="33">
        <f t="shared" si="13"/>
        <v>-6847489</v>
      </c>
      <c r="F71" s="33">
        <f t="shared" si="13"/>
        <v>2992432</v>
      </c>
      <c r="G71" s="33">
        <f t="shared" si="13"/>
        <v>-3109690</v>
      </c>
      <c r="H71" s="32">
        <f t="shared" si="8"/>
        <v>-109342</v>
      </c>
      <c r="I71" s="33">
        <f t="shared" ref="I71:N71" si="14">I68+I69-I70</f>
        <v>4340800</v>
      </c>
      <c r="J71" s="33">
        <f t="shared" si="14"/>
        <v>-4998345</v>
      </c>
      <c r="K71" s="33">
        <f t="shared" si="14"/>
        <v>1130410</v>
      </c>
      <c r="L71" s="33">
        <f t="shared" si="14"/>
        <v>1752985</v>
      </c>
      <c r="M71" s="33">
        <f t="shared" si="14"/>
        <v>703821</v>
      </c>
      <c r="N71" s="33">
        <f t="shared" si="14"/>
        <v>-518345</v>
      </c>
      <c r="O71" s="32">
        <f t="shared" si="2"/>
        <v>2411326</v>
      </c>
      <c r="P71" s="32">
        <f t="shared" si="3"/>
        <v>2301984</v>
      </c>
    </row>
    <row r="72" spans="1:16" ht="12" customHeight="1" x14ac:dyDescent="0.15">
      <c r="A72" s="26" t="s">
        <v>116</v>
      </c>
      <c r="B72" s="25">
        <v>416000</v>
      </c>
      <c r="C72" s="25">
        <v>416000</v>
      </c>
      <c r="D72" s="25">
        <v>416000</v>
      </c>
      <c r="E72" s="25">
        <v>416000</v>
      </c>
      <c r="F72" s="25">
        <v>416000</v>
      </c>
      <c r="G72" s="25">
        <v>416000</v>
      </c>
      <c r="H72" s="32">
        <f t="shared" si="8"/>
        <v>2496000</v>
      </c>
      <c r="I72" s="6">
        <v>416000</v>
      </c>
      <c r="J72" s="6">
        <v>416000</v>
      </c>
      <c r="K72" s="25">
        <v>416000</v>
      </c>
      <c r="L72" s="25">
        <v>416000</v>
      </c>
      <c r="M72" s="25">
        <v>416000</v>
      </c>
      <c r="N72" s="25">
        <v>416000</v>
      </c>
      <c r="O72" s="25">
        <f t="shared" si="2"/>
        <v>2496000</v>
      </c>
      <c r="P72" s="25">
        <f t="shared" si="3"/>
        <v>4992000</v>
      </c>
    </row>
  </sheetData>
  <mergeCells count="1">
    <mergeCell ref="C2:H2"/>
  </mergeCells>
  <phoneticPr fontId="3"/>
  <pageMargins left="0.51181102362204722" right="0.19685039370078741" top="0" bottom="0" header="0.23622047244094491" footer="0.27559055118110237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18598-FF54-4BFD-B323-8C07A2D12639}">
  <dimension ref="A2:P71"/>
  <sheetViews>
    <sheetView topLeftCell="A49" workbookViewId="0">
      <pane xSplit="1" topLeftCell="B1" activePane="topRight" state="frozen"/>
      <selection activeCell="A10" sqref="A10"/>
      <selection pane="topRight" activeCell="D27" sqref="D27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2" spans="1:16" ht="15.75" customHeight="1" x14ac:dyDescent="0.2">
      <c r="C2" s="172" t="s">
        <v>261</v>
      </c>
      <c r="D2" s="172"/>
      <c r="E2" s="172"/>
      <c r="F2" s="172"/>
      <c r="G2" s="172"/>
      <c r="H2" s="172"/>
    </row>
    <row r="3" spans="1:16" ht="12" customHeight="1" x14ac:dyDescent="0.15">
      <c r="A3" s="26" t="s">
        <v>43</v>
      </c>
      <c r="B3" s="45" t="s">
        <v>262</v>
      </c>
      <c r="C3" s="26" t="s">
        <v>263</v>
      </c>
      <c r="D3" s="45" t="s">
        <v>264</v>
      </c>
      <c r="E3" s="26" t="s">
        <v>265</v>
      </c>
      <c r="F3" s="45" t="s">
        <v>266</v>
      </c>
      <c r="G3" s="26" t="s">
        <v>267</v>
      </c>
      <c r="H3" s="26" t="s">
        <v>39</v>
      </c>
      <c r="I3" s="26" t="s">
        <v>268</v>
      </c>
      <c r="J3" s="26" t="s">
        <v>269</v>
      </c>
      <c r="K3" s="26" t="s">
        <v>270</v>
      </c>
      <c r="L3" s="26" t="s">
        <v>271</v>
      </c>
      <c r="M3" s="26" t="s">
        <v>272</v>
      </c>
      <c r="N3" s="26" t="s">
        <v>273</v>
      </c>
      <c r="O3" s="26" t="s">
        <v>41</v>
      </c>
      <c r="P3" s="26" t="s">
        <v>42</v>
      </c>
    </row>
    <row r="4" spans="1:16" ht="12" customHeight="1" x14ac:dyDescent="0.15">
      <c r="A4" s="24" t="s">
        <v>259</v>
      </c>
      <c r="B4" s="46" t="s">
        <v>40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2" customHeight="1" x14ac:dyDescent="0.15">
      <c r="A5" s="24" t="s">
        <v>0</v>
      </c>
      <c r="B5" s="32">
        <f>SUM(B6:B8)</f>
        <v>135000</v>
      </c>
      <c r="C5" s="32">
        <f t="shared" ref="C5:N5" si="0">SUM(C6:C8)</f>
        <v>17000</v>
      </c>
      <c r="D5" s="32">
        <f t="shared" si="0"/>
        <v>15000</v>
      </c>
      <c r="E5" s="32">
        <f t="shared" si="0"/>
        <v>13000</v>
      </c>
      <c r="F5" s="32">
        <f t="shared" si="0"/>
        <v>7000</v>
      </c>
      <c r="G5" s="32">
        <f t="shared" si="0"/>
        <v>6000</v>
      </c>
      <c r="H5" s="32">
        <f t="shared" ref="H5:H31" si="1">SUM(B5:G5)</f>
        <v>193000</v>
      </c>
      <c r="I5" s="32">
        <f t="shared" si="0"/>
        <v>6000</v>
      </c>
      <c r="J5" s="32">
        <f t="shared" si="0"/>
        <v>6000</v>
      </c>
      <c r="K5" s="32">
        <f t="shared" si="0"/>
        <v>2000</v>
      </c>
      <c r="L5" s="32">
        <f t="shared" si="0"/>
        <v>4000</v>
      </c>
      <c r="M5" s="32">
        <f t="shared" si="0"/>
        <v>5000</v>
      </c>
      <c r="N5" s="32">
        <f t="shared" si="0"/>
        <v>4000</v>
      </c>
      <c r="O5" s="32">
        <f>SUM(I5:N5)</f>
        <v>27000</v>
      </c>
      <c r="P5" s="32">
        <f>H5+O5</f>
        <v>220000</v>
      </c>
    </row>
    <row r="6" spans="1:16" ht="12" customHeight="1" x14ac:dyDescent="0.15">
      <c r="A6" s="21" t="s">
        <v>1</v>
      </c>
      <c r="B6" s="25">
        <v>86000</v>
      </c>
      <c r="C6" s="25">
        <v>1000</v>
      </c>
      <c r="D6" s="25">
        <v>4000</v>
      </c>
      <c r="E6" s="25">
        <v>1000</v>
      </c>
      <c r="F6" s="25">
        <v>1000</v>
      </c>
      <c r="G6" s="25">
        <v>0</v>
      </c>
      <c r="H6" s="25">
        <f t="shared" si="1"/>
        <v>93000</v>
      </c>
      <c r="I6" s="25">
        <v>0</v>
      </c>
      <c r="J6" s="25">
        <v>0</v>
      </c>
      <c r="K6" s="25">
        <v>1000</v>
      </c>
      <c r="L6" s="25">
        <v>2000</v>
      </c>
      <c r="M6" s="25">
        <v>0</v>
      </c>
      <c r="N6" s="25">
        <v>0</v>
      </c>
      <c r="O6" s="25">
        <f t="shared" ref="O6:O71" si="2">SUM(I6:N6)</f>
        <v>3000</v>
      </c>
      <c r="P6" s="25">
        <f t="shared" ref="P6:P71" si="3">H6+O6</f>
        <v>96000</v>
      </c>
    </row>
    <row r="7" spans="1:16" ht="12" customHeight="1" x14ac:dyDescent="0.15">
      <c r="A7" s="21" t="s">
        <v>2</v>
      </c>
      <c r="B7" s="25">
        <v>36000</v>
      </c>
      <c r="C7" s="25">
        <v>14000</v>
      </c>
      <c r="D7" s="25">
        <v>8000</v>
      </c>
      <c r="E7" s="25">
        <f>66000-58000</f>
        <v>8000</v>
      </c>
      <c r="F7" s="25">
        <v>6000</v>
      </c>
      <c r="G7" s="25">
        <v>4000</v>
      </c>
      <c r="H7" s="25">
        <f t="shared" si="1"/>
        <v>76000</v>
      </c>
      <c r="I7" s="25">
        <v>5000</v>
      </c>
      <c r="J7" s="25">
        <v>3000</v>
      </c>
      <c r="K7" s="25">
        <v>1000</v>
      </c>
      <c r="L7" s="25">
        <v>2000</v>
      </c>
      <c r="M7" s="25">
        <v>4000</v>
      </c>
      <c r="N7" s="25">
        <v>3000</v>
      </c>
      <c r="O7" s="25">
        <f t="shared" si="2"/>
        <v>18000</v>
      </c>
      <c r="P7" s="25">
        <f t="shared" si="3"/>
        <v>94000</v>
      </c>
    </row>
    <row r="8" spans="1:16" ht="12" customHeight="1" x14ac:dyDescent="0.15">
      <c r="A8" s="21" t="s">
        <v>3</v>
      </c>
      <c r="B8" s="25">
        <v>13000</v>
      </c>
      <c r="C8" s="25">
        <v>2000</v>
      </c>
      <c r="D8" s="25">
        <v>3000</v>
      </c>
      <c r="E8" s="25">
        <v>4000</v>
      </c>
      <c r="F8" s="25">
        <v>0</v>
      </c>
      <c r="G8" s="25">
        <v>2000</v>
      </c>
      <c r="H8" s="25">
        <f t="shared" si="1"/>
        <v>24000</v>
      </c>
      <c r="I8" s="25">
        <v>1000</v>
      </c>
      <c r="J8" s="25">
        <v>3000</v>
      </c>
      <c r="K8" s="25">
        <v>0</v>
      </c>
      <c r="L8" s="25">
        <v>0</v>
      </c>
      <c r="M8" s="25">
        <v>1000</v>
      </c>
      <c r="N8" s="25">
        <v>1000</v>
      </c>
      <c r="O8" s="25">
        <f t="shared" si="2"/>
        <v>6000</v>
      </c>
      <c r="P8" s="25">
        <f t="shared" si="3"/>
        <v>30000</v>
      </c>
    </row>
    <row r="9" spans="1:16" ht="12" customHeight="1" x14ac:dyDescent="0.15">
      <c r="A9" s="24" t="s">
        <v>4</v>
      </c>
      <c r="B9" s="32">
        <f t="shared" ref="B9:G9" si="4">SUM(B10:B26)</f>
        <v>16887065</v>
      </c>
      <c r="C9" s="32">
        <f t="shared" si="4"/>
        <v>18417300</v>
      </c>
      <c r="D9" s="32">
        <f t="shared" si="4"/>
        <v>17575650</v>
      </c>
      <c r="E9" s="32">
        <f t="shared" si="4"/>
        <v>18548460</v>
      </c>
      <c r="F9" s="32">
        <f t="shared" si="4"/>
        <v>17986710</v>
      </c>
      <c r="G9" s="32">
        <f t="shared" si="4"/>
        <v>17615050</v>
      </c>
      <c r="H9" s="32">
        <f t="shared" si="1"/>
        <v>107030235</v>
      </c>
      <c r="I9" s="32">
        <f t="shared" ref="I9:N9" si="5">SUM(I10:I26)</f>
        <v>18585650</v>
      </c>
      <c r="J9" s="32">
        <f t="shared" si="5"/>
        <v>17620330</v>
      </c>
      <c r="K9" s="32">
        <f t="shared" si="5"/>
        <v>17182980</v>
      </c>
      <c r="L9" s="32">
        <f t="shared" si="5"/>
        <v>16312180</v>
      </c>
      <c r="M9" s="32">
        <f t="shared" si="5"/>
        <v>16521200</v>
      </c>
      <c r="N9" s="32">
        <f t="shared" si="5"/>
        <v>18369630</v>
      </c>
      <c r="O9" s="32">
        <f t="shared" si="2"/>
        <v>104591970</v>
      </c>
      <c r="P9" s="32">
        <f t="shared" si="3"/>
        <v>211622205</v>
      </c>
    </row>
    <row r="10" spans="1:16" ht="12" customHeight="1" x14ac:dyDescent="0.15">
      <c r="A10" s="47" t="s">
        <v>94</v>
      </c>
      <c r="B10" s="25">
        <v>2538680</v>
      </c>
      <c r="C10" s="25">
        <f>5277650-2538680</f>
        <v>2738970</v>
      </c>
      <c r="D10" s="25">
        <f>8005580-5277650</f>
        <v>2727930</v>
      </c>
      <c r="E10" s="25">
        <f>10730410-8005580</f>
        <v>2724830</v>
      </c>
      <c r="F10" s="25">
        <f>13407160-10730410</f>
        <v>2676750</v>
      </c>
      <c r="G10" s="25">
        <f>16060810-13407160</f>
        <v>2653650</v>
      </c>
      <c r="H10" s="25">
        <f t="shared" si="1"/>
        <v>16060810</v>
      </c>
      <c r="I10" s="25">
        <f>18785170-16060810</f>
        <v>2724360</v>
      </c>
      <c r="J10" s="25">
        <f>21474500-18785170</f>
        <v>2689330</v>
      </c>
      <c r="K10" s="25">
        <f>24125220-21474500</f>
        <v>2650720</v>
      </c>
      <c r="L10" s="25">
        <f>26759880-24125220</f>
        <v>2634660</v>
      </c>
      <c r="M10" s="25">
        <f>29294200-26759880</f>
        <v>2534320</v>
      </c>
      <c r="N10" s="25">
        <f>31844030-29294200</f>
        <v>2549830</v>
      </c>
      <c r="O10" s="25">
        <f t="shared" si="2"/>
        <v>15783220</v>
      </c>
      <c r="P10" s="25">
        <f t="shared" si="3"/>
        <v>31844030</v>
      </c>
    </row>
    <row r="11" spans="1:16" ht="12" customHeight="1" x14ac:dyDescent="0.15">
      <c r="A11" s="48" t="s">
        <v>247</v>
      </c>
      <c r="B11" s="25">
        <v>179040</v>
      </c>
      <c r="C11" s="25">
        <v>164800</v>
      </c>
      <c r="D11" s="25">
        <v>187020</v>
      </c>
      <c r="E11" s="25">
        <v>173880</v>
      </c>
      <c r="F11" s="25">
        <v>188160</v>
      </c>
      <c r="G11" s="25">
        <v>205440</v>
      </c>
      <c r="H11" s="25">
        <f t="shared" si="1"/>
        <v>1098340</v>
      </c>
      <c r="I11" s="25">
        <v>227280</v>
      </c>
      <c r="J11" s="25">
        <v>202860</v>
      </c>
      <c r="K11" s="25">
        <v>216000</v>
      </c>
      <c r="L11" s="25">
        <v>190440</v>
      </c>
      <c r="M11" s="25" ph="1">
        <v>181020</v>
      </c>
      <c r="N11" s="25">
        <v>188160</v>
      </c>
      <c r="O11" s="25">
        <f t="shared" si="2"/>
        <v>1205760</v>
      </c>
      <c r="P11" s="25">
        <f t="shared" si="3"/>
        <v>2304100</v>
      </c>
    </row>
    <row r="12" spans="1:16" ht="12" customHeight="1" x14ac:dyDescent="0.15">
      <c r="A12" s="48" t="s">
        <v>248</v>
      </c>
      <c r="B12" s="25">
        <f>54000+2625</f>
        <v>56625</v>
      </c>
      <c r="C12" s="25">
        <v>91800</v>
      </c>
      <c r="D12" s="25">
        <v>67500</v>
      </c>
      <c r="E12" s="25">
        <v>67500</v>
      </c>
      <c r="F12" s="25">
        <v>67500</v>
      </c>
      <c r="G12" s="25">
        <v>40500</v>
      </c>
      <c r="H12" s="25">
        <f t="shared" si="1"/>
        <v>391425</v>
      </c>
      <c r="I12" s="25">
        <v>32400</v>
      </c>
      <c r="J12" s="25">
        <v>64800</v>
      </c>
      <c r="K12" s="25">
        <v>54000</v>
      </c>
      <c r="L12" s="25">
        <v>64800</v>
      </c>
      <c r="M12" s="25">
        <v>32400</v>
      </c>
      <c r="N12" s="25">
        <v>51300</v>
      </c>
      <c r="O12" s="25">
        <f t="shared" si="2"/>
        <v>299700</v>
      </c>
      <c r="P12" s="25">
        <f t="shared" si="3"/>
        <v>691125</v>
      </c>
    </row>
    <row r="13" spans="1:16" ht="12" customHeight="1" x14ac:dyDescent="0.15">
      <c r="A13" s="47" t="s">
        <v>95</v>
      </c>
      <c r="B13" s="49">
        <f>4359520-265200+4893130-279600</f>
        <v>8707850</v>
      </c>
      <c r="C13" s="25">
        <f>9173490-4359520-286200-9600+10065230-4893130-294400-600</f>
        <v>9395270</v>
      </c>
      <c r="D13" s="25">
        <f>13641690-9173490-276000+14818850-10065230-274000</f>
        <v>8671820</v>
      </c>
      <c r="E13" s="25">
        <f>18360130-13641690-294600+19612910-14818850-278200</f>
        <v>8939700</v>
      </c>
      <c r="F13" s="25">
        <f>22812210-18360130-282600-4200+23963860-19612910-259200-600</f>
        <v>8256430</v>
      </c>
      <c r="G13" s="25">
        <f>27351340-22812210-287400+28715170-23963860-281000-2400</f>
        <v>8719640</v>
      </c>
      <c r="H13" s="25">
        <f t="shared" si="1"/>
        <v>52690710</v>
      </c>
      <c r="I13" s="25">
        <f>32044680-27351340-284400-2400+33482700-28715170-283400</f>
        <v>8890670</v>
      </c>
      <c r="J13" s="25">
        <f>36453820-32044680-281400+38110870-33482700-258800</f>
        <v>8497110</v>
      </c>
      <c r="K13" s="25">
        <f>40815190-275800+42419470-242400-38110870-36453820</f>
        <v>8151770</v>
      </c>
      <c r="L13" s="25">
        <f>45300430-40815190-281400-2400+46199690-42419470-207000-2200</f>
        <v>7772460</v>
      </c>
      <c r="M13" s="25">
        <f>49742850-45300430-275400-4800+50134070-46199690-221200</f>
        <v>7875400</v>
      </c>
      <c r="N13" s="25">
        <f>54701090-49742850-312000-3000+54418840-50134070-247800</f>
        <v>8680210</v>
      </c>
      <c r="O13" s="25">
        <f t="shared" si="2"/>
        <v>49867620</v>
      </c>
      <c r="P13" s="25">
        <f t="shared" si="3"/>
        <v>102558330</v>
      </c>
    </row>
    <row r="14" spans="1:16" ht="12" customHeight="1" x14ac:dyDescent="0.15">
      <c r="A14" s="21" t="s">
        <v>58</v>
      </c>
      <c r="B14" s="25">
        <f>265200+279600</f>
        <v>544800</v>
      </c>
      <c r="C14" s="25">
        <f>286200+9600+294400+600</f>
        <v>590800</v>
      </c>
      <c r="D14" s="25">
        <f>276000+274000</f>
        <v>550000</v>
      </c>
      <c r="E14" s="25">
        <f>278200+294600</f>
        <v>572800</v>
      </c>
      <c r="F14" s="25">
        <f>282600+4200+259200+600</f>
        <v>546600</v>
      </c>
      <c r="G14" s="25">
        <f>281000+2400+287400</f>
        <v>570800</v>
      </c>
      <c r="H14" s="25">
        <f t="shared" si="1"/>
        <v>3375800</v>
      </c>
      <c r="I14" s="25">
        <f>284400+2400+283400</f>
        <v>570200</v>
      </c>
      <c r="J14" s="25">
        <f>281400+258800</f>
        <v>540200</v>
      </c>
      <c r="K14" s="25">
        <f>275800+242400</f>
        <v>518200</v>
      </c>
      <c r="L14" s="25">
        <f>281400+2400+207000+2200</f>
        <v>493000</v>
      </c>
      <c r="M14" s="25">
        <f>221200+275400+4800</f>
        <v>501400</v>
      </c>
      <c r="N14" s="25">
        <f>247800+312000+3000</f>
        <v>562800</v>
      </c>
      <c r="O14" s="25">
        <f t="shared" si="2"/>
        <v>3185800</v>
      </c>
      <c r="P14" s="25">
        <f t="shared" si="3"/>
        <v>6561600</v>
      </c>
    </row>
    <row r="15" spans="1:16" ht="12" customHeight="1" x14ac:dyDescent="0.15">
      <c r="A15" s="47" t="s">
        <v>96</v>
      </c>
      <c r="B15" s="25">
        <f>792910-68400+430140-41400</f>
        <v>1113250</v>
      </c>
      <c r="C15" s="25">
        <f>1712280-792910-77400+827420-430140-38400</f>
        <v>1200850</v>
      </c>
      <c r="D15" s="25">
        <f>2656900-1712280-80400+1223910-827420-39000</f>
        <v>1221710</v>
      </c>
      <c r="E15" s="25">
        <f>3647470-2656900-88200-1200+1643220-1223910-42000</f>
        <v>1278480</v>
      </c>
      <c r="F15" s="25">
        <f>4759420-3647470-90000-2400+2009020-1643220-34200</f>
        <v>1351150</v>
      </c>
      <c r="G15" s="25">
        <f>5857500-4759420-93000+2375230-2009020-36000</f>
        <v>1335290</v>
      </c>
      <c r="H15" s="25">
        <f t="shared" si="1"/>
        <v>7500730</v>
      </c>
      <c r="I15" s="25">
        <f>6878930-5857500-85800+2833720-2375230-43800</f>
        <v>1350320</v>
      </c>
      <c r="J15" s="25">
        <f>7899160-6878930-84600+3287080-2833720-37800</f>
        <v>1351190</v>
      </c>
      <c r="K15" s="25">
        <f>8834530-7899160-1800-67800+3674940-3287080-36000</f>
        <v>1217630</v>
      </c>
      <c r="L15" s="25">
        <f>9788090-8834530-69600-1800+4126490-3674940-35400</f>
        <v>1298310</v>
      </c>
      <c r="M15" s="25">
        <f>10712690-9788090-70800-600+4551690-4126490-36000</f>
        <v>1242400</v>
      </c>
      <c r="N15" s="25">
        <f>11584590-10712690-70200+5031930-4551690-39000</f>
        <v>1242940</v>
      </c>
      <c r="O15" s="25">
        <f t="shared" si="2"/>
        <v>7702790</v>
      </c>
      <c r="P15" s="25">
        <f t="shared" si="3"/>
        <v>15203520</v>
      </c>
    </row>
    <row r="16" spans="1:16" ht="12" customHeight="1" x14ac:dyDescent="0.15">
      <c r="A16" s="21" t="s">
        <v>59</v>
      </c>
      <c r="B16" s="25">
        <f>68400+41400</f>
        <v>109800</v>
      </c>
      <c r="C16" s="25">
        <f>77400+38400</f>
        <v>115800</v>
      </c>
      <c r="D16" s="25">
        <f>39000+80400</f>
        <v>119400</v>
      </c>
      <c r="E16" s="25">
        <f>42000+88200+1200</f>
        <v>131400</v>
      </c>
      <c r="F16" s="25">
        <f>90000+2400+34200</f>
        <v>126600</v>
      </c>
      <c r="G16" s="25">
        <f>36000+93000</f>
        <v>129000</v>
      </c>
      <c r="H16" s="25">
        <f t="shared" si="1"/>
        <v>732000</v>
      </c>
      <c r="I16" s="25">
        <f>85800+43800</f>
        <v>129600</v>
      </c>
      <c r="J16" s="25">
        <f>84600+37800</f>
        <v>122400</v>
      </c>
      <c r="K16" s="25">
        <f>1800+67800+36000</f>
        <v>105600</v>
      </c>
      <c r="L16" s="25">
        <f>69600+1800+35400</f>
        <v>106800</v>
      </c>
      <c r="M16" s="25">
        <f>70800+600+36000</f>
        <v>107400</v>
      </c>
      <c r="N16" s="25">
        <f>39000+70200</f>
        <v>109200</v>
      </c>
      <c r="O16" s="25">
        <f t="shared" si="2"/>
        <v>681000</v>
      </c>
      <c r="P16" s="25">
        <f t="shared" si="3"/>
        <v>1413000</v>
      </c>
    </row>
    <row r="17" spans="1:16" ht="12" customHeight="1" x14ac:dyDescent="0.15">
      <c r="A17" s="50" t="s">
        <v>120</v>
      </c>
      <c r="B17" s="25">
        <f>2530650-3600-108600-1500</f>
        <v>2416950</v>
      </c>
      <c r="C17" s="25">
        <f>5229748-2530650-3000-114000</f>
        <v>2582098</v>
      </c>
      <c r="D17" s="25">
        <f>7697558-5229748-103800-3000</f>
        <v>2361010</v>
      </c>
      <c r="E17" s="25">
        <f>10631476-7697558-124200-3000</f>
        <v>2806718</v>
      </c>
      <c r="F17" s="25">
        <f>13542786-10631476-121200-3600</f>
        <v>2786510</v>
      </c>
      <c r="G17" s="25">
        <f>16166226-13542786-109200-3000</f>
        <v>2511240</v>
      </c>
      <c r="H17" s="25">
        <f t="shared" si="1"/>
        <v>15464526</v>
      </c>
      <c r="I17" s="25">
        <f>19308746-16166226-121800-3000-8400</f>
        <v>3009320</v>
      </c>
      <c r="J17" s="25">
        <f>22138706-19308746-117000-2400</f>
        <v>2710560</v>
      </c>
      <c r="K17" s="25">
        <f>25030396-22138706-120800-2700</f>
        <v>2768190</v>
      </c>
      <c r="L17" s="25">
        <f>27512796-25030396-104400-2400</f>
        <v>2375600</v>
      </c>
      <c r="M17" s="25">
        <f>30276236-27512796-111000-2700</f>
        <v>2649740</v>
      </c>
      <c r="N17" s="25">
        <f>33161806-30276236-116700-3000-158</f>
        <v>2765712</v>
      </c>
      <c r="O17" s="25">
        <f t="shared" si="2"/>
        <v>16279122</v>
      </c>
      <c r="P17" s="25">
        <f t="shared" si="3"/>
        <v>31743648</v>
      </c>
    </row>
    <row r="18" spans="1:16" ht="12" customHeight="1" x14ac:dyDescent="0.15">
      <c r="A18" s="21" t="s">
        <v>59</v>
      </c>
      <c r="B18" s="25">
        <f>3600+108600+1500</f>
        <v>113700</v>
      </c>
      <c r="C18" s="25">
        <v>117000</v>
      </c>
      <c r="D18" s="25">
        <v>106800</v>
      </c>
      <c r="E18" s="25">
        <f>124200+3000</f>
        <v>127200</v>
      </c>
      <c r="F18" s="25">
        <f>121200+3600</f>
        <v>124800</v>
      </c>
      <c r="G18" s="25">
        <f>109200+3000</f>
        <v>112200</v>
      </c>
      <c r="H18" s="25">
        <f t="shared" si="1"/>
        <v>701700</v>
      </c>
      <c r="I18" s="25">
        <f>121800+3000+8400</f>
        <v>133200</v>
      </c>
      <c r="J18" s="25">
        <f>117000+2400</f>
        <v>119400</v>
      </c>
      <c r="K18" s="25">
        <f>120800+2700</f>
        <v>123500</v>
      </c>
      <c r="L18" s="25">
        <f>104400+2400</f>
        <v>106800</v>
      </c>
      <c r="M18" s="25">
        <f>111000+2700</f>
        <v>113700</v>
      </c>
      <c r="N18" s="25">
        <v>119700</v>
      </c>
      <c r="O18" s="25">
        <f t="shared" si="2"/>
        <v>716300</v>
      </c>
      <c r="P18" s="25">
        <f t="shared" si="3"/>
        <v>1418000</v>
      </c>
    </row>
    <row r="19" spans="1:16" ht="12" customHeight="1" x14ac:dyDescent="0.15">
      <c r="A19" s="51" t="s">
        <v>245</v>
      </c>
      <c r="B19" s="25">
        <v>256770</v>
      </c>
      <c r="C19" s="25">
        <f>532882-256770</f>
        <v>276112</v>
      </c>
      <c r="D19" s="25">
        <f>789342-532882</f>
        <v>256460</v>
      </c>
      <c r="E19" s="25">
        <f>1064744-789342</f>
        <v>275402</v>
      </c>
      <c r="F19" s="25">
        <f>1328204-1064744</f>
        <v>263460</v>
      </c>
      <c r="G19" s="25">
        <f>1592094-1328204</f>
        <v>263890</v>
      </c>
      <c r="H19" s="25">
        <f t="shared" si="1"/>
        <v>1592094</v>
      </c>
      <c r="I19" s="25">
        <f>1873944-1592094</f>
        <v>281850</v>
      </c>
      <c r="J19" s="25">
        <f>2139674-1873944</f>
        <v>265730</v>
      </c>
      <c r="K19" s="25">
        <f>2397994-2139674</f>
        <v>258320</v>
      </c>
      <c r="L19" s="25">
        <f>2639254-2397994</f>
        <v>241260</v>
      </c>
      <c r="M19" s="25">
        <f>2889374-2639254</f>
        <v>250120</v>
      </c>
      <c r="N19" s="25">
        <f>3158144-2889374+158</f>
        <v>268928</v>
      </c>
      <c r="O19" s="25">
        <f>SUM(I19:N19)</f>
        <v>1566208</v>
      </c>
      <c r="P19" s="25">
        <f t="shared" si="3"/>
        <v>3158302</v>
      </c>
    </row>
    <row r="20" spans="1:16" ht="12" customHeight="1" x14ac:dyDescent="0.15">
      <c r="A20" s="47" t="s">
        <v>119</v>
      </c>
      <c r="B20" s="25">
        <v>92400</v>
      </c>
      <c r="C20" s="25">
        <f>169200-92400</f>
        <v>76800</v>
      </c>
      <c r="D20" s="25">
        <f>240000-169200</f>
        <v>70800</v>
      </c>
      <c r="E20" s="25">
        <f>333600-240000</f>
        <v>93600</v>
      </c>
      <c r="F20" s="25">
        <f>387600-333600</f>
        <v>54000</v>
      </c>
      <c r="G20" s="25">
        <f>465600-387600</f>
        <v>78000</v>
      </c>
      <c r="H20" s="25">
        <f t="shared" si="1"/>
        <v>465600</v>
      </c>
      <c r="I20" s="25">
        <f>553200-465600</f>
        <v>87600</v>
      </c>
      <c r="J20" s="25">
        <f>613200-553200</f>
        <v>60000</v>
      </c>
      <c r="K20" s="25">
        <f>676800-613200</f>
        <v>63600</v>
      </c>
      <c r="L20" s="25">
        <f>736200-676800</f>
        <v>59400</v>
      </c>
      <c r="M20" s="25">
        <f>787800-736200</f>
        <v>51600</v>
      </c>
      <c r="N20" s="25">
        <f>847800-787800</f>
        <v>60000</v>
      </c>
      <c r="O20" s="25">
        <f t="shared" si="2"/>
        <v>382200</v>
      </c>
      <c r="P20" s="25">
        <f t="shared" si="3"/>
        <v>847800</v>
      </c>
    </row>
    <row r="21" spans="1:16" ht="12" customHeight="1" x14ac:dyDescent="0.15">
      <c r="A21" s="47" t="s">
        <v>97</v>
      </c>
      <c r="B21" s="25">
        <v>16900</v>
      </c>
      <c r="C21" s="25">
        <f>77600-16900</f>
        <v>60700</v>
      </c>
      <c r="D21" s="25">
        <f>281300-77600</f>
        <v>203700</v>
      </c>
      <c r="E21" s="25">
        <f>288000-281300</f>
        <v>6700</v>
      </c>
      <c r="F21" s="25">
        <f>363000-288000</f>
        <v>75000</v>
      </c>
      <c r="G21" s="25">
        <f>378000-363000</f>
        <v>15000</v>
      </c>
      <c r="H21" s="25">
        <f t="shared" si="1"/>
        <v>378000</v>
      </c>
      <c r="I21" s="25">
        <f>480800-378000</f>
        <v>102800</v>
      </c>
      <c r="J21" s="25">
        <f>494000-480800</f>
        <v>13200</v>
      </c>
      <c r="K21" s="25">
        <f>532450-494000</f>
        <v>38450</v>
      </c>
      <c r="L21" s="25">
        <f>544950-532450</f>
        <v>12500</v>
      </c>
      <c r="M21" s="25">
        <f>564250-544950</f>
        <v>19300</v>
      </c>
      <c r="N21" s="25">
        <f>579550-564250</f>
        <v>15300</v>
      </c>
      <c r="O21" s="25">
        <f t="shared" si="2"/>
        <v>201550</v>
      </c>
      <c r="P21" s="25">
        <f t="shared" si="3"/>
        <v>579550</v>
      </c>
    </row>
    <row r="22" spans="1:16" ht="12" customHeight="1" x14ac:dyDescent="0.15">
      <c r="A22" s="47" t="s">
        <v>98</v>
      </c>
      <c r="B22" s="25">
        <v>106100</v>
      </c>
      <c r="C22" s="25">
        <f>220100-106100</f>
        <v>114000</v>
      </c>
      <c r="D22" s="25">
        <f>359500-220100</f>
        <v>139400</v>
      </c>
      <c r="E22" s="25">
        <f>559450-359500</f>
        <v>199950</v>
      </c>
      <c r="F22" s="25">
        <f>732900-559450</f>
        <v>173450</v>
      </c>
      <c r="G22" s="25">
        <f>845400-732900</f>
        <v>112500</v>
      </c>
      <c r="H22" s="25">
        <f t="shared" si="1"/>
        <v>845400</v>
      </c>
      <c r="I22" s="25">
        <f>998200-845400</f>
        <v>152800</v>
      </c>
      <c r="J22" s="25">
        <f>1150600-998200</f>
        <v>152400</v>
      </c>
      <c r="K22" s="25">
        <f>1327650-1150600</f>
        <v>177050</v>
      </c>
      <c r="L22" s="25">
        <f>1399400-1327650</f>
        <v>71750</v>
      </c>
      <c r="M22" s="25">
        <f>1523800-1399400</f>
        <v>124400</v>
      </c>
      <c r="N22" s="25">
        <f>1701250-1523800</f>
        <v>177450</v>
      </c>
      <c r="O22" s="25">
        <f t="shared" si="2"/>
        <v>855850</v>
      </c>
      <c r="P22" s="25">
        <f t="shared" si="3"/>
        <v>1701250</v>
      </c>
    </row>
    <row r="23" spans="1:16" ht="12" customHeight="1" x14ac:dyDescent="0.15">
      <c r="A23" s="47" t="s">
        <v>249</v>
      </c>
      <c r="B23" s="25">
        <v>316900</v>
      </c>
      <c r="C23" s="25">
        <f>533450-316900</f>
        <v>216550</v>
      </c>
      <c r="D23" s="25">
        <f>767250-533450</f>
        <v>233800</v>
      </c>
      <c r="E23" s="25">
        <f>1079950-767250</f>
        <v>312700</v>
      </c>
      <c r="F23" s="25">
        <f>1425600-1079950</f>
        <v>345650</v>
      </c>
      <c r="G23" s="25">
        <f>1646250-1425600</f>
        <v>220650</v>
      </c>
      <c r="H23" s="25">
        <f t="shared" si="1"/>
        <v>1646250</v>
      </c>
      <c r="I23" s="25">
        <f>1867750-1646250</f>
        <v>221500</v>
      </c>
      <c r="J23" s="25">
        <f>2050400-1867750</f>
        <v>182650</v>
      </c>
      <c r="K23" s="25">
        <f>2244050-2050400</f>
        <v>193650</v>
      </c>
      <c r="L23" s="25">
        <f>2436400-2244050</f>
        <v>192350</v>
      </c>
      <c r="M23" s="25">
        <f>2598500-2436400</f>
        <v>162100</v>
      </c>
      <c r="N23" s="25">
        <f>2854300-2598500</f>
        <v>255800</v>
      </c>
      <c r="O23" s="25">
        <f t="shared" si="2"/>
        <v>1208050</v>
      </c>
      <c r="P23" s="25">
        <f t="shared" si="3"/>
        <v>2854300</v>
      </c>
    </row>
    <row r="24" spans="1:16" ht="12" customHeight="1" x14ac:dyDescent="0.15">
      <c r="A24" s="47" t="s">
        <v>250</v>
      </c>
      <c r="B24" s="25">
        <v>227250</v>
      </c>
      <c r="C24" s="25">
        <f>340100-227250</f>
        <v>112850</v>
      </c>
      <c r="D24" s="25">
        <f>433750-340100</f>
        <v>93650</v>
      </c>
      <c r="E24" s="25">
        <f>679250-433750</f>
        <v>245500</v>
      </c>
      <c r="F24" s="25">
        <f>1018750-679250</f>
        <v>339500</v>
      </c>
      <c r="G24" s="25">
        <f>1111650-1018750</f>
        <v>92900</v>
      </c>
      <c r="H24" s="25">
        <f t="shared" si="1"/>
        <v>1111650</v>
      </c>
      <c r="I24" s="25">
        <f>1213800-1111650</f>
        <v>102150</v>
      </c>
      <c r="J24" s="25">
        <f>1310250-1213800</f>
        <v>96450</v>
      </c>
      <c r="K24" s="25">
        <f>1409050-1310250</f>
        <v>98800</v>
      </c>
      <c r="L24" s="25">
        <f>1508600-1409050</f>
        <v>99550</v>
      </c>
      <c r="M24" s="25">
        <f>1589450-1508600</f>
        <v>80850</v>
      </c>
      <c r="N24" s="25">
        <f>1743100-1589450</f>
        <v>153650</v>
      </c>
      <c r="O24" s="25">
        <f t="shared" si="2"/>
        <v>631450</v>
      </c>
      <c r="P24" s="25">
        <f t="shared" si="3"/>
        <v>1743100</v>
      </c>
    </row>
    <row r="25" spans="1:16" ht="12" customHeight="1" x14ac:dyDescent="0.15">
      <c r="A25" s="47" t="s">
        <v>251</v>
      </c>
      <c r="B25" s="25">
        <v>90050</v>
      </c>
      <c r="C25" s="25">
        <f>172950-90050</f>
        <v>82900</v>
      </c>
      <c r="D25" s="25">
        <f>257600-172950</f>
        <v>84650</v>
      </c>
      <c r="E25" s="25">
        <f>369700-257600</f>
        <v>112100</v>
      </c>
      <c r="F25" s="25">
        <f>500850-369700</f>
        <v>131150</v>
      </c>
      <c r="G25" s="25">
        <f>575200-500850</f>
        <v>74350</v>
      </c>
      <c r="H25" s="25">
        <f t="shared" si="1"/>
        <v>575200</v>
      </c>
      <c r="I25" s="25">
        <f>664800-575200</f>
        <v>89600</v>
      </c>
      <c r="J25" s="25">
        <f>736850-664800</f>
        <v>72050</v>
      </c>
      <c r="K25" s="25">
        <f>804350-736850</f>
        <v>67500</v>
      </c>
      <c r="L25" s="25">
        <f>876850-804350</f>
        <v>72500</v>
      </c>
      <c r="M25" s="25">
        <f>951900-876850</f>
        <v>75050</v>
      </c>
      <c r="N25" s="25">
        <f>1043550-951900</f>
        <v>91650</v>
      </c>
      <c r="O25" s="25">
        <f>SUM(I25:N25)</f>
        <v>468350</v>
      </c>
      <c r="P25" s="25">
        <f>H25+O25</f>
        <v>1043550</v>
      </c>
    </row>
    <row r="26" spans="1:16" ht="12" customHeight="1" x14ac:dyDescent="0.15">
      <c r="A26" s="21" t="s">
        <v>99</v>
      </c>
      <c r="B26" s="25">
        <v>0</v>
      </c>
      <c r="C26" s="25">
        <v>480000</v>
      </c>
      <c r="D26" s="25">
        <v>480000</v>
      </c>
      <c r="E26" s="25">
        <v>480000</v>
      </c>
      <c r="F26" s="25">
        <v>480000</v>
      </c>
      <c r="G26" s="25">
        <v>480000</v>
      </c>
      <c r="H26" s="25">
        <f t="shared" si="1"/>
        <v>2400000</v>
      </c>
      <c r="I26" s="25">
        <v>480000</v>
      </c>
      <c r="J26" s="25">
        <v>480000</v>
      </c>
      <c r="K26" s="25">
        <v>480000</v>
      </c>
      <c r="L26" s="25">
        <v>520000</v>
      </c>
      <c r="M26" s="25">
        <v>520000</v>
      </c>
      <c r="N26" s="25">
        <f>520000+557000</f>
        <v>1077000</v>
      </c>
      <c r="O26" s="25">
        <f t="shared" si="2"/>
        <v>3557000</v>
      </c>
      <c r="P26" s="25">
        <f t="shared" si="3"/>
        <v>5957000</v>
      </c>
    </row>
    <row r="27" spans="1:16" ht="12" customHeight="1" x14ac:dyDescent="0.15">
      <c r="A27" s="24" t="s">
        <v>11</v>
      </c>
      <c r="B27" s="32">
        <v>6000</v>
      </c>
      <c r="C27" s="32">
        <f>41000-6000</f>
        <v>35000</v>
      </c>
      <c r="D27" s="32">
        <v>0</v>
      </c>
      <c r="E27" s="32">
        <v>0</v>
      </c>
      <c r="F27" s="32">
        <v>6000</v>
      </c>
      <c r="G27" s="32">
        <v>10000</v>
      </c>
      <c r="H27" s="32">
        <f t="shared" si="1"/>
        <v>57000</v>
      </c>
      <c r="I27" s="32">
        <v>30000</v>
      </c>
      <c r="J27" s="32">
        <f>15000+25000</f>
        <v>40000</v>
      </c>
      <c r="K27" s="32">
        <f>174000-127000</f>
        <v>47000</v>
      </c>
      <c r="L27" s="32">
        <v>22000</v>
      </c>
      <c r="M27" s="32">
        <v>10000</v>
      </c>
      <c r="N27" s="32">
        <f>257200-206000</f>
        <v>51200</v>
      </c>
      <c r="O27" s="32">
        <f t="shared" si="2"/>
        <v>200200</v>
      </c>
      <c r="P27" s="32">
        <f t="shared" si="3"/>
        <v>257200</v>
      </c>
    </row>
    <row r="28" spans="1:16" ht="12" customHeight="1" x14ac:dyDescent="0.15">
      <c r="A28" s="24" t="s">
        <v>246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f t="shared" si="1"/>
        <v>0</v>
      </c>
      <c r="I28" s="32">
        <v>0</v>
      </c>
      <c r="J28" s="32">
        <v>0</v>
      </c>
      <c r="K28" s="32">
        <v>350000</v>
      </c>
      <c r="L28" s="32">
        <v>0</v>
      </c>
      <c r="M28" s="32">
        <v>0</v>
      </c>
      <c r="N28" s="32">
        <v>0</v>
      </c>
      <c r="O28" s="32">
        <f t="shared" si="2"/>
        <v>350000</v>
      </c>
      <c r="P28" s="32">
        <f t="shared" si="3"/>
        <v>350000</v>
      </c>
    </row>
    <row r="29" spans="1:16" ht="12" customHeight="1" x14ac:dyDescent="0.15">
      <c r="A29" s="24" t="s">
        <v>12</v>
      </c>
      <c r="B29" s="32">
        <v>105169</v>
      </c>
      <c r="C29" s="32">
        <f>186464-105169</f>
        <v>81295</v>
      </c>
      <c r="D29" s="32">
        <f>238896-186464</f>
        <v>52432</v>
      </c>
      <c r="E29" s="32">
        <f>315905-238896</f>
        <v>77009</v>
      </c>
      <c r="F29" s="32">
        <f>381036-315905</f>
        <v>65131</v>
      </c>
      <c r="G29" s="32">
        <f>463915-381036</f>
        <v>82879</v>
      </c>
      <c r="H29" s="32">
        <f t="shared" si="1"/>
        <v>463915</v>
      </c>
      <c r="I29" s="32">
        <f>633023-463915</f>
        <v>169108</v>
      </c>
      <c r="J29" s="32">
        <f>709704-633023</f>
        <v>76681</v>
      </c>
      <c r="K29" s="32">
        <f>805012-709704</f>
        <v>95308</v>
      </c>
      <c r="L29" s="32">
        <f>897712-805012</f>
        <v>92700</v>
      </c>
      <c r="M29" s="32">
        <f>975307-897712</f>
        <v>77595</v>
      </c>
      <c r="N29" s="32">
        <f>1039720-975307</f>
        <v>64413</v>
      </c>
      <c r="O29" s="32">
        <f t="shared" si="2"/>
        <v>575805</v>
      </c>
      <c r="P29" s="32">
        <f t="shared" si="3"/>
        <v>1039720</v>
      </c>
    </row>
    <row r="30" spans="1:16" ht="12" customHeight="1" x14ac:dyDescent="0.15">
      <c r="A30" s="24" t="s">
        <v>274</v>
      </c>
      <c r="B30" s="32">
        <v>14400</v>
      </c>
      <c r="C30" s="32">
        <f>24000-14400</f>
        <v>9600</v>
      </c>
      <c r="D30" s="32">
        <f>35000-24000</f>
        <v>11000</v>
      </c>
      <c r="E30" s="32">
        <f>47600-35000</f>
        <v>12600</v>
      </c>
      <c r="F30" s="32">
        <f>59000-47600</f>
        <v>11400</v>
      </c>
      <c r="G30" s="32">
        <f>78200-59000</f>
        <v>19200</v>
      </c>
      <c r="H30" s="32">
        <f t="shared" si="1"/>
        <v>78200</v>
      </c>
      <c r="I30" s="32">
        <f>96200-78200</f>
        <v>18000</v>
      </c>
      <c r="J30" s="32">
        <f>112400-96200</f>
        <v>16200</v>
      </c>
      <c r="K30" s="32">
        <f>133000-112400</f>
        <v>20600</v>
      </c>
      <c r="L30" s="32">
        <f>149800-133000</f>
        <v>16800</v>
      </c>
      <c r="M30" s="32">
        <f>164400-149800</f>
        <v>14600</v>
      </c>
      <c r="N30" s="32">
        <f>186600-164400</f>
        <v>22200</v>
      </c>
      <c r="O30" s="32">
        <f t="shared" si="2"/>
        <v>108400</v>
      </c>
      <c r="P30" s="32">
        <f t="shared" si="3"/>
        <v>186600</v>
      </c>
    </row>
    <row r="31" spans="1:16" ht="12" customHeight="1" x14ac:dyDescent="0.15">
      <c r="A31" s="52" t="s">
        <v>13</v>
      </c>
      <c r="B31" s="32">
        <f t="shared" ref="B31:G31" si="6">B5+B9+B27+B28+B29+B30</f>
        <v>17147634</v>
      </c>
      <c r="C31" s="32">
        <f t="shared" si="6"/>
        <v>18560195</v>
      </c>
      <c r="D31" s="32">
        <f t="shared" si="6"/>
        <v>17654082</v>
      </c>
      <c r="E31" s="32">
        <f t="shared" si="6"/>
        <v>18651069</v>
      </c>
      <c r="F31" s="32">
        <f t="shared" si="6"/>
        <v>18076241</v>
      </c>
      <c r="G31" s="32">
        <f t="shared" si="6"/>
        <v>17733129</v>
      </c>
      <c r="H31" s="32">
        <f t="shared" si="1"/>
        <v>107822350</v>
      </c>
      <c r="I31" s="32">
        <f t="shared" ref="I31:N31" si="7">I5+I9+I27+I28+I29+I30</f>
        <v>18808758</v>
      </c>
      <c r="J31" s="32">
        <f t="shared" si="7"/>
        <v>17759211</v>
      </c>
      <c r="K31" s="32">
        <f t="shared" si="7"/>
        <v>17697888</v>
      </c>
      <c r="L31" s="32">
        <f t="shared" si="7"/>
        <v>16447680</v>
      </c>
      <c r="M31" s="32">
        <f t="shared" si="7"/>
        <v>16628395</v>
      </c>
      <c r="N31" s="32">
        <f t="shared" si="7"/>
        <v>18511443</v>
      </c>
      <c r="O31" s="32">
        <f t="shared" si="2"/>
        <v>105853375</v>
      </c>
      <c r="P31" s="32">
        <f t="shared" si="3"/>
        <v>213675725</v>
      </c>
    </row>
    <row r="32" spans="1:16" ht="12" customHeight="1" x14ac:dyDescent="0.15">
      <c r="A32" s="23" t="s">
        <v>124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12" customHeight="1" x14ac:dyDescent="0.15">
      <c r="A33" s="6" t="s">
        <v>15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ht="12" customHeight="1" x14ac:dyDescent="0.15">
      <c r="A34" s="23" t="s">
        <v>16</v>
      </c>
      <c r="B34" s="32">
        <f t="shared" ref="B34:N34" si="8">SUM(B35:B39)</f>
        <v>12066234</v>
      </c>
      <c r="C34" s="32">
        <f t="shared" si="8"/>
        <v>10841005</v>
      </c>
      <c r="D34" s="32">
        <f t="shared" si="8"/>
        <v>11398279</v>
      </c>
      <c r="E34" s="32">
        <f t="shared" si="8"/>
        <v>19072073</v>
      </c>
      <c r="F34" s="32">
        <f t="shared" si="8"/>
        <v>12123947</v>
      </c>
      <c r="G34" s="32">
        <f t="shared" si="8"/>
        <v>11956277</v>
      </c>
      <c r="H34" s="32">
        <f t="shared" ref="H34:H71" si="9">SUM(B34:G34)</f>
        <v>77457815</v>
      </c>
      <c r="I34" s="32">
        <f t="shared" si="8"/>
        <v>11334016</v>
      </c>
      <c r="J34" s="32">
        <f t="shared" si="8"/>
        <v>21938033</v>
      </c>
      <c r="K34" s="32">
        <f t="shared" si="8"/>
        <v>11830344</v>
      </c>
      <c r="L34" s="32">
        <f t="shared" si="8"/>
        <v>11285312</v>
      </c>
      <c r="M34" s="32">
        <f t="shared" si="8"/>
        <v>11550538</v>
      </c>
      <c r="N34" s="32">
        <f t="shared" si="8"/>
        <v>13645930</v>
      </c>
      <c r="O34" s="32">
        <f t="shared" si="2"/>
        <v>81584173</v>
      </c>
      <c r="P34" s="32">
        <f t="shared" si="3"/>
        <v>159041988</v>
      </c>
    </row>
    <row r="35" spans="1:16" ht="12" customHeight="1" x14ac:dyDescent="0.15">
      <c r="A35" s="6" t="s">
        <v>100</v>
      </c>
      <c r="B35" s="25">
        <v>420000</v>
      </c>
      <c r="C35" s="25">
        <v>420000</v>
      </c>
      <c r="D35" s="25">
        <v>420000</v>
      </c>
      <c r="E35" s="25">
        <v>420000</v>
      </c>
      <c r="F35" s="25">
        <v>420000</v>
      </c>
      <c r="G35" s="25">
        <v>420000</v>
      </c>
      <c r="H35" s="25">
        <f t="shared" si="9"/>
        <v>2520000</v>
      </c>
      <c r="I35" s="25">
        <v>420000</v>
      </c>
      <c r="J35" s="25">
        <v>420000</v>
      </c>
      <c r="K35" s="25">
        <v>420000</v>
      </c>
      <c r="L35" s="25">
        <v>420000</v>
      </c>
      <c r="M35" s="25">
        <v>420000</v>
      </c>
      <c r="N35" s="25">
        <v>420000</v>
      </c>
      <c r="O35" s="25">
        <f t="shared" si="2"/>
        <v>2520000</v>
      </c>
      <c r="P35" s="25">
        <f t="shared" si="3"/>
        <v>5040000</v>
      </c>
    </row>
    <row r="36" spans="1:16" ht="12" customHeight="1" x14ac:dyDescent="0.15">
      <c r="A36" s="6" t="s">
        <v>101</v>
      </c>
      <c r="B36" s="25">
        <v>9252575</v>
      </c>
      <c r="C36" s="25">
        <f>17507855-9252575</f>
        <v>8255280</v>
      </c>
      <c r="D36" s="25">
        <f>26114725-17504855</f>
        <v>8609870</v>
      </c>
      <c r="E36" s="25">
        <f>41748373-26117725</f>
        <v>15630648</v>
      </c>
      <c r="F36" s="25">
        <f>51324624-41748373</f>
        <v>9576251</v>
      </c>
      <c r="G36" s="25">
        <f>60659925-51324624</f>
        <v>9335301</v>
      </c>
      <c r="H36" s="25">
        <f t="shared" si="9"/>
        <v>60659925</v>
      </c>
      <c r="I36" s="25">
        <f>69534675-60659925</f>
        <v>8874750</v>
      </c>
      <c r="J36" s="25">
        <f>84915518-69534675</f>
        <v>15380843</v>
      </c>
      <c r="K36" s="25">
        <f>94176652-84915518</f>
        <v>9261134</v>
      </c>
      <c r="L36" s="25">
        <f>102834768-94176652</f>
        <v>8658116</v>
      </c>
      <c r="M36" s="25">
        <f>111851470-102834768</f>
        <v>9016702</v>
      </c>
      <c r="N36" s="25">
        <f>122968047-111851470</f>
        <v>11116577</v>
      </c>
      <c r="O36" s="25">
        <f t="shared" si="2"/>
        <v>62308122</v>
      </c>
      <c r="P36" s="25">
        <f t="shared" si="3"/>
        <v>122968047</v>
      </c>
    </row>
    <row r="37" spans="1:16" ht="12" customHeight="1" x14ac:dyDescent="0.15">
      <c r="A37" s="6" t="s">
        <v>102</v>
      </c>
      <c r="B37" s="25">
        <v>1359125</v>
      </c>
      <c r="C37" s="25">
        <f>2658625-1359125</f>
        <v>1299500</v>
      </c>
      <c r="D37" s="25">
        <f>3896075-2658625</f>
        <v>1237450</v>
      </c>
      <c r="E37" s="25">
        <f>5883100-3896075</f>
        <v>1987025</v>
      </c>
      <c r="F37" s="25">
        <f>7023425-5883100</f>
        <v>1140325</v>
      </c>
      <c r="G37" s="25">
        <f>8235900-7023425</f>
        <v>1212475</v>
      </c>
      <c r="H37" s="25">
        <f t="shared" si="9"/>
        <v>8235900</v>
      </c>
      <c r="I37" s="25">
        <f>9288025-8235900</f>
        <v>1052125</v>
      </c>
      <c r="J37" s="25">
        <f>14373800-9288025</f>
        <v>5085775</v>
      </c>
      <c r="K37" s="25">
        <f>15533250-14373800</f>
        <v>1159450</v>
      </c>
      <c r="L37" s="25">
        <f>16466575-15533250</f>
        <v>933325</v>
      </c>
      <c r="M37" s="25">
        <f>17638225-16466575</f>
        <v>1171650</v>
      </c>
      <c r="N37" s="25">
        <f>18780600-17638225</f>
        <v>1142375</v>
      </c>
      <c r="O37" s="25">
        <f t="shared" si="2"/>
        <v>10544700</v>
      </c>
      <c r="P37" s="25">
        <f t="shared" si="3"/>
        <v>18780600</v>
      </c>
    </row>
    <row r="38" spans="1:16" ht="12" customHeight="1" x14ac:dyDescent="0.15">
      <c r="A38" s="6" t="s">
        <v>19</v>
      </c>
      <c r="B38" s="25">
        <v>1034534</v>
      </c>
      <c r="C38" s="25">
        <f>1900759-1034534</f>
        <v>866225</v>
      </c>
      <c r="D38" s="25">
        <f>3031718-1900759</f>
        <v>1130959</v>
      </c>
      <c r="E38" s="25">
        <f>4066118-3031718</f>
        <v>1034400</v>
      </c>
      <c r="F38" s="25">
        <f>5053489-4066118</f>
        <v>987371</v>
      </c>
      <c r="G38" s="25">
        <f>6041990-5053489</f>
        <v>988501</v>
      </c>
      <c r="H38" s="25">
        <f t="shared" si="9"/>
        <v>6041990</v>
      </c>
      <c r="I38" s="25">
        <f>7029131-6041990</f>
        <v>987141</v>
      </c>
      <c r="J38" s="25">
        <f>8080546-7029131</f>
        <v>1051415</v>
      </c>
      <c r="K38" s="25">
        <f>9070306-8080546</f>
        <v>989760</v>
      </c>
      <c r="L38" s="25">
        <f>10344177-9070306</f>
        <v>1273871</v>
      </c>
      <c r="M38" s="25">
        <f>11286363-10344177</f>
        <v>942186</v>
      </c>
      <c r="N38" s="25">
        <f>12253341-11286363</f>
        <v>966978</v>
      </c>
      <c r="O38" s="25">
        <f t="shared" si="2"/>
        <v>6211351</v>
      </c>
      <c r="P38" s="25">
        <f t="shared" si="3"/>
        <v>12253341</v>
      </c>
    </row>
    <row r="39" spans="1:16" ht="12" customHeight="1" x14ac:dyDescent="0.15">
      <c r="A39" s="6" t="s">
        <v>117</v>
      </c>
      <c r="B39" s="25">
        <v>0</v>
      </c>
      <c r="C39" s="25"/>
      <c r="D39" s="25"/>
      <c r="E39" s="25"/>
      <c r="F39" s="25"/>
      <c r="G39" s="25"/>
      <c r="H39" s="25">
        <f t="shared" si="9"/>
        <v>0</v>
      </c>
      <c r="I39" s="25"/>
      <c r="J39" s="25"/>
      <c r="K39" s="25"/>
      <c r="L39" s="25"/>
      <c r="M39" s="25"/>
      <c r="N39" s="25"/>
      <c r="O39" s="25">
        <f t="shared" si="2"/>
        <v>0</v>
      </c>
      <c r="P39" s="25">
        <f t="shared" si="3"/>
        <v>0</v>
      </c>
    </row>
    <row r="40" spans="1:16" ht="12" customHeight="1" x14ac:dyDescent="0.15">
      <c r="A40" s="23" t="s">
        <v>20</v>
      </c>
      <c r="B40" s="32">
        <f>SUM(B41:B65)</f>
        <v>3712303</v>
      </c>
      <c r="C40" s="32">
        <f t="shared" ref="C40:N40" si="10">SUM(C41:C65)</f>
        <v>4186578</v>
      </c>
      <c r="D40" s="32">
        <f t="shared" si="10"/>
        <v>4606591</v>
      </c>
      <c r="E40" s="32">
        <f t="shared" si="10"/>
        <v>3291862</v>
      </c>
      <c r="F40" s="32">
        <f t="shared" si="10"/>
        <v>3274364</v>
      </c>
      <c r="G40" s="32">
        <f t="shared" si="10"/>
        <v>7005292</v>
      </c>
      <c r="H40" s="32">
        <f t="shared" si="9"/>
        <v>26076990</v>
      </c>
      <c r="I40" s="32">
        <f t="shared" si="10"/>
        <v>4275679</v>
      </c>
      <c r="J40" s="32">
        <f t="shared" si="10"/>
        <v>2944300</v>
      </c>
      <c r="K40" s="32">
        <f t="shared" si="10"/>
        <v>4366017</v>
      </c>
      <c r="L40" s="32">
        <f t="shared" si="10"/>
        <v>3537921</v>
      </c>
      <c r="M40" s="32">
        <f t="shared" si="10"/>
        <v>3387651</v>
      </c>
      <c r="N40" s="32">
        <f t="shared" si="10"/>
        <v>7598899</v>
      </c>
      <c r="O40" s="32">
        <f t="shared" si="2"/>
        <v>26110467</v>
      </c>
      <c r="P40" s="32">
        <f t="shared" si="3"/>
        <v>52187457</v>
      </c>
    </row>
    <row r="41" spans="1:16" ht="12" customHeight="1" x14ac:dyDescent="0.15">
      <c r="A41" s="6" t="s">
        <v>21</v>
      </c>
      <c r="B41" s="25">
        <v>265010</v>
      </c>
      <c r="C41" s="25">
        <f>567770-265010</f>
        <v>302760</v>
      </c>
      <c r="D41" s="25">
        <f>830970-567770</f>
        <v>263200</v>
      </c>
      <c r="E41" s="25">
        <f>1221970-830970</f>
        <v>391000</v>
      </c>
      <c r="F41" s="25">
        <f>1477970-1221970</f>
        <v>256000</v>
      </c>
      <c r="G41" s="25">
        <f>1818970-1477970</f>
        <v>341000</v>
      </c>
      <c r="H41" s="25">
        <f t="shared" si="9"/>
        <v>1818970</v>
      </c>
      <c r="I41" s="25">
        <f>2109970-1818970</f>
        <v>291000</v>
      </c>
      <c r="J41" s="25">
        <f>2400970-2109970</f>
        <v>291000</v>
      </c>
      <c r="K41" s="25">
        <f>3032786-2400970</f>
        <v>631816</v>
      </c>
      <c r="L41" s="25">
        <f>3342486-3032786</f>
        <v>309700</v>
      </c>
      <c r="M41" s="25">
        <f>3783259-3342486</f>
        <v>440773</v>
      </c>
      <c r="N41" s="25">
        <f>4212007-3783259</f>
        <v>428748</v>
      </c>
      <c r="O41" s="25">
        <f t="shared" si="2"/>
        <v>2393037</v>
      </c>
      <c r="P41" s="25">
        <f t="shared" si="3"/>
        <v>4212007</v>
      </c>
    </row>
    <row r="42" spans="1:16" ht="12" customHeight="1" x14ac:dyDescent="0.15">
      <c r="A42" s="6" t="s">
        <v>22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f t="shared" si="9"/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f t="shared" si="2"/>
        <v>0</v>
      </c>
      <c r="P42" s="25">
        <f t="shared" si="3"/>
        <v>0</v>
      </c>
    </row>
    <row r="43" spans="1:16" ht="12" customHeight="1" x14ac:dyDescent="0.15">
      <c r="A43" s="6" t="s">
        <v>103</v>
      </c>
      <c r="B43" s="25">
        <v>67509</v>
      </c>
      <c r="C43" s="25">
        <f>142210-67509</f>
        <v>74701</v>
      </c>
      <c r="D43" s="25">
        <f>228272-142210</f>
        <v>86062</v>
      </c>
      <c r="E43" s="25">
        <f>308373-228272</f>
        <v>80101</v>
      </c>
      <c r="F43" s="25">
        <f>365499-308373</f>
        <v>57126</v>
      </c>
      <c r="G43" s="25">
        <f>455536-365499</f>
        <v>90037</v>
      </c>
      <c r="H43" s="25">
        <f t="shared" si="9"/>
        <v>455536</v>
      </c>
      <c r="I43" s="25">
        <f>528580-455536</f>
        <v>73044</v>
      </c>
      <c r="J43" s="25">
        <f>581338-528580</f>
        <v>52758</v>
      </c>
      <c r="K43" s="25">
        <f>645242-581338</f>
        <v>63904</v>
      </c>
      <c r="L43" s="25">
        <f>717173-645242</f>
        <v>71931</v>
      </c>
      <c r="M43" s="25">
        <f>773093-717173</f>
        <v>55920</v>
      </c>
      <c r="N43" s="25">
        <f>870031-773093</f>
        <v>96938</v>
      </c>
      <c r="O43" s="25">
        <f t="shared" si="2"/>
        <v>414495</v>
      </c>
      <c r="P43" s="25">
        <f t="shared" si="3"/>
        <v>870031</v>
      </c>
    </row>
    <row r="44" spans="1:16" ht="12" customHeight="1" x14ac:dyDescent="0.15">
      <c r="A44" s="6" t="s">
        <v>24</v>
      </c>
      <c r="B44" s="25">
        <v>69937</v>
      </c>
      <c r="C44" s="25">
        <f>156707-69937</f>
        <v>86770</v>
      </c>
      <c r="D44" s="25">
        <f>209262-156707</f>
        <v>52555</v>
      </c>
      <c r="E44" s="25">
        <f>238329-209262</f>
        <v>29067</v>
      </c>
      <c r="F44" s="25">
        <f>272577-238329</f>
        <v>34248</v>
      </c>
      <c r="G44" s="25">
        <f>284867-272577</f>
        <v>12290</v>
      </c>
      <c r="H44" s="25">
        <f t="shared" si="9"/>
        <v>284867</v>
      </c>
      <c r="I44" s="25">
        <f>306117-284867</f>
        <v>21250</v>
      </c>
      <c r="J44" s="25">
        <f>329456-306117</f>
        <v>23339</v>
      </c>
      <c r="K44" s="25">
        <f>380564-329456</f>
        <v>51108</v>
      </c>
      <c r="L44" s="25">
        <f>393491-380564</f>
        <v>12927</v>
      </c>
      <c r="M44" s="25">
        <f>437227-393491</f>
        <v>43736</v>
      </c>
      <c r="N44" s="25">
        <f>460860-437227</f>
        <v>23633</v>
      </c>
      <c r="O44" s="25">
        <f t="shared" si="2"/>
        <v>175993</v>
      </c>
      <c r="P44" s="25">
        <f t="shared" si="3"/>
        <v>460860</v>
      </c>
    </row>
    <row r="45" spans="1:16" ht="12" customHeight="1" x14ac:dyDescent="0.15">
      <c r="A45" s="6" t="s">
        <v>104</v>
      </c>
      <c r="B45" s="25">
        <v>67974</v>
      </c>
      <c r="C45" s="25">
        <f>184040-67974</f>
        <v>116066</v>
      </c>
      <c r="D45" s="25">
        <f>433640-184040</f>
        <v>249600</v>
      </c>
      <c r="E45" s="25">
        <f>490276-433640</f>
        <v>56636</v>
      </c>
      <c r="F45" s="25">
        <v>71064</v>
      </c>
      <c r="G45" s="25">
        <v>6000</v>
      </c>
      <c r="H45" s="25">
        <f t="shared" si="9"/>
        <v>567340</v>
      </c>
      <c r="I45" s="25">
        <f>767140-567340</f>
        <v>199800</v>
      </c>
      <c r="J45" s="25">
        <v>0</v>
      </c>
      <c r="K45" s="25">
        <f>1033208-767140</f>
        <v>266068</v>
      </c>
      <c r="L45" s="25">
        <f>1065392-1033208</f>
        <v>32184</v>
      </c>
      <c r="M45" s="25">
        <f>1124106-1065392</f>
        <v>58714</v>
      </c>
      <c r="N45" s="25">
        <f>1365002-1124106</f>
        <v>240896</v>
      </c>
      <c r="O45" s="25">
        <f t="shared" si="2"/>
        <v>797662</v>
      </c>
      <c r="P45" s="25">
        <f t="shared" si="3"/>
        <v>1365002</v>
      </c>
    </row>
    <row r="46" spans="1:16" ht="12" customHeight="1" x14ac:dyDescent="0.15">
      <c r="A46" s="6" t="s">
        <v>105</v>
      </c>
      <c r="B46" s="25">
        <v>0</v>
      </c>
      <c r="C46" s="25">
        <v>0</v>
      </c>
      <c r="D46" s="25">
        <v>128573</v>
      </c>
      <c r="E46" s="25">
        <f>159113-128573</f>
        <v>30540</v>
      </c>
      <c r="F46" s="25">
        <v>0</v>
      </c>
      <c r="G46" s="25">
        <v>0</v>
      </c>
      <c r="H46" s="25">
        <f t="shared" si="9"/>
        <v>159113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29700</v>
      </c>
      <c r="O46" s="25">
        <f t="shared" si="2"/>
        <v>29700</v>
      </c>
      <c r="P46" s="25">
        <f t="shared" si="3"/>
        <v>188813</v>
      </c>
    </row>
    <row r="47" spans="1:16" ht="12" customHeight="1" x14ac:dyDescent="0.15">
      <c r="A47" s="6" t="s">
        <v>106</v>
      </c>
      <c r="B47" s="25">
        <v>22524</v>
      </c>
      <c r="C47" s="25">
        <f>108677-22524</f>
        <v>86153</v>
      </c>
      <c r="D47" s="25">
        <v>14779</v>
      </c>
      <c r="E47" s="25">
        <f>165328-123456</f>
        <v>41872</v>
      </c>
      <c r="F47" s="25">
        <f>256460-165328</f>
        <v>91132</v>
      </c>
      <c r="G47" s="25">
        <f>302274-256460</f>
        <v>45814</v>
      </c>
      <c r="H47" s="25">
        <f t="shared" si="9"/>
        <v>302274</v>
      </c>
      <c r="I47" s="25">
        <f>402448-302274</f>
        <v>100174</v>
      </c>
      <c r="J47" s="25">
        <f>440858-402448</f>
        <v>38410</v>
      </c>
      <c r="K47" s="25">
        <f>500131-440858</f>
        <v>59273</v>
      </c>
      <c r="L47" s="25">
        <f>554299-500131</f>
        <v>54168</v>
      </c>
      <c r="M47" s="25">
        <f>665023-554299</f>
        <v>110724</v>
      </c>
      <c r="N47" s="25">
        <f>702935-665023</f>
        <v>37912</v>
      </c>
      <c r="O47" s="25">
        <f t="shared" si="2"/>
        <v>400661</v>
      </c>
      <c r="P47" s="25">
        <f t="shared" si="3"/>
        <v>702935</v>
      </c>
    </row>
    <row r="48" spans="1:16" ht="12" customHeight="1" x14ac:dyDescent="0.15">
      <c r="A48" s="6" t="s">
        <v>28</v>
      </c>
      <c r="B48" s="25">
        <v>40121</v>
      </c>
      <c r="C48" s="25">
        <f>58075-40121</f>
        <v>17954</v>
      </c>
      <c r="D48" s="25">
        <f>99879-58075</f>
        <v>41804</v>
      </c>
      <c r="E48" s="25">
        <f>136292-99879</f>
        <v>36413</v>
      </c>
      <c r="F48" s="25">
        <f>151015-136292</f>
        <v>14723</v>
      </c>
      <c r="G48" s="25">
        <f>186049-151015</f>
        <v>35034</v>
      </c>
      <c r="H48" s="25">
        <f t="shared" si="9"/>
        <v>186049</v>
      </c>
      <c r="I48" s="25">
        <f>198473-186049</f>
        <v>12424</v>
      </c>
      <c r="J48" s="25">
        <f>236178-198473</f>
        <v>37705</v>
      </c>
      <c r="K48" s="25">
        <f>250417-236178</f>
        <v>14239</v>
      </c>
      <c r="L48" s="25">
        <f>268133-250417</f>
        <v>17716</v>
      </c>
      <c r="M48" s="25">
        <f>282234-268133</f>
        <v>14101</v>
      </c>
      <c r="N48" s="25">
        <f>318830-282234</f>
        <v>36596</v>
      </c>
      <c r="O48" s="25">
        <f t="shared" si="2"/>
        <v>132781</v>
      </c>
      <c r="P48" s="25">
        <f t="shared" si="3"/>
        <v>318830</v>
      </c>
    </row>
    <row r="49" spans="1:16" ht="12" customHeight="1" x14ac:dyDescent="0.15">
      <c r="A49" s="6" t="s">
        <v>107</v>
      </c>
      <c r="B49" s="25">
        <v>0</v>
      </c>
      <c r="C49" s="25">
        <v>26000</v>
      </c>
      <c r="D49" s="25">
        <f>68500-26000</f>
        <v>42500</v>
      </c>
      <c r="E49" s="25">
        <v>3000</v>
      </c>
      <c r="F49" s="25">
        <f>88161-71500</f>
        <v>16661</v>
      </c>
      <c r="G49" s="25">
        <f>110041-88161</f>
        <v>21880</v>
      </c>
      <c r="H49" s="25">
        <f t="shared" si="9"/>
        <v>110041</v>
      </c>
      <c r="I49" s="25">
        <f>136041-110041</f>
        <v>26000</v>
      </c>
      <c r="J49" s="25">
        <f>173441-136041</f>
        <v>37400</v>
      </c>
      <c r="K49" s="25">
        <f>181361-173441</f>
        <v>7920</v>
      </c>
      <c r="L49" s="25">
        <v>0</v>
      </c>
      <c r="M49" s="25">
        <v>25000</v>
      </c>
      <c r="N49" s="25">
        <v>2000</v>
      </c>
      <c r="O49" s="25">
        <f t="shared" si="2"/>
        <v>98320</v>
      </c>
      <c r="P49" s="25">
        <f t="shared" si="3"/>
        <v>208361</v>
      </c>
    </row>
    <row r="50" spans="1:16" ht="12" customHeight="1" x14ac:dyDescent="0.15">
      <c r="A50" s="6" t="s">
        <v>27</v>
      </c>
      <c r="B50" s="25">
        <v>0</v>
      </c>
      <c r="C50" s="25">
        <v>0</v>
      </c>
      <c r="D50" s="25">
        <v>3600</v>
      </c>
      <c r="E50" s="25">
        <v>0</v>
      </c>
      <c r="F50" s="25">
        <f>100800-3600</f>
        <v>97200</v>
      </c>
      <c r="G50" s="25">
        <v>0</v>
      </c>
      <c r="H50" s="25">
        <f t="shared" si="9"/>
        <v>100800</v>
      </c>
      <c r="I50" s="25">
        <v>0</v>
      </c>
      <c r="J50" s="25">
        <v>0</v>
      </c>
      <c r="K50" s="25">
        <v>0</v>
      </c>
      <c r="L50" s="25">
        <v>8640</v>
      </c>
      <c r="M50" s="25">
        <v>10800</v>
      </c>
      <c r="N50" s="25">
        <v>0</v>
      </c>
      <c r="O50" s="25">
        <f t="shared" si="2"/>
        <v>19440</v>
      </c>
      <c r="P50" s="25">
        <f t="shared" si="3"/>
        <v>120240</v>
      </c>
    </row>
    <row r="51" spans="1:16" ht="12" customHeight="1" x14ac:dyDescent="0.15">
      <c r="A51" s="6" t="s">
        <v>32</v>
      </c>
      <c r="B51" s="25">
        <v>612998</v>
      </c>
      <c r="C51" s="25">
        <f>1075872-612998</f>
        <v>462874</v>
      </c>
      <c r="D51" s="25">
        <f>1713307-1075872</f>
        <v>637435</v>
      </c>
      <c r="E51" s="25">
        <f>2167127-1713307</f>
        <v>453820</v>
      </c>
      <c r="F51" s="25">
        <f>2595606-2167127</f>
        <v>428479</v>
      </c>
      <c r="G51" s="25">
        <f>3157402-2595606</f>
        <v>561796</v>
      </c>
      <c r="H51" s="25">
        <f t="shared" si="9"/>
        <v>3157402</v>
      </c>
      <c r="I51" s="25">
        <f>3591653-3157402</f>
        <v>434251</v>
      </c>
      <c r="J51" s="25">
        <f>3950953-3591653</f>
        <v>359300</v>
      </c>
      <c r="K51" s="25">
        <f>4604885-3950953</f>
        <v>653932</v>
      </c>
      <c r="L51" s="25">
        <f>5169527-4604885</f>
        <v>564642</v>
      </c>
      <c r="M51" s="25">
        <f>5851649-5169527</f>
        <v>682122</v>
      </c>
      <c r="N51" s="25">
        <f>6608510-5851649</f>
        <v>756861</v>
      </c>
      <c r="O51" s="25">
        <f t="shared" si="2"/>
        <v>3451108</v>
      </c>
      <c r="P51" s="25">
        <f t="shared" si="3"/>
        <v>6608510</v>
      </c>
    </row>
    <row r="52" spans="1:16" ht="12" customHeight="1" x14ac:dyDescent="0.15">
      <c r="A52" s="6" t="s">
        <v>108</v>
      </c>
      <c r="B52" s="25">
        <v>12000</v>
      </c>
      <c r="C52" s="25">
        <v>4000</v>
      </c>
      <c r="D52" s="25">
        <f>45000-16000</f>
        <v>29000</v>
      </c>
      <c r="E52" s="25">
        <f>87000-45000</f>
        <v>42000</v>
      </c>
      <c r="F52" s="25">
        <f>113760-87000</f>
        <v>26760</v>
      </c>
      <c r="G52" s="25">
        <f>4000</f>
        <v>4000</v>
      </c>
      <c r="H52" s="25">
        <f t="shared" si="9"/>
        <v>117760</v>
      </c>
      <c r="I52" s="25">
        <f>136760-117760</f>
        <v>19000</v>
      </c>
      <c r="J52" s="25">
        <v>12000</v>
      </c>
      <c r="K52" s="25">
        <f>159760-148760</f>
        <v>11000</v>
      </c>
      <c r="L52" s="25">
        <f>172120-159760</f>
        <v>12360</v>
      </c>
      <c r="M52" s="25">
        <v>3000</v>
      </c>
      <c r="N52" s="25">
        <v>5000</v>
      </c>
      <c r="O52" s="25">
        <f t="shared" si="2"/>
        <v>62360</v>
      </c>
      <c r="P52" s="25">
        <f t="shared" si="3"/>
        <v>180120</v>
      </c>
    </row>
    <row r="53" spans="1:16" ht="12" customHeight="1" x14ac:dyDescent="0.15">
      <c r="A53" s="6" t="s">
        <v>34</v>
      </c>
      <c r="B53" s="25">
        <v>8800</v>
      </c>
      <c r="C53" s="25">
        <v>3000</v>
      </c>
      <c r="D53" s="25">
        <v>3000</v>
      </c>
      <c r="E53" s="25">
        <f>37300-14800</f>
        <v>22500</v>
      </c>
      <c r="F53" s="25">
        <v>10000</v>
      </c>
      <c r="G53" s="25">
        <v>0</v>
      </c>
      <c r="H53" s="25">
        <f t="shared" si="9"/>
        <v>47300</v>
      </c>
      <c r="I53" s="25">
        <f>55300-47300</f>
        <v>8000</v>
      </c>
      <c r="J53" s="25">
        <v>0</v>
      </c>
      <c r="K53" s="25">
        <v>0</v>
      </c>
      <c r="L53" s="25">
        <v>0</v>
      </c>
      <c r="M53" s="25">
        <v>0</v>
      </c>
      <c r="N53" s="25">
        <f>114100-55300</f>
        <v>58800</v>
      </c>
      <c r="O53" s="25">
        <f t="shared" si="2"/>
        <v>66800</v>
      </c>
      <c r="P53" s="25">
        <f t="shared" si="3"/>
        <v>114100</v>
      </c>
    </row>
    <row r="54" spans="1:16" ht="12" customHeight="1" x14ac:dyDescent="0.15">
      <c r="A54" s="6" t="s">
        <v>109</v>
      </c>
      <c r="B54" s="25">
        <v>390625</v>
      </c>
      <c r="C54" s="25">
        <f>795960-390625</f>
        <v>405335</v>
      </c>
      <c r="D54" s="25">
        <f>1184726-795960</f>
        <v>388766</v>
      </c>
      <c r="E54" s="25">
        <f>1589722-1184726</f>
        <v>404996</v>
      </c>
      <c r="F54" s="25">
        <f>2086452-1589722</f>
        <v>496730</v>
      </c>
      <c r="G54" s="25">
        <f>2548934-2086452</f>
        <v>462482</v>
      </c>
      <c r="H54" s="25">
        <f t="shared" si="9"/>
        <v>2548934</v>
      </c>
      <c r="I54" s="25">
        <f>3371954-2548934</f>
        <v>823020</v>
      </c>
      <c r="J54" s="25">
        <f>3772123-3371954</f>
        <v>400169</v>
      </c>
      <c r="K54" s="25">
        <f>4196116-3772123</f>
        <v>423993</v>
      </c>
      <c r="L54" s="25">
        <f>4547096-4196116</f>
        <v>350980</v>
      </c>
      <c r="M54" s="25">
        <f>4977706-4547096</f>
        <v>430610</v>
      </c>
      <c r="N54" s="25">
        <f>5371089-4977706</f>
        <v>393383</v>
      </c>
      <c r="O54" s="25">
        <f t="shared" si="2"/>
        <v>2822155</v>
      </c>
      <c r="P54" s="25">
        <f t="shared" si="3"/>
        <v>5371089</v>
      </c>
    </row>
    <row r="55" spans="1:16" ht="12" customHeight="1" x14ac:dyDescent="0.15">
      <c r="A55" s="6" t="s">
        <v>35</v>
      </c>
      <c r="B55" s="25">
        <v>0</v>
      </c>
      <c r="C55" s="25">
        <v>20028</v>
      </c>
      <c r="D55" s="25">
        <v>1880</v>
      </c>
      <c r="E55" s="25">
        <f>35956-21908</f>
        <v>14048</v>
      </c>
      <c r="F55" s="25">
        <f>41692-35956</f>
        <v>5736</v>
      </c>
      <c r="G55" s="25">
        <f>46040-41692</f>
        <v>4348</v>
      </c>
      <c r="H55" s="25">
        <f t="shared" si="9"/>
        <v>46040</v>
      </c>
      <c r="I55" s="25">
        <f>50516-46040</f>
        <v>4476</v>
      </c>
      <c r="J55" s="25">
        <v>4000</v>
      </c>
      <c r="K55" s="25">
        <f>135117-54516</f>
        <v>80601</v>
      </c>
      <c r="L55" s="25">
        <f>137555-135117</f>
        <v>2438</v>
      </c>
      <c r="M55" s="25">
        <v>0</v>
      </c>
      <c r="N55" s="25">
        <v>5700</v>
      </c>
      <c r="O55" s="25">
        <f t="shared" si="2"/>
        <v>97215</v>
      </c>
      <c r="P55" s="25">
        <f t="shared" si="3"/>
        <v>143255</v>
      </c>
    </row>
    <row r="56" spans="1:16" ht="12" customHeight="1" x14ac:dyDescent="0.15">
      <c r="A56" s="6" t="s">
        <v>110</v>
      </c>
      <c r="B56" s="25">
        <v>33970</v>
      </c>
      <c r="C56" s="25">
        <f>208030-33970</f>
        <v>174060</v>
      </c>
      <c r="D56" s="25">
        <f>223310-208030</f>
        <v>15280</v>
      </c>
      <c r="E56" s="25">
        <v>33930</v>
      </c>
      <c r="F56" s="25">
        <v>0</v>
      </c>
      <c r="G56" s="25">
        <v>54560</v>
      </c>
      <c r="H56" s="25">
        <f t="shared" si="9"/>
        <v>311800</v>
      </c>
      <c r="I56" s="25">
        <v>0</v>
      </c>
      <c r="J56" s="25">
        <v>0</v>
      </c>
      <c r="K56" s="25">
        <v>0</v>
      </c>
      <c r="L56" s="25">
        <v>429630</v>
      </c>
      <c r="M56" s="25">
        <v>0</v>
      </c>
      <c r="N56" s="25">
        <f>841450-741430</f>
        <v>100020</v>
      </c>
      <c r="O56" s="25">
        <f t="shared" si="2"/>
        <v>529650</v>
      </c>
      <c r="P56" s="25">
        <f t="shared" si="3"/>
        <v>841450</v>
      </c>
    </row>
    <row r="57" spans="1:16" ht="12" customHeight="1" x14ac:dyDescent="0.15">
      <c r="A57" s="6" t="s">
        <v>111</v>
      </c>
      <c r="B57" s="25">
        <v>871745</v>
      </c>
      <c r="C57" s="25">
        <f>1255930-871745</f>
        <v>384185</v>
      </c>
      <c r="D57" s="25">
        <f>2293880-1255930</f>
        <v>1037950</v>
      </c>
      <c r="E57" s="25">
        <f>2771627-2293880</f>
        <v>477747</v>
      </c>
      <c r="F57" s="25">
        <f>3411808-2771627</f>
        <v>640181</v>
      </c>
      <c r="G57" s="25">
        <f>4060956-3411808</f>
        <v>649148</v>
      </c>
      <c r="H57" s="25">
        <f t="shared" si="9"/>
        <v>4060956</v>
      </c>
      <c r="I57" s="25">
        <f>4699410-4060956</f>
        <v>638454</v>
      </c>
      <c r="J57" s="25">
        <f>5257488-4699410</f>
        <v>558078</v>
      </c>
      <c r="K57" s="25">
        <f>5982424-5257488</f>
        <v>724936</v>
      </c>
      <c r="L57" s="25">
        <f>6632423-5982424</f>
        <v>649999</v>
      </c>
      <c r="M57" s="25">
        <f>7106904-6632423</f>
        <v>474481</v>
      </c>
      <c r="N57" s="25">
        <f>7732069-7106904</f>
        <v>625165</v>
      </c>
      <c r="O57" s="25">
        <f t="shared" si="2"/>
        <v>3671113</v>
      </c>
      <c r="P57" s="25">
        <f t="shared" si="3"/>
        <v>7732069</v>
      </c>
    </row>
    <row r="58" spans="1:16" ht="12" customHeight="1" x14ac:dyDescent="0.15">
      <c r="A58" s="6" t="s">
        <v>112</v>
      </c>
      <c r="B58" s="25">
        <v>123737</v>
      </c>
      <c r="C58" s="25">
        <v>0</v>
      </c>
      <c r="D58" s="25">
        <v>32400</v>
      </c>
      <c r="E58" s="25">
        <v>0</v>
      </c>
      <c r="F58" s="25">
        <v>0</v>
      </c>
      <c r="G58" s="25">
        <v>0</v>
      </c>
      <c r="H58" s="25">
        <f t="shared" si="9"/>
        <v>156137</v>
      </c>
      <c r="I58" s="25">
        <v>68688</v>
      </c>
      <c r="J58" s="25">
        <v>0</v>
      </c>
      <c r="K58" s="25">
        <v>0</v>
      </c>
      <c r="L58" s="25">
        <v>0</v>
      </c>
      <c r="M58" s="25">
        <v>0</v>
      </c>
      <c r="N58" s="25">
        <f>294325-224825</f>
        <v>69500</v>
      </c>
      <c r="O58" s="25">
        <f t="shared" si="2"/>
        <v>138188</v>
      </c>
      <c r="P58" s="25">
        <f t="shared" si="3"/>
        <v>294325</v>
      </c>
    </row>
    <row r="59" spans="1:16" ht="12" customHeight="1" x14ac:dyDescent="0.15">
      <c r="A59" s="6" t="s">
        <v>113</v>
      </c>
      <c r="B59" s="25">
        <v>421115</v>
      </c>
      <c r="C59" s="25">
        <f>842230-421115</f>
        <v>421115</v>
      </c>
      <c r="D59" s="25">
        <f>1225245-842230</f>
        <v>383015</v>
      </c>
      <c r="E59" s="25">
        <f>1593360-1225245</f>
        <v>368115</v>
      </c>
      <c r="F59" s="25">
        <f>1980915-1593360</f>
        <v>387555</v>
      </c>
      <c r="G59" s="25">
        <f>2376030-1980915</f>
        <v>395115</v>
      </c>
      <c r="H59" s="25">
        <f t="shared" si="9"/>
        <v>2376030</v>
      </c>
      <c r="I59" s="25">
        <f>2742819-2376030</f>
        <v>366789</v>
      </c>
      <c r="J59" s="25">
        <f>3157128-2742819</f>
        <v>414309</v>
      </c>
      <c r="K59" s="25">
        <f>3523917-3157128</f>
        <v>366789</v>
      </c>
      <c r="L59" s="25">
        <f>3890706-3523917</f>
        <v>366789</v>
      </c>
      <c r="M59" s="25">
        <f>4246290-3890706</f>
        <v>355584</v>
      </c>
      <c r="N59" s="25">
        <f>4601874-4246290</f>
        <v>355584</v>
      </c>
      <c r="O59" s="25">
        <f t="shared" si="2"/>
        <v>2225844</v>
      </c>
      <c r="P59" s="25">
        <f t="shared" si="3"/>
        <v>4601874</v>
      </c>
    </row>
    <row r="60" spans="1:16" ht="12" customHeight="1" x14ac:dyDescent="0.15">
      <c r="A60" s="6" t="s">
        <v>121</v>
      </c>
      <c r="B60" s="25">
        <v>295000</v>
      </c>
      <c r="C60" s="25">
        <f>710000-295000</f>
        <v>415000</v>
      </c>
      <c r="D60" s="25">
        <v>295000</v>
      </c>
      <c r="E60" s="25">
        <v>295000</v>
      </c>
      <c r="F60" s="25">
        <f>1595000-1300000</f>
        <v>295000</v>
      </c>
      <c r="G60" s="25">
        <v>295000</v>
      </c>
      <c r="H60" s="25">
        <f t="shared" si="9"/>
        <v>1890000</v>
      </c>
      <c r="I60" s="25">
        <v>295000</v>
      </c>
      <c r="J60" s="25">
        <f>2480000-2185000</f>
        <v>295000</v>
      </c>
      <c r="K60" s="25">
        <f>2775000-2480000</f>
        <v>295000</v>
      </c>
      <c r="L60" s="25">
        <v>295000</v>
      </c>
      <c r="M60" s="25">
        <v>295000</v>
      </c>
      <c r="N60" s="25">
        <v>295000</v>
      </c>
      <c r="O60" s="25">
        <f t="shared" si="2"/>
        <v>1770000</v>
      </c>
      <c r="P60" s="25">
        <f t="shared" si="3"/>
        <v>3660000</v>
      </c>
    </row>
    <row r="61" spans="1:16" ht="12" customHeight="1" x14ac:dyDescent="0.15">
      <c r="A61" s="6" t="s">
        <v>122</v>
      </c>
      <c r="B61" s="49">
        <v>33400</v>
      </c>
      <c r="C61" s="25">
        <f>1030114-33400</f>
        <v>996714</v>
      </c>
      <c r="D61" s="25">
        <f>1095364-1030114</f>
        <v>65250</v>
      </c>
      <c r="E61" s="25">
        <f>1112664-1095364</f>
        <v>17300</v>
      </c>
      <c r="F61" s="25">
        <f>1112930-1112664</f>
        <v>266</v>
      </c>
      <c r="G61" s="25">
        <v>0</v>
      </c>
      <c r="H61" s="25">
        <f t="shared" si="9"/>
        <v>1112930</v>
      </c>
      <c r="I61" s="25">
        <v>21</v>
      </c>
      <c r="J61" s="25">
        <v>2000</v>
      </c>
      <c r="K61" s="25">
        <v>51000</v>
      </c>
      <c r="L61" s="25">
        <v>0</v>
      </c>
      <c r="M61" s="25">
        <f>1166281-1165951</f>
        <v>330</v>
      </c>
      <c r="N61" s="25">
        <f>1219282-1166281</f>
        <v>53001</v>
      </c>
      <c r="O61" s="25">
        <f t="shared" si="2"/>
        <v>106352</v>
      </c>
      <c r="P61" s="25">
        <f t="shared" si="3"/>
        <v>1219282</v>
      </c>
    </row>
    <row r="62" spans="1:16" ht="12" customHeight="1" x14ac:dyDescent="0.15">
      <c r="A62" s="6" t="s">
        <v>37</v>
      </c>
      <c r="B62" s="25">
        <v>66462</v>
      </c>
      <c r="C62" s="25">
        <v>48600</v>
      </c>
      <c r="D62" s="25">
        <v>372543</v>
      </c>
      <c r="E62" s="25">
        <f>597450-487605</f>
        <v>109845</v>
      </c>
      <c r="F62" s="25">
        <v>0</v>
      </c>
      <c r="G62" s="25">
        <f>1133883-597450</f>
        <v>536433</v>
      </c>
      <c r="H62" s="25">
        <f t="shared" si="9"/>
        <v>1133883</v>
      </c>
      <c r="I62" s="25">
        <f>1204503-1133883</f>
        <v>70620</v>
      </c>
      <c r="J62" s="25">
        <f>1253103-1204503</f>
        <v>48600</v>
      </c>
      <c r="K62" s="25">
        <f>1534645-1253103</f>
        <v>281542</v>
      </c>
      <c r="L62" s="25">
        <v>81972</v>
      </c>
      <c r="M62" s="25">
        <f>1734789-1616617</f>
        <v>118172</v>
      </c>
      <c r="N62" s="25">
        <f>1997453-1734789</f>
        <v>262664</v>
      </c>
      <c r="O62" s="25">
        <f t="shared" si="2"/>
        <v>863570</v>
      </c>
      <c r="P62" s="25">
        <f t="shared" si="3"/>
        <v>1997453</v>
      </c>
    </row>
    <row r="63" spans="1:16" ht="12" customHeight="1" x14ac:dyDescent="0.15">
      <c r="A63" s="6" t="s">
        <v>114</v>
      </c>
      <c r="B63" s="25">
        <v>0</v>
      </c>
      <c r="C63" s="25">
        <v>0</v>
      </c>
      <c r="D63" s="25">
        <v>0</v>
      </c>
      <c r="E63" s="25">
        <v>0</v>
      </c>
      <c r="F63" s="25">
        <v>4441</v>
      </c>
      <c r="G63" s="25">
        <f>12315-4441</f>
        <v>7874</v>
      </c>
      <c r="H63" s="25">
        <f t="shared" si="9"/>
        <v>12315</v>
      </c>
      <c r="I63" s="25">
        <f>103858-12315</f>
        <v>91543</v>
      </c>
      <c r="J63" s="25">
        <f>132316-103858</f>
        <v>28458</v>
      </c>
      <c r="K63" s="25">
        <f>144956-132316</f>
        <v>12640</v>
      </c>
      <c r="L63" s="25">
        <v>0</v>
      </c>
      <c r="M63" s="25">
        <v>0</v>
      </c>
      <c r="N63" s="25">
        <v>0</v>
      </c>
      <c r="O63" s="25">
        <f t="shared" si="2"/>
        <v>132641</v>
      </c>
      <c r="P63" s="25">
        <f t="shared" si="3"/>
        <v>144956</v>
      </c>
    </row>
    <row r="64" spans="1:16" ht="12" customHeight="1" x14ac:dyDescent="0.15">
      <c r="A64" s="53" t="s">
        <v>115</v>
      </c>
      <c r="B64" s="25">
        <v>309376</v>
      </c>
      <c r="C64" s="25">
        <f>450639-309376</f>
        <v>141263</v>
      </c>
      <c r="D64" s="25">
        <f>913038-450639</f>
        <v>462399</v>
      </c>
      <c r="E64" s="25">
        <f>1296970-913038</f>
        <v>383932</v>
      </c>
      <c r="F64" s="25">
        <f>1638032-1296970</f>
        <v>341062</v>
      </c>
      <c r="G64" s="25">
        <f>1884489-1638032</f>
        <v>246457</v>
      </c>
      <c r="H64" s="25">
        <f t="shared" si="9"/>
        <v>1884489</v>
      </c>
      <c r="I64" s="25">
        <f>2616614-1884489</f>
        <v>732125</v>
      </c>
      <c r="J64" s="25">
        <f>2958388-2616614</f>
        <v>341774</v>
      </c>
      <c r="K64" s="25">
        <f>3328644-2958388</f>
        <v>370256</v>
      </c>
      <c r="L64" s="25">
        <f>3605489-3328644</f>
        <v>276845</v>
      </c>
      <c r="M64" s="25">
        <f>3874073-3605489</f>
        <v>268584</v>
      </c>
      <c r="N64" s="25">
        <f>4359835-3874073</f>
        <v>485762</v>
      </c>
      <c r="O64" s="25">
        <f t="shared" si="2"/>
        <v>2475346</v>
      </c>
      <c r="P64" s="25">
        <f t="shared" si="3"/>
        <v>4359835</v>
      </c>
    </row>
    <row r="65" spans="1:16" ht="12" customHeight="1" x14ac:dyDescent="0.15">
      <c r="A65" s="6" t="s">
        <v>46</v>
      </c>
      <c r="B65" s="25"/>
      <c r="C65" s="25"/>
      <c r="D65" s="25"/>
      <c r="E65" s="25"/>
      <c r="F65" s="25"/>
      <c r="G65" s="25">
        <v>3236024</v>
      </c>
      <c r="H65" s="25">
        <f t="shared" si="9"/>
        <v>3236024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f>6472060-3236024</f>
        <v>3236036</v>
      </c>
      <c r="O65" s="25">
        <f t="shared" si="2"/>
        <v>3236036</v>
      </c>
      <c r="P65" s="25">
        <f t="shared" si="3"/>
        <v>6472060</v>
      </c>
    </row>
    <row r="66" spans="1:16" ht="12" customHeight="1" x14ac:dyDescent="0.15">
      <c r="A66" s="54" t="s">
        <v>29</v>
      </c>
      <c r="B66" s="32">
        <f t="shared" ref="B66:N66" si="11">B34+B40</f>
        <v>15778537</v>
      </c>
      <c r="C66" s="32">
        <f t="shared" si="11"/>
        <v>15027583</v>
      </c>
      <c r="D66" s="32">
        <f t="shared" si="11"/>
        <v>16004870</v>
      </c>
      <c r="E66" s="32">
        <f t="shared" si="11"/>
        <v>22363935</v>
      </c>
      <c r="F66" s="32">
        <f t="shared" si="11"/>
        <v>15398311</v>
      </c>
      <c r="G66" s="32">
        <f t="shared" si="11"/>
        <v>18961569</v>
      </c>
      <c r="H66" s="32">
        <f t="shared" si="9"/>
        <v>103534805</v>
      </c>
      <c r="I66" s="32">
        <f t="shared" si="11"/>
        <v>15609695</v>
      </c>
      <c r="J66" s="32">
        <f t="shared" si="11"/>
        <v>24882333</v>
      </c>
      <c r="K66" s="32">
        <f t="shared" si="11"/>
        <v>16196361</v>
      </c>
      <c r="L66" s="32">
        <f t="shared" si="11"/>
        <v>14823233</v>
      </c>
      <c r="M66" s="32">
        <f t="shared" si="11"/>
        <v>14938189</v>
      </c>
      <c r="N66" s="32">
        <f t="shared" si="11"/>
        <v>21244829</v>
      </c>
      <c r="O66" s="32">
        <f t="shared" si="2"/>
        <v>107694640</v>
      </c>
      <c r="P66" s="32">
        <f t="shared" si="3"/>
        <v>211229445</v>
      </c>
    </row>
    <row r="67" spans="1:16" ht="12" customHeight="1" x14ac:dyDescent="0.15">
      <c r="A67" s="54" t="s">
        <v>61</v>
      </c>
      <c r="B67" s="32">
        <f t="shared" ref="B67:G67" si="12">B31-B66</f>
        <v>1369097</v>
      </c>
      <c r="C67" s="32">
        <f t="shared" si="12"/>
        <v>3532612</v>
      </c>
      <c r="D67" s="32">
        <f t="shared" si="12"/>
        <v>1649212</v>
      </c>
      <c r="E67" s="32">
        <f t="shared" si="12"/>
        <v>-3712866</v>
      </c>
      <c r="F67" s="32">
        <f t="shared" si="12"/>
        <v>2677930</v>
      </c>
      <c r="G67" s="32">
        <f t="shared" si="12"/>
        <v>-1228440</v>
      </c>
      <c r="H67" s="32">
        <f t="shared" si="9"/>
        <v>4287545</v>
      </c>
      <c r="I67" s="32">
        <f t="shared" ref="I67:N67" si="13">I31-I66</f>
        <v>3199063</v>
      </c>
      <c r="J67" s="32">
        <f t="shared" si="13"/>
        <v>-7123122</v>
      </c>
      <c r="K67" s="32">
        <f t="shared" si="13"/>
        <v>1501527</v>
      </c>
      <c r="L67" s="32">
        <f t="shared" si="13"/>
        <v>1624447</v>
      </c>
      <c r="M67" s="32">
        <f t="shared" si="13"/>
        <v>1690206</v>
      </c>
      <c r="N67" s="32">
        <f t="shared" si="13"/>
        <v>-2733386</v>
      </c>
      <c r="O67" s="32">
        <f t="shared" si="2"/>
        <v>-1841265</v>
      </c>
      <c r="P67" s="32">
        <f t="shared" si="3"/>
        <v>2446280</v>
      </c>
    </row>
    <row r="68" spans="1:16" ht="12" customHeight="1" x14ac:dyDescent="0.15">
      <c r="A68" s="23" t="s">
        <v>126</v>
      </c>
      <c r="B68" s="25">
        <v>25055</v>
      </c>
      <c r="C68" s="25">
        <f>25069-25055+2</f>
        <v>16</v>
      </c>
      <c r="D68" s="25">
        <v>0</v>
      </c>
      <c r="E68" s="25"/>
      <c r="F68" s="25">
        <f>26415-25069</f>
        <v>1346</v>
      </c>
      <c r="G68" s="25">
        <v>4</v>
      </c>
      <c r="H68" s="32">
        <f t="shared" si="9"/>
        <v>26421</v>
      </c>
      <c r="I68" s="25">
        <v>109</v>
      </c>
      <c r="J68" s="25">
        <v>0</v>
      </c>
      <c r="K68" s="25">
        <v>0</v>
      </c>
      <c r="L68" s="25">
        <v>0</v>
      </c>
      <c r="M68" s="25">
        <f>28181-26528</f>
        <v>1653</v>
      </c>
      <c r="N68" s="25">
        <f>8-24993+9850+9850</f>
        <v>-5285</v>
      </c>
      <c r="O68" s="32">
        <f t="shared" si="2"/>
        <v>-3523</v>
      </c>
      <c r="P68" s="32">
        <f t="shared" si="3"/>
        <v>22898</v>
      </c>
    </row>
    <row r="69" spans="1:16" ht="12" customHeight="1" x14ac:dyDescent="0.15">
      <c r="A69" s="23" t="s">
        <v>127</v>
      </c>
      <c r="B69" s="25">
        <f>30692+31809+500</f>
        <v>63001</v>
      </c>
      <c r="C69" s="25">
        <f>29198+30380+17500+3492+388</f>
        <v>80958</v>
      </c>
      <c r="D69" s="25">
        <f>86998-21880+28695+29978</f>
        <v>123791</v>
      </c>
      <c r="E69" s="25">
        <f>29131+30561+59495</f>
        <v>119187</v>
      </c>
      <c r="F69" s="25">
        <f>28611+30145</f>
        <v>58756</v>
      </c>
      <c r="G69" s="25">
        <f>28997+30689</f>
        <v>59686</v>
      </c>
      <c r="H69" s="32">
        <f t="shared" si="9"/>
        <v>505379</v>
      </c>
      <c r="I69" s="25">
        <f>25792+27422+1700</f>
        <v>54914</v>
      </c>
      <c r="J69" s="25">
        <f>26178+27966+59983+5400</f>
        <v>119527</v>
      </c>
      <c r="K69" s="25">
        <f>27386+29401+16050+8010</f>
        <v>80847</v>
      </c>
      <c r="L69" s="25">
        <f>25171+27161+3000</f>
        <v>55332</v>
      </c>
      <c r="M69" s="25">
        <f>23023+24974+6000</f>
        <v>53997</v>
      </c>
      <c r="N69" s="25">
        <f>26580+28991+59008+146208-127158-24993</f>
        <v>108636</v>
      </c>
      <c r="O69" s="32">
        <f t="shared" si="2"/>
        <v>473253</v>
      </c>
      <c r="P69" s="32">
        <f t="shared" si="3"/>
        <v>978632</v>
      </c>
    </row>
    <row r="70" spans="1:16" ht="12" customHeight="1" x14ac:dyDescent="0.15">
      <c r="A70" s="54" t="s">
        <v>60</v>
      </c>
      <c r="B70" s="33">
        <f t="shared" ref="B70:G70" si="14">B67+B68-B69</f>
        <v>1331151</v>
      </c>
      <c r="C70" s="33">
        <f t="shared" si="14"/>
        <v>3451670</v>
      </c>
      <c r="D70" s="33">
        <f t="shared" si="14"/>
        <v>1525421</v>
      </c>
      <c r="E70" s="33">
        <f t="shared" si="14"/>
        <v>-3832053</v>
      </c>
      <c r="F70" s="33">
        <f t="shared" si="14"/>
        <v>2620520</v>
      </c>
      <c r="G70" s="33">
        <f t="shared" si="14"/>
        <v>-1288122</v>
      </c>
      <c r="H70" s="32">
        <f t="shared" si="9"/>
        <v>3808587</v>
      </c>
      <c r="I70" s="33">
        <f t="shared" ref="I70:N70" si="15">I67+I68-I69</f>
        <v>3144258</v>
      </c>
      <c r="J70" s="33">
        <f t="shared" si="15"/>
        <v>-7242649</v>
      </c>
      <c r="K70" s="33">
        <f t="shared" si="15"/>
        <v>1420680</v>
      </c>
      <c r="L70" s="33">
        <f t="shared" si="15"/>
        <v>1569115</v>
      </c>
      <c r="M70" s="33">
        <f t="shared" si="15"/>
        <v>1637862</v>
      </c>
      <c r="N70" s="33">
        <f t="shared" si="15"/>
        <v>-2847307</v>
      </c>
      <c r="O70" s="32">
        <f t="shared" si="2"/>
        <v>-2318041</v>
      </c>
      <c r="P70" s="32">
        <f t="shared" si="3"/>
        <v>1490546</v>
      </c>
    </row>
    <row r="71" spans="1:16" ht="12" customHeight="1" x14ac:dyDescent="0.15">
      <c r="A71" s="26" t="s">
        <v>116</v>
      </c>
      <c r="B71" s="25">
        <v>416000</v>
      </c>
      <c r="C71" s="25">
        <v>416000</v>
      </c>
      <c r="D71" s="25">
        <v>416000</v>
      </c>
      <c r="E71" s="25">
        <v>416000</v>
      </c>
      <c r="F71" s="25">
        <v>416000</v>
      </c>
      <c r="G71" s="25">
        <v>416000</v>
      </c>
      <c r="H71" s="32">
        <f t="shared" si="9"/>
        <v>2496000</v>
      </c>
      <c r="I71" s="6">
        <v>416000</v>
      </c>
      <c r="J71" s="6">
        <v>416000</v>
      </c>
      <c r="K71" s="25">
        <v>416000</v>
      </c>
      <c r="L71" s="25">
        <v>416000</v>
      </c>
      <c r="M71" s="25">
        <v>416000</v>
      </c>
      <c r="N71" s="25">
        <v>416000</v>
      </c>
      <c r="O71" s="25">
        <f t="shared" si="2"/>
        <v>2496000</v>
      </c>
      <c r="P71" s="25">
        <f t="shared" si="3"/>
        <v>4992000</v>
      </c>
    </row>
  </sheetData>
  <mergeCells count="1">
    <mergeCell ref="C2:H2"/>
  </mergeCells>
  <phoneticPr fontId="3"/>
  <pageMargins left="0.51181102362204722" right="0.19685039370078741" top="0" bottom="0" header="0.23622047244094491" footer="0.27559055118110237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DF04-E093-4D3B-8CAC-2DBA4BF82C25}">
  <dimension ref="A2:P72"/>
  <sheetViews>
    <sheetView topLeftCell="A49" workbookViewId="0">
      <pane xSplit="1" topLeftCell="B1" activePane="topRight" state="frozen"/>
      <selection activeCell="A10" sqref="A10"/>
      <selection pane="topRight" activeCell="M4" sqref="M4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2" spans="1:16" ht="15.75" customHeight="1" x14ac:dyDescent="0.2">
      <c r="C2" s="172" t="s">
        <v>292</v>
      </c>
      <c r="D2" s="172"/>
      <c r="E2" s="172"/>
      <c r="F2" s="172"/>
      <c r="G2" s="172"/>
      <c r="H2" s="172"/>
    </row>
    <row r="3" spans="1:16" ht="12" customHeight="1" x14ac:dyDescent="0.15">
      <c r="A3" s="26" t="s">
        <v>43</v>
      </c>
      <c r="B3" s="45" t="s">
        <v>293</v>
      </c>
      <c r="C3" s="26" t="s">
        <v>294</v>
      </c>
      <c r="D3" s="45" t="s">
        <v>295</v>
      </c>
      <c r="E3" s="26" t="s">
        <v>296</v>
      </c>
      <c r="F3" s="45" t="s">
        <v>297</v>
      </c>
      <c r="G3" s="26" t="s">
        <v>298</v>
      </c>
      <c r="H3" s="26" t="s">
        <v>39</v>
      </c>
      <c r="I3" s="26" t="s">
        <v>299</v>
      </c>
      <c r="J3" s="26" t="s">
        <v>300</v>
      </c>
      <c r="K3" s="26" t="s">
        <v>270</v>
      </c>
      <c r="L3" s="26" t="s">
        <v>301</v>
      </c>
      <c r="M3" s="26" t="s">
        <v>318</v>
      </c>
      <c r="N3" s="26" t="s">
        <v>302</v>
      </c>
      <c r="O3" s="26" t="s">
        <v>41</v>
      </c>
      <c r="P3" s="26" t="s">
        <v>42</v>
      </c>
    </row>
    <row r="4" spans="1:16" ht="12" customHeight="1" x14ac:dyDescent="0.15">
      <c r="A4" s="24" t="s">
        <v>259</v>
      </c>
      <c r="B4" s="46" t="s">
        <v>40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2" customHeight="1" x14ac:dyDescent="0.15">
      <c r="A5" s="24" t="s">
        <v>0</v>
      </c>
      <c r="B5" s="32">
        <f>SUM(B6:B8)</f>
        <v>135000</v>
      </c>
      <c r="C5" s="32">
        <f t="shared" ref="C5:N5" si="0">SUM(C6:C8)</f>
        <v>16000</v>
      </c>
      <c r="D5" s="32">
        <f t="shared" si="0"/>
        <v>14000</v>
      </c>
      <c r="E5" s="32">
        <f t="shared" si="0"/>
        <v>11000</v>
      </c>
      <c r="F5" s="32">
        <f t="shared" si="0"/>
        <v>5000</v>
      </c>
      <c r="G5" s="32">
        <f t="shared" si="0"/>
        <v>3000</v>
      </c>
      <c r="H5" s="32">
        <f t="shared" ref="H5:H32" si="1">SUM(B5:G5)</f>
        <v>184000</v>
      </c>
      <c r="I5" s="32">
        <f t="shared" si="0"/>
        <v>6000</v>
      </c>
      <c r="J5" s="32">
        <f t="shared" si="0"/>
        <v>6000</v>
      </c>
      <c r="K5" s="32">
        <f t="shared" si="0"/>
        <v>14000</v>
      </c>
      <c r="L5" s="32">
        <f t="shared" si="0"/>
        <v>2000</v>
      </c>
      <c r="M5" s="32">
        <f t="shared" si="0"/>
        <v>4000</v>
      </c>
      <c r="N5" s="32">
        <f t="shared" si="0"/>
        <v>6000</v>
      </c>
      <c r="O5" s="32">
        <f>SUM(I5:N5)</f>
        <v>38000</v>
      </c>
      <c r="P5" s="32">
        <f>H5+O5</f>
        <v>222000</v>
      </c>
    </row>
    <row r="6" spans="1:16" ht="12" customHeight="1" x14ac:dyDescent="0.15">
      <c r="A6" s="21" t="s">
        <v>1</v>
      </c>
      <c r="B6" s="25">
        <v>89000</v>
      </c>
      <c r="C6" s="25">
        <v>0</v>
      </c>
      <c r="D6" s="25">
        <v>3000</v>
      </c>
      <c r="E6" s="25">
        <v>0</v>
      </c>
      <c r="F6" s="25">
        <v>0</v>
      </c>
      <c r="G6" s="25">
        <v>0</v>
      </c>
      <c r="H6" s="25">
        <f t="shared" si="1"/>
        <v>92000</v>
      </c>
      <c r="I6" s="25">
        <v>2000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f t="shared" ref="O6:O72" si="2">SUM(I6:N6)</f>
        <v>2000</v>
      </c>
      <c r="P6" s="25">
        <f t="shared" ref="P6:P72" si="3">H6+O6</f>
        <v>94000</v>
      </c>
    </row>
    <row r="7" spans="1:16" ht="12" customHeight="1" x14ac:dyDescent="0.15">
      <c r="A7" s="21" t="s">
        <v>2</v>
      </c>
      <c r="B7" s="25">
        <v>37000</v>
      </c>
      <c r="C7" s="25">
        <v>11000</v>
      </c>
      <c r="D7" s="25">
        <v>8000</v>
      </c>
      <c r="E7" s="25">
        <f>63000-56000</f>
        <v>7000</v>
      </c>
      <c r="F7" s="25">
        <v>5000</v>
      </c>
      <c r="G7" s="25">
        <v>3000</v>
      </c>
      <c r="H7" s="25">
        <f t="shared" si="1"/>
        <v>71000</v>
      </c>
      <c r="I7" s="25">
        <v>4000</v>
      </c>
      <c r="J7" s="25">
        <v>6000</v>
      </c>
      <c r="K7" s="25">
        <v>10000</v>
      </c>
      <c r="L7" s="25">
        <v>2000</v>
      </c>
      <c r="M7" s="25">
        <v>4000</v>
      </c>
      <c r="N7" s="25">
        <v>4000</v>
      </c>
      <c r="O7" s="25">
        <f t="shared" si="2"/>
        <v>30000</v>
      </c>
      <c r="P7" s="25">
        <f t="shared" si="3"/>
        <v>101000</v>
      </c>
    </row>
    <row r="8" spans="1:16" ht="12" customHeight="1" x14ac:dyDescent="0.15">
      <c r="A8" s="21" t="s">
        <v>3</v>
      </c>
      <c r="B8" s="25">
        <v>9000</v>
      </c>
      <c r="C8" s="25">
        <v>5000</v>
      </c>
      <c r="D8" s="25">
        <v>3000</v>
      </c>
      <c r="E8" s="25">
        <v>4000</v>
      </c>
      <c r="F8" s="25">
        <v>0</v>
      </c>
      <c r="G8" s="25">
        <v>0</v>
      </c>
      <c r="H8" s="25">
        <f t="shared" si="1"/>
        <v>21000</v>
      </c>
      <c r="I8" s="25">
        <v>0</v>
      </c>
      <c r="J8" s="25">
        <v>0</v>
      </c>
      <c r="K8" s="25">
        <v>4000</v>
      </c>
      <c r="L8" s="25">
        <v>0</v>
      </c>
      <c r="M8" s="25">
        <v>0</v>
      </c>
      <c r="N8" s="25">
        <v>2000</v>
      </c>
      <c r="O8" s="25">
        <f t="shared" si="2"/>
        <v>6000</v>
      </c>
      <c r="P8" s="25">
        <f t="shared" si="3"/>
        <v>27000</v>
      </c>
    </row>
    <row r="9" spans="1:16" ht="12" customHeight="1" x14ac:dyDescent="0.15">
      <c r="A9" s="24" t="s">
        <v>4</v>
      </c>
      <c r="B9" s="32">
        <f t="shared" ref="B9:G9" si="4">SUM(B10:B27)</f>
        <v>17899990</v>
      </c>
      <c r="C9" s="32">
        <f t="shared" si="4"/>
        <v>17756850</v>
      </c>
      <c r="D9" s="32">
        <f t="shared" si="4"/>
        <v>18364730</v>
      </c>
      <c r="E9" s="32">
        <f t="shared" si="4"/>
        <v>19149740</v>
      </c>
      <c r="F9" s="32">
        <f t="shared" si="4"/>
        <v>19439970</v>
      </c>
      <c r="G9" s="32">
        <f t="shared" si="4"/>
        <v>18154810</v>
      </c>
      <c r="H9" s="32">
        <f t="shared" si="1"/>
        <v>110766090</v>
      </c>
      <c r="I9" s="32">
        <f t="shared" ref="I9:N9" si="5">SUM(I10:I27)</f>
        <v>18612240</v>
      </c>
      <c r="J9" s="32">
        <f t="shared" si="5"/>
        <v>17824170</v>
      </c>
      <c r="K9" s="32">
        <f t="shared" si="5"/>
        <v>18023760</v>
      </c>
      <c r="L9" s="32">
        <f t="shared" si="5"/>
        <v>15782865</v>
      </c>
      <c r="M9" s="32">
        <f t="shared" si="5"/>
        <v>18751880</v>
      </c>
      <c r="N9" s="32">
        <f t="shared" si="5"/>
        <v>18040360</v>
      </c>
      <c r="O9" s="32">
        <f t="shared" si="2"/>
        <v>107035275</v>
      </c>
      <c r="P9" s="32">
        <f t="shared" si="3"/>
        <v>217801365</v>
      </c>
    </row>
    <row r="10" spans="1:16" ht="12" customHeight="1" x14ac:dyDescent="0.15">
      <c r="A10" s="47" t="s">
        <v>94</v>
      </c>
      <c r="B10" s="25">
        <v>2782860</v>
      </c>
      <c r="C10" s="25">
        <f>5455890-2782860</f>
        <v>2673030</v>
      </c>
      <c r="D10" s="25">
        <f>8228040-5455890</f>
        <v>2772150</v>
      </c>
      <c r="E10" s="25">
        <f>11077400-8228040</f>
        <v>2849360</v>
      </c>
      <c r="F10" s="25">
        <f>13962130-11077400</f>
        <v>2884730</v>
      </c>
      <c r="G10" s="25">
        <f>16743450-13962130</f>
        <v>2781320</v>
      </c>
      <c r="H10" s="25">
        <f t="shared" si="1"/>
        <v>16743450</v>
      </c>
      <c r="I10" s="25">
        <f>19427810-16743450</f>
        <v>2684360</v>
      </c>
      <c r="J10" s="25">
        <f>22214800-19427810</f>
        <v>2786990</v>
      </c>
      <c r="K10" s="25">
        <f>24893520-22214800</f>
        <v>2678720</v>
      </c>
      <c r="L10" s="25">
        <f>27437530-24893520</f>
        <v>2544010</v>
      </c>
      <c r="M10" s="25">
        <f>29941590-27437530</f>
        <v>2504060</v>
      </c>
      <c r="N10" s="25">
        <f>32395860-29941590</f>
        <v>2454270</v>
      </c>
      <c r="O10" s="25">
        <f t="shared" si="2"/>
        <v>15652410</v>
      </c>
      <c r="P10" s="25">
        <f t="shared" si="3"/>
        <v>32395860</v>
      </c>
    </row>
    <row r="11" spans="1:16" ht="12" customHeight="1" x14ac:dyDescent="0.15">
      <c r="A11" s="48" t="s">
        <v>247</v>
      </c>
      <c r="B11" s="25">
        <v>172740</v>
      </c>
      <c r="C11" s="25">
        <v>171600</v>
      </c>
      <c r="D11" s="25">
        <v>182140</v>
      </c>
      <c r="E11" s="25">
        <v>172000</v>
      </c>
      <c r="F11" s="25">
        <v>175000</v>
      </c>
      <c r="G11" s="25">
        <v>189600</v>
      </c>
      <c r="H11" s="25">
        <f t="shared" si="1"/>
        <v>1063080</v>
      </c>
      <c r="I11" s="25">
        <v>170700</v>
      </c>
      <c r="J11" s="25">
        <v>195200</v>
      </c>
      <c r="K11" s="25">
        <v>187900</v>
      </c>
      <c r="L11" s="25">
        <f>206800+5625</f>
        <v>212425</v>
      </c>
      <c r="M11" s="25" ph="1">
        <v>212400</v>
      </c>
      <c r="N11" s="25">
        <v>203800</v>
      </c>
      <c r="O11" s="25">
        <f t="shared" si="2"/>
        <v>1182425</v>
      </c>
      <c r="P11" s="25">
        <f t="shared" si="3"/>
        <v>2245505</v>
      </c>
    </row>
    <row r="12" spans="1:16" ht="12" customHeight="1" x14ac:dyDescent="0.15">
      <c r="A12" s="48" t="s">
        <v>248</v>
      </c>
      <c r="B12" s="25">
        <v>62100</v>
      </c>
      <c r="C12" s="25">
        <v>67500</v>
      </c>
      <c r="D12" s="25">
        <v>54000</v>
      </c>
      <c r="E12" s="25">
        <v>73200</v>
      </c>
      <c r="F12" s="25">
        <v>43200</v>
      </c>
      <c r="G12" s="25">
        <v>35100</v>
      </c>
      <c r="H12" s="25">
        <f t="shared" si="1"/>
        <v>335100</v>
      </c>
      <c r="I12" s="25">
        <f>3000+27000</f>
        <v>30000</v>
      </c>
      <c r="J12" s="25">
        <v>40500</v>
      </c>
      <c r="K12" s="25">
        <v>32400</v>
      </c>
      <c r="L12" s="25">
        <v>70200</v>
      </c>
      <c r="M12" s="25">
        <v>27000</v>
      </c>
      <c r="N12" s="25">
        <f>3000+35100</f>
        <v>38100</v>
      </c>
      <c r="O12" s="25">
        <f t="shared" si="2"/>
        <v>238200</v>
      </c>
      <c r="P12" s="25">
        <f t="shared" si="3"/>
        <v>573300</v>
      </c>
    </row>
    <row r="13" spans="1:16" ht="12" customHeight="1" x14ac:dyDescent="0.15">
      <c r="A13" s="47" t="s">
        <v>95</v>
      </c>
      <c r="B13" s="49">
        <f>5083770-326400-1800+4511240-275400</f>
        <v>8991410</v>
      </c>
      <c r="C13" s="25">
        <f>10046870-5083770-322800-2400+9247880-4511240-293400</f>
        <v>9081140</v>
      </c>
      <c r="D13" s="25">
        <f>15042280-10046870-329400+14171270-9247880-309600</f>
        <v>9279800</v>
      </c>
      <c r="E13" s="25">
        <f>20361230-15042280-345600-5400+19346710-14171270-320400-4800</f>
        <v>9818190</v>
      </c>
      <c r="F13" s="25">
        <f>25461550-20361230-337800+24743460-19346710-340800</f>
        <v>9818470</v>
      </c>
      <c r="G13" s="25">
        <f>30353720-25461550-328200+30023430-24743460-327600</f>
        <v>9516340</v>
      </c>
      <c r="H13" s="25">
        <f t="shared" si="1"/>
        <v>56505350</v>
      </c>
      <c r="I13" s="25">
        <f>35517650-30353720-346200-1800+35485460-30022230-343200</f>
        <v>9935960</v>
      </c>
      <c r="J13" s="25">
        <f>39992680-35517650-298800-1800+40746060-35485460-325800-1800-4200</f>
        <v>9103230</v>
      </c>
      <c r="K13" s="25">
        <f>44654800-39992680-313200-1800+46009560-40746060-334800</f>
        <v>9275820</v>
      </c>
      <c r="L13" s="25">
        <f>48960960-44654800-289800+50397250-46009560-274800-2400</f>
        <v>8126850</v>
      </c>
      <c r="M13" s="25">
        <f>53568370-48960960-308400+55315770-50397250-306000-6600</f>
        <v>8904930</v>
      </c>
      <c r="N13" s="25">
        <f>58546120-53568370-335400+60235050-55315770-306600</f>
        <v>9255030</v>
      </c>
      <c r="O13" s="25">
        <f t="shared" si="2"/>
        <v>54601820</v>
      </c>
      <c r="P13" s="25">
        <f t="shared" si="3"/>
        <v>111107170</v>
      </c>
    </row>
    <row r="14" spans="1:16" ht="12" customHeight="1" x14ac:dyDescent="0.15">
      <c r="A14" s="21" t="s">
        <v>58</v>
      </c>
      <c r="B14" s="25">
        <f>326400+1800+275400</f>
        <v>603600</v>
      </c>
      <c r="C14" s="25">
        <f>322800+2400+293400</f>
        <v>618600</v>
      </c>
      <c r="D14" s="25">
        <f>309600+329400</f>
        <v>639000</v>
      </c>
      <c r="E14" s="25">
        <f>320400+4800+345600+5400</f>
        <v>676200</v>
      </c>
      <c r="F14" s="25">
        <f>337800+340800</f>
        <v>678600</v>
      </c>
      <c r="G14" s="25">
        <f>328200+326400</f>
        <v>654600</v>
      </c>
      <c r="H14" s="25">
        <f t="shared" si="1"/>
        <v>3870600</v>
      </c>
      <c r="I14" s="25">
        <f>343200+346200+1800</f>
        <v>691200</v>
      </c>
      <c r="J14" s="25">
        <f>298800+1800+325800+1800+4200</f>
        <v>632400</v>
      </c>
      <c r="K14" s="25">
        <f>334800+313200+1800</f>
        <v>649800</v>
      </c>
      <c r="L14" s="25">
        <f>274800+2400+289800</f>
        <v>567000</v>
      </c>
      <c r="M14" s="25">
        <f>308400+306000+6600</f>
        <v>621000</v>
      </c>
      <c r="N14" s="25">
        <f>306600+335400</f>
        <v>642000</v>
      </c>
      <c r="O14" s="25">
        <f t="shared" si="2"/>
        <v>3803400</v>
      </c>
      <c r="P14" s="25">
        <f t="shared" si="3"/>
        <v>7674000</v>
      </c>
    </row>
    <row r="15" spans="1:16" ht="12" customHeight="1" x14ac:dyDescent="0.15">
      <c r="A15" s="47" t="s">
        <v>96</v>
      </c>
      <c r="B15" s="25">
        <f>862230-79800-4200+358700-37800</f>
        <v>1099130</v>
      </c>
      <c r="C15" s="25">
        <f>1685260-862230-79200+681010-358700-33000</f>
        <v>1033140</v>
      </c>
      <c r="D15" s="25">
        <f>2503630-1685260-75000+964110-681010-27600</f>
        <v>998870</v>
      </c>
      <c r="E15" s="25">
        <f>3222840-2503630-69600+1210710-964110-27600</f>
        <v>868610</v>
      </c>
      <c r="F15" s="25">
        <f>3891540-3222840-58800+1445470-1210710-24000</f>
        <v>820660</v>
      </c>
      <c r="G15" s="25">
        <f>4588310-3891540-67800+1801310-1445470-35400-2400</f>
        <v>947010</v>
      </c>
      <c r="H15" s="25">
        <f t="shared" si="1"/>
        <v>5767420</v>
      </c>
      <c r="I15" s="25">
        <f>5330560-4588310-67200-4800+2054990-1801310-26400</f>
        <v>897530</v>
      </c>
      <c r="J15" s="25">
        <f>6016450-5330560-60600-3000+2407660-2054990-34200-1200</f>
        <v>939560</v>
      </c>
      <c r="K15" s="25">
        <f>6835870-6016450-78600+2765000-2407660-33600-1200</f>
        <v>1063360</v>
      </c>
      <c r="L15" s="25">
        <f>7586390-6835870-69000+3090220-2765000-31800</f>
        <v>974940</v>
      </c>
      <c r="M15" s="25">
        <f>8318890-7586390-67800+3353380-3090220-25200</f>
        <v>902660</v>
      </c>
      <c r="N15" s="25">
        <f>8930690-8318890-67200+3744260-3353380-40200-4800</f>
        <v>890480</v>
      </c>
      <c r="O15" s="25">
        <f t="shared" si="2"/>
        <v>5668530</v>
      </c>
      <c r="P15" s="25">
        <f t="shared" si="3"/>
        <v>11435950</v>
      </c>
    </row>
    <row r="16" spans="1:16" ht="12" customHeight="1" x14ac:dyDescent="0.15">
      <c r="A16" s="21" t="s">
        <v>59</v>
      </c>
      <c r="B16" s="25">
        <f>79800+4200+37800</f>
        <v>121800</v>
      </c>
      <c r="C16" s="25">
        <f>33000+79200</f>
        <v>112200</v>
      </c>
      <c r="D16" s="25">
        <f>75000+27600</f>
        <v>102600</v>
      </c>
      <c r="E16" s="25">
        <f>27600+69600</f>
        <v>97200</v>
      </c>
      <c r="F16" s="25">
        <f>58800+24000</f>
        <v>82800</v>
      </c>
      <c r="G16" s="25">
        <f>35400+2400+67800</f>
        <v>105600</v>
      </c>
      <c r="H16" s="25">
        <f t="shared" si="1"/>
        <v>622200</v>
      </c>
      <c r="I16" s="25">
        <f>26400+67200+4800</f>
        <v>98400</v>
      </c>
      <c r="J16" s="25">
        <f>60600+3000+34200+1200</f>
        <v>99000</v>
      </c>
      <c r="K16" s="25">
        <f>33600+1200+78600</f>
        <v>113400</v>
      </c>
      <c r="L16" s="25">
        <f>31800+69000</f>
        <v>100800</v>
      </c>
      <c r="M16" s="25">
        <f>67800+25200</f>
        <v>93000</v>
      </c>
      <c r="N16" s="25">
        <f>40200+4800+67200</f>
        <v>112200</v>
      </c>
      <c r="O16" s="25">
        <f t="shared" si="2"/>
        <v>616800</v>
      </c>
      <c r="P16" s="25">
        <f t="shared" si="3"/>
        <v>1239000</v>
      </c>
    </row>
    <row r="17" spans="1:16" ht="12" customHeight="1" x14ac:dyDescent="0.15">
      <c r="A17" s="50" t="s">
        <v>120</v>
      </c>
      <c r="B17" s="25">
        <f>2783230-119600-2700</f>
        <v>2660930</v>
      </c>
      <c r="C17" s="25">
        <f>5175810-2783230-93800-3000</f>
        <v>2295780</v>
      </c>
      <c r="D17" s="25">
        <f>7752650-5175810-99000-2700-3000</f>
        <v>2472140</v>
      </c>
      <c r="E17" s="25">
        <f>10256530-7752650-97400-2400-1200</f>
        <v>2402880</v>
      </c>
      <c r="F17" s="25">
        <f>12911570-10256530-93800-1800-10800</f>
        <v>2548640</v>
      </c>
      <c r="G17" s="25">
        <f>15183060-12911570-94000</f>
        <v>2177490</v>
      </c>
      <c r="H17" s="25">
        <f t="shared" si="1"/>
        <v>14557860</v>
      </c>
      <c r="I17" s="25">
        <f>17552270-15183060-96400</f>
        <v>2272810</v>
      </c>
      <c r="J17" s="25">
        <f>19909940-17552270-98400</f>
        <v>2259270</v>
      </c>
      <c r="K17" s="25">
        <f>22205210-19909940-95800</f>
        <v>2199470</v>
      </c>
      <c r="L17" s="25">
        <f>23831110-22205210-73200</f>
        <v>1552700</v>
      </c>
      <c r="M17" s="25">
        <f>25574660-23831110-79800</f>
        <v>1663750</v>
      </c>
      <c r="N17" s="25">
        <f>26976960-25574660-62400</f>
        <v>1339900</v>
      </c>
      <c r="O17" s="25">
        <f t="shared" si="2"/>
        <v>11287900</v>
      </c>
      <c r="P17" s="25">
        <f t="shared" si="3"/>
        <v>25845760</v>
      </c>
    </row>
    <row r="18" spans="1:16" ht="12" customHeight="1" x14ac:dyDescent="0.15">
      <c r="A18" s="21" t="s">
        <v>59</v>
      </c>
      <c r="B18" s="25">
        <f>119600+2700</f>
        <v>122300</v>
      </c>
      <c r="C18" s="25">
        <f>93800+3000</f>
        <v>96800</v>
      </c>
      <c r="D18" s="25">
        <f>99000+2700+3000</f>
        <v>104700</v>
      </c>
      <c r="E18" s="25">
        <f>97400+2400+1200</f>
        <v>101000</v>
      </c>
      <c r="F18" s="25">
        <f>93800+1800+10800</f>
        <v>106400</v>
      </c>
      <c r="G18" s="25">
        <v>94000</v>
      </c>
      <c r="H18" s="25">
        <f t="shared" si="1"/>
        <v>625200</v>
      </c>
      <c r="I18" s="25">
        <v>96400</v>
      </c>
      <c r="J18" s="25">
        <v>98400</v>
      </c>
      <c r="K18" s="25">
        <v>95800</v>
      </c>
      <c r="L18" s="25">
        <v>73200</v>
      </c>
      <c r="M18" s="25">
        <v>79800</v>
      </c>
      <c r="N18" s="25">
        <v>62400</v>
      </c>
      <c r="O18" s="25">
        <f t="shared" si="2"/>
        <v>506000</v>
      </c>
      <c r="P18" s="25">
        <f t="shared" si="3"/>
        <v>1131200</v>
      </c>
    </row>
    <row r="19" spans="1:16" ht="12" customHeight="1" x14ac:dyDescent="0.15">
      <c r="A19" s="51" t="s">
        <v>245</v>
      </c>
      <c r="B19" s="25">
        <v>582720</v>
      </c>
      <c r="C19" s="25">
        <f>1143430-582720</f>
        <v>560710</v>
      </c>
      <c r="D19" s="25">
        <f>1722710-1143430</f>
        <v>579280</v>
      </c>
      <c r="E19" s="25">
        <f>2313560-1722710</f>
        <v>590850</v>
      </c>
      <c r="F19" s="25">
        <f>2912480-2313560</f>
        <v>598920</v>
      </c>
      <c r="G19" s="25">
        <f>3479130-2912480</f>
        <v>566650</v>
      </c>
      <c r="H19" s="25">
        <f t="shared" si="1"/>
        <v>3479130</v>
      </c>
      <c r="I19" s="25">
        <f>4067060-3479130</f>
        <v>587930</v>
      </c>
      <c r="J19" s="25">
        <f>4622480-4067060</f>
        <v>555420</v>
      </c>
      <c r="K19" s="25">
        <f>5185670-4622480</f>
        <v>563190</v>
      </c>
      <c r="L19" s="25">
        <f>5655410-5185670</f>
        <v>469740</v>
      </c>
      <c r="M19" s="25">
        <f>6160890-5655410</f>
        <v>505480</v>
      </c>
      <c r="N19" s="25">
        <f>6657820-6160890</f>
        <v>496930</v>
      </c>
      <c r="O19" s="25">
        <f>SUM(I19:N19)</f>
        <v>3178690</v>
      </c>
      <c r="P19" s="25">
        <f t="shared" si="3"/>
        <v>6657820</v>
      </c>
    </row>
    <row r="20" spans="1:16" ht="12" customHeight="1" x14ac:dyDescent="0.15">
      <c r="A20" s="47" t="s">
        <v>119</v>
      </c>
      <c r="B20" s="25">
        <v>78000</v>
      </c>
      <c r="C20" s="25">
        <f>134400-78000</f>
        <v>56400</v>
      </c>
      <c r="D20" s="25">
        <f>196800-134400</f>
        <v>62400</v>
      </c>
      <c r="E20" s="25">
        <f>284400-196800</f>
        <v>87600</v>
      </c>
      <c r="F20" s="25">
        <f>339600-284400</f>
        <v>55200</v>
      </c>
      <c r="G20" s="25">
        <f>394800-339600</f>
        <v>55200</v>
      </c>
      <c r="H20" s="25">
        <f t="shared" si="1"/>
        <v>394800</v>
      </c>
      <c r="I20" s="25">
        <f>469200-394800</f>
        <v>74400</v>
      </c>
      <c r="J20" s="25">
        <f>532800-469200</f>
        <v>63600</v>
      </c>
      <c r="K20" s="25">
        <f>600000-532800</f>
        <v>67200</v>
      </c>
      <c r="L20" s="25">
        <f>658800-600000</f>
        <v>58800</v>
      </c>
      <c r="M20" s="25">
        <f>742800-658800</f>
        <v>84000</v>
      </c>
      <c r="N20" s="25">
        <f>838800-742800</f>
        <v>96000</v>
      </c>
      <c r="O20" s="25">
        <f t="shared" si="2"/>
        <v>444000</v>
      </c>
      <c r="P20" s="25">
        <f t="shared" si="3"/>
        <v>838800</v>
      </c>
    </row>
    <row r="21" spans="1:16" ht="12" customHeight="1" x14ac:dyDescent="0.15">
      <c r="A21" s="47" t="s">
        <v>97</v>
      </c>
      <c r="B21" s="25">
        <v>19200</v>
      </c>
      <c r="C21" s="25">
        <f>32900-19200</f>
        <v>13700</v>
      </c>
      <c r="D21" s="25">
        <f>56300-32900</f>
        <v>23400</v>
      </c>
      <c r="E21" s="25">
        <f>78700-56300</f>
        <v>22400</v>
      </c>
      <c r="F21" s="25">
        <f>218200-78700</f>
        <v>139500</v>
      </c>
      <c r="G21" s="25">
        <f>233400-218200</f>
        <v>15200</v>
      </c>
      <c r="H21" s="25">
        <f t="shared" si="1"/>
        <v>233400</v>
      </c>
      <c r="I21" s="25">
        <f>248400-233400</f>
        <v>15000</v>
      </c>
      <c r="J21" s="25">
        <f>254200-248400</f>
        <v>5800</v>
      </c>
      <c r="K21" s="25">
        <f>262000-254200</f>
        <v>7800</v>
      </c>
      <c r="L21" s="25">
        <f>274500-262000</f>
        <v>12500</v>
      </c>
      <c r="M21" s="25">
        <f>285000-274500</f>
        <v>10500</v>
      </c>
      <c r="N21" s="25">
        <f>290000-285000</f>
        <v>5000</v>
      </c>
      <c r="O21" s="25">
        <f t="shared" si="2"/>
        <v>56600</v>
      </c>
      <c r="P21" s="25">
        <f t="shared" si="3"/>
        <v>290000</v>
      </c>
    </row>
    <row r="22" spans="1:16" ht="12" customHeight="1" x14ac:dyDescent="0.15">
      <c r="A22" s="47" t="s">
        <v>98</v>
      </c>
      <c r="B22" s="25">
        <v>70500</v>
      </c>
      <c r="C22" s="25">
        <f>155100-70500</f>
        <v>84600</v>
      </c>
      <c r="D22" s="25">
        <f>276050-155100</f>
        <v>120950</v>
      </c>
      <c r="E22" s="25">
        <f>450850-276050</f>
        <v>174800</v>
      </c>
      <c r="F22" s="25">
        <f>536200-450850</f>
        <v>85350</v>
      </c>
      <c r="G22" s="25">
        <f>627150-536200</f>
        <v>90950</v>
      </c>
      <c r="H22" s="25">
        <f t="shared" si="1"/>
        <v>627150</v>
      </c>
      <c r="I22" s="25">
        <f>717400-627150</f>
        <v>90250</v>
      </c>
      <c r="J22" s="25">
        <f>820450-717400</f>
        <v>103050</v>
      </c>
      <c r="K22" s="25">
        <f>985550-820450</f>
        <v>165100</v>
      </c>
      <c r="L22" s="25">
        <f>1073850-985550</f>
        <v>88300</v>
      </c>
      <c r="M22" s="25">
        <f>1155600-1073850</f>
        <v>81750</v>
      </c>
      <c r="N22" s="25">
        <f>1400200-1155600</f>
        <v>244600</v>
      </c>
      <c r="O22" s="25">
        <f t="shared" si="2"/>
        <v>773050</v>
      </c>
      <c r="P22" s="25">
        <f t="shared" si="3"/>
        <v>1400200</v>
      </c>
    </row>
    <row r="23" spans="1:16" ht="12" customHeight="1" x14ac:dyDescent="0.15">
      <c r="A23" s="47" t="s">
        <v>249</v>
      </c>
      <c r="B23" s="25">
        <v>342150</v>
      </c>
      <c r="C23" s="25">
        <f>600350-342150</f>
        <v>258200</v>
      </c>
      <c r="D23" s="25">
        <f>905650-600350</f>
        <v>305300</v>
      </c>
      <c r="E23" s="25">
        <f>1295650-905650</f>
        <v>390000</v>
      </c>
      <c r="F23" s="25">
        <f>1727200-1295650</f>
        <v>431550</v>
      </c>
      <c r="G23" s="25">
        <f>1990100-1727200</f>
        <v>262900</v>
      </c>
      <c r="H23" s="25">
        <f t="shared" si="1"/>
        <v>1990100</v>
      </c>
      <c r="I23" s="25">
        <f>2272150-1990100</f>
        <v>282050</v>
      </c>
      <c r="J23" s="25">
        <f>2538050-2272150</f>
        <v>265900</v>
      </c>
      <c r="K23" s="25">
        <f>2785900-2538050</f>
        <v>247850</v>
      </c>
      <c r="L23" s="25">
        <f>3056100-2785900</f>
        <v>270200</v>
      </c>
      <c r="M23" s="25">
        <f>3285500-3056100</f>
        <v>229400</v>
      </c>
      <c r="N23" s="25">
        <f>3591850-3285500</f>
        <v>306350</v>
      </c>
      <c r="O23" s="25">
        <f t="shared" si="2"/>
        <v>1601750</v>
      </c>
      <c r="P23" s="25">
        <f t="shared" si="3"/>
        <v>3591850</v>
      </c>
    </row>
    <row r="24" spans="1:16" ht="12" customHeight="1" x14ac:dyDescent="0.15">
      <c r="A24" s="47" t="s">
        <v>250</v>
      </c>
      <c r="B24" s="25">
        <v>125200</v>
      </c>
      <c r="C24" s="25">
        <f>208900-125200</f>
        <v>83700</v>
      </c>
      <c r="D24" s="25">
        <f>302700-208900</f>
        <v>93800</v>
      </c>
      <c r="E24" s="25">
        <f>492900-302700</f>
        <v>190200</v>
      </c>
      <c r="F24" s="25">
        <f>762500-492900</f>
        <v>269600</v>
      </c>
      <c r="G24" s="25">
        <f>853700-762500</f>
        <v>91200</v>
      </c>
      <c r="H24" s="25">
        <f t="shared" si="1"/>
        <v>853700</v>
      </c>
      <c r="I24" s="25">
        <f>959000-853700</f>
        <v>105300</v>
      </c>
      <c r="J24" s="25">
        <f>1054100-959000</f>
        <v>95100</v>
      </c>
      <c r="K24" s="25">
        <f>1152500-1054100</f>
        <v>98400</v>
      </c>
      <c r="L24" s="25">
        <f>1237400-1152500</f>
        <v>84900</v>
      </c>
      <c r="M24" s="25">
        <f>1304850-1237400</f>
        <v>67450</v>
      </c>
      <c r="N24" s="25">
        <f>1407100-1304850</f>
        <v>102250</v>
      </c>
      <c r="O24" s="25">
        <f t="shared" si="2"/>
        <v>553400</v>
      </c>
      <c r="P24" s="25">
        <f t="shared" si="3"/>
        <v>1407100</v>
      </c>
    </row>
    <row r="25" spans="1:16" ht="12" customHeight="1" x14ac:dyDescent="0.15">
      <c r="A25" s="47" t="s">
        <v>303</v>
      </c>
      <c r="B25" s="25"/>
      <c r="C25" s="25"/>
      <c r="D25" s="25"/>
      <c r="E25" s="25"/>
      <c r="F25" s="25">
        <v>39150</v>
      </c>
      <c r="G25" s="25"/>
      <c r="H25" s="25">
        <f t="shared" si="1"/>
        <v>39150</v>
      </c>
      <c r="I25" s="25"/>
      <c r="J25" s="25"/>
      <c r="K25" s="25">
        <f>40200-39150</f>
        <v>1050</v>
      </c>
      <c r="L25" s="25">
        <v>2100</v>
      </c>
      <c r="M25" s="25">
        <v>0</v>
      </c>
      <c r="N25" s="25">
        <f>52150-42300</f>
        <v>9850</v>
      </c>
      <c r="O25" s="25">
        <f t="shared" si="2"/>
        <v>13000</v>
      </c>
      <c r="P25" s="25">
        <f t="shared" si="3"/>
        <v>52150</v>
      </c>
    </row>
    <row r="26" spans="1:16" ht="12" customHeight="1" x14ac:dyDescent="0.15">
      <c r="A26" s="47" t="s">
        <v>251</v>
      </c>
      <c r="B26" s="25">
        <v>65350</v>
      </c>
      <c r="C26" s="25">
        <f>120100-65350</f>
        <v>54750</v>
      </c>
      <c r="D26" s="25">
        <f>199300-120100</f>
        <v>79200</v>
      </c>
      <c r="E26" s="25">
        <f>339550-199300</f>
        <v>140250</v>
      </c>
      <c r="F26" s="25">
        <f>506750-339550</f>
        <v>167200</v>
      </c>
      <c r="G26" s="25">
        <f>583400-506750</f>
        <v>76650</v>
      </c>
      <c r="H26" s="25">
        <f t="shared" si="1"/>
        <v>583400</v>
      </c>
      <c r="I26" s="25">
        <f>668350-583400</f>
        <v>84950</v>
      </c>
      <c r="J26" s="25">
        <f>754100-668350</f>
        <v>85750</v>
      </c>
      <c r="K26" s="25">
        <f>835600-754100</f>
        <v>81500</v>
      </c>
      <c r="L26" s="25">
        <f>914800-835600</f>
        <v>79200</v>
      </c>
      <c r="M26" s="25">
        <f>984500-914800</f>
        <v>69700</v>
      </c>
      <c r="N26" s="25">
        <f>1121700-984500</f>
        <v>137200</v>
      </c>
      <c r="O26" s="25">
        <f>SUM(I26:N26)</f>
        <v>538300</v>
      </c>
      <c r="P26" s="25">
        <f>H26+O26</f>
        <v>1121700</v>
      </c>
    </row>
    <row r="27" spans="1:16" ht="12" customHeight="1" x14ac:dyDescent="0.15">
      <c r="A27" s="21" t="s">
        <v>99</v>
      </c>
      <c r="B27" s="25">
        <v>0</v>
      </c>
      <c r="C27" s="25">
        <v>495000</v>
      </c>
      <c r="D27" s="25">
        <v>495000</v>
      </c>
      <c r="E27" s="25">
        <v>495000</v>
      </c>
      <c r="F27" s="25">
        <v>495000</v>
      </c>
      <c r="G27" s="25">
        <v>495000</v>
      </c>
      <c r="H27" s="25">
        <f t="shared" si="1"/>
        <v>2475000</v>
      </c>
      <c r="I27" s="25">
        <v>495000</v>
      </c>
      <c r="J27" s="25">
        <v>495000</v>
      </c>
      <c r="K27" s="25">
        <v>495000</v>
      </c>
      <c r="L27" s="25">
        <v>495000</v>
      </c>
      <c r="M27" s="25">
        <f>7150000-4455000</f>
        <v>2695000</v>
      </c>
      <c r="N27" s="25">
        <f>8794000-7150000</f>
        <v>1644000</v>
      </c>
      <c r="O27" s="25">
        <f t="shared" si="2"/>
        <v>6319000</v>
      </c>
      <c r="P27" s="25">
        <f t="shared" si="3"/>
        <v>8794000</v>
      </c>
    </row>
    <row r="28" spans="1:16" ht="12" customHeight="1" x14ac:dyDescent="0.15">
      <c r="A28" s="24" t="s">
        <v>11</v>
      </c>
      <c r="B28" s="32">
        <v>30000</v>
      </c>
      <c r="C28" s="32">
        <v>2000</v>
      </c>
      <c r="D28" s="32">
        <v>2000</v>
      </c>
      <c r="E28" s="32">
        <f>280900-34000</f>
        <v>246900</v>
      </c>
      <c r="F28" s="32">
        <v>111000</v>
      </c>
      <c r="G28" s="32">
        <f>603900-391900</f>
        <v>212000</v>
      </c>
      <c r="H28" s="32">
        <f t="shared" si="1"/>
        <v>603900</v>
      </c>
      <c r="I28" s="32">
        <v>2400</v>
      </c>
      <c r="J28" s="32">
        <f>649900-606300</f>
        <v>43600</v>
      </c>
      <c r="K28" s="32">
        <f>715500-649900</f>
        <v>65600</v>
      </c>
      <c r="L28" s="32">
        <v>0</v>
      </c>
      <c r="M28" s="32">
        <v>0</v>
      </c>
      <c r="N28" s="32">
        <v>30000</v>
      </c>
      <c r="O28" s="32">
        <f t="shared" si="2"/>
        <v>141600</v>
      </c>
      <c r="P28" s="32">
        <f t="shared" si="3"/>
        <v>745500</v>
      </c>
    </row>
    <row r="29" spans="1:16" ht="12" customHeight="1" x14ac:dyDescent="0.15">
      <c r="A29" s="24" t="s">
        <v>246</v>
      </c>
      <c r="B29" s="32">
        <v>0</v>
      </c>
      <c r="C29" s="32">
        <v>0</v>
      </c>
      <c r="D29" s="32">
        <v>0</v>
      </c>
      <c r="E29" s="32">
        <v>0</v>
      </c>
      <c r="F29" s="32">
        <v>500000</v>
      </c>
      <c r="G29" s="32">
        <v>120000</v>
      </c>
      <c r="H29" s="32">
        <f t="shared" si="1"/>
        <v>620000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f t="shared" si="2"/>
        <v>0</v>
      </c>
      <c r="P29" s="32">
        <f t="shared" si="3"/>
        <v>620000</v>
      </c>
    </row>
    <row r="30" spans="1:16" ht="12" customHeight="1" x14ac:dyDescent="0.15">
      <c r="A30" s="24" t="s">
        <v>12</v>
      </c>
      <c r="B30" s="32">
        <v>77917</v>
      </c>
      <c r="C30" s="32">
        <f>154850-77917</f>
        <v>76933</v>
      </c>
      <c r="D30" s="32">
        <f>238639-154850</f>
        <v>83789</v>
      </c>
      <c r="E30" s="32">
        <f>321189-238639</f>
        <v>82550</v>
      </c>
      <c r="F30" s="32">
        <f>406741-321189</f>
        <v>85552</v>
      </c>
      <c r="G30" s="32">
        <f>475979-406741</f>
        <v>69238</v>
      </c>
      <c r="H30" s="32">
        <f t="shared" si="1"/>
        <v>475979</v>
      </c>
      <c r="I30" s="32">
        <f>653746-475979</f>
        <v>177767</v>
      </c>
      <c r="J30" s="32">
        <f>732827-653746</f>
        <v>79081</v>
      </c>
      <c r="K30" s="32">
        <f>831218-732827</f>
        <v>98391</v>
      </c>
      <c r="L30" s="32">
        <f>964241-831218</f>
        <v>133023</v>
      </c>
      <c r="M30" s="32">
        <f>1051482-964241</f>
        <v>87241</v>
      </c>
      <c r="N30" s="32">
        <f>1132836-1051482</f>
        <v>81354</v>
      </c>
      <c r="O30" s="32">
        <f t="shared" si="2"/>
        <v>656857</v>
      </c>
      <c r="P30" s="32">
        <f t="shared" si="3"/>
        <v>1132836</v>
      </c>
    </row>
    <row r="31" spans="1:16" ht="12" customHeight="1" x14ac:dyDescent="0.15">
      <c r="A31" s="24" t="s">
        <v>274</v>
      </c>
      <c r="B31" s="32">
        <v>11400</v>
      </c>
      <c r="C31" s="32">
        <v>15600</v>
      </c>
      <c r="D31" s="32">
        <v>11600</v>
      </c>
      <c r="E31" s="32">
        <v>15000</v>
      </c>
      <c r="F31" s="32">
        <v>11400</v>
      </c>
      <c r="G31" s="32">
        <v>17400</v>
      </c>
      <c r="H31" s="32">
        <f t="shared" si="1"/>
        <v>82400</v>
      </c>
      <c r="I31" s="32">
        <f>95600-82400</f>
        <v>13200</v>
      </c>
      <c r="J31" s="32">
        <v>22200</v>
      </c>
      <c r="K31" s="32">
        <f>135200-117800</f>
        <v>17400</v>
      </c>
      <c r="L31" s="32">
        <v>22200</v>
      </c>
      <c r="M31" s="32">
        <v>19800</v>
      </c>
      <c r="N31" s="32">
        <v>19200</v>
      </c>
      <c r="O31" s="32">
        <f t="shared" si="2"/>
        <v>114000</v>
      </c>
      <c r="P31" s="32">
        <f t="shared" si="3"/>
        <v>196400</v>
      </c>
    </row>
    <row r="32" spans="1:16" ht="12" customHeight="1" x14ac:dyDescent="0.15">
      <c r="A32" s="52" t="s">
        <v>13</v>
      </c>
      <c r="B32" s="32">
        <f t="shared" ref="B32:G32" si="6">B5+B9+B28+B29+B30+B31</f>
        <v>18154307</v>
      </c>
      <c r="C32" s="32">
        <f t="shared" si="6"/>
        <v>17867383</v>
      </c>
      <c r="D32" s="32">
        <f t="shared" si="6"/>
        <v>18476119</v>
      </c>
      <c r="E32" s="32">
        <f t="shared" si="6"/>
        <v>19505190</v>
      </c>
      <c r="F32" s="32">
        <f t="shared" si="6"/>
        <v>20152922</v>
      </c>
      <c r="G32" s="32">
        <f t="shared" si="6"/>
        <v>18576448</v>
      </c>
      <c r="H32" s="32">
        <f t="shared" si="1"/>
        <v>112732369</v>
      </c>
      <c r="I32" s="32">
        <f t="shared" ref="I32:N32" si="7">I5+I9+I28+I29+I30+I31</f>
        <v>18811607</v>
      </c>
      <c r="J32" s="32">
        <f t="shared" si="7"/>
        <v>17975051</v>
      </c>
      <c r="K32" s="32">
        <f t="shared" si="7"/>
        <v>18219151</v>
      </c>
      <c r="L32" s="32">
        <f t="shared" si="7"/>
        <v>15940088</v>
      </c>
      <c r="M32" s="32">
        <f t="shared" si="7"/>
        <v>18862921</v>
      </c>
      <c r="N32" s="32">
        <f t="shared" si="7"/>
        <v>18176914</v>
      </c>
      <c r="O32" s="32">
        <f t="shared" si="2"/>
        <v>107985732</v>
      </c>
      <c r="P32" s="32">
        <f t="shared" si="3"/>
        <v>220718101</v>
      </c>
    </row>
    <row r="33" spans="1:16" ht="12" customHeight="1" x14ac:dyDescent="0.15">
      <c r="A33" s="23" t="s">
        <v>124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ht="12" customHeight="1" x14ac:dyDescent="0.15">
      <c r="A34" s="6" t="s">
        <v>15</v>
      </c>
      <c r="B34" s="25"/>
      <c r="C34" s="25"/>
      <c r="D34" s="25"/>
      <c r="E34" s="25"/>
      <c r="F34" s="25" t="s">
        <v>304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12" customHeight="1" x14ac:dyDescent="0.15">
      <c r="A35" s="23" t="s">
        <v>16</v>
      </c>
      <c r="B35" s="32">
        <f t="shared" ref="B35:N35" si="8">SUM(B36:B40)</f>
        <v>12015344</v>
      </c>
      <c r="C35" s="32">
        <f t="shared" si="8"/>
        <v>11458858</v>
      </c>
      <c r="D35" s="32">
        <f t="shared" si="8"/>
        <v>12255058</v>
      </c>
      <c r="E35" s="32">
        <f t="shared" si="8"/>
        <v>20295738</v>
      </c>
      <c r="F35" s="32">
        <f t="shared" si="8"/>
        <v>13179312</v>
      </c>
      <c r="G35" s="32">
        <f t="shared" si="8"/>
        <v>12023166</v>
      </c>
      <c r="H35" s="32">
        <f t="shared" ref="H35:H72" si="9">SUM(B35:G35)</f>
        <v>81227476</v>
      </c>
      <c r="I35" s="32">
        <f t="shared" si="8"/>
        <v>11976403</v>
      </c>
      <c r="J35" s="32">
        <f t="shared" si="8"/>
        <v>23122338</v>
      </c>
      <c r="K35" s="32">
        <f t="shared" si="8"/>
        <v>11628185</v>
      </c>
      <c r="L35" s="32">
        <f t="shared" si="8"/>
        <v>11687104</v>
      </c>
      <c r="M35" s="32">
        <f t="shared" si="8"/>
        <v>11932363</v>
      </c>
      <c r="N35" s="32">
        <f t="shared" si="8"/>
        <v>14173652</v>
      </c>
      <c r="O35" s="32">
        <f t="shared" si="2"/>
        <v>84520045</v>
      </c>
      <c r="P35" s="32">
        <f t="shared" si="3"/>
        <v>165747521</v>
      </c>
    </row>
    <row r="36" spans="1:16" ht="12" customHeight="1" x14ac:dyDescent="0.15">
      <c r="A36" s="6" t="s">
        <v>100</v>
      </c>
      <c r="B36" s="25">
        <v>370000</v>
      </c>
      <c r="C36" s="25">
        <v>370000</v>
      </c>
      <c r="D36" s="25">
        <v>370000</v>
      </c>
      <c r="E36" s="25">
        <v>370000</v>
      </c>
      <c r="F36" s="25">
        <v>454667</v>
      </c>
      <c r="G36" s="25">
        <v>497000</v>
      </c>
      <c r="H36" s="25">
        <f t="shared" si="9"/>
        <v>2431667</v>
      </c>
      <c r="I36" s="25">
        <v>497000</v>
      </c>
      <c r="J36" s="25">
        <f>497000+149000</f>
        <v>646000</v>
      </c>
      <c r="K36" s="25">
        <v>497000</v>
      </c>
      <c r="L36" s="25">
        <v>497000</v>
      </c>
      <c r="M36" s="25">
        <v>497000</v>
      </c>
      <c r="N36" s="25">
        <f>5593067-5065667</f>
        <v>527400</v>
      </c>
      <c r="O36" s="25">
        <f t="shared" si="2"/>
        <v>3161400</v>
      </c>
      <c r="P36" s="25">
        <f t="shared" si="3"/>
        <v>5593067</v>
      </c>
    </row>
    <row r="37" spans="1:16" ht="12" customHeight="1" x14ac:dyDescent="0.15">
      <c r="A37" s="6" t="s">
        <v>101</v>
      </c>
      <c r="B37" s="25">
        <v>9664482</v>
      </c>
      <c r="C37" s="25">
        <f>18810882-9664482</f>
        <v>9146400</v>
      </c>
      <c r="D37" s="25">
        <f>28551407-18810882</f>
        <v>9740525</v>
      </c>
      <c r="E37" s="25">
        <f>44349175-28551407</f>
        <v>15797768</v>
      </c>
      <c r="F37" s="25">
        <f>54765928-44349175</f>
        <v>10416753</v>
      </c>
      <c r="G37" s="25">
        <f>64210214-54765928</f>
        <v>9444286</v>
      </c>
      <c r="H37" s="25">
        <f t="shared" si="9"/>
        <v>64210214</v>
      </c>
      <c r="I37" s="25">
        <f>73424163-64210214</f>
        <v>9213949</v>
      </c>
      <c r="J37" s="25">
        <f>92480557-73424163</f>
        <v>19056394</v>
      </c>
      <c r="K37" s="25">
        <f>101465987-92480557</f>
        <v>8985430</v>
      </c>
      <c r="L37" s="25">
        <f>110525899-101465987</f>
        <v>9059912</v>
      </c>
      <c r="M37" s="25">
        <f>119727096-110525899</f>
        <v>9201197</v>
      </c>
      <c r="N37" s="25">
        <f>131011907-119727096</f>
        <v>11284811</v>
      </c>
      <c r="O37" s="25">
        <f t="shared" si="2"/>
        <v>66801693</v>
      </c>
      <c r="P37" s="25">
        <f t="shared" si="3"/>
        <v>131011907</v>
      </c>
    </row>
    <row r="38" spans="1:16" ht="12" customHeight="1" x14ac:dyDescent="0.15">
      <c r="A38" s="6" t="s">
        <v>102</v>
      </c>
      <c r="B38" s="25">
        <v>1070000</v>
      </c>
      <c r="C38" s="25">
        <f>2038950-1070000</f>
        <v>968950</v>
      </c>
      <c r="D38" s="25">
        <f>3041775-2038950</f>
        <v>1002825</v>
      </c>
      <c r="E38" s="25">
        <f>6107900-3041775</f>
        <v>3066125</v>
      </c>
      <c r="F38" s="25">
        <f>7410125-6107900</f>
        <v>1302225</v>
      </c>
      <c r="G38" s="25">
        <f>8512050-7410125</f>
        <v>1101925</v>
      </c>
      <c r="H38" s="25">
        <f t="shared" si="9"/>
        <v>8512050</v>
      </c>
      <c r="I38" s="25">
        <f>9653200-8512050</f>
        <v>1141150</v>
      </c>
      <c r="J38" s="25">
        <f>11971100-9653200</f>
        <v>2317900</v>
      </c>
      <c r="K38" s="25">
        <f>13085700-11971100</f>
        <v>1114600</v>
      </c>
      <c r="L38" s="25">
        <f>14007925-13085700</f>
        <v>922225</v>
      </c>
      <c r="M38" s="25">
        <f>15206625-14007925</f>
        <v>1198700</v>
      </c>
      <c r="N38" s="25">
        <f>16515200-15206625</f>
        <v>1308575</v>
      </c>
      <c r="O38" s="25">
        <f t="shared" si="2"/>
        <v>8003150</v>
      </c>
      <c r="P38" s="25">
        <f t="shared" si="3"/>
        <v>16515200</v>
      </c>
    </row>
    <row r="39" spans="1:16" ht="12" customHeight="1" x14ac:dyDescent="0.15">
      <c r="A39" s="6" t="s">
        <v>19</v>
      </c>
      <c r="B39" s="25">
        <v>910862</v>
      </c>
      <c r="C39" s="25">
        <f>1884370-910862</f>
        <v>973508</v>
      </c>
      <c r="D39" s="25">
        <f>3026078-1884370</f>
        <v>1141708</v>
      </c>
      <c r="E39" s="25">
        <f>4087923-3026078</f>
        <v>1061845</v>
      </c>
      <c r="F39" s="25">
        <f>5093590-4087923</f>
        <v>1005667</v>
      </c>
      <c r="G39" s="25">
        <f>6073545-5093590</f>
        <v>979955</v>
      </c>
      <c r="H39" s="25">
        <f t="shared" si="9"/>
        <v>6073545</v>
      </c>
      <c r="I39" s="25">
        <f>7197849-6073545</f>
        <v>1124304</v>
      </c>
      <c r="J39" s="25">
        <f>8299893-7197849</f>
        <v>1102044</v>
      </c>
      <c r="K39" s="25">
        <f>9331048-8299893</f>
        <v>1031155</v>
      </c>
      <c r="L39" s="25">
        <f>10539015-9331048</f>
        <v>1207967</v>
      </c>
      <c r="M39" s="25">
        <f>11574481-10539015</f>
        <v>1035466</v>
      </c>
      <c r="N39" s="25">
        <f>12627347-11574481</f>
        <v>1052866</v>
      </c>
      <c r="O39" s="25">
        <f t="shared" si="2"/>
        <v>6553802</v>
      </c>
      <c r="P39" s="25">
        <f t="shared" si="3"/>
        <v>12627347</v>
      </c>
    </row>
    <row r="40" spans="1:16" ht="12" customHeight="1" x14ac:dyDescent="0.15">
      <c r="A40" s="6" t="s">
        <v>117</v>
      </c>
      <c r="B40" s="25">
        <v>0</v>
      </c>
      <c r="C40" s="25">
        <v>0</v>
      </c>
      <c r="D40" s="25">
        <v>0</v>
      </c>
      <c r="E40" s="25">
        <v>0</v>
      </c>
      <c r="F40" s="25"/>
      <c r="G40" s="25"/>
      <c r="H40" s="25">
        <f t="shared" si="9"/>
        <v>0</v>
      </c>
      <c r="I40" s="25"/>
      <c r="J40" s="25"/>
      <c r="K40" s="25"/>
      <c r="L40" s="25"/>
      <c r="M40" s="25"/>
      <c r="N40" s="25"/>
      <c r="O40" s="25">
        <f t="shared" si="2"/>
        <v>0</v>
      </c>
      <c r="P40" s="25">
        <f t="shared" si="3"/>
        <v>0</v>
      </c>
    </row>
    <row r="41" spans="1:16" ht="12" customHeight="1" x14ac:dyDescent="0.15">
      <c r="A41" s="23" t="s">
        <v>20</v>
      </c>
      <c r="B41" s="32">
        <f>SUM(B42:B66)</f>
        <v>3203900</v>
      </c>
      <c r="C41" s="32">
        <f t="shared" ref="C41:N41" si="10">SUM(C42:C66)</f>
        <v>4258686</v>
      </c>
      <c r="D41" s="32">
        <f t="shared" si="10"/>
        <v>3712292</v>
      </c>
      <c r="E41" s="32">
        <f t="shared" si="10"/>
        <v>3955188</v>
      </c>
      <c r="F41" s="32">
        <f t="shared" si="10"/>
        <v>2973365</v>
      </c>
      <c r="G41" s="32">
        <f t="shared" si="10"/>
        <v>6709814</v>
      </c>
      <c r="H41" s="32">
        <f t="shared" si="9"/>
        <v>24813245</v>
      </c>
      <c r="I41" s="32">
        <f t="shared" si="10"/>
        <v>4038895</v>
      </c>
      <c r="J41" s="32">
        <f t="shared" si="10"/>
        <v>3571655</v>
      </c>
      <c r="K41" s="32">
        <f t="shared" si="10"/>
        <v>3937424</v>
      </c>
      <c r="L41" s="32">
        <f t="shared" si="10"/>
        <v>3998320</v>
      </c>
      <c r="M41" s="32">
        <f t="shared" si="10"/>
        <v>4059427</v>
      </c>
      <c r="N41" s="32">
        <f t="shared" si="10"/>
        <v>7271256</v>
      </c>
      <c r="O41" s="32">
        <f t="shared" si="2"/>
        <v>26876977</v>
      </c>
      <c r="P41" s="32">
        <f t="shared" si="3"/>
        <v>51690222</v>
      </c>
    </row>
    <row r="42" spans="1:16" ht="12" customHeight="1" x14ac:dyDescent="0.15">
      <c r="A42" s="6" t="s">
        <v>21</v>
      </c>
      <c r="B42" s="25">
        <v>290000</v>
      </c>
      <c r="C42" s="25">
        <f>591000-290000</f>
        <v>301000</v>
      </c>
      <c r="D42" s="25">
        <f>877400-591000</f>
        <v>286400</v>
      </c>
      <c r="E42" s="25">
        <f>1214200-877400</f>
        <v>336800</v>
      </c>
      <c r="F42" s="25">
        <f>1510200-1214200</f>
        <v>296000</v>
      </c>
      <c r="G42" s="25">
        <f>1911900-1510200</f>
        <v>401700</v>
      </c>
      <c r="H42" s="25">
        <f t="shared" si="9"/>
        <v>1911900</v>
      </c>
      <c r="I42" s="25">
        <f>2306000-1911900</f>
        <v>394100</v>
      </c>
      <c r="J42" s="25">
        <f>2626500-2306000</f>
        <v>320500</v>
      </c>
      <c r="K42" s="25">
        <f>3278644-2626500</f>
        <v>652144</v>
      </c>
      <c r="L42" s="25">
        <f>3590844-3278644</f>
        <v>312200</v>
      </c>
      <c r="M42" s="25">
        <f>4204606-3590844</f>
        <v>613762</v>
      </c>
      <c r="N42" s="25">
        <f>4728303-4204606</f>
        <v>523697</v>
      </c>
      <c r="O42" s="25">
        <f t="shared" si="2"/>
        <v>2816403</v>
      </c>
      <c r="P42" s="25">
        <f t="shared" si="3"/>
        <v>4728303</v>
      </c>
    </row>
    <row r="43" spans="1:16" ht="12" customHeight="1" x14ac:dyDescent="0.15">
      <c r="A43" s="6" t="s">
        <v>22</v>
      </c>
      <c r="B43" s="25">
        <v>0</v>
      </c>
      <c r="C43" s="25">
        <v>7840</v>
      </c>
      <c r="D43" s="25">
        <v>0</v>
      </c>
      <c r="E43" s="25">
        <v>0</v>
      </c>
      <c r="F43" s="25">
        <v>0</v>
      </c>
      <c r="G43" s="25">
        <v>0</v>
      </c>
      <c r="H43" s="25">
        <f t="shared" si="9"/>
        <v>7840</v>
      </c>
      <c r="I43" s="25">
        <v>0</v>
      </c>
      <c r="J43" s="25">
        <v>0</v>
      </c>
      <c r="K43" s="25">
        <v>0</v>
      </c>
      <c r="L43" s="25">
        <v>0</v>
      </c>
      <c r="M43" s="25">
        <v>48580</v>
      </c>
      <c r="N43" s="25">
        <v>2100</v>
      </c>
      <c r="O43" s="25">
        <f t="shared" si="2"/>
        <v>50680</v>
      </c>
      <c r="P43" s="25">
        <f t="shared" si="3"/>
        <v>58520</v>
      </c>
    </row>
    <row r="44" spans="1:16" ht="12" customHeight="1" x14ac:dyDescent="0.15">
      <c r="A44" s="6" t="s">
        <v>103</v>
      </c>
      <c r="B44" s="25">
        <v>76405</v>
      </c>
      <c r="C44" s="25">
        <f>128544-76405</f>
        <v>52139</v>
      </c>
      <c r="D44" s="25">
        <f>210480-128544</f>
        <v>81936</v>
      </c>
      <c r="E44" s="25">
        <f>274294-210480</f>
        <v>63814</v>
      </c>
      <c r="F44" s="25">
        <f>350422-274294</f>
        <v>76128</v>
      </c>
      <c r="G44" s="25">
        <f>420143-350422</f>
        <v>69721</v>
      </c>
      <c r="H44" s="25">
        <f t="shared" si="9"/>
        <v>420143</v>
      </c>
      <c r="I44" s="25">
        <f>479420-420143</f>
        <v>59277</v>
      </c>
      <c r="J44" s="25">
        <f>564715-479420</f>
        <v>85295</v>
      </c>
      <c r="K44" s="25">
        <f>624535-564715</f>
        <v>59820</v>
      </c>
      <c r="L44" s="25">
        <f>703848-624535</f>
        <v>79313</v>
      </c>
      <c r="M44" s="25">
        <f>777432-703848</f>
        <v>73584</v>
      </c>
      <c r="N44" s="25">
        <f>857321-777432</f>
        <v>79889</v>
      </c>
      <c r="O44" s="25">
        <f t="shared" si="2"/>
        <v>437178</v>
      </c>
      <c r="P44" s="25">
        <f t="shared" si="3"/>
        <v>857321</v>
      </c>
    </row>
    <row r="45" spans="1:16" ht="12" customHeight="1" x14ac:dyDescent="0.15">
      <c r="A45" s="6" t="s">
        <v>24</v>
      </c>
      <c r="B45" s="25">
        <v>26302</v>
      </c>
      <c r="C45" s="25">
        <f>55562-26302</f>
        <v>29260</v>
      </c>
      <c r="D45" s="25">
        <f>99805-55562</f>
        <v>44243</v>
      </c>
      <c r="E45" s="25">
        <f>134266-99805</f>
        <v>34461</v>
      </c>
      <c r="F45" s="25">
        <v>16274</v>
      </c>
      <c r="G45" s="25">
        <f>158863-150540</f>
        <v>8323</v>
      </c>
      <c r="H45" s="25">
        <f t="shared" si="9"/>
        <v>158863</v>
      </c>
      <c r="I45" s="25">
        <f>465+14226</f>
        <v>14691</v>
      </c>
      <c r="J45" s="25">
        <f>184262-173554</f>
        <v>10708</v>
      </c>
      <c r="K45" s="25">
        <v>11539</v>
      </c>
      <c r="L45" s="25">
        <f>231218-195801</f>
        <v>35417</v>
      </c>
      <c r="M45" s="25">
        <f>254591-231218</f>
        <v>23373</v>
      </c>
      <c r="N45" s="25">
        <f>277700-254591</f>
        <v>23109</v>
      </c>
      <c r="O45" s="25">
        <f t="shared" si="2"/>
        <v>118837</v>
      </c>
      <c r="P45" s="25">
        <f t="shared" si="3"/>
        <v>277700</v>
      </c>
    </row>
    <row r="46" spans="1:16" ht="12" customHeight="1" x14ac:dyDescent="0.15">
      <c r="A46" s="6" t="s">
        <v>104</v>
      </c>
      <c r="B46" s="25">
        <v>3240</v>
      </c>
      <c r="C46" s="25">
        <f>106919-3240</f>
        <v>103679</v>
      </c>
      <c r="D46" s="25">
        <v>24924</v>
      </c>
      <c r="E46" s="25">
        <f>487053-131843</f>
        <v>355210</v>
      </c>
      <c r="F46" s="25">
        <v>10778</v>
      </c>
      <c r="G46" s="25">
        <f>762726-497831</f>
        <v>264895</v>
      </c>
      <c r="H46" s="25">
        <f t="shared" si="9"/>
        <v>762726</v>
      </c>
      <c r="I46" s="25">
        <f>1064746-762726</f>
        <v>302020</v>
      </c>
      <c r="J46" s="25">
        <f>1225131-1064746</f>
        <v>160385</v>
      </c>
      <c r="K46" s="25">
        <f>1287504-1225131</f>
        <v>62373</v>
      </c>
      <c r="L46" s="25">
        <f>1340466-1287504</f>
        <v>52962</v>
      </c>
      <c r="M46" s="25">
        <f>1369820-1340466</f>
        <v>29354</v>
      </c>
      <c r="N46" s="25">
        <v>100000</v>
      </c>
      <c r="O46" s="25">
        <f t="shared" si="2"/>
        <v>707094</v>
      </c>
      <c r="P46" s="25">
        <f t="shared" si="3"/>
        <v>1469820</v>
      </c>
    </row>
    <row r="47" spans="1:16" ht="12" customHeight="1" x14ac:dyDescent="0.15">
      <c r="A47" s="6" t="s">
        <v>105</v>
      </c>
      <c r="B47" s="25">
        <v>0</v>
      </c>
      <c r="C47" s="25">
        <v>0</v>
      </c>
      <c r="D47" s="25">
        <v>89601</v>
      </c>
      <c r="E47" s="25">
        <f>166735-89601</f>
        <v>77134</v>
      </c>
      <c r="F47" s="25">
        <v>0</v>
      </c>
      <c r="G47" s="25">
        <v>0</v>
      </c>
      <c r="H47" s="25">
        <f t="shared" si="9"/>
        <v>166735</v>
      </c>
      <c r="I47" s="25">
        <v>0</v>
      </c>
      <c r="J47" s="25">
        <v>0</v>
      </c>
      <c r="K47" s="25">
        <v>0</v>
      </c>
      <c r="L47" s="25">
        <v>0</v>
      </c>
      <c r="M47" s="25">
        <v>29700</v>
      </c>
      <c r="N47" s="25">
        <v>0</v>
      </c>
      <c r="O47" s="25">
        <f t="shared" si="2"/>
        <v>29700</v>
      </c>
      <c r="P47" s="25">
        <f t="shared" si="3"/>
        <v>196435</v>
      </c>
    </row>
    <row r="48" spans="1:16" ht="12" customHeight="1" x14ac:dyDescent="0.15">
      <c r="A48" s="6" t="s">
        <v>106</v>
      </c>
      <c r="B48" s="25">
        <v>57392</v>
      </c>
      <c r="C48" s="25">
        <f>107458-57392</f>
        <v>50066</v>
      </c>
      <c r="D48" s="25">
        <f>219791-107458</f>
        <v>112333</v>
      </c>
      <c r="E48" s="25">
        <f>280728-219791</f>
        <v>60937</v>
      </c>
      <c r="F48" s="25">
        <f>333346-280728</f>
        <v>52618</v>
      </c>
      <c r="G48" s="25">
        <f>409914-333346</f>
        <v>76568</v>
      </c>
      <c r="H48" s="25">
        <f t="shared" si="9"/>
        <v>409914</v>
      </c>
      <c r="I48" s="25">
        <f>442705-409914</f>
        <v>32791</v>
      </c>
      <c r="J48" s="25">
        <f>508053-442705</f>
        <v>65348</v>
      </c>
      <c r="K48" s="25">
        <f>541939-508053</f>
        <v>33886</v>
      </c>
      <c r="L48" s="25">
        <f>599037-541939</f>
        <v>57098</v>
      </c>
      <c r="M48" s="25">
        <f>871634-599037</f>
        <v>272597</v>
      </c>
      <c r="N48" s="25">
        <f>909237-871634</f>
        <v>37603</v>
      </c>
      <c r="O48" s="25">
        <f t="shared" si="2"/>
        <v>499323</v>
      </c>
      <c r="P48" s="25">
        <f t="shared" si="3"/>
        <v>909237</v>
      </c>
    </row>
    <row r="49" spans="1:16" ht="12" customHeight="1" x14ac:dyDescent="0.15">
      <c r="A49" s="6" t="s">
        <v>28</v>
      </c>
      <c r="B49" s="25">
        <v>56117</v>
      </c>
      <c r="C49" s="25">
        <f>78366-56117</f>
        <v>22249</v>
      </c>
      <c r="D49" s="25">
        <f>123850-78366</f>
        <v>45484</v>
      </c>
      <c r="E49" s="25">
        <f>178119-123850</f>
        <v>54269</v>
      </c>
      <c r="F49" s="25">
        <f>223079-178119</f>
        <v>44960</v>
      </c>
      <c r="G49" s="25">
        <f>255224-223079</f>
        <v>32145</v>
      </c>
      <c r="H49" s="25">
        <f t="shared" si="9"/>
        <v>255224</v>
      </c>
      <c r="I49" s="25">
        <f>286333-255224</f>
        <v>31109</v>
      </c>
      <c r="J49" s="25">
        <f>317442-286333</f>
        <v>31109</v>
      </c>
      <c r="K49" s="25">
        <f>342702-317442</f>
        <v>25260</v>
      </c>
      <c r="L49" s="25">
        <f>356963-342702</f>
        <v>14261</v>
      </c>
      <c r="M49" s="25">
        <f>367876-356963</f>
        <v>10913</v>
      </c>
      <c r="N49" s="25">
        <f>394021-367876</f>
        <v>26145</v>
      </c>
      <c r="O49" s="25">
        <f t="shared" si="2"/>
        <v>138797</v>
      </c>
      <c r="P49" s="25">
        <f t="shared" si="3"/>
        <v>394021</v>
      </c>
    </row>
    <row r="50" spans="1:16" ht="12" customHeight="1" x14ac:dyDescent="0.15">
      <c r="A50" s="6" t="s">
        <v>107</v>
      </c>
      <c r="B50" s="25">
        <v>11600</v>
      </c>
      <c r="C50" s="25">
        <f>30600-11600</f>
        <v>19000</v>
      </c>
      <c r="D50" s="25">
        <f>72252-30600</f>
        <v>41652</v>
      </c>
      <c r="E50" s="25">
        <v>7000</v>
      </c>
      <c r="F50" s="25">
        <f>119252-79252</f>
        <v>40000</v>
      </c>
      <c r="G50" s="25">
        <f>134252-119252</f>
        <v>15000</v>
      </c>
      <c r="H50" s="25">
        <f t="shared" si="9"/>
        <v>134252</v>
      </c>
      <c r="I50" s="25">
        <v>10000</v>
      </c>
      <c r="J50" s="25">
        <f>163852-144252</f>
        <v>19600</v>
      </c>
      <c r="K50" s="25">
        <f>169743-163852</f>
        <v>5891</v>
      </c>
      <c r="L50" s="25">
        <f>177743-169743</f>
        <v>8000</v>
      </c>
      <c r="M50" s="25">
        <f>229493-177743</f>
        <v>51750</v>
      </c>
      <c r="N50" s="25">
        <v>8000</v>
      </c>
      <c r="O50" s="25">
        <f t="shared" si="2"/>
        <v>103241</v>
      </c>
      <c r="P50" s="25">
        <f t="shared" si="3"/>
        <v>237493</v>
      </c>
    </row>
    <row r="51" spans="1:16" ht="12" customHeight="1" x14ac:dyDescent="0.15">
      <c r="A51" s="6" t="s">
        <v>27</v>
      </c>
      <c r="B51" s="25">
        <v>0</v>
      </c>
      <c r="C51" s="25">
        <v>0</v>
      </c>
      <c r="D51" s="25">
        <v>219240</v>
      </c>
      <c r="E51" s="25">
        <f>273240-219240</f>
        <v>54000</v>
      </c>
      <c r="F51" s="25">
        <v>3600</v>
      </c>
      <c r="G51" s="25">
        <v>0</v>
      </c>
      <c r="H51" s="25">
        <f t="shared" si="9"/>
        <v>276840</v>
      </c>
      <c r="I51" s="25">
        <v>0</v>
      </c>
      <c r="J51" s="25">
        <v>0</v>
      </c>
      <c r="K51" s="25">
        <v>0</v>
      </c>
      <c r="L51" s="25">
        <v>8640</v>
      </c>
      <c r="M51" s="25">
        <f>320880-285480</f>
        <v>35400</v>
      </c>
      <c r="N51" s="25">
        <v>0</v>
      </c>
      <c r="O51" s="25">
        <f t="shared" si="2"/>
        <v>44040</v>
      </c>
      <c r="P51" s="25">
        <f t="shared" si="3"/>
        <v>320880</v>
      </c>
    </row>
    <row r="52" spans="1:16" ht="12" customHeight="1" x14ac:dyDescent="0.15">
      <c r="A52" s="6" t="s">
        <v>32</v>
      </c>
      <c r="B52" s="25">
        <v>648900</v>
      </c>
      <c r="C52" s="25">
        <f>1118148-648900</f>
        <v>469248</v>
      </c>
      <c r="D52" s="25">
        <f>1693725-1118148</f>
        <v>575577</v>
      </c>
      <c r="E52" s="25">
        <f>2164586-1693725</f>
        <v>470861</v>
      </c>
      <c r="F52" s="25">
        <f>2663571-2164586</f>
        <v>498985</v>
      </c>
      <c r="G52" s="25">
        <f>3133419-2663571</f>
        <v>469848</v>
      </c>
      <c r="H52" s="25">
        <f t="shared" si="9"/>
        <v>3133419</v>
      </c>
      <c r="I52" s="25">
        <f>3443125-3133419</f>
        <v>309706</v>
      </c>
      <c r="J52" s="25">
        <f>3982892-3443125</f>
        <v>539767</v>
      </c>
      <c r="K52" s="25">
        <f>4467727-3982892</f>
        <v>484835</v>
      </c>
      <c r="L52" s="25">
        <f>4949159-4467727</f>
        <v>481432</v>
      </c>
      <c r="M52" s="25">
        <f>5672935-4949159</f>
        <v>723776</v>
      </c>
      <c r="N52" s="25">
        <f>6290985-5672935</f>
        <v>618050</v>
      </c>
      <c r="O52" s="25">
        <f t="shared" si="2"/>
        <v>3157566</v>
      </c>
      <c r="P52" s="25">
        <f t="shared" si="3"/>
        <v>6290985</v>
      </c>
    </row>
    <row r="53" spans="1:16" ht="12" customHeight="1" x14ac:dyDescent="0.15">
      <c r="A53" s="6" t="s">
        <v>108</v>
      </c>
      <c r="B53" s="25">
        <v>11000</v>
      </c>
      <c r="C53" s="25">
        <v>3000</v>
      </c>
      <c r="D53" s="25">
        <f>22000-14000</f>
        <v>8000</v>
      </c>
      <c r="E53" s="25">
        <v>6000</v>
      </c>
      <c r="F53" s="25">
        <f>55760-28000</f>
        <v>27760</v>
      </c>
      <c r="G53" s="25">
        <f>82760-55760</f>
        <v>27000</v>
      </c>
      <c r="H53" s="25">
        <f t="shared" si="9"/>
        <v>82760</v>
      </c>
      <c r="I53" s="25">
        <f>90760-82760</f>
        <v>8000</v>
      </c>
      <c r="J53" s="25">
        <f>126760-90760</f>
        <v>36000</v>
      </c>
      <c r="K53" s="25">
        <f>146880-126760</f>
        <v>20120</v>
      </c>
      <c r="L53" s="25">
        <f>159120-146880</f>
        <v>12240</v>
      </c>
      <c r="M53" s="25">
        <f>174240-159120</f>
        <v>15120</v>
      </c>
      <c r="N53" s="25">
        <v>5000</v>
      </c>
      <c r="O53" s="25">
        <f t="shared" si="2"/>
        <v>96480</v>
      </c>
      <c r="P53" s="25">
        <f t="shared" si="3"/>
        <v>179240</v>
      </c>
    </row>
    <row r="54" spans="1:16" ht="12" customHeight="1" x14ac:dyDescent="0.15">
      <c r="A54" s="6" t="s">
        <v>34</v>
      </c>
      <c r="B54" s="25">
        <v>5000</v>
      </c>
      <c r="C54" s="25">
        <v>3000</v>
      </c>
      <c r="D54" s="25">
        <v>3000</v>
      </c>
      <c r="E54" s="25">
        <f>42000-11000</f>
        <v>31000</v>
      </c>
      <c r="F54" s="25">
        <v>15500</v>
      </c>
      <c r="G54" s="25">
        <v>0</v>
      </c>
      <c r="H54" s="25">
        <f t="shared" si="9"/>
        <v>57500</v>
      </c>
      <c r="I54" s="25">
        <v>0</v>
      </c>
      <c r="J54" s="25">
        <v>3000</v>
      </c>
      <c r="K54" s="25">
        <v>0</v>
      </c>
      <c r="L54" s="25">
        <v>0</v>
      </c>
      <c r="M54" s="25">
        <v>0</v>
      </c>
      <c r="N54" s="25">
        <v>28800</v>
      </c>
      <c r="O54" s="25">
        <f t="shared" si="2"/>
        <v>31800</v>
      </c>
      <c r="P54" s="25">
        <f t="shared" si="3"/>
        <v>89300</v>
      </c>
    </row>
    <row r="55" spans="1:16" ht="12" customHeight="1" x14ac:dyDescent="0.15">
      <c r="A55" s="6" t="s">
        <v>109</v>
      </c>
      <c r="B55" s="25">
        <v>463306</v>
      </c>
      <c r="C55" s="25">
        <f>896025-463306</f>
        <v>432719</v>
      </c>
      <c r="D55" s="25">
        <f>1393809-896025</f>
        <v>497784</v>
      </c>
      <c r="E55" s="25">
        <f>1885679-1393809</f>
        <v>491870</v>
      </c>
      <c r="F55" s="25">
        <f>2364220-1885679</f>
        <v>478541</v>
      </c>
      <c r="G55" s="25">
        <f>2864193-2364220</f>
        <v>499973</v>
      </c>
      <c r="H55" s="25">
        <f t="shared" si="9"/>
        <v>2864193</v>
      </c>
      <c r="I55" s="25">
        <f>3641378-2864193</f>
        <v>777185</v>
      </c>
      <c r="J55" s="25">
        <f>4176469-3641378</f>
        <v>535091</v>
      </c>
      <c r="K55" s="25">
        <f>4675021-4176469</f>
        <v>498552</v>
      </c>
      <c r="L55" s="25">
        <f>5114515-4675021</f>
        <v>439494</v>
      </c>
      <c r="M55" s="25">
        <f>5521676-5114515</f>
        <v>407161</v>
      </c>
      <c r="N55" s="25">
        <f>5960989-5521676</f>
        <v>439313</v>
      </c>
      <c r="O55" s="25">
        <f t="shared" si="2"/>
        <v>3096796</v>
      </c>
      <c r="P55" s="25">
        <f t="shared" si="3"/>
        <v>5960989</v>
      </c>
    </row>
    <row r="56" spans="1:16" ht="12" customHeight="1" x14ac:dyDescent="0.15">
      <c r="A56" s="6" t="s">
        <v>35</v>
      </c>
      <c r="B56" s="25">
        <v>7022</v>
      </c>
      <c r="C56" s="25">
        <v>16000</v>
      </c>
      <c r="D56" s="25">
        <f>28979-23022</f>
        <v>5957</v>
      </c>
      <c r="E56" s="25">
        <f>38297-28979</f>
        <v>9318</v>
      </c>
      <c r="F56" s="25">
        <f>51110-38297</f>
        <v>12813</v>
      </c>
      <c r="G56" s="25">
        <f>56410-51110</f>
        <v>5300</v>
      </c>
      <c r="H56" s="25">
        <f t="shared" si="9"/>
        <v>56410</v>
      </c>
      <c r="I56" s="25">
        <f>62850-56410</f>
        <v>6440</v>
      </c>
      <c r="J56" s="25">
        <v>3400</v>
      </c>
      <c r="K56" s="25">
        <f>78876-66250</f>
        <v>12626</v>
      </c>
      <c r="L56" s="25">
        <f>93817-78876</f>
        <v>14941</v>
      </c>
      <c r="M56" s="25">
        <v>900</v>
      </c>
      <c r="N56" s="25">
        <f>96639-94717</f>
        <v>1922</v>
      </c>
      <c r="O56" s="25">
        <f t="shared" si="2"/>
        <v>40229</v>
      </c>
      <c r="P56" s="25">
        <f t="shared" si="3"/>
        <v>96639</v>
      </c>
    </row>
    <row r="57" spans="1:16" ht="12" customHeight="1" x14ac:dyDescent="0.15">
      <c r="A57" s="6" t="s">
        <v>110</v>
      </c>
      <c r="B57" s="25">
        <v>361</v>
      </c>
      <c r="C57" s="25">
        <v>164070</v>
      </c>
      <c r="D57" s="25">
        <f>162281-164431</f>
        <v>-2150</v>
      </c>
      <c r="E57" s="25">
        <f>197111-162281</f>
        <v>34830</v>
      </c>
      <c r="F57" s="25">
        <v>0</v>
      </c>
      <c r="G57" s="25">
        <v>54560</v>
      </c>
      <c r="H57" s="25">
        <f t="shared" si="9"/>
        <v>251671</v>
      </c>
      <c r="I57" s="25">
        <v>0</v>
      </c>
      <c r="J57" s="25">
        <v>0</v>
      </c>
      <c r="K57" s="25">
        <v>0</v>
      </c>
      <c r="L57" s="25">
        <v>469210</v>
      </c>
      <c r="M57" s="25">
        <v>0</v>
      </c>
      <c r="N57" s="25">
        <f>761171-720881</f>
        <v>40290</v>
      </c>
      <c r="O57" s="25">
        <f t="shared" si="2"/>
        <v>509500</v>
      </c>
      <c r="P57" s="25">
        <f t="shared" si="3"/>
        <v>761171</v>
      </c>
    </row>
    <row r="58" spans="1:16" ht="12" customHeight="1" x14ac:dyDescent="0.15">
      <c r="A58" s="6" t="s">
        <v>111</v>
      </c>
      <c r="B58" s="25">
        <v>428526</v>
      </c>
      <c r="C58" s="25">
        <f>1089004-428526</f>
        <v>660478</v>
      </c>
      <c r="D58" s="25">
        <f>1411418-1089004</f>
        <v>322414</v>
      </c>
      <c r="E58" s="25">
        <f>1995425-1411418</f>
        <v>584007</v>
      </c>
      <c r="F58" s="25">
        <f>2364109-1995425</f>
        <v>368684</v>
      </c>
      <c r="G58" s="25">
        <f>3098064-2364109</f>
        <v>733955</v>
      </c>
      <c r="H58" s="25">
        <f t="shared" si="9"/>
        <v>3098064</v>
      </c>
      <c r="I58" s="25">
        <f>3488596-3098064</f>
        <v>390532</v>
      </c>
      <c r="J58" s="25">
        <f>3907170-3488596</f>
        <v>418574</v>
      </c>
      <c r="K58" s="25">
        <f>4761517-3907170</f>
        <v>854347</v>
      </c>
      <c r="L58" s="25">
        <f>5364130-4761517</f>
        <v>602613</v>
      </c>
      <c r="M58" s="25">
        <f>5781874-5364130</f>
        <v>417744</v>
      </c>
      <c r="N58" s="25">
        <f>6703237-5781874</f>
        <v>921363</v>
      </c>
      <c r="O58" s="25">
        <f t="shared" si="2"/>
        <v>3605173</v>
      </c>
      <c r="P58" s="25">
        <f t="shared" si="3"/>
        <v>6703237</v>
      </c>
    </row>
    <row r="59" spans="1:16" ht="12" customHeight="1" x14ac:dyDescent="0.15">
      <c r="A59" s="6" t="s">
        <v>112</v>
      </c>
      <c r="B59" s="25">
        <v>14040</v>
      </c>
      <c r="C59" s="25">
        <v>6480</v>
      </c>
      <c r="D59" s="25">
        <v>0</v>
      </c>
      <c r="E59" s="25">
        <v>0</v>
      </c>
      <c r="F59" s="25">
        <v>0</v>
      </c>
      <c r="G59" s="25">
        <v>64800</v>
      </c>
      <c r="H59" s="25">
        <f t="shared" si="9"/>
        <v>85320</v>
      </c>
      <c r="I59" s="25">
        <f>149050-85320</f>
        <v>63730</v>
      </c>
      <c r="J59" s="25">
        <v>6000</v>
      </c>
      <c r="K59" s="25">
        <v>0</v>
      </c>
      <c r="L59" s="25">
        <f>523870-155050</f>
        <v>368820</v>
      </c>
      <c r="M59" s="25">
        <v>118800</v>
      </c>
      <c r="N59" s="25">
        <v>11880</v>
      </c>
      <c r="O59" s="25">
        <f t="shared" si="2"/>
        <v>569230</v>
      </c>
      <c r="P59" s="25">
        <f t="shared" si="3"/>
        <v>654550</v>
      </c>
    </row>
    <row r="60" spans="1:16" ht="12" customHeight="1" x14ac:dyDescent="0.15">
      <c r="A60" s="6" t="s">
        <v>113</v>
      </c>
      <c r="B60" s="25">
        <v>338574</v>
      </c>
      <c r="C60" s="25">
        <f>679728-338574</f>
        <v>341154</v>
      </c>
      <c r="D60" s="25">
        <f>1037406-679728</f>
        <v>357678</v>
      </c>
      <c r="E60" s="25">
        <f>1374744-1037406</f>
        <v>337338</v>
      </c>
      <c r="F60" s="25">
        <f>1731522-1374744</f>
        <v>356778</v>
      </c>
      <c r="G60" s="25">
        <f>2075490-1731522</f>
        <v>343968</v>
      </c>
      <c r="H60" s="25">
        <f t="shared" si="9"/>
        <v>2075490</v>
      </c>
      <c r="I60" s="25">
        <f>2417730-2075490</f>
        <v>342240</v>
      </c>
      <c r="J60" s="25">
        <f>2791768-2417730</f>
        <v>374038</v>
      </c>
      <c r="K60" s="25">
        <f>3108786-2791768</f>
        <v>317018</v>
      </c>
      <c r="L60" s="25">
        <f>3425804-3108786</f>
        <v>317018</v>
      </c>
      <c r="M60" s="25">
        <f>3811218-3425804</f>
        <v>385414</v>
      </c>
      <c r="N60" s="25">
        <f>4196632-3811218</f>
        <v>385414</v>
      </c>
      <c r="O60" s="25">
        <f t="shared" si="2"/>
        <v>2121142</v>
      </c>
      <c r="P60" s="25">
        <f t="shared" si="3"/>
        <v>4196632</v>
      </c>
    </row>
    <row r="61" spans="1:16" ht="12" customHeight="1" x14ac:dyDescent="0.15">
      <c r="A61" s="6" t="s">
        <v>121</v>
      </c>
      <c r="B61" s="25">
        <v>295000</v>
      </c>
      <c r="C61" s="25">
        <f>710000-295000</f>
        <v>415000</v>
      </c>
      <c r="D61" s="25">
        <v>295000</v>
      </c>
      <c r="E61" s="25">
        <f>1300000-1005000</f>
        <v>295000</v>
      </c>
      <c r="F61" s="25">
        <v>295000</v>
      </c>
      <c r="G61" s="25">
        <f>1890000-1595000</f>
        <v>295000</v>
      </c>
      <c r="H61" s="25">
        <f t="shared" si="9"/>
        <v>1890000</v>
      </c>
      <c r="I61" s="25">
        <v>295000</v>
      </c>
      <c r="J61" s="25">
        <v>295000</v>
      </c>
      <c r="K61" s="25">
        <v>295000</v>
      </c>
      <c r="L61" s="25">
        <v>295000</v>
      </c>
      <c r="M61" s="25">
        <v>295000</v>
      </c>
      <c r="N61" s="25">
        <v>295000</v>
      </c>
      <c r="O61" s="25">
        <f t="shared" si="2"/>
        <v>1770000</v>
      </c>
      <c r="P61" s="25">
        <f t="shared" si="3"/>
        <v>3660000</v>
      </c>
    </row>
    <row r="62" spans="1:16" ht="12" customHeight="1" x14ac:dyDescent="0.15">
      <c r="A62" s="6" t="s">
        <v>122</v>
      </c>
      <c r="B62" s="49">
        <v>33</v>
      </c>
      <c r="C62" s="25">
        <f>797533-33</f>
        <v>797500</v>
      </c>
      <c r="D62" s="25">
        <f>854133-797533</f>
        <v>56600</v>
      </c>
      <c r="E62" s="25">
        <f>872933-854133</f>
        <v>18800</v>
      </c>
      <c r="F62" s="25">
        <f>873292-872933</f>
        <v>359</v>
      </c>
      <c r="G62" s="25">
        <v>2</v>
      </c>
      <c r="H62" s="25">
        <f t="shared" si="9"/>
        <v>873294</v>
      </c>
      <c r="I62" s="25">
        <v>38</v>
      </c>
      <c r="J62" s="25">
        <v>1000</v>
      </c>
      <c r="K62" s="25">
        <v>49000</v>
      </c>
      <c r="L62" s="25">
        <v>450</v>
      </c>
      <c r="M62" s="25">
        <f>973473-923782</f>
        <v>49691</v>
      </c>
      <c r="N62" s="25">
        <v>3</v>
      </c>
      <c r="O62" s="25">
        <f t="shared" si="2"/>
        <v>100182</v>
      </c>
      <c r="P62" s="25">
        <f t="shared" si="3"/>
        <v>973476</v>
      </c>
    </row>
    <row r="63" spans="1:16" ht="12" customHeight="1" x14ac:dyDescent="0.15">
      <c r="A63" s="6" t="s">
        <v>37</v>
      </c>
      <c r="B63" s="25">
        <v>73849</v>
      </c>
      <c r="C63" s="25">
        <v>48600</v>
      </c>
      <c r="D63" s="25">
        <f>481027-122449</f>
        <v>358578</v>
      </c>
      <c r="E63" s="25">
        <f>596337-481027</f>
        <v>115310</v>
      </c>
      <c r="F63" s="25">
        <f>664721-596337</f>
        <v>68384</v>
      </c>
      <c r="G63" s="25">
        <f>870923-664721</f>
        <v>206202</v>
      </c>
      <c r="H63" s="25">
        <f t="shared" si="9"/>
        <v>870923</v>
      </c>
      <c r="I63" s="25">
        <f>1233371-870923</f>
        <v>362448</v>
      </c>
      <c r="J63" s="25">
        <f>1372375-1233371</f>
        <v>139004</v>
      </c>
      <c r="K63" s="25">
        <f>1567649-1372375</f>
        <v>195274</v>
      </c>
      <c r="L63" s="25">
        <v>81972</v>
      </c>
      <c r="M63" s="25">
        <f>1779434-1649621</f>
        <v>129813</v>
      </c>
      <c r="N63" s="25">
        <f>1974708-1779434</f>
        <v>195274</v>
      </c>
      <c r="O63" s="25">
        <f t="shared" si="2"/>
        <v>1103785</v>
      </c>
      <c r="P63" s="25">
        <f t="shared" si="3"/>
        <v>1974708</v>
      </c>
    </row>
    <row r="64" spans="1:16" ht="12" customHeight="1" x14ac:dyDescent="0.15">
      <c r="A64" s="6" t="s">
        <v>114</v>
      </c>
      <c r="B64" s="25">
        <v>0</v>
      </c>
      <c r="C64" s="25">
        <v>0</v>
      </c>
      <c r="D64" s="25">
        <v>0</v>
      </c>
      <c r="E64" s="25">
        <v>0</v>
      </c>
      <c r="F64" s="25">
        <v>11404</v>
      </c>
      <c r="G64" s="25">
        <f>28165-11404</f>
        <v>16761</v>
      </c>
      <c r="H64" s="25">
        <f t="shared" si="9"/>
        <v>28165</v>
      </c>
      <c r="I64" s="25">
        <f>110103-28165</f>
        <v>81938</v>
      </c>
      <c r="J64" s="25">
        <f>131551-110103</f>
        <v>21448</v>
      </c>
      <c r="K64" s="25">
        <f>142858-131551</f>
        <v>11307</v>
      </c>
      <c r="L64" s="25">
        <v>0</v>
      </c>
      <c r="M64" s="25">
        <v>0</v>
      </c>
      <c r="N64" s="25">
        <v>3000</v>
      </c>
      <c r="O64" s="25">
        <f t="shared" si="2"/>
        <v>117693</v>
      </c>
      <c r="P64" s="25">
        <f t="shared" si="3"/>
        <v>145858</v>
      </c>
    </row>
    <row r="65" spans="1:16" ht="12" customHeight="1" x14ac:dyDescent="0.15">
      <c r="A65" s="53" t="s">
        <v>115</v>
      </c>
      <c r="B65" s="25">
        <v>397233</v>
      </c>
      <c r="C65" s="25">
        <f>713437-397233</f>
        <v>316204</v>
      </c>
      <c r="D65" s="25">
        <f>1001478-713437</f>
        <v>288041</v>
      </c>
      <c r="E65" s="25">
        <f>1518707-1001478</f>
        <v>517229</v>
      </c>
      <c r="F65" s="25">
        <f>1817506-1518707</f>
        <v>298799</v>
      </c>
      <c r="G65" s="25">
        <f>2057097-1817506</f>
        <v>239591</v>
      </c>
      <c r="H65" s="25">
        <f t="shared" si="9"/>
        <v>2057097</v>
      </c>
      <c r="I65" s="25">
        <f>2614747-2057097</f>
        <v>557650</v>
      </c>
      <c r="J65" s="25">
        <f>3121135-2614747</f>
        <v>506388</v>
      </c>
      <c r="K65" s="25">
        <f>3469567-3121135</f>
        <v>348432</v>
      </c>
      <c r="L65" s="25">
        <f>3816806-3469567</f>
        <v>347239</v>
      </c>
      <c r="M65" s="25">
        <f>4143801-3816806</f>
        <v>326995</v>
      </c>
      <c r="N65" s="25">
        <f>4673265-4143801</f>
        <v>529464</v>
      </c>
      <c r="O65" s="25">
        <f t="shared" si="2"/>
        <v>2616168</v>
      </c>
      <c r="P65" s="25">
        <f t="shared" si="3"/>
        <v>4673265</v>
      </c>
    </row>
    <row r="66" spans="1:16" ht="12" customHeight="1" x14ac:dyDescent="0.15">
      <c r="A66" s="6" t="s">
        <v>46</v>
      </c>
      <c r="B66" s="25"/>
      <c r="C66" s="25"/>
      <c r="D66" s="25"/>
      <c r="E66" s="25"/>
      <c r="F66" s="25"/>
      <c r="G66" s="25">
        <v>2884502</v>
      </c>
      <c r="H66" s="25">
        <f t="shared" si="9"/>
        <v>2884502</v>
      </c>
      <c r="I66" s="25">
        <v>0</v>
      </c>
      <c r="J66" s="25"/>
      <c r="K66" s="25"/>
      <c r="L66" s="25"/>
      <c r="M66" s="25"/>
      <c r="N66" s="25">
        <f>5880442-2884502</f>
        <v>2995940</v>
      </c>
      <c r="O66" s="25">
        <f t="shared" si="2"/>
        <v>2995940</v>
      </c>
      <c r="P66" s="25">
        <f t="shared" si="3"/>
        <v>5880442</v>
      </c>
    </row>
    <row r="67" spans="1:16" ht="12" customHeight="1" x14ac:dyDescent="0.15">
      <c r="A67" s="54" t="s">
        <v>29</v>
      </c>
      <c r="B67" s="32">
        <f t="shared" ref="B67:N67" si="11">B35+B41</f>
        <v>15219244</v>
      </c>
      <c r="C67" s="32">
        <f t="shared" si="11"/>
        <v>15717544</v>
      </c>
      <c r="D67" s="32">
        <f t="shared" si="11"/>
        <v>15967350</v>
      </c>
      <c r="E67" s="32">
        <f t="shared" si="11"/>
        <v>24250926</v>
      </c>
      <c r="F67" s="32">
        <f t="shared" si="11"/>
        <v>16152677</v>
      </c>
      <c r="G67" s="32">
        <f t="shared" si="11"/>
        <v>18732980</v>
      </c>
      <c r="H67" s="32">
        <f t="shared" si="9"/>
        <v>106040721</v>
      </c>
      <c r="I67" s="32">
        <f t="shared" si="11"/>
        <v>16015298</v>
      </c>
      <c r="J67" s="32">
        <f t="shared" si="11"/>
        <v>26693993</v>
      </c>
      <c r="K67" s="32">
        <f t="shared" si="11"/>
        <v>15565609</v>
      </c>
      <c r="L67" s="32">
        <f t="shared" si="11"/>
        <v>15685424</v>
      </c>
      <c r="M67" s="32">
        <f t="shared" si="11"/>
        <v>15991790</v>
      </c>
      <c r="N67" s="32">
        <f t="shared" si="11"/>
        <v>21444908</v>
      </c>
      <c r="O67" s="32">
        <f t="shared" si="2"/>
        <v>111397022</v>
      </c>
      <c r="P67" s="32">
        <f t="shared" si="3"/>
        <v>217437743</v>
      </c>
    </row>
    <row r="68" spans="1:16" ht="12" customHeight="1" x14ac:dyDescent="0.15">
      <c r="A68" s="54" t="s">
        <v>61</v>
      </c>
      <c r="B68" s="32">
        <f t="shared" ref="B68:G68" si="12">B32-B67</f>
        <v>2935063</v>
      </c>
      <c r="C68" s="32">
        <f t="shared" si="12"/>
        <v>2149839</v>
      </c>
      <c r="D68" s="32">
        <f t="shared" si="12"/>
        <v>2508769</v>
      </c>
      <c r="E68" s="32">
        <f t="shared" si="12"/>
        <v>-4745736</v>
      </c>
      <c r="F68" s="32">
        <f t="shared" si="12"/>
        <v>4000245</v>
      </c>
      <c r="G68" s="32">
        <f t="shared" si="12"/>
        <v>-156532</v>
      </c>
      <c r="H68" s="32">
        <f t="shared" si="9"/>
        <v>6691648</v>
      </c>
      <c r="I68" s="32">
        <f t="shared" ref="I68:N68" si="13">I32-I67</f>
        <v>2796309</v>
      </c>
      <c r="J68" s="32">
        <f t="shared" si="13"/>
        <v>-8718942</v>
      </c>
      <c r="K68" s="32">
        <f t="shared" si="13"/>
        <v>2653542</v>
      </c>
      <c r="L68" s="32">
        <f t="shared" si="13"/>
        <v>254664</v>
      </c>
      <c r="M68" s="32">
        <f t="shared" si="13"/>
        <v>2871131</v>
      </c>
      <c r="N68" s="32">
        <f t="shared" si="13"/>
        <v>-3267994</v>
      </c>
      <c r="O68" s="32">
        <f t="shared" si="2"/>
        <v>-3411290</v>
      </c>
      <c r="P68" s="32">
        <f t="shared" si="3"/>
        <v>3280358</v>
      </c>
    </row>
    <row r="69" spans="1:16" ht="12" customHeight="1" x14ac:dyDescent="0.15">
      <c r="A69" s="23" t="s">
        <v>126</v>
      </c>
      <c r="B69" s="25">
        <v>169</v>
      </c>
      <c r="C69" s="25">
        <v>0</v>
      </c>
      <c r="D69" s="25">
        <v>0</v>
      </c>
      <c r="E69" s="25">
        <v>0</v>
      </c>
      <c r="F69" s="25">
        <f>1984-169</f>
        <v>1815</v>
      </c>
      <c r="G69" s="25">
        <v>16</v>
      </c>
      <c r="H69" s="32">
        <f t="shared" si="9"/>
        <v>2000</v>
      </c>
      <c r="I69" s="25">
        <v>191</v>
      </c>
      <c r="J69" s="25"/>
      <c r="K69" s="25">
        <v>0</v>
      </c>
      <c r="L69" s="25"/>
      <c r="M69" s="25">
        <f>3802-2191</f>
        <v>1611</v>
      </c>
      <c r="N69" s="25">
        <v>20</v>
      </c>
      <c r="O69" s="32">
        <f t="shared" si="2"/>
        <v>1822</v>
      </c>
      <c r="P69" s="32">
        <f t="shared" si="3"/>
        <v>3822</v>
      </c>
    </row>
    <row r="70" spans="1:16" ht="12" customHeight="1" x14ac:dyDescent="0.15">
      <c r="A70" s="23" t="s">
        <v>127</v>
      </c>
      <c r="B70" s="25">
        <f>22083+24223</f>
        <v>46306</v>
      </c>
      <c r="C70" s="25">
        <f>23929+26402</f>
        <v>50331</v>
      </c>
      <c r="D70" s="25">
        <f>24164+26825</f>
        <v>50989</v>
      </c>
      <c r="E70" s="25">
        <f>21412+23921+59008</f>
        <v>104341</v>
      </c>
      <c r="F70" s="25">
        <f>22368+25155</f>
        <v>47523</v>
      </c>
      <c r="G70" s="25">
        <f>21848+24739</f>
        <v>46587</v>
      </c>
      <c r="H70" s="32">
        <f t="shared" si="9"/>
        <v>346077</v>
      </c>
      <c r="I70" s="25">
        <f>20640+23538</f>
        <v>44178</v>
      </c>
      <c r="J70" s="25">
        <f>20136+23136+36986+20530</f>
        <v>100788</v>
      </c>
      <c r="K70" s="25">
        <f>20288+23491+60651</f>
        <v>104430</v>
      </c>
      <c r="L70" s="25">
        <f>19767+23075</f>
        <v>42842</v>
      </c>
      <c r="M70" s="25">
        <f>18005+21197+9000</f>
        <v>48202</v>
      </c>
      <c r="N70" s="25">
        <f>18727+22243+32178</f>
        <v>73148</v>
      </c>
      <c r="O70" s="32">
        <f t="shared" si="2"/>
        <v>413588</v>
      </c>
      <c r="P70" s="32">
        <f t="shared" si="3"/>
        <v>759665</v>
      </c>
    </row>
    <row r="71" spans="1:16" ht="12" customHeight="1" x14ac:dyDescent="0.15">
      <c r="A71" s="54" t="s">
        <v>60</v>
      </c>
      <c r="B71" s="33">
        <f t="shared" ref="B71:G71" si="14">B68+B69-B70</f>
        <v>2888926</v>
      </c>
      <c r="C71" s="33">
        <f t="shared" si="14"/>
        <v>2099508</v>
      </c>
      <c r="D71" s="33">
        <f t="shared" si="14"/>
        <v>2457780</v>
      </c>
      <c r="E71" s="33">
        <f t="shared" si="14"/>
        <v>-4850077</v>
      </c>
      <c r="F71" s="33">
        <f t="shared" si="14"/>
        <v>3954537</v>
      </c>
      <c r="G71" s="33">
        <f t="shared" si="14"/>
        <v>-203103</v>
      </c>
      <c r="H71" s="32">
        <f t="shared" si="9"/>
        <v>6347571</v>
      </c>
      <c r="I71" s="33">
        <f t="shared" ref="I71:N71" si="15">I68+I69-I70</f>
        <v>2752322</v>
      </c>
      <c r="J71" s="33">
        <f t="shared" si="15"/>
        <v>-8819730</v>
      </c>
      <c r="K71" s="33">
        <f t="shared" si="15"/>
        <v>2549112</v>
      </c>
      <c r="L71" s="33">
        <f t="shared" si="15"/>
        <v>211822</v>
      </c>
      <c r="M71" s="33">
        <f t="shared" si="15"/>
        <v>2824540</v>
      </c>
      <c r="N71" s="33">
        <f t="shared" si="15"/>
        <v>-3341122</v>
      </c>
      <c r="O71" s="32">
        <f t="shared" si="2"/>
        <v>-3823056</v>
      </c>
      <c r="P71" s="32">
        <f t="shared" si="3"/>
        <v>2524515</v>
      </c>
    </row>
    <row r="72" spans="1:16" ht="12" customHeight="1" x14ac:dyDescent="0.15">
      <c r="A72" s="26" t="s">
        <v>116</v>
      </c>
      <c r="B72" s="25">
        <v>416000</v>
      </c>
      <c r="C72" s="25">
        <v>416000</v>
      </c>
      <c r="D72" s="25">
        <v>416000</v>
      </c>
      <c r="E72" s="25">
        <v>416000</v>
      </c>
      <c r="F72" s="25">
        <v>416000</v>
      </c>
      <c r="G72" s="25">
        <v>416000</v>
      </c>
      <c r="H72" s="32">
        <f t="shared" si="9"/>
        <v>2496000</v>
      </c>
      <c r="I72" s="6">
        <v>416000</v>
      </c>
      <c r="J72" s="6">
        <v>416000</v>
      </c>
      <c r="K72" s="25">
        <v>416000</v>
      </c>
      <c r="L72" s="25">
        <v>416000</v>
      </c>
      <c r="M72" s="25">
        <v>416000</v>
      </c>
      <c r="N72" s="25">
        <v>416000</v>
      </c>
      <c r="O72" s="25">
        <f t="shared" si="2"/>
        <v>2496000</v>
      </c>
      <c r="P72" s="25">
        <f t="shared" si="3"/>
        <v>4992000</v>
      </c>
    </row>
  </sheetData>
  <mergeCells count="1">
    <mergeCell ref="C2:H2"/>
  </mergeCells>
  <phoneticPr fontId="3"/>
  <pageMargins left="0.51181102362204722" right="0.19685039370078741" top="0" bottom="0" header="0.23622047244094491" footer="0.27559055118110237"/>
  <pageSetup paperSize="8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ACE1-B6C6-4E46-8D3A-E4071BC17A7D}">
  <dimension ref="A2:P72"/>
  <sheetViews>
    <sheetView topLeftCell="A52" workbookViewId="0">
      <pane xSplit="1" topLeftCell="B1" activePane="topRight" state="frozen"/>
      <selection activeCell="A10" sqref="A10"/>
      <selection pane="topRight" activeCell="M29" sqref="M29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2" spans="1:16" ht="15.75" customHeight="1" x14ac:dyDescent="0.2">
      <c r="C2" s="172" t="s">
        <v>305</v>
      </c>
      <c r="D2" s="172"/>
      <c r="E2" s="172"/>
      <c r="F2" s="172"/>
      <c r="G2" s="172"/>
      <c r="H2" s="172"/>
    </row>
    <row r="3" spans="1:16" ht="12" customHeight="1" x14ac:dyDescent="0.15">
      <c r="A3" s="26" t="s">
        <v>43</v>
      </c>
      <c r="B3" s="45" t="s">
        <v>306</v>
      </c>
      <c r="C3" s="26" t="s">
        <v>307</v>
      </c>
      <c r="D3" s="45" t="s">
        <v>308</v>
      </c>
      <c r="E3" s="26" t="s">
        <v>309</v>
      </c>
      <c r="F3" s="45" t="s">
        <v>310</v>
      </c>
      <c r="G3" s="26" t="s">
        <v>311</v>
      </c>
      <c r="H3" s="26" t="s">
        <v>39</v>
      </c>
      <c r="I3" s="26" t="s">
        <v>312</v>
      </c>
      <c r="J3" s="26" t="s">
        <v>313</v>
      </c>
      <c r="K3" s="26" t="s">
        <v>314</v>
      </c>
      <c r="L3" s="26" t="s">
        <v>315</v>
      </c>
      <c r="M3" s="26" t="s">
        <v>316</v>
      </c>
      <c r="N3" s="26" t="s">
        <v>317</v>
      </c>
      <c r="O3" s="26" t="s">
        <v>41</v>
      </c>
      <c r="P3" s="26" t="s">
        <v>42</v>
      </c>
    </row>
    <row r="4" spans="1:16" ht="12" customHeight="1" x14ac:dyDescent="0.15">
      <c r="A4" s="24" t="s">
        <v>259</v>
      </c>
      <c r="B4" s="46" t="s">
        <v>40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2" customHeight="1" x14ac:dyDescent="0.15">
      <c r="A5" s="24" t="s">
        <v>0</v>
      </c>
      <c r="B5" s="32">
        <f>SUM(B6:B8)</f>
        <v>128000</v>
      </c>
      <c r="C5" s="32">
        <f t="shared" ref="C5:N5" si="0">SUM(C6:C8)</f>
        <v>18000</v>
      </c>
      <c r="D5" s="32">
        <f t="shared" si="0"/>
        <v>13000</v>
      </c>
      <c r="E5" s="32">
        <f t="shared" si="0"/>
        <v>6000</v>
      </c>
      <c r="F5" s="32">
        <f t="shared" si="0"/>
        <v>5000</v>
      </c>
      <c r="G5" s="32">
        <f t="shared" si="0"/>
        <v>3000</v>
      </c>
      <c r="H5" s="32">
        <f t="shared" ref="H5:H32" si="1">SUM(B5:G5)</f>
        <v>173000</v>
      </c>
      <c r="I5" s="32">
        <f t="shared" si="0"/>
        <v>3000</v>
      </c>
      <c r="J5" s="32">
        <f t="shared" si="0"/>
        <v>5000</v>
      </c>
      <c r="K5" s="32">
        <f t="shared" si="0"/>
        <v>6000</v>
      </c>
      <c r="L5" s="32">
        <f t="shared" si="0"/>
        <v>4000</v>
      </c>
      <c r="M5" s="32">
        <f t="shared" si="0"/>
        <v>6000</v>
      </c>
      <c r="N5" s="32">
        <f t="shared" si="0"/>
        <v>6000</v>
      </c>
      <c r="O5" s="32">
        <f>SUM(I5:N5)</f>
        <v>30000</v>
      </c>
      <c r="P5" s="32">
        <f>H5+O5</f>
        <v>203000</v>
      </c>
    </row>
    <row r="6" spans="1:16" ht="12" customHeight="1" x14ac:dyDescent="0.15">
      <c r="A6" s="21" t="s">
        <v>1</v>
      </c>
      <c r="B6" s="25">
        <v>86000</v>
      </c>
      <c r="C6" s="25">
        <v>0</v>
      </c>
      <c r="D6" s="25">
        <v>2000</v>
      </c>
      <c r="E6" s="25">
        <v>3000</v>
      </c>
      <c r="F6" s="25">
        <v>2000</v>
      </c>
      <c r="G6" s="25">
        <v>0</v>
      </c>
      <c r="H6" s="25">
        <f t="shared" si="1"/>
        <v>93000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f t="shared" ref="O6:O72" si="2">SUM(I6:N6)</f>
        <v>0</v>
      </c>
      <c r="P6" s="25">
        <f t="shared" ref="P6:P72" si="3">H6+O6</f>
        <v>93000</v>
      </c>
    </row>
    <row r="7" spans="1:16" ht="12" customHeight="1" x14ac:dyDescent="0.15">
      <c r="A7" s="21" t="s">
        <v>2</v>
      </c>
      <c r="B7" s="25">
        <v>34000</v>
      </c>
      <c r="C7" s="25">
        <f>49000-34000</f>
        <v>15000</v>
      </c>
      <c r="D7" s="25">
        <v>8000</v>
      </c>
      <c r="E7" s="25">
        <v>3000</v>
      </c>
      <c r="F7" s="25">
        <v>2000</v>
      </c>
      <c r="G7" s="25">
        <v>2000</v>
      </c>
      <c r="H7" s="25">
        <f t="shared" si="1"/>
        <v>64000</v>
      </c>
      <c r="I7" s="25">
        <v>3000</v>
      </c>
      <c r="J7" s="25">
        <v>5000</v>
      </c>
      <c r="K7" s="25">
        <v>5000</v>
      </c>
      <c r="L7" s="25">
        <v>4000</v>
      </c>
      <c r="M7" s="25">
        <v>5000</v>
      </c>
      <c r="N7" s="25">
        <v>6000</v>
      </c>
      <c r="O7" s="25">
        <f t="shared" si="2"/>
        <v>28000</v>
      </c>
      <c r="P7" s="25">
        <f t="shared" si="3"/>
        <v>92000</v>
      </c>
    </row>
    <row r="8" spans="1:16" ht="12" customHeight="1" x14ac:dyDescent="0.15">
      <c r="A8" s="21" t="s">
        <v>3</v>
      </c>
      <c r="B8" s="25">
        <v>8000</v>
      </c>
      <c r="C8" s="25">
        <v>3000</v>
      </c>
      <c r="D8" s="25">
        <v>3000</v>
      </c>
      <c r="E8" s="25">
        <v>0</v>
      </c>
      <c r="F8" s="25">
        <v>1000</v>
      </c>
      <c r="G8" s="25">
        <v>1000</v>
      </c>
      <c r="H8" s="25">
        <f t="shared" si="1"/>
        <v>16000</v>
      </c>
      <c r="I8" s="25">
        <v>0</v>
      </c>
      <c r="J8" s="25">
        <v>0</v>
      </c>
      <c r="K8" s="25">
        <v>1000</v>
      </c>
      <c r="L8" s="25">
        <v>0</v>
      </c>
      <c r="M8" s="25">
        <v>1000</v>
      </c>
      <c r="N8" s="25">
        <v>0</v>
      </c>
      <c r="O8" s="25">
        <f t="shared" si="2"/>
        <v>2000</v>
      </c>
      <c r="P8" s="25">
        <f t="shared" si="3"/>
        <v>18000</v>
      </c>
    </row>
    <row r="9" spans="1:16" ht="12" customHeight="1" x14ac:dyDescent="0.15">
      <c r="A9" s="24" t="s">
        <v>4</v>
      </c>
      <c r="B9" s="32">
        <f t="shared" ref="B9:G9" si="4">SUM(B10:B27)</f>
        <v>17017060</v>
      </c>
      <c r="C9" s="32">
        <f t="shared" si="4"/>
        <v>17690080</v>
      </c>
      <c r="D9" s="32">
        <f t="shared" si="4"/>
        <v>17809050</v>
      </c>
      <c r="E9" s="32">
        <f t="shared" si="4"/>
        <v>19242680</v>
      </c>
      <c r="F9" s="32">
        <f t="shared" si="4"/>
        <v>19163230</v>
      </c>
      <c r="G9" s="32">
        <f t="shared" si="4"/>
        <v>18483030</v>
      </c>
      <c r="H9" s="32">
        <f t="shared" si="1"/>
        <v>109405130</v>
      </c>
      <c r="I9" s="32">
        <f t="shared" ref="I9:N9" si="5">SUM(I10:I27)</f>
        <v>17654780</v>
      </c>
      <c r="J9" s="32">
        <f t="shared" si="5"/>
        <v>17024000</v>
      </c>
      <c r="K9" s="32">
        <f t="shared" si="5"/>
        <v>17712060</v>
      </c>
      <c r="L9" s="32">
        <f t="shared" si="5"/>
        <v>14280460</v>
      </c>
      <c r="M9" s="32">
        <f t="shared" si="5"/>
        <v>15746510</v>
      </c>
      <c r="N9" s="32">
        <f t="shared" si="5"/>
        <v>18281086</v>
      </c>
      <c r="O9" s="32">
        <f t="shared" si="2"/>
        <v>100698896</v>
      </c>
      <c r="P9" s="32">
        <f t="shared" si="3"/>
        <v>210104026</v>
      </c>
    </row>
    <row r="10" spans="1:16" ht="12" customHeight="1" x14ac:dyDescent="0.15">
      <c r="A10" s="47" t="s">
        <v>94</v>
      </c>
      <c r="B10" s="25">
        <v>2518170</v>
      </c>
      <c r="C10" s="25">
        <f>5084600-2518170</f>
        <v>2566430</v>
      </c>
      <c r="D10" s="25">
        <f>7729040-5084600</f>
        <v>2644440</v>
      </c>
      <c r="E10" s="25">
        <f>10384340-7729040</f>
        <v>2655300</v>
      </c>
      <c r="F10" s="25">
        <f>13020800-10384340</f>
        <v>2636460</v>
      </c>
      <c r="G10" s="25">
        <f>15694760-13020800</f>
        <v>2673960</v>
      </c>
      <c r="H10" s="25">
        <f t="shared" si="1"/>
        <v>15694760</v>
      </c>
      <c r="I10" s="25">
        <f>18357280-15694760</f>
        <v>2662520</v>
      </c>
      <c r="J10" s="25">
        <f>21043530-18357280</f>
        <v>2686250</v>
      </c>
      <c r="K10" s="25">
        <f>23828630-21043530</f>
        <v>2785100</v>
      </c>
      <c r="L10" s="25">
        <f>26480510-23828630</f>
        <v>2651880</v>
      </c>
      <c r="M10" s="25">
        <f>29163120-26480510</f>
        <v>2682610</v>
      </c>
      <c r="N10" s="25">
        <f>31938050-29163120</f>
        <v>2774930</v>
      </c>
      <c r="O10" s="25">
        <f t="shared" si="2"/>
        <v>16243290</v>
      </c>
      <c r="P10" s="25">
        <f t="shared" si="3"/>
        <v>31938050</v>
      </c>
    </row>
    <row r="11" spans="1:16" ht="12" customHeight="1" x14ac:dyDescent="0.15">
      <c r="A11" s="48" t="s">
        <v>247</v>
      </c>
      <c r="B11" s="25">
        <v>187900</v>
      </c>
      <c r="C11" s="25">
        <v>179300</v>
      </c>
      <c r="D11" s="25">
        <v>206800</v>
      </c>
      <c r="E11" s="25">
        <v>94600</v>
      </c>
      <c r="F11" s="25">
        <v>120800</v>
      </c>
      <c r="G11" s="25">
        <v>106200</v>
      </c>
      <c r="H11" s="25">
        <f t="shared" si="1"/>
        <v>895600</v>
      </c>
      <c r="I11" s="25">
        <v>103200</v>
      </c>
      <c r="J11" s="25">
        <v>93300</v>
      </c>
      <c r="K11" s="25">
        <v>86000</v>
      </c>
      <c r="L11" s="25">
        <v>97600</v>
      </c>
      <c r="M11" s="25" ph="1">
        <v>90300</v>
      </c>
      <c r="N11" s="25">
        <v>86000</v>
      </c>
      <c r="O11" s="25">
        <f t="shared" si="2"/>
        <v>556400</v>
      </c>
      <c r="P11" s="25">
        <f t="shared" si="3"/>
        <v>1452000</v>
      </c>
    </row>
    <row r="12" spans="1:16" ht="12" customHeight="1" x14ac:dyDescent="0.15">
      <c r="A12" s="48" t="s">
        <v>319</v>
      </c>
      <c r="B12" s="25">
        <v>40500</v>
      </c>
      <c r="C12" s="25">
        <v>72900</v>
      </c>
      <c r="D12" s="25">
        <v>59400</v>
      </c>
      <c r="E12" s="25">
        <v>35100</v>
      </c>
      <c r="F12" s="25">
        <v>27000</v>
      </c>
      <c r="G12" s="25">
        <v>32400</v>
      </c>
      <c r="H12" s="25">
        <f t="shared" si="1"/>
        <v>267300</v>
      </c>
      <c r="I12" s="25">
        <v>18900</v>
      </c>
      <c r="J12" s="25">
        <v>21600</v>
      </c>
      <c r="K12" s="25">
        <v>45900</v>
      </c>
      <c r="L12" s="25">
        <v>40500</v>
      </c>
      <c r="M12" s="25">
        <v>35100</v>
      </c>
      <c r="N12" s="25">
        <f>3000+40500</f>
        <v>43500</v>
      </c>
      <c r="O12" s="25">
        <f t="shared" si="2"/>
        <v>205500</v>
      </c>
      <c r="P12" s="25">
        <f t="shared" si="3"/>
        <v>472800</v>
      </c>
    </row>
    <row r="13" spans="1:16" ht="12" customHeight="1" x14ac:dyDescent="0.15">
      <c r="A13" s="47" t="s">
        <v>95</v>
      </c>
      <c r="B13" s="49">
        <v>9551450</v>
      </c>
      <c r="C13" s="25">
        <f>10174880-4872120+10470870-5350730-C14</f>
        <v>9740700</v>
      </c>
      <c r="D13" s="25">
        <f>15382050-10174880-347400-4200+15440670-10470870-320400-3000</f>
        <v>9501970</v>
      </c>
      <c r="E13" s="25">
        <f>20348540-15382050-319200-10200+20772200-15440670-337200-9000</f>
        <v>9622420</v>
      </c>
      <c r="F13" s="25">
        <f>25413470-20348540-324600-10800+25600120-20772200-309100-4800-4800</f>
        <v>9238750</v>
      </c>
      <c r="G13" s="25">
        <f>30151200-25413470-317400-1800+30237260-25600120-303200-5400</f>
        <v>8747070</v>
      </c>
      <c r="H13" s="25">
        <f t="shared" si="1"/>
        <v>56402360</v>
      </c>
      <c r="I13" s="25">
        <f>35214950-30151200-342000+34656410-30237260-291400-4200</f>
        <v>8845300</v>
      </c>
      <c r="J13" s="25">
        <f>40011440-35214950-319800+38997750-34656410-290100</f>
        <v>8527930</v>
      </c>
      <c r="K13" s="25">
        <f>44890570-40011440-316900-9600+43201000-38997750-275600-4800</f>
        <v>8475480</v>
      </c>
      <c r="L13" s="25">
        <f>48617480-44890570-249600+46049460-191100-43201000</f>
        <v>6134670</v>
      </c>
      <c r="M13" s="25">
        <f>53081790-48617480-279600-8300-7200+49322890-46049460-223300</f>
        <v>7219340</v>
      </c>
      <c r="N13" s="25">
        <f>57719860-53081790-309600+53247880-49322890-263300-4200</f>
        <v>7985960</v>
      </c>
      <c r="O13" s="25">
        <f t="shared" si="2"/>
        <v>47188680</v>
      </c>
      <c r="P13" s="25">
        <f t="shared" si="3"/>
        <v>103591040</v>
      </c>
    </row>
    <row r="14" spans="1:16" ht="12" customHeight="1" x14ac:dyDescent="0.15">
      <c r="A14" s="21" t="s">
        <v>58</v>
      </c>
      <c r="B14" s="25">
        <f>328200+1200+328200+13800</f>
        <v>671400</v>
      </c>
      <c r="C14" s="25">
        <f>350400+3600+328200</f>
        <v>682200</v>
      </c>
      <c r="D14" s="25">
        <f>347400+4200+320400+3000</f>
        <v>675000</v>
      </c>
      <c r="E14" s="25">
        <f>319200+10200+337200+9000</f>
        <v>675600</v>
      </c>
      <c r="F14" s="25">
        <f>324600+10800+309100+4800+4800</f>
        <v>654100</v>
      </c>
      <c r="G14" s="25">
        <f>303200+5400+317400+1800</f>
        <v>627800</v>
      </c>
      <c r="H14" s="25">
        <f t="shared" si="1"/>
        <v>3986100</v>
      </c>
      <c r="I14" s="25">
        <f>291400+4200+342000</f>
        <v>637600</v>
      </c>
      <c r="J14" s="25">
        <f>290100+319800</f>
        <v>609900</v>
      </c>
      <c r="K14" s="25">
        <f>275600+4800+316900+9600</f>
        <v>606900</v>
      </c>
      <c r="L14" s="25">
        <f>249600+191100</f>
        <v>440700</v>
      </c>
      <c r="M14" s="25">
        <f>279600+8300+7200+223300</f>
        <v>518400</v>
      </c>
      <c r="N14" s="25">
        <f>309600+263300+4200</f>
        <v>577100</v>
      </c>
      <c r="O14" s="25">
        <f t="shared" si="2"/>
        <v>3390600</v>
      </c>
      <c r="P14" s="25">
        <f t="shared" si="3"/>
        <v>7376700</v>
      </c>
    </row>
    <row r="15" spans="1:16" ht="12" customHeight="1" x14ac:dyDescent="0.15">
      <c r="A15" s="47" t="s">
        <v>96</v>
      </c>
      <c r="B15" s="25">
        <f>708260-64200+429110-43800-3600</f>
        <v>1025770</v>
      </c>
      <c r="C15" s="25">
        <f>1403000-708260+737170-429110-C16</f>
        <v>900200</v>
      </c>
      <c r="D15" s="25">
        <f>2185720-1403000-79800+1005130-737170-30000</f>
        <v>940880</v>
      </c>
      <c r="E15" s="25">
        <f>2928220-2185720-76800+1248500-1005130-25200</f>
        <v>883870</v>
      </c>
      <c r="F15" s="25">
        <f>3733460-2928220-76800+1517060-1248500-30000</f>
        <v>967000</v>
      </c>
      <c r="G15" s="25">
        <f>4507130-3733460-76800+1742520-1517060-23400</f>
        <v>898930</v>
      </c>
      <c r="H15" s="25">
        <f t="shared" si="1"/>
        <v>5616650</v>
      </c>
      <c r="I15" s="25">
        <f>5264180-4507130-72600+1969180-1742520-24600</f>
        <v>886510</v>
      </c>
      <c r="J15" s="25">
        <f>5967260-5264180-60600+2275810-1969180-33000</f>
        <v>916110</v>
      </c>
      <c r="K15" s="25">
        <f>6696480-5967260-66000-1800+2543540-2275810-30000</f>
        <v>899150</v>
      </c>
      <c r="L15" s="25">
        <f>7390870-6696480-54600+2824010-2543540-25800</f>
        <v>894460</v>
      </c>
      <c r="M15" s="25">
        <f>8088800-7390870-64200+3264280-2824010-39000</f>
        <v>1035000</v>
      </c>
      <c r="N15" s="25">
        <f>8801570-8088800-75000+3732440-3264280-51000</f>
        <v>1054930</v>
      </c>
      <c r="O15" s="25">
        <f t="shared" si="2"/>
        <v>5686160</v>
      </c>
      <c r="P15" s="25">
        <f t="shared" si="3"/>
        <v>11302810</v>
      </c>
    </row>
    <row r="16" spans="1:16" ht="12" customHeight="1" x14ac:dyDescent="0.15">
      <c r="A16" s="21" t="s">
        <v>59</v>
      </c>
      <c r="B16" s="25">
        <f>64200+43800+3600</f>
        <v>111600</v>
      </c>
      <c r="C16" s="25">
        <f>67800+1200+33600</f>
        <v>102600</v>
      </c>
      <c r="D16" s="25">
        <f>79800+30000</f>
        <v>109800</v>
      </c>
      <c r="E16" s="25">
        <f>76800+25200</f>
        <v>102000</v>
      </c>
      <c r="F16" s="25">
        <f>76800+30000</f>
        <v>106800</v>
      </c>
      <c r="G16" s="25">
        <f>23400+76800</f>
        <v>100200</v>
      </c>
      <c r="H16" s="25">
        <f t="shared" si="1"/>
        <v>633000</v>
      </c>
      <c r="I16" s="25">
        <f>24600+72600</f>
        <v>97200</v>
      </c>
      <c r="J16" s="25">
        <f>33000+60600</f>
        <v>93600</v>
      </c>
      <c r="K16" s="25">
        <f>30000+66000+1800</f>
        <v>97800</v>
      </c>
      <c r="L16" s="25">
        <f>54600+25800</f>
        <v>80400</v>
      </c>
      <c r="M16" s="25">
        <f>39000+64200</f>
        <v>103200</v>
      </c>
      <c r="N16" s="25">
        <f>75000+51000</f>
        <v>126000</v>
      </c>
      <c r="O16" s="25">
        <f t="shared" si="2"/>
        <v>598200</v>
      </c>
      <c r="P16" s="25">
        <f t="shared" si="3"/>
        <v>1231200</v>
      </c>
    </row>
    <row r="17" spans="1:16" ht="12" customHeight="1" x14ac:dyDescent="0.15">
      <c r="A17" s="50" t="s">
        <v>120</v>
      </c>
      <c r="B17" s="25">
        <f>1499290-69000</f>
        <v>1430290</v>
      </c>
      <c r="C17" s="25">
        <f>3054500-1499290-73800</f>
        <v>1481410</v>
      </c>
      <c r="D17" s="25">
        <f>4854810-3054500-82800</f>
        <v>1717510</v>
      </c>
      <c r="E17" s="25">
        <f>7782320-4854810-121800-10800</f>
        <v>2794910</v>
      </c>
      <c r="F17" s="25">
        <f>10631150-7782320-129600</f>
        <v>2719230</v>
      </c>
      <c r="G17" s="25">
        <f>13821460-10631150-146400</f>
        <v>3043910</v>
      </c>
      <c r="H17" s="25">
        <f t="shared" si="1"/>
        <v>13187260</v>
      </c>
      <c r="I17" s="25">
        <f>16465100-13821460-125400</f>
        <v>2518240</v>
      </c>
      <c r="J17" s="25">
        <f>18738390-16465100-105600</f>
        <v>2167690</v>
      </c>
      <c r="K17" s="25">
        <f>21332630-18738390-113300-8400</f>
        <v>2472540</v>
      </c>
      <c r="L17" s="25">
        <f>23484370-21332630-99600</f>
        <v>2052140</v>
      </c>
      <c r="M17" s="25">
        <f>25790220-23484370-104400</f>
        <v>2201450</v>
      </c>
      <c r="N17" s="25">
        <f>28503290-25790220-123600</f>
        <v>2589470</v>
      </c>
      <c r="O17" s="25">
        <f t="shared" si="2"/>
        <v>14001530</v>
      </c>
      <c r="P17" s="25">
        <f t="shared" si="3"/>
        <v>27188790</v>
      </c>
    </row>
    <row r="18" spans="1:16" ht="12" customHeight="1" x14ac:dyDescent="0.15">
      <c r="A18" s="21" t="s">
        <v>59</v>
      </c>
      <c r="B18" s="25">
        <v>69000</v>
      </c>
      <c r="C18" s="25">
        <v>73800</v>
      </c>
      <c r="D18" s="25">
        <v>82800</v>
      </c>
      <c r="E18" s="25">
        <f>121800+10800</f>
        <v>132600</v>
      </c>
      <c r="F18" s="25">
        <v>129600</v>
      </c>
      <c r="G18" s="25">
        <v>146400</v>
      </c>
      <c r="H18" s="25">
        <f t="shared" si="1"/>
        <v>634200</v>
      </c>
      <c r="I18" s="25">
        <v>125400</v>
      </c>
      <c r="J18" s="25">
        <v>105600</v>
      </c>
      <c r="K18" s="25">
        <f>113300+8400</f>
        <v>121700</v>
      </c>
      <c r="L18" s="25">
        <v>99600</v>
      </c>
      <c r="M18" s="25">
        <v>104400</v>
      </c>
      <c r="N18" s="25">
        <v>123600</v>
      </c>
      <c r="O18" s="25">
        <f t="shared" si="2"/>
        <v>680300</v>
      </c>
      <c r="P18" s="25">
        <f t="shared" si="3"/>
        <v>1314500</v>
      </c>
    </row>
    <row r="19" spans="1:16" ht="12" customHeight="1" x14ac:dyDescent="0.15">
      <c r="A19" s="51" t="s">
        <v>245</v>
      </c>
      <c r="B19" s="25">
        <v>519910</v>
      </c>
      <c r="C19" s="25">
        <f>1045550-519910</f>
        <v>525640</v>
      </c>
      <c r="D19" s="25">
        <f>1577500-1045550</f>
        <v>531950</v>
      </c>
      <c r="E19" s="25">
        <f>2183920-1577500</f>
        <v>606420</v>
      </c>
      <c r="F19" s="25">
        <f>2776110-2183920</f>
        <v>592190</v>
      </c>
      <c r="G19" s="25">
        <f>3368170-2776110</f>
        <v>592060</v>
      </c>
      <c r="H19" s="25">
        <f t="shared" si="1"/>
        <v>3368170</v>
      </c>
      <c r="I19" s="25">
        <f>3928080-3368170</f>
        <v>559910</v>
      </c>
      <c r="J19" s="25">
        <f>4452600-3928080</f>
        <v>524520</v>
      </c>
      <c r="K19" s="25">
        <f>4995090-4452600</f>
        <v>542490</v>
      </c>
      <c r="L19" s="25">
        <f>5414850-4995090</f>
        <v>419760</v>
      </c>
      <c r="M19" s="25">
        <f>5894310-5414850</f>
        <v>479460</v>
      </c>
      <c r="N19" s="25">
        <f>6431370-5894310</f>
        <v>537060</v>
      </c>
      <c r="O19" s="25">
        <f>SUM(I19:N19)</f>
        <v>3063200</v>
      </c>
      <c r="P19" s="25">
        <f t="shared" si="3"/>
        <v>6431370</v>
      </c>
    </row>
    <row r="20" spans="1:16" ht="12" customHeight="1" x14ac:dyDescent="0.15">
      <c r="A20" s="47" t="s">
        <v>119</v>
      </c>
      <c r="B20" s="25">
        <v>87600</v>
      </c>
      <c r="C20" s="25">
        <f>183600-87600</f>
        <v>96000</v>
      </c>
      <c r="D20" s="25">
        <f>310800-183600</f>
        <v>127200</v>
      </c>
      <c r="E20" s="25">
        <f>423600-310800</f>
        <v>112800</v>
      </c>
      <c r="F20" s="25">
        <f>541200-423600</f>
        <v>117600</v>
      </c>
      <c r="G20" s="25">
        <f>684000-541200</f>
        <v>142800</v>
      </c>
      <c r="H20" s="25">
        <f t="shared" si="1"/>
        <v>684000</v>
      </c>
      <c r="I20" s="25">
        <f>764400-684000</f>
        <v>80400</v>
      </c>
      <c r="J20" s="25">
        <f>866200-764400</f>
        <v>101800</v>
      </c>
      <c r="K20" s="25">
        <f>997200-866200</f>
        <v>131000</v>
      </c>
      <c r="L20" s="25">
        <f>1082400-997200</f>
        <v>85200</v>
      </c>
      <c r="M20" s="25">
        <f>1179600-1082400</f>
        <v>97200</v>
      </c>
      <c r="N20" s="25">
        <f>1317600-1179600</f>
        <v>138000</v>
      </c>
      <c r="O20" s="25">
        <f t="shared" si="2"/>
        <v>633600</v>
      </c>
      <c r="P20" s="25">
        <f t="shared" si="3"/>
        <v>1317600</v>
      </c>
    </row>
    <row r="21" spans="1:16" ht="12" customHeight="1" x14ac:dyDescent="0.15">
      <c r="A21" s="47" t="s">
        <v>97</v>
      </c>
      <c r="B21" s="25">
        <v>13120</v>
      </c>
      <c r="C21" s="25">
        <f>35220-13120</f>
        <v>22100</v>
      </c>
      <c r="D21" s="25">
        <f>44720-35220</f>
        <v>9500</v>
      </c>
      <c r="E21" s="25">
        <v>8160</v>
      </c>
      <c r="F21" s="25">
        <f>63880-52880</f>
        <v>11000</v>
      </c>
      <c r="G21" s="25">
        <f>69580-63880</f>
        <v>5700</v>
      </c>
      <c r="H21" s="25">
        <f t="shared" si="1"/>
        <v>69580</v>
      </c>
      <c r="I21" s="25">
        <f>76180-69580</f>
        <v>6600</v>
      </c>
      <c r="J21" s="25">
        <f>82680-76180</f>
        <v>6500</v>
      </c>
      <c r="K21" s="25">
        <f>100980-82680</f>
        <v>18300</v>
      </c>
      <c r="L21" s="25">
        <f>107180-100980</f>
        <v>6200</v>
      </c>
      <c r="M21" s="25">
        <f>109380-107180</f>
        <v>2200</v>
      </c>
      <c r="N21" s="25">
        <f>119180-109380</f>
        <v>9800</v>
      </c>
      <c r="O21" s="25">
        <f t="shared" si="2"/>
        <v>49600</v>
      </c>
      <c r="P21" s="25">
        <f t="shared" si="3"/>
        <v>119180</v>
      </c>
    </row>
    <row r="22" spans="1:16" ht="12" customHeight="1" x14ac:dyDescent="0.15">
      <c r="A22" s="47" t="s">
        <v>98</v>
      </c>
      <c r="B22" s="25">
        <v>144700</v>
      </c>
      <c r="C22" s="25">
        <f>307900-144700</f>
        <v>163200</v>
      </c>
      <c r="D22" s="25">
        <f>385700-307900</f>
        <v>77800</v>
      </c>
      <c r="E22" s="25">
        <f>526900-385700</f>
        <v>141200</v>
      </c>
      <c r="F22" s="25">
        <f>607650-526900</f>
        <v>80750</v>
      </c>
      <c r="G22" s="25">
        <f>677150-607650</f>
        <v>69500</v>
      </c>
      <c r="H22" s="25">
        <f t="shared" si="1"/>
        <v>677150</v>
      </c>
      <c r="I22" s="25">
        <f>767350-677150</f>
        <v>90200</v>
      </c>
      <c r="J22" s="25">
        <f>884400-767350</f>
        <v>117050</v>
      </c>
      <c r="K22" s="25">
        <f>967600-884400</f>
        <v>83200</v>
      </c>
      <c r="L22" s="25">
        <f>995100-967600</f>
        <v>27500</v>
      </c>
      <c r="M22" s="25">
        <f>1018600-995100</f>
        <v>23500</v>
      </c>
      <c r="N22" s="25">
        <f>1081300-1018600</f>
        <v>62700</v>
      </c>
      <c r="O22" s="25">
        <f t="shared" si="2"/>
        <v>404150</v>
      </c>
      <c r="P22" s="25">
        <f t="shared" si="3"/>
        <v>1081300</v>
      </c>
    </row>
    <row r="23" spans="1:16" ht="12" customHeight="1" x14ac:dyDescent="0.15">
      <c r="A23" s="47" t="s">
        <v>249</v>
      </c>
      <c r="B23" s="25">
        <v>328100</v>
      </c>
      <c r="C23" s="25">
        <f>555150-328100</f>
        <v>227050</v>
      </c>
      <c r="D23" s="25">
        <f>815450-555150</f>
        <v>260300</v>
      </c>
      <c r="E23" s="25">
        <f>1142600-815450</f>
        <v>327150</v>
      </c>
      <c r="F23" s="25">
        <f>1619300-1142600</f>
        <v>476700</v>
      </c>
      <c r="G23" s="25">
        <f>1859550-1619300</f>
        <v>240250</v>
      </c>
      <c r="H23" s="25">
        <f t="shared" si="1"/>
        <v>1859550</v>
      </c>
      <c r="I23" s="25">
        <v>214000</v>
      </c>
      <c r="J23" s="25">
        <f>2300150-2073550</f>
        <v>226600</v>
      </c>
      <c r="K23" s="25">
        <f>2526050-2300150</f>
        <v>225900</v>
      </c>
      <c r="L23" s="25">
        <v>199100</v>
      </c>
      <c r="M23" s="25">
        <f>2915700-2725150</f>
        <v>190550</v>
      </c>
      <c r="N23" s="25">
        <f>3153100-2915700</f>
        <v>237400</v>
      </c>
      <c r="O23" s="25">
        <f t="shared" si="2"/>
        <v>1293550</v>
      </c>
      <c r="P23" s="25">
        <f t="shared" si="3"/>
        <v>3153100</v>
      </c>
    </row>
    <row r="24" spans="1:16" ht="12" customHeight="1" x14ac:dyDescent="0.15">
      <c r="A24" s="47" t="s">
        <v>320</v>
      </c>
      <c r="B24" s="25">
        <v>219500</v>
      </c>
      <c r="C24" s="25">
        <f>334850-219500</f>
        <v>115350</v>
      </c>
      <c r="D24" s="25">
        <f>446550-334850</f>
        <v>111700</v>
      </c>
      <c r="E24" s="25">
        <f>665450-446550</f>
        <v>218900</v>
      </c>
      <c r="F24" s="25">
        <f>1024500-665450</f>
        <v>359050</v>
      </c>
      <c r="G24" s="25">
        <f>1093900-1024500</f>
        <v>69400</v>
      </c>
      <c r="H24" s="25">
        <f t="shared" si="1"/>
        <v>1093900</v>
      </c>
      <c r="I24" s="25">
        <v>85000</v>
      </c>
      <c r="J24" s="25">
        <f>1280200-1178900</f>
        <v>101300</v>
      </c>
      <c r="K24" s="25">
        <f>1396150-1280200</f>
        <v>115950</v>
      </c>
      <c r="L24" s="25">
        <v>71400</v>
      </c>
      <c r="M24" s="25">
        <f>1553350-1467550</f>
        <v>85800</v>
      </c>
      <c r="N24" s="25">
        <f>1673500-1553350</f>
        <v>120150</v>
      </c>
      <c r="O24" s="25">
        <f t="shared" si="2"/>
        <v>579600</v>
      </c>
      <c r="P24" s="25">
        <f t="shared" si="3"/>
        <v>1673500</v>
      </c>
    </row>
    <row r="25" spans="1:16" ht="12" customHeight="1" x14ac:dyDescent="0.15">
      <c r="A25" s="47" t="s">
        <v>303</v>
      </c>
      <c r="B25" s="25">
        <v>26350</v>
      </c>
      <c r="C25" s="25">
        <v>0</v>
      </c>
      <c r="D25" s="25">
        <v>0</v>
      </c>
      <c r="E25" s="25">
        <f>79250-26350</f>
        <v>52900</v>
      </c>
      <c r="F25" s="25">
        <f>177250-79250</f>
        <v>98000</v>
      </c>
      <c r="G25" s="25">
        <v>1050</v>
      </c>
      <c r="H25" s="25">
        <f t="shared" si="1"/>
        <v>178300</v>
      </c>
      <c r="I25" s="25">
        <v>0</v>
      </c>
      <c r="J25" s="25">
        <v>1100</v>
      </c>
      <c r="K25" s="25">
        <f>193750-179400</f>
        <v>14350</v>
      </c>
      <c r="L25" s="25">
        <v>7000</v>
      </c>
      <c r="M25" s="25">
        <v>0</v>
      </c>
      <c r="N25" s="25">
        <f>226200-200750</f>
        <v>25450</v>
      </c>
      <c r="O25" s="25">
        <f t="shared" si="2"/>
        <v>47900</v>
      </c>
      <c r="P25" s="25">
        <f t="shared" si="3"/>
        <v>226200</v>
      </c>
    </row>
    <row r="26" spans="1:16" ht="12" customHeight="1" x14ac:dyDescent="0.15">
      <c r="A26" s="47" t="s">
        <v>251</v>
      </c>
      <c r="B26" s="25">
        <v>71700</v>
      </c>
      <c r="C26" s="25">
        <f>146300-71700</f>
        <v>74600</v>
      </c>
      <c r="D26" s="25">
        <f>231700-146300</f>
        <v>85400</v>
      </c>
      <c r="E26" s="25">
        <f>343850-231700</f>
        <v>112150</v>
      </c>
      <c r="F26" s="25">
        <f>505450-343850</f>
        <v>161600</v>
      </c>
      <c r="G26" s="25">
        <f>566250-505450</f>
        <v>60800</v>
      </c>
      <c r="H26" s="25">
        <f t="shared" si="1"/>
        <v>566250</v>
      </c>
      <c r="I26" s="25">
        <v>57200</v>
      </c>
      <c r="J26" s="25">
        <f>680000-623450</f>
        <v>56550</v>
      </c>
      <c r="K26" s="25">
        <f>745700-680000</f>
        <v>65700</v>
      </c>
      <c r="L26" s="25">
        <v>47750</v>
      </c>
      <c r="M26" s="25">
        <f>839250-793450</f>
        <v>45800</v>
      </c>
      <c r="N26" s="25">
        <f>910850-839250</f>
        <v>71600</v>
      </c>
      <c r="O26" s="25">
        <f>SUM(I26:N26)</f>
        <v>344600</v>
      </c>
      <c r="P26" s="25">
        <f>H26+O26</f>
        <v>910850</v>
      </c>
    </row>
    <row r="27" spans="1:16" ht="12" customHeight="1" x14ac:dyDescent="0.15">
      <c r="A27" s="21" t="s">
        <v>99</v>
      </c>
      <c r="B27" s="25">
        <v>0</v>
      </c>
      <c r="C27" s="25">
        <v>666600</v>
      </c>
      <c r="D27" s="25">
        <v>666600</v>
      </c>
      <c r="E27" s="25">
        <v>666600</v>
      </c>
      <c r="F27" s="25">
        <v>666600</v>
      </c>
      <c r="G27" s="25">
        <f>666600+258000</f>
        <v>924600</v>
      </c>
      <c r="H27" s="25">
        <f t="shared" si="1"/>
        <v>3591000</v>
      </c>
      <c r="I27" s="25">
        <v>666600</v>
      </c>
      <c r="J27" s="25">
        <v>666600</v>
      </c>
      <c r="K27" s="25">
        <f>666600+258000</f>
        <v>924600</v>
      </c>
      <c r="L27" s="25">
        <f>666600+258000</f>
        <v>924600</v>
      </c>
      <c r="M27" s="25">
        <v>832200</v>
      </c>
      <c r="N27" s="25">
        <f>9323036-7605600</f>
        <v>1717436</v>
      </c>
      <c r="O27" s="25">
        <f t="shared" si="2"/>
        <v>5732036</v>
      </c>
      <c r="P27" s="25">
        <f t="shared" si="3"/>
        <v>9323036</v>
      </c>
    </row>
    <row r="28" spans="1:16" ht="12" customHeight="1" x14ac:dyDescent="0.15">
      <c r="A28" s="24" t="s">
        <v>11</v>
      </c>
      <c r="B28" s="32">
        <v>0</v>
      </c>
      <c r="C28" s="32">
        <v>3000</v>
      </c>
      <c r="D28" s="32">
        <f>108100-3000</f>
        <v>105100</v>
      </c>
      <c r="E28" s="32">
        <v>7500</v>
      </c>
      <c r="F28" s="32">
        <f>130600-115600</f>
        <v>15000</v>
      </c>
      <c r="G28" s="32">
        <f>161600-130600</f>
        <v>31000</v>
      </c>
      <c r="H28" s="32">
        <f t="shared" si="1"/>
        <v>161600</v>
      </c>
      <c r="I28" s="32">
        <f>5000+127000</f>
        <v>132000</v>
      </c>
      <c r="J28" s="32">
        <v>15000</v>
      </c>
      <c r="K28" s="32">
        <v>0</v>
      </c>
      <c r="L28" s="32">
        <f>342600-308600</f>
        <v>34000</v>
      </c>
      <c r="M28" s="32">
        <v>0</v>
      </c>
      <c r="N28" s="32">
        <v>40000</v>
      </c>
      <c r="O28" s="32">
        <f t="shared" si="2"/>
        <v>221000</v>
      </c>
      <c r="P28" s="32">
        <f t="shared" si="3"/>
        <v>382600</v>
      </c>
    </row>
    <row r="29" spans="1:16" ht="12" customHeight="1" x14ac:dyDescent="0.15">
      <c r="A29" s="24" t="s">
        <v>246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500000</v>
      </c>
      <c r="H29" s="32">
        <f t="shared" si="1"/>
        <v>500000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980000</v>
      </c>
      <c r="O29" s="32">
        <f t="shared" si="2"/>
        <v>980000</v>
      </c>
      <c r="P29" s="32">
        <f t="shared" si="3"/>
        <v>1480000</v>
      </c>
    </row>
    <row r="30" spans="1:16" ht="12" customHeight="1" x14ac:dyDescent="0.15">
      <c r="A30" s="24" t="s">
        <v>12</v>
      </c>
      <c r="B30" s="32">
        <v>61660</v>
      </c>
      <c r="C30" s="32">
        <f>117352-61660</f>
        <v>55692</v>
      </c>
      <c r="D30" s="32">
        <f>216622-117352</f>
        <v>99270</v>
      </c>
      <c r="E30" s="32">
        <f>270717-216622</f>
        <v>54095</v>
      </c>
      <c r="F30" s="32">
        <f>330689-270717</f>
        <v>59972</v>
      </c>
      <c r="G30" s="32">
        <f>388666-330689</f>
        <v>57977</v>
      </c>
      <c r="H30" s="32">
        <f t="shared" si="1"/>
        <v>388666</v>
      </c>
      <c r="I30" s="32">
        <f>616157-388666</f>
        <v>227491</v>
      </c>
      <c r="J30" s="32">
        <f>673371-616157</f>
        <v>57214</v>
      </c>
      <c r="K30" s="32">
        <f>750754-673371</f>
        <v>77383</v>
      </c>
      <c r="L30" s="32">
        <f>801892-750754</f>
        <v>51138</v>
      </c>
      <c r="M30" s="32">
        <f>842492-801892</f>
        <v>40600</v>
      </c>
      <c r="N30" s="32">
        <f>875487-842492</f>
        <v>32995</v>
      </c>
      <c r="O30" s="32">
        <f t="shared" si="2"/>
        <v>486821</v>
      </c>
      <c r="P30" s="32">
        <f t="shared" si="3"/>
        <v>875487</v>
      </c>
    </row>
    <row r="31" spans="1:16" ht="12" customHeight="1" x14ac:dyDescent="0.15">
      <c r="A31" s="24"/>
      <c r="B31" s="32"/>
      <c r="C31" s="32"/>
      <c r="D31" s="32"/>
      <c r="E31" s="32"/>
      <c r="F31" s="32"/>
      <c r="G31" s="32"/>
      <c r="H31" s="32">
        <f t="shared" si="1"/>
        <v>0</v>
      </c>
      <c r="I31" s="32"/>
      <c r="J31" s="32"/>
      <c r="K31" s="32"/>
      <c r="L31" s="32"/>
      <c r="M31" s="32"/>
      <c r="N31" s="32"/>
      <c r="O31" s="32">
        <f t="shared" si="2"/>
        <v>0</v>
      </c>
      <c r="P31" s="32">
        <f t="shared" si="3"/>
        <v>0</v>
      </c>
    </row>
    <row r="32" spans="1:16" ht="12" customHeight="1" x14ac:dyDescent="0.15">
      <c r="A32" s="52" t="s">
        <v>13</v>
      </c>
      <c r="B32" s="32">
        <f>B5+B9+B28+B29+B30</f>
        <v>17206720</v>
      </c>
      <c r="C32" s="32">
        <f t="shared" ref="C32:N32" si="6">C5+C9+C28+C29+C30</f>
        <v>17766772</v>
      </c>
      <c r="D32" s="32">
        <f t="shared" si="6"/>
        <v>18026420</v>
      </c>
      <c r="E32" s="32">
        <f t="shared" si="6"/>
        <v>19310275</v>
      </c>
      <c r="F32" s="32">
        <f t="shared" si="6"/>
        <v>19243202</v>
      </c>
      <c r="G32" s="32">
        <f t="shared" si="6"/>
        <v>19075007</v>
      </c>
      <c r="H32" s="32">
        <f t="shared" si="1"/>
        <v>110628396</v>
      </c>
      <c r="I32" s="32">
        <f t="shared" si="6"/>
        <v>18017271</v>
      </c>
      <c r="J32" s="32">
        <f t="shared" si="6"/>
        <v>17101214</v>
      </c>
      <c r="K32" s="32">
        <f t="shared" si="6"/>
        <v>17795443</v>
      </c>
      <c r="L32" s="32">
        <f t="shared" si="6"/>
        <v>14369598</v>
      </c>
      <c r="M32" s="32">
        <f t="shared" si="6"/>
        <v>15793110</v>
      </c>
      <c r="N32" s="32">
        <f t="shared" si="6"/>
        <v>19340081</v>
      </c>
      <c r="O32" s="32">
        <f t="shared" si="2"/>
        <v>102416717</v>
      </c>
      <c r="P32" s="32">
        <f t="shared" si="3"/>
        <v>213045113</v>
      </c>
    </row>
    <row r="33" spans="1:16" ht="12" customHeight="1" x14ac:dyDescent="0.15">
      <c r="A33" s="23" t="s">
        <v>124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ht="12" customHeight="1" x14ac:dyDescent="0.15">
      <c r="A34" s="6" t="s">
        <v>15</v>
      </c>
      <c r="B34" s="25"/>
      <c r="C34" s="25"/>
      <c r="D34" s="25"/>
      <c r="E34" s="25"/>
      <c r="F34" s="25" t="s">
        <v>304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12" customHeight="1" x14ac:dyDescent="0.15">
      <c r="A35" s="23" t="s">
        <v>16</v>
      </c>
      <c r="B35" s="32">
        <f t="shared" ref="B35:N35" si="7">SUM(B36:B40)</f>
        <v>12709238</v>
      </c>
      <c r="C35" s="32">
        <f t="shared" si="7"/>
        <v>12502624</v>
      </c>
      <c r="D35" s="32">
        <f t="shared" si="7"/>
        <v>12431975</v>
      </c>
      <c r="E35" s="32">
        <f t="shared" si="7"/>
        <v>17434036</v>
      </c>
      <c r="F35" s="32">
        <f t="shared" si="7"/>
        <v>14038792</v>
      </c>
      <c r="G35" s="32">
        <f t="shared" si="7"/>
        <v>12342549</v>
      </c>
      <c r="H35" s="32">
        <f t="shared" ref="H35:H72" si="8">SUM(B35:G35)</f>
        <v>81459214</v>
      </c>
      <c r="I35" s="32">
        <f t="shared" si="7"/>
        <v>11895603</v>
      </c>
      <c r="J35" s="32">
        <f t="shared" si="7"/>
        <v>21320777</v>
      </c>
      <c r="K35" s="32">
        <f t="shared" si="7"/>
        <v>11859263</v>
      </c>
      <c r="L35" s="32">
        <f t="shared" si="7"/>
        <v>11552931</v>
      </c>
      <c r="M35" s="32">
        <f t="shared" si="7"/>
        <v>11657285</v>
      </c>
      <c r="N35" s="32">
        <f t="shared" si="7"/>
        <v>14572654</v>
      </c>
      <c r="O35" s="32">
        <f t="shared" si="2"/>
        <v>82858513</v>
      </c>
      <c r="P35" s="32">
        <f t="shared" si="3"/>
        <v>164317727</v>
      </c>
    </row>
    <row r="36" spans="1:16" ht="12" customHeight="1" x14ac:dyDescent="0.15">
      <c r="A36" s="6" t="s">
        <v>100</v>
      </c>
      <c r="B36" s="25">
        <v>497000</v>
      </c>
      <c r="C36" s="25">
        <v>497000</v>
      </c>
      <c r="D36" s="25">
        <v>497000</v>
      </c>
      <c r="E36" s="25">
        <v>497000</v>
      </c>
      <c r="F36" s="25">
        <v>497000</v>
      </c>
      <c r="G36" s="25">
        <v>497000</v>
      </c>
      <c r="H36" s="25">
        <f t="shared" si="8"/>
        <v>2982000</v>
      </c>
      <c r="I36" s="25">
        <v>370000</v>
      </c>
      <c r="J36" s="25">
        <v>370000</v>
      </c>
      <c r="K36" s="25">
        <v>370000</v>
      </c>
      <c r="L36" s="25">
        <v>370000</v>
      </c>
      <c r="M36" s="25">
        <v>370000</v>
      </c>
      <c r="N36" s="25">
        <v>370000</v>
      </c>
      <c r="O36" s="25">
        <f t="shared" si="2"/>
        <v>2220000</v>
      </c>
      <c r="P36" s="25">
        <f t="shared" si="3"/>
        <v>5202000</v>
      </c>
    </row>
    <row r="37" spans="1:16" ht="12" customHeight="1" x14ac:dyDescent="0.15">
      <c r="A37" s="6" t="s">
        <v>101</v>
      </c>
      <c r="B37" s="25">
        <v>9990564</v>
      </c>
      <c r="C37" s="25">
        <f>19807716-9990564</f>
        <v>9817152</v>
      </c>
      <c r="D37" s="25">
        <f>29310368-19807716</f>
        <v>9502652</v>
      </c>
      <c r="E37" s="25">
        <f>43066497-29310368</f>
        <v>13756129</v>
      </c>
      <c r="F37" s="25">
        <f>53281383-43066497</f>
        <v>10214886</v>
      </c>
      <c r="G37" s="25">
        <f>62839720-53281383</f>
        <v>9558337</v>
      </c>
      <c r="H37" s="25">
        <f t="shared" si="8"/>
        <v>62839720</v>
      </c>
      <c r="I37" s="25">
        <f>71950674-62839720</f>
        <v>9110954</v>
      </c>
      <c r="J37" s="25">
        <f>88609715-71950674</f>
        <v>16659041</v>
      </c>
      <c r="K37" s="25">
        <f>97774171-88609715</f>
        <v>9164456</v>
      </c>
      <c r="L37" s="25">
        <f>106487542-97774171</f>
        <v>8713371</v>
      </c>
      <c r="M37" s="25">
        <f>115510595-106487542</f>
        <v>9023053</v>
      </c>
      <c r="N37" s="25">
        <f>127091022-115510595</f>
        <v>11580427</v>
      </c>
      <c r="O37" s="25">
        <f t="shared" si="2"/>
        <v>64251302</v>
      </c>
      <c r="P37" s="25">
        <f t="shared" si="3"/>
        <v>127091022</v>
      </c>
    </row>
    <row r="38" spans="1:16" ht="12" customHeight="1" x14ac:dyDescent="0.15">
      <c r="A38" s="6" t="s">
        <v>102</v>
      </c>
      <c r="B38" s="25">
        <v>1161775</v>
      </c>
      <c r="C38" s="25">
        <f>2285575-1161775</f>
        <v>1123800</v>
      </c>
      <c r="D38" s="25">
        <f>3488400-2285575</f>
        <v>1202825</v>
      </c>
      <c r="E38" s="25">
        <f>6579525-3488400</f>
        <v>3091125</v>
      </c>
      <c r="F38" s="25">
        <f>8000525-6579525</f>
        <v>1421000</v>
      </c>
      <c r="G38" s="25">
        <f>9284125-8000525</f>
        <v>1283600</v>
      </c>
      <c r="H38" s="25">
        <f t="shared" si="8"/>
        <v>9284125</v>
      </c>
      <c r="I38" s="25">
        <f>10483575-9284125</f>
        <v>1199450</v>
      </c>
      <c r="J38" s="25">
        <f>13658225-10483575</f>
        <v>3174650</v>
      </c>
      <c r="K38" s="25">
        <f>14913625-13658225</f>
        <v>1255400</v>
      </c>
      <c r="L38" s="25">
        <f>16100675-14913625</f>
        <v>1187050</v>
      </c>
      <c r="M38" s="25">
        <f>17324925-16100675</f>
        <v>1224250</v>
      </c>
      <c r="N38" s="25">
        <f>18890775-17324925</f>
        <v>1565850</v>
      </c>
      <c r="O38" s="25">
        <f t="shared" si="2"/>
        <v>9606650</v>
      </c>
      <c r="P38" s="25">
        <f t="shared" si="3"/>
        <v>18890775</v>
      </c>
    </row>
    <row r="39" spans="1:16" ht="12" customHeight="1" x14ac:dyDescent="0.15">
      <c r="A39" s="6" t="s">
        <v>19</v>
      </c>
      <c r="B39" s="25">
        <v>1059899</v>
      </c>
      <c r="C39" s="25">
        <f>2124571-1059899</f>
        <v>1064672</v>
      </c>
      <c r="D39" s="25">
        <f>3354069-2124571</f>
        <v>1229498</v>
      </c>
      <c r="E39" s="25">
        <v>89782</v>
      </c>
      <c r="F39" s="25">
        <f>5349757-3443851</f>
        <v>1905906</v>
      </c>
      <c r="G39" s="25">
        <f>6353369-5349757</f>
        <v>1003612</v>
      </c>
      <c r="H39" s="25">
        <f t="shared" si="8"/>
        <v>6353369</v>
      </c>
      <c r="I39" s="25">
        <f>7568568-6353369</f>
        <v>1215199</v>
      </c>
      <c r="J39" s="25">
        <f>8685654-7568568</f>
        <v>1117086</v>
      </c>
      <c r="K39" s="25">
        <f>9755061-8685654</f>
        <v>1069407</v>
      </c>
      <c r="L39" s="25">
        <f>11037571-9755061</f>
        <v>1282510</v>
      </c>
      <c r="M39" s="25">
        <f>12077553-11037571</f>
        <v>1039982</v>
      </c>
      <c r="N39" s="25">
        <f>13133930-12077553</f>
        <v>1056377</v>
      </c>
      <c r="O39" s="25">
        <f t="shared" si="2"/>
        <v>6780561</v>
      </c>
      <c r="P39" s="25">
        <f t="shared" si="3"/>
        <v>13133930</v>
      </c>
    </row>
    <row r="40" spans="1:16" ht="12" customHeight="1" x14ac:dyDescent="0.15">
      <c r="A40" s="6" t="s">
        <v>117</v>
      </c>
      <c r="B40" s="25"/>
      <c r="C40" s="25"/>
      <c r="D40" s="25"/>
      <c r="E40" s="25"/>
      <c r="F40" s="25"/>
      <c r="G40" s="25"/>
      <c r="H40" s="25">
        <f t="shared" si="8"/>
        <v>0</v>
      </c>
      <c r="I40" s="25"/>
      <c r="J40" s="25"/>
      <c r="K40" s="25"/>
      <c r="L40" s="25"/>
      <c r="M40" s="25"/>
      <c r="N40" s="25"/>
      <c r="O40" s="25">
        <f t="shared" si="2"/>
        <v>0</v>
      </c>
      <c r="P40" s="25">
        <f t="shared" si="3"/>
        <v>0</v>
      </c>
    </row>
    <row r="41" spans="1:16" ht="12" customHeight="1" x14ac:dyDescent="0.15">
      <c r="A41" s="23" t="s">
        <v>20</v>
      </c>
      <c r="B41" s="32">
        <f>SUM(B42:B66)</f>
        <v>2805317</v>
      </c>
      <c r="C41" s="32">
        <f t="shared" ref="C41:N41" si="9">SUM(C42:C66)</f>
        <v>4628157</v>
      </c>
      <c r="D41" s="32">
        <f t="shared" si="9"/>
        <v>3564893</v>
      </c>
      <c r="E41" s="32">
        <f t="shared" si="9"/>
        <v>3100772</v>
      </c>
      <c r="F41" s="32">
        <f t="shared" si="9"/>
        <v>3346526</v>
      </c>
      <c r="G41" s="32">
        <f t="shared" si="9"/>
        <v>6895349</v>
      </c>
      <c r="H41" s="32">
        <f t="shared" si="8"/>
        <v>24341014</v>
      </c>
      <c r="I41" s="32">
        <f t="shared" si="9"/>
        <v>3483416</v>
      </c>
      <c r="J41" s="32">
        <f t="shared" si="9"/>
        <v>3116226</v>
      </c>
      <c r="K41" s="32">
        <f t="shared" si="9"/>
        <v>3641714</v>
      </c>
      <c r="L41" s="32">
        <f t="shared" si="9"/>
        <v>3859451</v>
      </c>
      <c r="M41" s="32">
        <f t="shared" si="9"/>
        <v>3400747</v>
      </c>
      <c r="N41" s="32">
        <f t="shared" si="9"/>
        <v>5423132</v>
      </c>
      <c r="O41" s="32">
        <f t="shared" si="2"/>
        <v>22924686</v>
      </c>
      <c r="P41" s="32">
        <f t="shared" si="3"/>
        <v>47265700</v>
      </c>
    </row>
    <row r="42" spans="1:16" ht="12" customHeight="1" x14ac:dyDescent="0.15">
      <c r="A42" s="6" t="s">
        <v>21</v>
      </c>
      <c r="B42" s="25">
        <v>316500</v>
      </c>
      <c r="C42" s="25">
        <f>639800-316500</f>
        <v>323300</v>
      </c>
      <c r="D42" s="25">
        <f>955600-639800</f>
        <v>315800</v>
      </c>
      <c r="E42" s="25">
        <f>1340200-955600</f>
        <v>384600</v>
      </c>
      <c r="F42" s="25">
        <f>1624700-1340200</f>
        <v>284500</v>
      </c>
      <c r="G42" s="25">
        <f>1936400-1624700</f>
        <v>311700</v>
      </c>
      <c r="H42" s="25">
        <f t="shared" si="8"/>
        <v>1936400</v>
      </c>
      <c r="I42" s="25">
        <f>2245400-1936400</f>
        <v>309000</v>
      </c>
      <c r="J42" s="25">
        <f>2543400-2245400</f>
        <v>298000</v>
      </c>
      <c r="K42" s="25">
        <f>3375472-2543400</f>
        <v>832072</v>
      </c>
      <c r="L42" s="25">
        <f>3681972-3375472</f>
        <v>306500</v>
      </c>
      <c r="M42" s="25">
        <f>4234884-3681972</f>
        <v>552912</v>
      </c>
      <c r="N42" s="25">
        <f>4775341-4234884</f>
        <v>540457</v>
      </c>
      <c r="O42" s="25">
        <f t="shared" si="2"/>
        <v>2838941</v>
      </c>
      <c r="P42" s="25">
        <f t="shared" si="3"/>
        <v>4775341</v>
      </c>
    </row>
    <row r="43" spans="1:16" ht="12" customHeight="1" x14ac:dyDescent="0.15">
      <c r="A43" s="6" t="s">
        <v>22</v>
      </c>
      <c r="B43" s="25">
        <v>0</v>
      </c>
      <c r="C43" s="25">
        <v>0</v>
      </c>
      <c r="D43" s="25">
        <v>2940</v>
      </c>
      <c r="E43" s="25">
        <v>0</v>
      </c>
      <c r="F43" s="25">
        <v>0</v>
      </c>
      <c r="G43" s="25">
        <v>0</v>
      </c>
      <c r="H43" s="25">
        <f t="shared" si="8"/>
        <v>2940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f t="shared" si="2"/>
        <v>0</v>
      </c>
      <c r="P43" s="25">
        <f t="shared" si="3"/>
        <v>2940</v>
      </c>
    </row>
    <row r="44" spans="1:16" ht="12" customHeight="1" x14ac:dyDescent="0.15">
      <c r="A44" s="6" t="s">
        <v>103</v>
      </c>
      <c r="B44" s="25">
        <v>3410</v>
      </c>
      <c r="C44" s="25">
        <f>139447-3410</f>
        <v>136037</v>
      </c>
      <c r="D44" s="25">
        <f>204248-139447</f>
        <v>64801</v>
      </c>
      <c r="E44" s="25">
        <f>216758-204248</f>
        <v>12510</v>
      </c>
      <c r="F44" s="25">
        <f>342841-216758</f>
        <v>126083</v>
      </c>
      <c r="G44" s="25">
        <f>404376-342841</f>
        <v>61535</v>
      </c>
      <c r="H44" s="25">
        <f t="shared" si="8"/>
        <v>404376</v>
      </c>
      <c r="I44" s="25">
        <f>473851-404376</f>
        <v>69475</v>
      </c>
      <c r="J44" s="25">
        <f>544348-473851</f>
        <v>70497</v>
      </c>
      <c r="K44" s="25">
        <f>560228-544348</f>
        <v>15880</v>
      </c>
      <c r="L44" s="25">
        <f>678784-560228</f>
        <v>118556</v>
      </c>
      <c r="M44" s="25">
        <f>744192-678784</f>
        <v>65408</v>
      </c>
      <c r="N44" s="25">
        <f>832923-744192</f>
        <v>88731</v>
      </c>
      <c r="O44" s="25">
        <f t="shared" si="2"/>
        <v>428547</v>
      </c>
      <c r="P44" s="25">
        <f t="shared" si="3"/>
        <v>832923</v>
      </c>
    </row>
    <row r="45" spans="1:16" ht="12" customHeight="1" x14ac:dyDescent="0.15">
      <c r="A45" s="6" t="s">
        <v>24</v>
      </c>
      <c r="B45" s="25">
        <v>42018</v>
      </c>
      <c r="C45" s="25">
        <f>73678-42018</f>
        <v>31660</v>
      </c>
      <c r="D45" s="25">
        <f>132407-73678</f>
        <v>58729</v>
      </c>
      <c r="E45" s="25">
        <f>151263-132407</f>
        <v>18856</v>
      </c>
      <c r="F45" s="25">
        <f>168618-151263</f>
        <v>17355</v>
      </c>
      <c r="G45" s="25">
        <f>187443-168618</f>
        <v>18825</v>
      </c>
      <c r="H45" s="25">
        <f t="shared" si="8"/>
        <v>187443</v>
      </c>
      <c r="I45" s="25">
        <f>201867-187443</f>
        <v>14424</v>
      </c>
      <c r="J45" s="25">
        <f>216048-201867</f>
        <v>14181</v>
      </c>
      <c r="K45" s="25">
        <f>241482-216048</f>
        <v>25434</v>
      </c>
      <c r="L45" s="25">
        <f>259189-241482</f>
        <v>17707</v>
      </c>
      <c r="M45" s="25">
        <f>306945-259189</f>
        <v>47756</v>
      </c>
      <c r="N45" s="25">
        <f>327431-306945</f>
        <v>20486</v>
      </c>
      <c r="O45" s="25">
        <f t="shared" si="2"/>
        <v>139988</v>
      </c>
      <c r="P45" s="25">
        <f t="shared" si="3"/>
        <v>327431</v>
      </c>
    </row>
    <row r="46" spans="1:16" ht="12" customHeight="1" x14ac:dyDescent="0.15">
      <c r="A46" s="6" t="s">
        <v>104</v>
      </c>
      <c r="B46" s="25">
        <v>28394</v>
      </c>
      <c r="C46" s="25">
        <v>20000</v>
      </c>
      <c r="D46" s="25">
        <v>39204</v>
      </c>
      <c r="E46" s="25">
        <v>0</v>
      </c>
      <c r="F46" s="25">
        <f>213578-87598</f>
        <v>125980</v>
      </c>
      <c r="G46" s="25">
        <f>491360-213578</f>
        <v>277782</v>
      </c>
      <c r="H46" s="25">
        <f t="shared" si="8"/>
        <v>491360</v>
      </c>
      <c r="I46" s="25">
        <f>668684-491360</f>
        <v>177324</v>
      </c>
      <c r="J46" s="25">
        <v>13078</v>
      </c>
      <c r="K46" s="25">
        <v>9698</v>
      </c>
      <c r="L46" s="25">
        <v>48384</v>
      </c>
      <c r="M46" s="25">
        <v>0</v>
      </c>
      <c r="N46" s="25">
        <f>865734-739844</f>
        <v>125890</v>
      </c>
      <c r="O46" s="25">
        <f t="shared" si="2"/>
        <v>374374</v>
      </c>
      <c r="P46" s="25">
        <f t="shared" si="3"/>
        <v>865734</v>
      </c>
    </row>
    <row r="47" spans="1:16" ht="12" customHeight="1" x14ac:dyDescent="0.15">
      <c r="A47" s="6" t="s">
        <v>105</v>
      </c>
      <c r="B47" s="25">
        <v>0</v>
      </c>
      <c r="C47" s="25">
        <v>0</v>
      </c>
      <c r="D47" s="25">
        <v>175337</v>
      </c>
      <c r="E47" s="25">
        <v>6800</v>
      </c>
      <c r="F47" s="25">
        <v>0</v>
      </c>
      <c r="G47" s="25">
        <v>0</v>
      </c>
      <c r="H47" s="25">
        <f t="shared" si="8"/>
        <v>182137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54972</v>
      </c>
      <c r="O47" s="25">
        <f t="shared" si="2"/>
        <v>54972</v>
      </c>
      <c r="P47" s="25">
        <f t="shared" si="3"/>
        <v>237109</v>
      </c>
    </row>
    <row r="48" spans="1:16" ht="12" customHeight="1" x14ac:dyDescent="0.15">
      <c r="A48" s="6" t="s">
        <v>106</v>
      </c>
      <c r="B48" s="25">
        <v>61998</v>
      </c>
      <c r="C48" s="25">
        <f>103755-61998</f>
        <v>41757</v>
      </c>
      <c r="D48" s="25">
        <f>163931-103755</f>
        <v>60176</v>
      </c>
      <c r="E48" s="25">
        <f>254917-163931</f>
        <v>90986</v>
      </c>
      <c r="F48" s="25">
        <f>308618-254917</f>
        <v>53701</v>
      </c>
      <c r="G48" s="25">
        <f>421656-308618</f>
        <v>113038</v>
      </c>
      <c r="H48" s="25">
        <f t="shared" si="8"/>
        <v>421656</v>
      </c>
      <c r="I48" s="25">
        <f>472765-421656</f>
        <v>51109</v>
      </c>
      <c r="J48" s="25">
        <f>602200-472765</f>
        <v>129435</v>
      </c>
      <c r="K48" s="25">
        <f>641621-602200</f>
        <v>39421</v>
      </c>
      <c r="L48" s="25">
        <f>700965-641621</f>
        <v>59344</v>
      </c>
      <c r="M48" s="25">
        <f>927754-700965</f>
        <v>226789</v>
      </c>
      <c r="N48" s="25">
        <f>1001360-927754</f>
        <v>73606</v>
      </c>
      <c r="O48" s="25">
        <f t="shared" si="2"/>
        <v>579704</v>
      </c>
      <c r="P48" s="25">
        <f t="shared" si="3"/>
        <v>1001360</v>
      </c>
    </row>
    <row r="49" spans="1:16" ht="12" customHeight="1" x14ac:dyDescent="0.15">
      <c r="A49" s="6" t="s">
        <v>28</v>
      </c>
      <c r="B49" s="25">
        <v>56763</v>
      </c>
      <c r="C49" s="25">
        <f>88411-56763</f>
        <v>31648</v>
      </c>
      <c r="D49" s="25">
        <f>111590-88411</f>
        <v>23179</v>
      </c>
      <c r="E49" s="25">
        <f>176590-111590</f>
        <v>65000</v>
      </c>
      <c r="F49" s="25">
        <f>211656-176590</f>
        <v>35066</v>
      </c>
      <c r="G49" s="25">
        <f>222569-211656</f>
        <v>10913</v>
      </c>
      <c r="H49" s="25">
        <f t="shared" si="8"/>
        <v>222569</v>
      </c>
      <c r="I49" s="25">
        <f>268622-222569</f>
        <v>46053</v>
      </c>
      <c r="J49" s="25">
        <f>313243-268622</f>
        <v>44621</v>
      </c>
      <c r="K49" s="25">
        <f>335356-313243</f>
        <v>22113</v>
      </c>
      <c r="L49" s="25">
        <f>358079-335356</f>
        <v>22723</v>
      </c>
      <c r="M49" s="25">
        <f>384222-358079</f>
        <v>26143</v>
      </c>
      <c r="N49" s="25">
        <f>419803-384222</f>
        <v>35581</v>
      </c>
      <c r="O49" s="25">
        <f t="shared" si="2"/>
        <v>197234</v>
      </c>
      <c r="P49" s="25">
        <f t="shared" si="3"/>
        <v>419803</v>
      </c>
    </row>
    <row r="50" spans="1:16" ht="12" customHeight="1" x14ac:dyDescent="0.15">
      <c r="A50" s="6" t="s">
        <v>107</v>
      </c>
      <c r="B50" s="25">
        <v>25000</v>
      </c>
      <c r="C50" s="25">
        <f>56500-25000</f>
        <v>31500</v>
      </c>
      <c r="D50" s="25">
        <f>108000-56500</f>
        <v>51500</v>
      </c>
      <c r="E50" s="25">
        <f>127000-108000</f>
        <v>19000</v>
      </c>
      <c r="F50" s="25">
        <f>138000-127000</f>
        <v>11000</v>
      </c>
      <c r="G50" s="25">
        <f>202360-138000</f>
        <v>64360</v>
      </c>
      <c r="H50" s="25">
        <f t="shared" si="8"/>
        <v>202360</v>
      </c>
      <c r="I50" s="25">
        <f>219860-202360</f>
        <v>17500</v>
      </c>
      <c r="J50" s="25">
        <f>227260-219860</f>
        <v>7400</v>
      </c>
      <c r="K50" s="25">
        <v>0</v>
      </c>
      <c r="L50" s="25">
        <v>1000</v>
      </c>
      <c r="M50" s="25">
        <v>0</v>
      </c>
      <c r="N50" s="25">
        <f>230760-228260</f>
        <v>2500</v>
      </c>
      <c r="O50" s="25">
        <f t="shared" si="2"/>
        <v>28400</v>
      </c>
      <c r="P50" s="25">
        <f t="shared" si="3"/>
        <v>230760</v>
      </c>
    </row>
    <row r="51" spans="1:16" ht="12" customHeight="1" x14ac:dyDescent="0.15">
      <c r="A51" s="6" t="s">
        <v>27</v>
      </c>
      <c r="B51" s="25">
        <v>0</v>
      </c>
      <c r="C51" s="25">
        <v>64800</v>
      </c>
      <c r="D51" s="25">
        <v>0</v>
      </c>
      <c r="E51" s="25">
        <f>118800-64800</f>
        <v>54000</v>
      </c>
      <c r="F51" s="25">
        <v>0</v>
      </c>
      <c r="G51" s="25">
        <v>43200</v>
      </c>
      <c r="H51" s="25">
        <f t="shared" si="8"/>
        <v>162000</v>
      </c>
      <c r="I51" s="25">
        <v>0</v>
      </c>
      <c r="J51" s="25">
        <v>0</v>
      </c>
      <c r="K51" s="25">
        <v>3600</v>
      </c>
      <c r="L51" s="25">
        <v>10800</v>
      </c>
      <c r="M51" s="25">
        <v>10800</v>
      </c>
      <c r="N51" s="25">
        <v>0</v>
      </c>
      <c r="O51" s="25">
        <f t="shared" si="2"/>
        <v>25200</v>
      </c>
      <c r="P51" s="25">
        <f t="shared" si="3"/>
        <v>187200</v>
      </c>
    </row>
    <row r="52" spans="1:16" ht="12" customHeight="1" x14ac:dyDescent="0.15">
      <c r="A52" s="6" t="s">
        <v>32</v>
      </c>
      <c r="B52" s="25">
        <v>499718</v>
      </c>
      <c r="C52" s="25">
        <f>1092651-499718</f>
        <v>592933</v>
      </c>
      <c r="D52" s="25">
        <f>1577748-1092651</f>
        <v>485097</v>
      </c>
      <c r="E52" s="25">
        <f>1934807-1577748</f>
        <v>357059</v>
      </c>
      <c r="F52" s="25">
        <f>2505942-1934807</f>
        <v>571135</v>
      </c>
      <c r="G52" s="25">
        <f>2980578-2505942</f>
        <v>474636</v>
      </c>
      <c r="H52" s="25">
        <f t="shared" si="8"/>
        <v>2980578</v>
      </c>
      <c r="I52" s="25">
        <f>3389366-2980578</f>
        <v>408788</v>
      </c>
      <c r="J52" s="25">
        <f>3815732-3389366</f>
        <v>426366</v>
      </c>
      <c r="K52" s="25">
        <f>4316823-3815732</f>
        <v>501091</v>
      </c>
      <c r="L52" s="25">
        <f>4859855-4316823</f>
        <v>543032</v>
      </c>
      <c r="M52" s="25">
        <f>5465923-4859855</f>
        <v>606068</v>
      </c>
      <c r="N52" s="25">
        <f>6076397-5465923</f>
        <v>610474</v>
      </c>
      <c r="O52" s="25">
        <f t="shared" si="2"/>
        <v>3095819</v>
      </c>
      <c r="P52" s="25">
        <f t="shared" si="3"/>
        <v>6076397</v>
      </c>
    </row>
    <row r="53" spans="1:16" ht="12" customHeight="1" x14ac:dyDescent="0.15">
      <c r="A53" s="6" t="s">
        <v>108</v>
      </c>
      <c r="B53" s="25">
        <v>4000</v>
      </c>
      <c r="C53" s="25">
        <v>2000</v>
      </c>
      <c r="D53" s="25">
        <f>17000-6000</f>
        <v>11000</v>
      </c>
      <c r="E53" s="25">
        <v>0</v>
      </c>
      <c r="F53" s="25">
        <f>40760-17000</f>
        <v>23760</v>
      </c>
      <c r="G53" s="25">
        <f>62760-40760</f>
        <v>22000</v>
      </c>
      <c r="H53" s="25">
        <f t="shared" si="8"/>
        <v>62760</v>
      </c>
      <c r="I53" s="25">
        <f>81760-62760</f>
        <v>19000</v>
      </c>
      <c r="J53" s="25">
        <f>99880-81760</f>
        <v>18120</v>
      </c>
      <c r="K53" s="25">
        <f>117880-99880</f>
        <v>18000</v>
      </c>
      <c r="L53" s="25">
        <f>138000-117880</f>
        <v>20120</v>
      </c>
      <c r="M53" s="25">
        <v>6000</v>
      </c>
      <c r="N53" s="25">
        <f>199800-144000</f>
        <v>55800</v>
      </c>
      <c r="O53" s="25">
        <f t="shared" si="2"/>
        <v>137040</v>
      </c>
      <c r="P53" s="25">
        <f t="shared" si="3"/>
        <v>199800</v>
      </c>
    </row>
    <row r="54" spans="1:16" ht="12" customHeight="1" x14ac:dyDescent="0.15">
      <c r="A54" s="6" t="s">
        <v>34</v>
      </c>
      <c r="B54" s="25">
        <v>35000</v>
      </c>
      <c r="C54" s="25">
        <v>3000</v>
      </c>
      <c r="D54" s="25">
        <f>55000-38000</f>
        <v>17000</v>
      </c>
      <c r="E54" s="25">
        <f>82000-55000</f>
        <v>27000</v>
      </c>
      <c r="F54" s="25">
        <v>15500</v>
      </c>
      <c r="G54" s="25">
        <v>0</v>
      </c>
      <c r="H54" s="25">
        <f t="shared" si="8"/>
        <v>97500</v>
      </c>
      <c r="I54" s="25">
        <v>0</v>
      </c>
      <c r="J54" s="25">
        <v>3000</v>
      </c>
      <c r="K54" s="25">
        <v>0</v>
      </c>
      <c r="L54" s="25">
        <v>0</v>
      </c>
      <c r="M54" s="25">
        <v>0</v>
      </c>
      <c r="N54" s="25">
        <v>0</v>
      </c>
      <c r="O54" s="25">
        <f t="shared" si="2"/>
        <v>3000</v>
      </c>
      <c r="P54" s="25">
        <f t="shared" si="3"/>
        <v>100500</v>
      </c>
    </row>
    <row r="55" spans="1:16" ht="12" customHeight="1" x14ac:dyDescent="0.15">
      <c r="A55" s="6" t="s">
        <v>109</v>
      </c>
      <c r="B55" s="25">
        <v>444728</v>
      </c>
      <c r="C55" s="25">
        <f>899988-444728</f>
        <v>455260</v>
      </c>
      <c r="D55" s="25">
        <f>1359264-899988</f>
        <v>459276</v>
      </c>
      <c r="E55" s="25">
        <f>1826203-1359264</f>
        <v>466939</v>
      </c>
      <c r="F55" s="25">
        <f>2268512-1826203</f>
        <v>442309</v>
      </c>
      <c r="G55" s="25">
        <f>3272245-2268512</f>
        <v>1003733</v>
      </c>
      <c r="H55" s="25">
        <f t="shared" si="8"/>
        <v>3272245</v>
      </c>
      <c r="I55" s="25">
        <f>3724577-3272245</f>
        <v>452332</v>
      </c>
      <c r="J55" s="25">
        <f>4233357-3724577</f>
        <v>508780</v>
      </c>
      <c r="K55" s="25">
        <f>4743412-4233357</f>
        <v>510055</v>
      </c>
      <c r="L55" s="25">
        <f>5169946-4743412</f>
        <v>426534</v>
      </c>
      <c r="M55" s="25">
        <f>5552431-5169946</f>
        <v>382485</v>
      </c>
      <c r="N55" s="25">
        <f>5992103-5552431</f>
        <v>439672</v>
      </c>
      <c r="O55" s="25">
        <f t="shared" si="2"/>
        <v>2719858</v>
      </c>
      <c r="P55" s="25">
        <f t="shared" si="3"/>
        <v>5992103</v>
      </c>
    </row>
    <row r="56" spans="1:16" ht="12" customHeight="1" x14ac:dyDescent="0.15">
      <c r="A56" s="6" t="s">
        <v>35</v>
      </c>
      <c r="B56" s="25">
        <v>34377</v>
      </c>
      <c r="C56" s="25">
        <f>48863-34377</f>
        <v>14486</v>
      </c>
      <c r="D56" s="25">
        <f>55174-48863</f>
        <v>6311</v>
      </c>
      <c r="E56" s="25">
        <f>62819-55174</f>
        <v>7645</v>
      </c>
      <c r="F56" s="25">
        <v>5400</v>
      </c>
      <c r="G56" s="25">
        <f>109328-68219</f>
        <v>41109</v>
      </c>
      <c r="H56" s="25">
        <f t="shared" si="8"/>
        <v>109328</v>
      </c>
      <c r="I56" s="25">
        <f>124093-109328</f>
        <v>14765</v>
      </c>
      <c r="J56" s="25">
        <f>148784-124093</f>
        <v>24691</v>
      </c>
      <c r="K56" s="25">
        <f>154214-148784</f>
        <v>5430</v>
      </c>
      <c r="L56" s="25">
        <f>176830-154214</f>
        <v>22616</v>
      </c>
      <c r="M56" s="25">
        <v>12900</v>
      </c>
      <c r="N56" s="25">
        <f>206780-189730</f>
        <v>17050</v>
      </c>
      <c r="O56" s="25">
        <f t="shared" si="2"/>
        <v>97452</v>
      </c>
      <c r="P56" s="25">
        <f t="shared" si="3"/>
        <v>206780</v>
      </c>
    </row>
    <row r="57" spans="1:16" ht="12" customHeight="1" x14ac:dyDescent="0.15">
      <c r="A57" s="6" t="s">
        <v>110</v>
      </c>
      <c r="B57" s="25">
        <v>53636</v>
      </c>
      <c r="C57" s="25">
        <f>223676-53636</f>
        <v>170040</v>
      </c>
      <c r="D57" s="25">
        <v>0</v>
      </c>
      <c r="E57" s="25">
        <v>33930</v>
      </c>
      <c r="F57" s="25">
        <v>0</v>
      </c>
      <c r="G57" s="25">
        <v>0</v>
      </c>
      <c r="H57" s="25">
        <f t="shared" si="8"/>
        <v>257606</v>
      </c>
      <c r="I57" s="25">
        <v>45820</v>
      </c>
      <c r="J57" s="25">
        <f>302906-303426</f>
        <v>-520</v>
      </c>
      <c r="K57" s="25">
        <v>60</v>
      </c>
      <c r="L57" s="25">
        <v>489380</v>
      </c>
      <c r="M57" s="25">
        <v>440</v>
      </c>
      <c r="N57" s="25">
        <v>22500</v>
      </c>
      <c r="O57" s="25">
        <f t="shared" si="2"/>
        <v>557680</v>
      </c>
      <c r="P57" s="25">
        <f t="shared" si="3"/>
        <v>815286</v>
      </c>
    </row>
    <row r="58" spans="1:16" ht="12" customHeight="1" x14ac:dyDescent="0.15">
      <c r="A58" s="6" t="s">
        <v>111</v>
      </c>
      <c r="B58" s="25">
        <v>241630</v>
      </c>
      <c r="C58" s="25">
        <f>770295-241630</f>
        <v>528665</v>
      </c>
      <c r="D58" s="25">
        <f>1168306-770295</f>
        <v>398011</v>
      </c>
      <c r="E58" s="25">
        <f>1532733-1168306</f>
        <v>364427</v>
      </c>
      <c r="F58" s="25">
        <f>1856341-1532733</f>
        <v>323608</v>
      </c>
      <c r="G58" s="25">
        <f>2171412-1856341</f>
        <v>315071</v>
      </c>
      <c r="H58" s="25">
        <f t="shared" si="8"/>
        <v>2171412</v>
      </c>
      <c r="I58" s="25">
        <f>2655653-2171412</f>
        <v>484241</v>
      </c>
      <c r="J58" s="25">
        <f>2947176-2655653</f>
        <v>291523</v>
      </c>
      <c r="K58" s="25">
        <f>3325079-2947176</f>
        <v>377903</v>
      </c>
      <c r="L58" s="25">
        <f>4133130-3325079</f>
        <v>808051</v>
      </c>
      <c r="M58" s="25">
        <f>4451013-4133130</f>
        <v>317883</v>
      </c>
      <c r="N58" s="25">
        <f>5125828-4451013</f>
        <v>674815</v>
      </c>
      <c r="O58" s="25">
        <f t="shared" si="2"/>
        <v>2954416</v>
      </c>
      <c r="P58" s="25">
        <f t="shared" si="3"/>
        <v>5125828</v>
      </c>
    </row>
    <row r="59" spans="1:16" ht="12" customHeight="1" x14ac:dyDescent="0.15">
      <c r="A59" s="6" t="s">
        <v>112</v>
      </c>
      <c r="B59" s="25">
        <v>0</v>
      </c>
      <c r="C59" s="25">
        <v>12744</v>
      </c>
      <c r="D59" s="25">
        <v>0</v>
      </c>
      <c r="E59" s="25">
        <v>0</v>
      </c>
      <c r="F59" s="25">
        <v>0</v>
      </c>
      <c r="G59" s="25">
        <v>0</v>
      </c>
      <c r="H59" s="25">
        <f t="shared" si="8"/>
        <v>12744</v>
      </c>
      <c r="I59" s="25">
        <v>0</v>
      </c>
      <c r="J59" s="25">
        <v>0</v>
      </c>
      <c r="K59" s="25">
        <v>0</v>
      </c>
      <c r="L59" s="25">
        <v>0</v>
      </c>
      <c r="M59" s="25">
        <f>132813-12744</f>
        <v>120069</v>
      </c>
      <c r="N59" s="25">
        <v>0</v>
      </c>
      <c r="O59" s="25">
        <f t="shared" si="2"/>
        <v>120069</v>
      </c>
      <c r="P59" s="25">
        <f t="shared" si="3"/>
        <v>132813</v>
      </c>
    </row>
    <row r="60" spans="1:16" ht="12" customHeight="1" x14ac:dyDescent="0.15">
      <c r="A60" s="6" t="s">
        <v>113</v>
      </c>
      <c r="B60" s="25">
        <v>385414</v>
      </c>
      <c r="C60" s="25">
        <f>791888-385414</f>
        <v>406474</v>
      </c>
      <c r="D60" s="25">
        <f>1200198-791888</f>
        <v>408310</v>
      </c>
      <c r="E60" s="25">
        <f>1585612-1200198</f>
        <v>385414</v>
      </c>
      <c r="F60" s="25">
        <f>1918226-1585612</f>
        <v>332614</v>
      </c>
      <c r="G60" s="25">
        <f>2325768-1918226</f>
        <v>407542</v>
      </c>
      <c r="H60" s="25">
        <f t="shared" si="8"/>
        <v>2325768</v>
      </c>
      <c r="I60" s="25">
        <f>2664769-2325768</f>
        <v>339001</v>
      </c>
      <c r="J60" s="25">
        <f>2902248-2664769</f>
        <v>237479</v>
      </c>
      <c r="K60" s="25">
        <f>3154410-2902248</f>
        <v>252162</v>
      </c>
      <c r="L60" s="25">
        <f>3382704-3154410</f>
        <v>228294</v>
      </c>
      <c r="M60" s="25">
        <f>3626226-3382704</f>
        <v>243522</v>
      </c>
      <c r="N60" s="25">
        <f>3943348-3626226</f>
        <v>317122</v>
      </c>
      <c r="O60" s="25">
        <f t="shared" si="2"/>
        <v>1617580</v>
      </c>
      <c r="P60" s="25">
        <f t="shared" si="3"/>
        <v>3943348</v>
      </c>
    </row>
    <row r="61" spans="1:16" ht="12" customHeight="1" x14ac:dyDescent="0.15">
      <c r="A61" s="6" t="s">
        <v>121</v>
      </c>
      <c r="B61" s="25">
        <v>295000</v>
      </c>
      <c r="C61" s="25">
        <f>710000-295000</f>
        <v>415000</v>
      </c>
      <c r="D61" s="25">
        <v>295000</v>
      </c>
      <c r="E61" s="25">
        <v>295000</v>
      </c>
      <c r="F61" s="25">
        <v>295000</v>
      </c>
      <c r="G61" s="25">
        <v>295000</v>
      </c>
      <c r="H61" s="25">
        <f t="shared" si="8"/>
        <v>1890000</v>
      </c>
      <c r="I61" s="25">
        <v>295000</v>
      </c>
      <c r="J61" s="25">
        <v>295000</v>
      </c>
      <c r="K61" s="25">
        <v>295000</v>
      </c>
      <c r="L61" s="25">
        <v>295000</v>
      </c>
      <c r="M61" s="25">
        <v>295000</v>
      </c>
      <c r="N61" s="25">
        <f>3660000-3365000</f>
        <v>295000</v>
      </c>
      <c r="O61" s="25">
        <f t="shared" si="2"/>
        <v>1770000</v>
      </c>
      <c r="P61" s="25">
        <f t="shared" si="3"/>
        <v>3660000</v>
      </c>
    </row>
    <row r="62" spans="1:16" ht="12" customHeight="1" x14ac:dyDescent="0.15">
      <c r="A62" s="6" t="s">
        <v>122</v>
      </c>
      <c r="B62" s="49">
        <v>10</v>
      </c>
      <c r="C62" s="25">
        <f>924360-10</f>
        <v>924350</v>
      </c>
      <c r="D62" s="25">
        <v>6600</v>
      </c>
      <c r="E62" s="25">
        <f>936460-930960</f>
        <v>5500</v>
      </c>
      <c r="F62" s="25">
        <f>985510-936460</f>
        <v>49050</v>
      </c>
      <c r="G62" s="25">
        <v>0</v>
      </c>
      <c r="H62" s="25">
        <f t="shared" si="8"/>
        <v>985510</v>
      </c>
      <c r="I62" s="25">
        <v>0</v>
      </c>
      <c r="J62" s="25">
        <f>987410-985510</f>
        <v>1900</v>
      </c>
      <c r="K62" s="25">
        <v>49000</v>
      </c>
      <c r="L62" s="25">
        <v>0</v>
      </c>
      <c r="M62" s="25">
        <f>1086470-1036410</f>
        <v>50060</v>
      </c>
      <c r="N62" s="25">
        <v>1600</v>
      </c>
      <c r="O62" s="25">
        <f t="shared" si="2"/>
        <v>102560</v>
      </c>
      <c r="P62" s="25">
        <f t="shared" si="3"/>
        <v>1088070</v>
      </c>
    </row>
    <row r="63" spans="1:16" ht="12" customHeight="1" x14ac:dyDescent="0.15">
      <c r="A63" s="6" t="s">
        <v>37</v>
      </c>
      <c r="B63" s="25">
        <v>0</v>
      </c>
      <c r="C63" s="25">
        <v>182636</v>
      </c>
      <c r="D63" s="25">
        <f>470347-182636</f>
        <v>287711</v>
      </c>
      <c r="E63" s="25">
        <v>43200</v>
      </c>
      <c r="F63" s="25">
        <f>642615-513547</f>
        <v>129068</v>
      </c>
      <c r="G63" s="25">
        <f>1099713-642615</f>
        <v>457098</v>
      </c>
      <c r="H63" s="25">
        <f t="shared" si="8"/>
        <v>1099713</v>
      </c>
      <c r="I63" s="25">
        <f>1176078-1099713</f>
        <v>76365</v>
      </c>
      <c r="J63" s="25">
        <f>1298279-1176078</f>
        <v>122201</v>
      </c>
      <c r="K63" s="25">
        <f>1503509-1298279</f>
        <v>205230</v>
      </c>
      <c r="L63" s="25">
        <f>1677520-1503509</f>
        <v>174011</v>
      </c>
      <c r="M63" s="25">
        <f>1732263-1677520</f>
        <v>54743</v>
      </c>
      <c r="N63" s="25">
        <f>1933271-1732263</f>
        <v>201008</v>
      </c>
      <c r="O63" s="25">
        <f t="shared" si="2"/>
        <v>833558</v>
      </c>
      <c r="P63" s="25">
        <f t="shared" si="3"/>
        <v>1933271</v>
      </c>
    </row>
    <row r="64" spans="1:16" ht="12" customHeight="1" x14ac:dyDescent="0.15">
      <c r="A64" s="6" t="s">
        <v>114</v>
      </c>
      <c r="B64" s="25">
        <v>0</v>
      </c>
      <c r="C64" s="25">
        <v>0</v>
      </c>
      <c r="D64" s="25">
        <v>0</v>
      </c>
      <c r="E64" s="25">
        <v>0</v>
      </c>
      <c r="F64" s="25">
        <v>8830</v>
      </c>
      <c r="G64" s="25">
        <f>20777-8830</f>
        <v>11947</v>
      </c>
      <c r="H64" s="25">
        <f t="shared" si="8"/>
        <v>20777</v>
      </c>
      <c r="I64" s="25">
        <f>205892-20777</f>
        <v>185115</v>
      </c>
      <c r="J64" s="25">
        <f>261871-205892</f>
        <v>55979</v>
      </c>
      <c r="K64" s="25">
        <v>3240</v>
      </c>
      <c r="L64" s="25">
        <v>0</v>
      </c>
      <c r="M64" s="25">
        <v>0</v>
      </c>
      <c r="N64" s="25">
        <v>0</v>
      </c>
      <c r="O64" s="25">
        <f t="shared" si="2"/>
        <v>244334</v>
      </c>
      <c r="P64" s="25">
        <f t="shared" si="3"/>
        <v>265111</v>
      </c>
    </row>
    <row r="65" spans="1:16" ht="12" customHeight="1" x14ac:dyDescent="0.15">
      <c r="A65" s="53" t="s">
        <v>115</v>
      </c>
      <c r="B65" s="25">
        <v>277721</v>
      </c>
      <c r="C65" s="25">
        <f>517588-277721</f>
        <v>239867</v>
      </c>
      <c r="D65" s="25">
        <f>906649-517588+9850</f>
        <v>398911</v>
      </c>
      <c r="E65" s="25">
        <f>1379405-916499</f>
        <v>462906</v>
      </c>
      <c r="F65" s="25">
        <f>1875972-1379405</f>
        <v>496567</v>
      </c>
      <c r="G65" s="25">
        <f>2148576-1875972</f>
        <v>272604</v>
      </c>
      <c r="H65" s="25">
        <f t="shared" si="8"/>
        <v>2148576</v>
      </c>
      <c r="I65" s="25">
        <f>2626680-2148576</f>
        <v>478104</v>
      </c>
      <c r="J65" s="25">
        <f>3181175-2626680</f>
        <v>554495</v>
      </c>
      <c r="K65" s="25">
        <f>3657500-3181175</f>
        <v>476325</v>
      </c>
      <c r="L65" s="25">
        <f>3924899-3657500</f>
        <v>267399</v>
      </c>
      <c r="M65" s="25">
        <f>4306668-3924899</f>
        <v>381769</v>
      </c>
      <c r="N65" s="25">
        <f>4872192-4306668</f>
        <v>565524</v>
      </c>
      <c r="O65" s="25">
        <f t="shared" si="2"/>
        <v>2723616</v>
      </c>
      <c r="P65" s="25">
        <f t="shared" si="3"/>
        <v>4872192</v>
      </c>
    </row>
    <row r="66" spans="1:16" ht="12" customHeight="1" x14ac:dyDescent="0.15">
      <c r="A66" s="6" t="s">
        <v>46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2693256</v>
      </c>
      <c r="H66" s="25">
        <f t="shared" si="8"/>
        <v>2693256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f>3973600-2693256</f>
        <v>1280344</v>
      </c>
      <c r="O66" s="25">
        <f t="shared" si="2"/>
        <v>1280344</v>
      </c>
      <c r="P66" s="25">
        <f t="shared" si="3"/>
        <v>3973600</v>
      </c>
    </row>
    <row r="67" spans="1:16" ht="12" customHeight="1" x14ac:dyDescent="0.15">
      <c r="A67" s="54" t="s">
        <v>29</v>
      </c>
      <c r="B67" s="32">
        <f t="shared" ref="B67:N67" si="10">B35+B41</f>
        <v>15514555</v>
      </c>
      <c r="C67" s="32">
        <f t="shared" si="10"/>
        <v>17130781</v>
      </c>
      <c r="D67" s="32">
        <f t="shared" si="10"/>
        <v>15996868</v>
      </c>
      <c r="E67" s="32">
        <f t="shared" si="10"/>
        <v>20534808</v>
      </c>
      <c r="F67" s="32">
        <f t="shared" si="10"/>
        <v>17385318</v>
      </c>
      <c r="G67" s="32">
        <f t="shared" si="10"/>
        <v>19237898</v>
      </c>
      <c r="H67" s="32">
        <f t="shared" si="8"/>
        <v>105800228</v>
      </c>
      <c r="I67" s="32">
        <f t="shared" si="10"/>
        <v>15379019</v>
      </c>
      <c r="J67" s="32">
        <f t="shared" si="10"/>
        <v>24437003</v>
      </c>
      <c r="K67" s="32">
        <f t="shared" si="10"/>
        <v>15500977</v>
      </c>
      <c r="L67" s="32">
        <f t="shared" si="10"/>
        <v>15412382</v>
      </c>
      <c r="M67" s="32">
        <f t="shared" si="10"/>
        <v>15058032</v>
      </c>
      <c r="N67" s="32">
        <f t="shared" si="10"/>
        <v>19995786</v>
      </c>
      <c r="O67" s="32">
        <f t="shared" si="2"/>
        <v>105783199</v>
      </c>
      <c r="P67" s="32">
        <f t="shared" si="3"/>
        <v>211583427</v>
      </c>
    </row>
    <row r="68" spans="1:16" ht="12" customHeight="1" x14ac:dyDescent="0.15">
      <c r="A68" s="54" t="s">
        <v>61</v>
      </c>
      <c r="B68" s="32">
        <f t="shared" ref="B68:G68" si="11">B32-B67</f>
        <v>1692165</v>
      </c>
      <c r="C68" s="32">
        <f t="shared" si="11"/>
        <v>635991</v>
      </c>
      <c r="D68" s="32">
        <f t="shared" si="11"/>
        <v>2029552</v>
      </c>
      <c r="E68" s="32">
        <f t="shared" si="11"/>
        <v>-1224533</v>
      </c>
      <c r="F68" s="32">
        <f t="shared" si="11"/>
        <v>1857884</v>
      </c>
      <c r="G68" s="32">
        <f t="shared" si="11"/>
        <v>-162891</v>
      </c>
      <c r="H68" s="32">
        <f t="shared" si="8"/>
        <v>4828168</v>
      </c>
      <c r="I68" s="32">
        <f t="shared" ref="I68:N68" si="12">I32-I67</f>
        <v>2638252</v>
      </c>
      <c r="J68" s="32">
        <f t="shared" si="12"/>
        <v>-7335789</v>
      </c>
      <c r="K68" s="32">
        <f t="shared" si="12"/>
        <v>2294466</v>
      </c>
      <c r="L68" s="32">
        <f t="shared" si="12"/>
        <v>-1042784</v>
      </c>
      <c r="M68" s="32">
        <f t="shared" si="12"/>
        <v>735078</v>
      </c>
      <c r="N68" s="32">
        <f t="shared" si="12"/>
        <v>-655705</v>
      </c>
      <c r="O68" s="32">
        <f t="shared" si="2"/>
        <v>-3366482</v>
      </c>
      <c r="P68" s="32">
        <f t="shared" si="3"/>
        <v>1461686</v>
      </c>
    </row>
    <row r="69" spans="1:16" ht="12" customHeight="1" x14ac:dyDescent="0.15">
      <c r="A69" s="23" t="s">
        <v>126</v>
      </c>
      <c r="B69" s="25">
        <v>68</v>
      </c>
      <c r="C69" s="25">
        <v>0</v>
      </c>
      <c r="D69" s="25">
        <v>0</v>
      </c>
      <c r="E69" s="25">
        <v>0</v>
      </c>
      <c r="F69" s="25">
        <f>429-68</f>
        <v>361</v>
      </c>
      <c r="G69" s="25">
        <v>1</v>
      </c>
      <c r="H69" s="32">
        <f t="shared" si="8"/>
        <v>430</v>
      </c>
      <c r="I69" s="25">
        <v>4</v>
      </c>
      <c r="J69" s="25">
        <v>0</v>
      </c>
      <c r="K69" s="25">
        <v>0</v>
      </c>
      <c r="L69" s="25">
        <v>0</v>
      </c>
      <c r="M69" s="25">
        <f>518-434</f>
        <v>84</v>
      </c>
      <c r="N69" s="25">
        <v>1</v>
      </c>
      <c r="O69" s="32">
        <f t="shared" si="2"/>
        <v>89</v>
      </c>
      <c r="P69" s="32">
        <f t="shared" si="3"/>
        <v>519</v>
      </c>
    </row>
    <row r="70" spans="1:16" ht="12" customHeight="1" x14ac:dyDescent="0.15">
      <c r="A70" s="23" t="s">
        <v>127</v>
      </c>
      <c r="B70" s="25">
        <f>17619+21123</f>
        <v>38742</v>
      </c>
      <c r="C70" s="25">
        <f>18828+22793</f>
        <v>41621</v>
      </c>
      <c r="D70" s="25">
        <f>15505+18964+1</f>
        <v>34470</v>
      </c>
      <c r="E70" s="25">
        <f>16646+20580+37794</f>
        <v>75020</v>
      </c>
      <c r="F70" s="25">
        <f>16646+20814+4800</f>
        <v>42260</v>
      </c>
      <c r="G70" s="25">
        <f>14599+18474</f>
        <v>33073</v>
      </c>
      <c r="H70" s="32">
        <f t="shared" si="8"/>
        <v>265186</v>
      </c>
      <c r="I70" s="25">
        <f>15085+19332+600</f>
        <v>35017</v>
      </c>
      <c r="J70" s="25">
        <f>14565+18916+31787</f>
        <v>65268</v>
      </c>
      <c r="K70" s="25">
        <f>13592+17903</f>
        <v>31495</v>
      </c>
      <c r="L70" s="25">
        <f>14397+19251+1</f>
        <v>33649</v>
      </c>
      <c r="M70" s="25">
        <f>11746+15958+100</f>
        <v>27804</v>
      </c>
      <c r="N70" s="25">
        <f>11679+16139+27945+500</f>
        <v>56263</v>
      </c>
      <c r="O70" s="32">
        <f t="shared" si="2"/>
        <v>249496</v>
      </c>
      <c r="P70" s="32">
        <f t="shared" si="3"/>
        <v>514682</v>
      </c>
    </row>
    <row r="71" spans="1:16" ht="12" customHeight="1" x14ac:dyDescent="0.15">
      <c r="A71" s="54" t="s">
        <v>60</v>
      </c>
      <c r="B71" s="33">
        <f t="shared" ref="B71:G71" si="13">B68+B69-B70</f>
        <v>1653491</v>
      </c>
      <c r="C71" s="33">
        <f t="shared" si="13"/>
        <v>594370</v>
      </c>
      <c r="D71" s="33">
        <f t="shared" si="13"/>
        <v>1995082</v>
      </c>
      <c r="E71" s="33">
        <f t="shared" si="13"/>
        <v>-1299553</v>
      </c>
      <c r="F71" s="33">
        <f t="shared" si="13"/>
        <v>1815985</v>
      </c>
      <c r="G71" s="33">
        <f t="shared" si="13"/>
        <v>-195963</v>
      </c>
      <c r="H71" s="32">
        <f t="shared" si="8"/>
        <v>4563412</v>
      </c>
      <c r="I71" s="33">
        <f t="shared" ref="I71:N71" si="14">I68+I69-I70</f>
        <v>2603239</v>
      </c>
      <c r="J71" s="33">
        <f t="shared" si="14"/>
        <v>-7401057</v>
      </c>
      <c r="K71" s="33">
        <f t="shared" si="14"/>
        <v>2262971</v>
      </c>
      <c r="L71" s="33">
        <f t="shared" si="14"/>
        <v>-1076433</v>
      </c>
      <c r="M71" s="33">
        <f t="shared" si="14"/>
        <v>707358</v>
      </c>
      <c r="N71" s="33">
        <f t="shared" si="14"/>
        <v>-711967</v>
      </c>
      <c r="O71" s="32">
        <f t="shared" si="2"/>
        <v>-3615889</v>
      </c>
      <c r="P71" s="32">
        <f t="shared" si="3"/>
        <v>947523</v>
      </c>
    </row>
    <row r="72" spans="1:16" ht="12" customHeight="1" x14ac:dyDescent="0.15">
      <c r="A72" s="26" t="s">
        <v>116</v>
      </c>
      <c r="B72" s="25">
        <v>416000</v>
      </c>
      <c r="C72" s="25">
        <v>416000</v>
      </c>
      <c r="D72" s="25">
        <v>416000</v>
      </c>
      <c r="E72" s="25">
        <v>416000</v>
      </c>
      <c r="F72" s="25">
        <v>416000</v>
      </c>
      <c r="G72" s="25">
        <v>416000</v>
      </c>
      <c r="H72" s="32">
        <f t="shared" si="8"/>
        <v>2496000</v>
      </c>
      <c r="I72" s="6">
        <v>416000</v>
      </c>
      <c r="J72" s="6">
        <v>416000</v>
      </c>
      <c r="K72" s="25">
        <v>416000</v>
      </c>
      <c r="L72" s="25">
        <v>416000</v>
      </c>
      <c r="M72" s="25">
        <v>416000</v>
      </c>
      <c r="N72" s="25">
        <v>416000</v>
      </c>
      <c r="O72" s="25">
        <f t="shared" si="2"/>
        <v>2496000</v>
      </c>
      <c r="P72" s="25">
        <f t="shared" si="3"/>
        <v>4992000</v>
      </c>
    </row>
  </sheetData>
  <mergeCells count="1">
    <mergeCell ref="C2:H2"/>
  </mergeCells>
  <phoneticPr fontId="3"/>
  <pageMargins left="0.51181102362204722" right="0.19685039370078741" top="0" bottom="0" header="0.23622047244094491" footer="0.27559055118110237"/>
  <pageSetup paperSize="8"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B7A1-68B2-47F4-BB7E-43EDB4E02037}">
  <dimension ref="A1:P73"/>
  <sheetViews>
    <sheetView topLeftCell="A64" workbookViewId="0">
      <pane xSplit="1" topLeftCell="E1" activePane="topRight" state="frozen"/>
      <selection activeCell="A10" sqref="A10"/>
      <selection pane="topRight" activeCell="N3" sqref="N3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72" t="s">
        <v>339</v>
      </c>
      <c r="D1" s="172"/>
      <c r="E1" s="172"/>
      <c r="F1" s="172"/>
      <c r="G1" s="172"/>
      <c r="H1" s="172"/>
    </row>
    <row r="2" spans="1:16" ht="12" customHeight="1" x14ac:dyDescent="0.15">
      <c r="A2" s="26" t="s">
        <v>43</v>
      </c>
      <c r="B2" s="45" t="s">
        <v>326</v>
      </c>
      <c r="C2" s="26" t="s">
        <v>327</v>
      </c>
      <c r="D2" s="45" t="s">
        <v>328</v>
      </c>
      <c r="E2" s="26" t="s">
        <v>329</v>
      </c>
      <c r="F2" s="45" t="s">
        <v>330</v>
      </c>
      <c r="G2" s="26" t="s">
        <v>331</v>
      </c>
      <c r="H2" s="26" t="s">
        <v>39</v>
      </c>
      <c r="I2" s="26" t="s">
        <v>332</v>
      </c>
      <c r="J2" s="26" t="s">
        <v>333</v>
      </c>
      <c r="K2" s="26" t="s">
        <v>334</v>
      </c>
      <c r="L2" s="26" t="s">
        <v>335</v>
      </c>
      <c r="M2" s="26" t="s">
        <v>336</v>
      </c>
      <c r="N2" s="26" t="s">
        <v>337</v>
      </c>
      <c r="O2" s="26" t="s">
        <v>41</v>
      </c>
      <c r="P2" s="26" t="s">
        <v>42</v>
      </c>
    </row>
    <row r="3" spans="1:16" ht="12" customHeight="1" x14ac:dyDescent="0.15">
      <c r="A3" s="24" t="s">
        <v>259</v>
      </c>
      <c r="B3" s="46" t="s">
        <v>40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2" customHeight="1" x14ac:dyDescent="0.15">
      <c r="A4" s="24" t="s">
        <v>0</v>
      </c>
      <c r="B4" s="32">
        <f>SUM(B5:B7)</f>
        <v>102000</v>
      </c>
      <c r="C4" s="32">
        <f t="shared" ref="C4:N4" si="0">SUM(C5:C7)</f>
        <v>39000</v>
      </c>
      <c r="D4" s="32">
        <f t="shared" si="0"/>
        <v>11000</v>
      </c>
      <c r="E4" s="32">
        <f t="shared" si="0"/>
        <v>15000</v>
      </c>
      <c r="F4" s="32">
        <f t="shared" si="0"/>
        <v>2000</v>
      </c>
      <c r="G4" s="32">
        <f t="shared" si="0"/>
        <v>3000</v>
      </c>
      <c r="H4" s="32">
        <f t="shared" ref="H4:H33" si="1">SUM(B4:G4)</f>
        <v>172000</v>
      </c>
      <c r="I4" s="32">
        <f t="shared" si="0"/>
        <v>4000</v>
      </c>
      <c r="J4" s="32">
        <f t="shared" si="0"/>
        <v>6000</v>
      </c>
      <c r="K4" s="32">
        <f t="shared" si="0"/>
        <v>4000</v>
      </c>
      <c r="L4" s="32">
        <f t="shared" si="0"/>
        <v>3000</v>
      </c>
      <c r="M4" s="32">
        <f t="shared" si="0"/>
        <v>5000</v>
      </c>
      <c r="N4" s="32">
        <f t="shared" si="0"/>
        <v>2000</v>
      </c>
      <c r="O4" s="32">
        <f>SUM(I4:N4)</f>
        <v>24000</v>
      </c>
      <c r="P4" s="32">
        <f>H4+O4</f>
        <v>196000</v>
      </c>
    </row>
    <row r="5" spans="1:16" ht="12" customHeight="1" x14ac:dyDescent="0.15">
      <c r="A5" s="21" t="s">
        <v>1</v>
      </c>
      <c r="B5" s="25">
        <v>83000</v>
      </c>
      <c r="C5" s="25">
        <v>1000</v>
      </c>
      <c r="D5" s="25">
        <v>3000</v>
      </c>
      <c r="E5" s="25">
        <v>3000</v>
      </c>
      <c r="F5" s="25">
        <v>0</v>
      </c>
      <c r="G5" s="25">
        <v>0</v>
      </c>
      <c r="H5" s="25">
        <f t="shared" si="1"/>
        <v>90000</v>
      </c>
      <c r="I5" s="25">
        <v>1000</v>
      </c>
      <c r="J5" s="25">
        <v>1000</v>
      </c>
      <c r="K5" s="25">
        <v>2000</v>
      </c>
      <c r="L5" s="25">
        <v>1000</v>
      </c>
      <c r="M5" s="25">
        <v>0</v>
      </c>
      <c r="N5" s="25">
        <v>0</v>
      </c>
      <c r="O5" s="25">
        <f t="shared" ref="O5:O73" si="2">SUM(I5:N5)</f>
        <v>5000</v>
      </c>
      <c r="P5" s="25">
        <f t="shared" ref="P5:P73" si="3">H5+O5</f>
        <v>95000</v>
      </c>
    </row>
    <row r="6" spans="1:16" ht="12" customHeight="1" x14ac:dyDescent="0.15">
      <c r="A6" s="21" t="s">
        <v>2</v>
      </c>
      <c r="B6" s="25">
        <v>13000</v>
      </c>
      <c r="C6" s="25">
        <f>46000-13000</f>
        <v>33000</v>
      </c>
      <c r="D6" s="25">
        <f>52000-46000</f>
        <v>6000</v>
      </c>
      <c r="E6" s="25">
        <v>9000</v>
      </c>
      <c r="F6" s="25">
        <v>2000</v>
      </c>
      <c r="G6" s="25">
        <v>2000</v>
      </c>
      <c r="H6" s="25">
        <f t="shared" si="1"/>
        <v>65000</v>
      </c>
      <c r="I6" s="25">
        <v>2000</v>
      </c>
      <c r="J6" s="25">
        <v>5000</v>
      </c>
      <c r="K6" s="25">
        <v>2000</v>
      </c>
      <c r="L6" s="25">
        <v>2000</v>
      </c>
      <c r="M6" s="25">
        <v>4000</v>
      </c>
      <c r="N6" s="25">
        <v>2000</v>
      </c>
      <c r="O6" s="25">
        <f t="shared" si="2"/>
        <v>17000</v>
      </c>
      <c r="P6" s="25">
        <f t="shared" si="3"/>
        <v>82000</v>
      </c>
    </row>
    <row r="7" spans="1:16" ht="12" customHeight="1" x14ac:dyDescent="0.15">
      <c r="A7" s="21" t="s">
        <v>3</v>
      </c>
      <c r="B7" s="25">
        <v>6000</v>
      </c>
      <c r="C7" s="25">
        <f>11000-6000</f>
        <v>5000</v>
      </c>
      <c r="D7" s="25">
        <v>2000</v>
      </c>
      <c r="E7" s="25">
        <v>3000</v>
      </c>
      <c r="F7" s="25">
        <v>0</v>
      </c>
      <c r="G7" s="25">
        <v>1000</v>
      </c>
      <c r="H7" s="25">
        <f t="shared" si="1"/>
        <v>17000</v>
      </c>
      <c r="I7" s="25">
        <v>1000</v>
      </c>
      <c r="J7" s="25">
        <v>0</v>
      </c>
      <c r="K7" s="25">
        <v>0</v>
      </c>
      <c r="L7" s="25">
        <v>0</v>
      </c>
      <c r="M7" s="25">
        <v>1000</v>
      </c>
      <c r="N7" s="25">
        <v>0</v>
      </c>
      <c r="O7" s="25">
        <f t="shared" si="2"/>
        <v>2000</v>
      </c>
      <c r="P7" s="25">
        <f t="shared" si="3"/>
        <v>19000</v>
      </c>
    </row>
    <row r="8" spans="1:16" ht="12" customHeight="1" x14ac:dyDescent="0.15">
      <c r="A8" s="24" t="s">
        <v>4</v>
      </c>
      <c r="B8" s="32">
        <f t="shared" ref="B8:G8" si="4">SUM(B9:B28)</f>
        <v>17197530</v>
      </c>
      <c r="C8" s="32">
        <f t="shared" si="4"/>
        <v>19310360</v>
      </c>
      <c r="D8" s="32">
        <f t="shared" si="4"/>
        <v>18830600</v>
      </c>
      <c r="E8" s="32">
        <f t="shared" si="4"/>
        <v>19128300</v>
      </c>
      <c r="F8" s="32">
        <f t="shared" si="4"/>
        <v>18510420</v>
      </c>
      <c r="G8" s="32">
        <f t="shared" si="4"/>
        <v>18441990</v>
      </c>
      <c r="H8" s="32">
        <f t="shared" si="1"/>
        <v>111419200</v>
      </c>
      <c r="I8" s="32">
        <f t="shared" ref="I8:N8" si="5">SUM(I9:I28)</f>
        <v>19151250</v>
      </c>
      <c r="J8" s="32">
        <f t="shared" si="5"/>
        <v>19193670</v>
      </c>
      <c r="K8" s="32">
        <f t="shared" si="5"/>
        <v>17436770</v>
      </c>
      <c r="L8" s="32">
        <f t="shared" si="5"/>
        <v>15506300</v>
      </c>
      <c r="M8" s="32">
        <f t="shared" si="5"/>
        <v>15074860</v>
      </c>
      <c r="N8" s="32">
        <f t="shared" si="5"/>
        <v>18552130</v>
      </c>
      <c r="O8" s="32">
        <f t="shared" si="2"/>
        <v>104914980</v>
      </c>
      <c r="P8" s="32">
        <f t="shared" si="3"/>
        <v>216334180</v>
      </c>
    </row>
    <row r="9" spans="1:16" ht="12" customHeight="1" x14ac:dyDescent="0.15">
      <c r="A9" s="47" t="s">
        <v>94</v>
      </c>
      <c r="B9" s="25">
        <v>2834050</v>
      </c>
      <c r="C9" s="25">
        <f>5781570-2834050</f>
        <v>2947520</v>
      </c>
      <c r="D9" s="25">
        <f>8626150-5781570</f>
        <v>2844580</v>
      </c>
      <c r="E9" s="25">
        <f>11564050-8626150</f>
        <v>2937900</v>
      </c>
      <c r="F9" s="25">
        <f>14366350-11564050</f>
        <v>2802300</v>
      </c>
      <c r="G9" s="25">
        <f>17195600-14366350</f>
        <v>2829250</v>
      </c>
      <c r="H9" s="25">
        <f t="shared" si="1"/>
        <v>17195600</v>
      </c>
      <c r="I9" s="25">
        <f>20067530-17195600</f>
        <v>2871930</v>
      </c>
      <c r="J9" s="25">
        <f>23060200-20067530</f>
        <v>2992670</v>
      </c>
      <c r="K9" s="25">
        <f>25950550-23060200</f>
        <v>2890350</v>
      </c>
      <c r="L9" s="25">
        <f>28801530-25950550</f>
        <v>2850980</v>
      </c>
      <c r="M9" s="25">
        <f>31526930-28801530</f>
        <v>2725400</v>
      </c>
      <c r="N9" s="25">
        <f>34414530-31526930</f>
        <v>2887600</v>
      </c>
      <c r="O9" s="25">
        <f t="shared" si="2"/>
        <v>17218930</v>
      </c>
      <c r="P9" s="25">
        <f t="shared" si="3"/>
        <v>34414530</v>
      </c>
    </row>
    <row r="10" spans="1:16" ht="12" customHeight="1" x14ac:dyDescent="0.15">
      <c r="A10" s="48" t="s">
        <v>247</v>
      </c>
      <c r="B10" s="25">
        <f>107900+7300</f>
        <v>115200</v>
      </c>
      <c r="C10" s="25">
        <v>94600</v>
      </c>
      <c r="D10" s="25">
        <v>81700</v>
      </c>
      <c r="E10" s="25">
        <v>84700</v>
      </c>
      <c r="F10" s="25">
        <v>34400</v>
      </c>
      <c r="G10" s="25">
        <v>46000</v>
      </c>
      <c r="H10" s="25">
        <f t="shared" si="1"/>
        <v>456600</v>
      </c>
      <c r="I10" s="25">
        <v>38700</v>
      </c>
      <c r="J10" s="25">
        <v>21500</v>
      </c>
      <c r="K10" s="25">
        <v>21500</v>
      </c>
      <c r="L10" s="25">
        <v>21500</v>
      </c>
      <c r="M10" s="25" ph="1">
        <v>17200</v>
      </c>
      <c r="N10" s="25">
        <v>17200</v>
      </c>
      <c r="O10" s="25">
        <f t="shared" si="2"/>
        <v>137600</v>
      </c>
      <c r="P10" s="25">
        <f t="shared" si="3"/>
        <v>594200</v>
      </c>
    </row>
    <row r="11" spans="1:16" ht="12" customHeight="1" x14ac:dyDescent="0.15">
      <c r="A11" s="48" t="s">
        <v>319</v>
      </c>
      <c r="B11" s="25">
        <v>43200</v>
      </c>
      <c r="C11" s="25">
        <v>40500</v>
      </c>
      <c r="D11" s="25">
        <v>43200</v>
      </c>
      <c r="E11" s="25">
        <v>35100</v>
      </c>
      <c r="F11" s="25">
        <v>27000</v>
      </c>
      <c r="G11" s="25">
        <v>32400</v>
      </c>
      <c r="H11" s="25">
        <f t="shared" si="1"/>
        <v>221400</v>
      </c>
      <c r="I11" s="25">
        <v>35100</v>
      </c>
      <c r="J11" s="25">
        <v>37800</v>
      </c>
      <c r="K11" s="25">
        <v>29700</v>
      </c>
      <c r="L11" s="25">
        <v>37800</v>
      </c>
      <c r="M11" s="25">
        <v>24300</v>
      </c>
      <c r="N11" s="25">
        <v>35100</v>
      </c>
      <c r="O11" s="25">
        <f t="shared" si="2"/>
        <v>199800</v>
      </c>
      <c r="P11" s="25">
        <f t="shared" si="3"/>
        <v>421200</v>
      </c>
    </row>
    <row r="12" spans="1:16" ht="12" customHeight="1" x14ac:dyDescent="0.15">
      <c r="A12" s="47" t="s">
        <v>95</v>
      </c>
      <c r="B12" s="49">
        <f>5074910-307200-1200-20400+4338300-286800-1200</f>
        <v>8796410</v>
      </c>
      <c r="C12" s="25">
        <f>10120840-5074910-319800-6600+9492430-4338300-316200-11400-12000</f>
        <v>9534060</v>
      </c>
      <c r="D12" s="25">
        <f>15258520-10120840-327600-1200-3600+14532150-9492430-321000-8400</f>
        <v>9515600</v>
      </c>
      <c r="E12" s="25">
        <f>20598910-15258520-346800-3600+19040130-14532150-297200</f>
        <v>9200770</v>
      </c>
      <c r="F12" s="25">
        <f>25806920-20598910-335400+23888060-19040130-317000</f>
        <v>9403540</v>
      </c>
      <c r="G12" s="25">
        <f>30870000-25806920-324600-3000+29333630-23888060-354700</f>
        <v>9826350</v>
      </c>
      <c r="H12" s="25">
        <f t="shared" si="1"/>
        <v>56276730</v>
      </c>
      <c r="I12" s="25">
        <f>36510010-30870000-343800-21000+34574570-29333630-342300</f>
        <v>10173850</v>
      </c>
      <c r="J12" s="25">
        <f>41838370-36510010-340800-2400-4800+40201470-34574570-359600-5400</f>
        <v>10242260</v>
      </c>
      <c r="K12" s="25">
        <f>46742180-41838370-325200+44973750-40201470-309500</f>
        <v>9041390</v>
      </c>
      <c r="L12" s="25">
        <f>50861400-46742180-272400+48942520-250600-8400-44973750</f>
        <v>7556590</v>
      </c>
      <c r="M12" s="25">
        <f>55350340-50861400-276000-8900-9000+52555320-48942520-236800</f>
        <v>7571040</v>
      </c>
      <c r="N12" s="25">
        <f>60251440-55350340-324000-1800+57148450-52555320-286600-1200</f>
        <v>8880630</v>
      </c>
      <c r="O12" s="25">
        <f t="shared" si="2"/>
        <v>53465760</v>
      </c>
      <c r="P12" s="25">
        <f t="shared" si="3"/>
        <v>109742490</v>
      </c>
    </row>
    <row r="13" spans="1:16" ht="12" customHeight="1" x14ac:dyDescent="0.15">
      <c r="A13" s="21" t="s">
        <v>58</v>
      </c>
      <c r="B13" s="25">
        <f>307200+1200+20400+286800+1200</f>
        <v>616800</v>
      </c>
      <c r="C13" s="25">
        <f>319800+6600+316200+11400+12000</f>
        <v>666000</v>
      </c>
      <c r="D13" s="25">
        <f>327600+1200+3600+321000+8400</f>
        <v>661800</v>
      </c>
      <c r="E13" s="25">
        <f>346800+3600+297200</f>
        <v>647600</v>
      </c>
      <c r="F13" s="25">
        <f>317000+335400</f>
        <v>652400</v>
      </c>
      <c r="G13" s="25">
        <f>354700+324600+3000</f>
        <v>682300</v>
      </c>
      <c r="H13" s="25">
        <f t="shared" si="1"/>
        <v>3926900</v>
      </c>
      <c r="I13" s="25">
        <f>343800+21000+342300</f>
        <v>707100</v>
      </c>
      <c r="J13" s="25">
        <f>340800+2400+4800+359600+5400</f>
        <v>713000</v>
      </c>
      <c r="K13" s="25">
        <f>325200+309500</f>
        <v>634700</v>
      </c>
      <c r="L13" s="25">
        <f>272400+250600+8400</f>
        <v>531400</v>
      </c>
      <c r="M13" s="25">
        <f>276000+8900+9000+236800</f>
        <v>530700</v>
      </c>
      <c r="N13" s="25">
        <f>324000+1800+286600+1200</f>
        <v>613600</v>
      </c>
      <c r="O13" s="25">
        <f t="shared" si="2"/>
        <v>3730500</v>
      </c>
      <c r="P13" s="25">
        <f t="shared" si="3"/>
        <v>7657400</v>
      </c>
    </row>
    <row r="14" spans="1:16" ht="12" customHeight="1" x14ac:dyDescent="0.15">
      <c r="A14" s="47" t="s">
        <v>96</v>
      </c>
      <c r="B14" s="25">
        <f>729680+454490-77400-46800</f>
        <v>1059970</v>
      </c>
      <c r="C14" s="25">
        <f>1438370-729680-74400+986860-454490-57600-2400</f>
        <v>1106660</v>
      </c>
      <c r="D14" s="25">
        <f>1979270-1438370-59400+1525280-986260-57600</f>
        <v>962920</v>
      </c>
      <c r="E14" s="25">
        <f>2520900-1979270-55200+2011990-1525280-45000</f>
        <v>928140</v>
      </c>
      <c r="F14" s="25">
        <f>3098850-2520900-57000+2425430-2011990-45000</f>
        <v>889390</v>
      </c>
      <c r="G14" s="25">
        <f>3641320-3098850-55800-3000+2822430-2425430-46800</f>
        <v>833870</v>
      </c>
      <c r="H14" s="25">
        <f t="shared" si="1"/>
        <v>5780950</v>
      </c>
      <c r="I14" s="25">
        <f>4139420-3641320-54600+3178220-2822430-42000</f>
        <v>757290</v>
      </c>
      <c r="J14" s="25">
        <f>4647850-4139420-53400-3000+3547120-3178220-40200</f>
        <v>780730</v>
      </c>
      <c r="K14" s="25">
        <f>5120790-4647850-51600+3843660-3547120-32300</f>
        <v>685580</v>
      </c>
      <c r="L14" s="25">
        <f>5748460-5120790-54000-3000-2400+4113380-3843660-22800</f>
        <v>815190</v>
      </c>
      <c r="M14" s="25">
        <f>6238520-5748460-51600+4366180-4113380-24000</f>
        <v>667260</v>
      </c>
      <c r="N14" s="25">
        <f>6806360-6238520-61200+4623780-4366180-30000</f>
        <v>734240</v>
      </c>
      <c r="O14" s="25">
        <f t="shared" si="2"/>
        <v>4440290</v>
      </c>
      <c r="P14" s="25">
        <f t="shared" si="3"/>
        <v>10221240</v>
      </c>
    </row>
    <row r="15" spans="1:16" ht="12" customHeight="1" x14ac:dyDescent="0.15">
      <c r="A15" s="21" t="s">
        <v>59</v>
      </c>
      <c r="B15" s="25">
        <f>77400+46800</f>
        <v>124200</v>
      </c>
      <c r="C15" s="25">
        <f>74400+57600+1800</f>
        <v>133800</v>
      </c>
      <c r="D15" s="25">
        <f>59400+57600</f>
        <v>117000</v>
      </c>
      <c r="E15" s="25">
        <f>55200+45000</f>
        <v>100200</v>
      </c>
      <c r="F15" s="25">
        <f>45000+57000</f>
        <v>102000</v>
      </c>
      <c r="G15" s="25">
        <f>46800+55800+3000</f>
        <v>105600</v>
      </c>
      <c r="H15" s="25">
        <f t="shared" si="1"/>
        <v>682800</v>
      </c>
      <c r="I15" s="25">
        <f>42000+54600</f>
        <v>96600</v>
      </c>
      <c r="J15" s="25">
        <f>53400+3000+40200</f>
        <v>96600</v>
      </c>
      <c r="K15" s="25">
        <f>51600+32300</f>
        <v>83900</v>
      </c>
      <c r="L15" s="25">
        <f>54000+3000+2400+22800</f>
        <v>82200</v>
      </c>
      <c r="M15" s="25">
        <f>51600+24000</f>
        <v>75600</v>
      </c>
      <c r="N15" s="25">
        <f>61200+30000</f>
        <v>91200</v>
      </c>
      <c r="O15" s="25">
        <f t="shared" si="2"/>
        <v>526100</v>
      </c>
      <c r="P15" s="25">
        <f t="shared" si="3"/>
        <v>1208900</v>
      </c>
    </row>
    <row r="16" spans="1:16" ht="12" customHeight="1" x14ac:dyDescent="0.15">
      <c r="A16" s="50" t="s">
        <v>120</v>
      </c>
      <c r="B16" s="25">
        <f>2065770-91800</f>
        <v>1973970</v>
      </c>
      <c r="C16" s="25">
        <f>4593280-2065770-94800-17400</f>
        <v>2415310</v>
      </c>
      <c r="D16" s="25">
        <f>6952690-4593280-102600</f>
        <v>2256810</v>
      </c>
      <c r="E16" s="25">
        <f>9493720-6952690-109200</f>
        <v>2431830</v>
      </c>
      <c r="F16" s="25">
        <f>11439580-9493720-86400</f>
        <v>1859460</v>
      </c>
      <c r="G16" s="25">
        <f>13386250-11439580-84600</f>
        <v>1862070</v>
      </c>
      <c r="H16" s="25">
        <f t="shared" si="1"/>
        <v>12799450</v>
      </c>
      <c r="I16" s="25">
        <f>15462870-13386250-88800</f>
        <v>1987820</v>
      </c>
      <c r="J16" s="25">
        <f>17625760-15462870-88200-3000</f>
        <v>2071690</v>
      </c>
      <c r="K16" s="25">
        <f>19618800-17625760-84900</f>
        <v>1908140</v>
      </c>
      <c r="L16" s="25">
        <f>21142390-19618800-66600</f>
        <v>1456990</v>
      </c>
      <c r="M16" s="25">
        <f>22769500-21142390-69600</f>
        <v>1557510</v>
      </c>
      <c r="N16" s="25">
        <f>24899430-22769500-90600</f>
        <v>2039330</v>
      </c>
      <c r="O16" s="25">
        <f t="shared" si="2"/>
        <v>11021480</v>
      </c>
      <c r="P16" s="25">
        <f t="shared" si="3"/>
        <v>23820930</v>
      </c>
    </row>
    <row r="17" spans="1:16" ht="12" customHeight="1" x14ac:dyDescent="0.15">
      <c r="A17" s="21" t="s">
        <v>59</v>
      </c>
      <c r="B17" s="25">
        <v>91800</v>
      </c>
      <c r="C17" s="25">
        <f>94800+17400</f>
        <v>112200</v>
      </c>
      <c r="D17" s="25">
        <v>102600</v>
      </c>
      <c r="E17" s="25">
        <v>109200</v>
      </c>
      <c r="F17" s="25">
        <v>86400</v>
      </c>
      <c r="G17" s="25">
        <v>84600</v>
      </c>
      <c r="H17" s="25">
        <f t="shared" si="1"/>
        <v>586800</v>
      </c>
      <c r="I17" s="25">
        <v>88800</v>
      </c>
      <c r="J17" s="25">
        <f>88200+3000</f>
        <v>91200</v>
      </c>
      <c r="K17" s="25">
        <v>84900</v>
      </c>
      <c r="L17" s="25">
        <v>66600</v>
      </c>
      <c r="M17" s="25">
        <v>69600</v>
      </c>
      <c r="N17" s="25">
        <v>90600</v>
      </c>
      <c r="O17" s="25">
        <f t="shared" si="2"/>
        <v>491700</v>
      </c>
      <c r="P17" s="25">
        <f t="shared" si="3"/>
        <v>1078500</v>
      </c>
    </row>
    <row r="18" spans="1:16" ht="12" customHeight="1" x14ac:dyDescent="0.15">
      <c r="A18" s="51" t="s">
        <v>245</v>
      </c>
      <c r="B18" s="25">
        <v>572200</v>
      </c>
      <c r="C18" s="25">
        <f>1212090-572200</f>
        <v>639890</v>
      </c>
      <c r="D18" s="25">
        <f>1833720-1212090</f>
        <v>621630</v>
      </c>
      <c r="E18" s="25">
        <f>2453580-1833720</f>
        <v>619860</v>
      </c>
      <c r="F18" s="25">
        <f>3036560-2453580</f>
        <v>582980</v>
      </c>
      <c r="G18" s="25">
        <f>3635830-3036560</f>
        <v>599270</v>
      </c>
      <c r="H18" s="25">
        <f t="shared" si="1"/>
        <v>3635830</v>
      </c>
      <c r="I18" s="25">
        <f>4256160-3635830</f>
        <v>620330</v>
      </c>
      <c r="J18" s="25">
        <f>4887340-4256160</f>
        <v>631180</v>
      </c>
      <c r="K18" s="25">
        <f>5450060-4887340</f>
        <v>562720</v>
      </c>
      <c r="L18" s="25">
        <f>5919940-5450060</f>
        <v>469880</v>
      </c>
      <c r="M18" s="25">
        <f>6392130-5919940</f>
        <v>472190</v>
      </c>
      <c r="N18" s="25">
        <f>6959760-6392130</f>
        <v>567630</v>
      </c>
      <c r="O18" s="25">
        <f>SUM(I18:N18)</f>
        <v>3323930</v>
      </c>
      <c r="P18" s="25">
        <f t="shared" si="3"/>
        <v>6959760</v>
      </c>
    </row>
    <row r="19" spans="1:16" ht="12" customHeight="1" x14ac:dyDescent="0.15">
      <c r="A19" s="51" t="s">
        <v>338</v>
      </c>
      <c r="B19" s="25">
        <f>296330-36600</f>
        <v>259730</v>
      </c>
      <c r="C19" s="25">
        <f>636200-296330-52200</f>
        <v>287670</v>
      </c>
      <c r="D19" s="25">
        <f>921260-636200-39000</f>
        <v>246060</v>
      </c>
      <c r="E19" s="25">
        <f>1252710-921260-45000</f>
        <v>286450</v>
      </c>
      <c r="F19" s="25">
        <f>1580110-1252710-45000</f>
        <v>282400</v>
      </c>
      <c r="G19" s="25">
        <f>1880640-1580110-39600</f>
        <v>260930</v>
      </c>
      <c r="H19" s="25">
        <f t="shared" si="1"/>
        <v>1623240</v>
      </c>
      <c r="I19" s="25">
        <f>2190770-1880640-50400</f>
        <v>259730</v>
      </c>
      <c r="J19" s="25">
        <f>2475060-2190770-39600</f>
        <v>244690</v>
      </c>
      <c r="K19" s="25">
        <f>2747050-2475060-K20</f>
        <v>234790</v>
      </c>
      <c r="L19" s="25">
        <f>3006420-2747050-36600</f>
        <v>222770</v>
      </c>
      <c r="M19" s="25">
        <f>3287280-3006420-34800</f>
        <v>246060</v>
      </c>
      <c r="N19" s="25">
        <f>3574140-3287280-40200</f>
        <v>246660</v>
      </c>
      <c r="O19" s="25">
        <f>SUM(I19:N19)</f>
        <v>1454700</v>
      </c>
      <c r="P19" s="25">
        <f>H19+O19</f>
        <v>3077940</v>
      </c>
    </row>
    <row r="20" spans="1:16" ht="12" customHeight="1" x14ac:dyDescent="0.15">
      <c r="A20" s="21" t="s">
        <v>59</v>
      </c>
      <c r="B20" s="25">
        <v>36600</v>
      </c>
      <c r="C20" s="25">
        <v>52200</v>
      </c>
      <c r="D20" s="25">
        <v>39000</v>
      </c>
      <c r="E20" s="25">
        <v>45000</v>
      </c>
      <c r="F20" s="25">
        <v>45000</v>
      </c>
      <c r="G20" s="25">
        <v>39600</v>
      </c>
      <c r="H20" s="25">
        <f t="shared" si="1"/>
        <v>257400</v>
      </c>
      <c r="I20" s="25">
        <v>50400</v>
      </c>
      <c r="J20" s="25">
        <v>39600</v>
      </c>
      <c r="K20" s="25">
        <v>37200</v>
      </c>
      <c r="L20" s="25">
        <v>36600</v>
      </c>
      <c r="M20" s="25">
        <v>34800</v>
      </c>
      <c r="N20" s="25">
        <v>40200</v>
      </c>
      <c r="O20" s="25">
        <f>SUM(I20:N20)</f>
        <v>238800</v>
      </c>
      <c r="P20" s="25">
        <f>H20+O20</f>
        <v>496200</v>
      </c>
    </row>
    <row r="21" spans="1:16" ht="12" customHeight="1" x14ac:dyDescent="0.15">
      <c r="A21" s="47" t="s">
        <v>119</v>
      </c>
      <c r="B21" s="25">
        <v>86400</v>
      </c>
      <c r="C21" s="25">
        <f>146400-86400</f>
        <v>60000</v>
      </c>
      <c r="D21" s="25">
        <v>111600</v>
      </c>
      <c r="E21" s="25">
        <f>363600-258000</f>
        <v>105600</v>
      </c>
      <c r="F21" s="25">
        <v>130800</v>
      </c>
      <c r="G21" s="25">
        <f>589800-494400</f>
        <v>95400</v>
      </c>
      <c r="H21" s="25">
        <f t="shared" si="1"/>
        <v>589800</v>
      </c>
      <c r="I21" s="25">
        <v>90000</v>
      </c>
      <c r="J21" s="25">
        <f>777000-679800</f>
        <v>97200</v>
      </c>
      <c r="K21" s="25">
        <f>856800-777000</f>
        <v>79800</v>
      </c>
      <c r="L21" s="25">
        <v>21600</v>
      </c>
      <c r="M21" s="25">
        <v>61200</v>
      </c>
      <c r="N21" s="25">
        <f>1035000-939600</f>
        <v>95400</v>
      </c>
      <c r="O21" s="25">
        <f t="shared" si="2"/>
        <v>445200</v>
      </c>
      <c r="P21" s="25">
        <f t="shared" si="3"/>
        <v>1035000</v>
      </c>
    </row>
    <row r="22" spans="1:16" ht="12" customHeight="1" x14ac:dyDescent="0.15">
      <c r="A22" s="47" t="s">
        <v>97</v>
      </c>
      <c r="B22" s="25">
        <v>40600</v>
      </c>
      <c r="C22" s="25">
        <f>59000-40600</f>
        <v>18400</v>
      </c>
      <c r="D22" s="25">
        <f>63800-59000</f>
        <v>4800</v>
      </c>
      <c r="E22" s="25">
        <v>8400</v>
      </c>
      <c r="F22" s="25">
        <f>87600-72200</f>
        <v>15400</v>
      </c>
      <c r="G22" s="25">
        <v>1500</v>
      </c>
      <c r="H22" s="25">
        <f t="shared" si="1"/>
        <v>89100</v>
      </c>
      <c r="I22" s="25">
        <f>96200-89100</f>
        <v>7100</v>
      </c>
      <c r="J22" s="25">
        <f>111700-96200</f>
        <v>15500</v>
      </c>
      <c r="K22" s="25">
        <f>1600+1600</f>
        <v>3200</v>
      </c>
      <c r="L22" s="25">
        <f>126800-114900</f>
        <v>11900</v>
      </c>
      <c r="M22" s="25">
        <f>132400-126800</f>
        <v>5600</v>
      </c>
      <c r="N22" s="25">
        <f>149700-132400</f>
        <v>17300</v>
      </c>
      <c r="O22" s="25">
        <f t="shared" si="2"/>
        <v>60600</v>
      </c>
      <c r="P22" s="25">
        <f t="shared" si="3"/>
        <v>149700</v>
      </c>
    </row>
    <row r="23" spans="1:16" ht="12" customHeight="1" x14ac:dyDescent="0.15">
      <c r="A23" s="47" t="s">
        <v>98</v>
      </c>
      <c r="B23" s="25">
        <v>48300</v>
      </c>
      <c r="C23" s="25">
        <f>168900-48300</f>
        <v>120600</v>
      </c>
      <c r="D23" s="25">
        <f>291550-168900</f>
        <v>122650</v>
      </c>
      <c r="E23" s="25">
        <f>367100-291550</f>
        <v>75550</v>
      </c>
      <c r="F23" s="25">
        <f>453700-367100</f>
        <v>86600</v>
      </c>
      <c r="G23" s="25">
        <f>511350-453700</f>
        <v>57650</v>
      </c>
      <c r="H23" s="25">
        <f t="shared" si="1"/>
        <v>511350</v>
      </c>
      <c r="I23" s="25">
        <f>586250-511350</f>
        <v>74900</v>
      </c>
      <c r="J23" s="25">
        <f>665800-586250</f>
        <v>79550</v>
      </c>
      <c r="K23" s="25">
        <f>719850-665800</f>
        <v>54050</v>
      </c>
      <c r="L23" s="25">
        <f>808700-719850</f>
        <v>88850</v>
      </c>
      <c r="M23" s="25">
        <f>853500-808700</f>
        <v>44800</v>
      </c>
      <c r="N23" s="25">
        <f>960600-853500</f>
        <v>107100</v>
      </c>
      <c r="O23" s="25">
        <f t="shared" si="2"/>
        <v>449250</v>
      </c>
      <c r="P23" s="25">
        <f t="shared" si="3"/>
        <v>960600</v>
      </c>
    </row>
    <row r="24" spans="1:16" ht="12" customHeight="1" x14ac:dyDescent="0.15">
      <c r="A24" s="47" t="s">
        <v>249</v>
      </c>
      <c r="B24" s="25">
        <v>326500</v>
      </c>
      <c r="C24" s="25">
        <f>581150-326500</f>
        <v>254650</v>
      </c>
      <c r="D24" s="25">
        <f>848550-581150</f>
        <v>267400</v>
      </c>
      <c r="E24" s="25">
        <f>1182350-848550</f>
        <v>333800</v>
      </c>
      <c r="F24" s="25">
        <f>1617450-1182350</f>
        <v>435100</v>
      </c>
      <c r="G24" s="25">
        <f>1880250-1617450</f>
        <v>262800</v>
      </c>
      <c r="H24" s="25">
        <f t="shared" si="1"/>
        <v>1880250</v>
      </c>
      <c r="I24" s="25">
        <f>2122000-1880250</f>
        <v>241750</v>
      </c>
      <c r="J24" s="25">
        <f>2352000-2122000</f>
        <v>230000</v>
      </c>
      <c r="K24" s="25">
        <f>2619050-2352000</f>
        <v>267050</v>
      </c>
      <c r="L24" s="25">
        <f>2819950-2619050</f>
        <v>200900</v>
      </c>
      <c r="M24" s="25">
        <f>2998850-2819950</f>
        <v>178900</v>
      </c>
      <c r="N24" s="25">
        <f>3279200-2998850</f>
        <v>280350</v>
      </c>
      <c r="O24" s="25">
        <f t="shared" si="2"/>
        <v>1398950</v>
      </c>
      <c r="P24" s="25">
        <f t="shared" si="3"/>
        <v>3279200</v>
      </c>
    </row>
    <row r="25" spans="1:16" ht="12" customHeight="1" x14ac:dyDescent="0.15">
      <c r="A25" s="47" t="s">
        <v>320</v>
      </c>
      <c r="B25" s="25">
        <v>134750</v>
      </c>
      <c r="C25" s="25">
        <f>201200-134750</f>
        <v>66450</v>
      </c>
      <c r="D25" s="25">
        <f>273500-201200</f>
        <v>72300</v>
      </c>
      <c r="E25" s="25">
        <f>409750-273500</f>
        <v>136250</v>
      </c>
      <c r="F25" s="25">
        <f>642300-409750</f>
        <v>232550</v>
      </c>
      <c r="G25" s="25">
        <f>705750-642300</f>
        <v>63450</v>
      </c>
      <c r="H25" s="25">
        <f t="shared" si="1"/>
        <v>705750</v>
      </c>
      <c r="I25" s="25">
        <f>753600-705750</f>
        <v>47850</v>
      </c>
      <c r="J25" s="25">
        <f>803150-753600</f>
        <v>49550</v>
      </c>
      <c r="K25" s="25">
        <f>861350-803150</f>
        <v>58200</v>
      </c>
      <c r="L25" s="25">
        <f>894650-861350</f>
        <v>33300</v>
      </c>
      <c r="M25" s="25">
        <f>927750-894650</f>
        <v>33100</v>
      </c>
      <c r="N25" s="25">
        <f>966050-927750</f>
        <v>38300</v>
      </c>
      <c r="O25" s="25">
        <f t="shared" si="2"/>
        <v>260300</v>
      </c>
      <c r="P25" s="25">
        <f t="shared" si="3"/>
        <v>966050</v>
      </c>
    </row>
    <row r="26" spans="1:16" ht="12" customHeight="1" x14ac:dyDescent="0.15">
      <c r="A26" s="47" t="s">
        <v>303</v>
      </c>
      <c r="B26" s="25">
        <v>35550</v>
      </c>
      <c r="C26" s="25">
        <v>1550</v>
      </c>
      <c r="D26" s="25">
        <v>0</v>
      </c>
      <c r="E26" s="25">
        <f>78350-37100</f>
        <v>41250</v>
      </c>
      <c r="F26" s="25">
        <f>162100-78350</f>
        <v>83750</v>
      </c>
      <c r="G26" s="25">
        <v>0</v>
      </c>
      <c r="H26" s="25">
        <f t="shared" si="1"/>
        <v>162100</v>
      </c>
      <c r="I26" s="25">
        <v>0</v>
      </c>
      <c r="J26" s="25">
        <v>0</v>
      </c>
      <c r="K26" s="25">
        <v>0</v>
      </c>
      <c r="L26" s="25">
        <v>550</v>
      </c>
      <c r="M26" s="25">
        <v>0</v>
      </c>
      <c r="N26" s="25">
        <f>182350-162650</f>
        <v>19700</v>
      </c>
      <c r="O26" s="25">
        <f t="shared" si="2"/>
        <v>20250</v>
      </c>
      <c r="P26" s="25">
        <f t="shared" si="3"/>
        <v>182350</v>
      </c>
    </row>
    <row r="27" spans="1:16" ht="12" customHeight="1" x14ac:dyDescent="0.15">
      <c r="A27" s="47" t="s">
        <v>251</v>
      </c>
      <c r="B27" s="25">
        <v>1300</v>
      </c>
      <c r="C27" s="25">
        <v>1300</v>
      </c>
      <c r="D27" s="25">
        <v>1950</v>
      </c>
      <c r="E27" s="25">
        <v>1300</v>
      </c>
      <c r="F27" s="25">
        <v>1950</v>
      </c>
      <c r="G27" s="25">
        <v>1950</v>
      </c>
      <c r="H27" s="25">
        <f t="shared" si="1"/>
        <v>9750</v>
      </c>
      <c r="I27" s="25">
        <v>2600</v>
      </c>
      <c r="J27" s="25">
        <v>1950</v>
      </c>
      <c r="K27" s="25">
        <v>2600</v>
      </c>
      <c r="L27" s="25">
        <v>1300</v>
      </c>
      <c r="M27" s="25">
        <v>2600</v>
      </c>
      <c r="N27" s="25">
        <v>2600</v>
      </c>
      <c r="O27" s="25">
        <f>SUM(I27:N27)</f>
        <v>13650</v>
      </c>
      <c r="P27" s="25">
        <f>H27+O27</f>
        <v>23400</v>
      </c>
    </row>
    <row r="28" spans="1:16" ht="12" customHeight="1" x14ac:dyDescent="0.15">
      <c r="A28" s="21" t="s">
        <v>99</v>
      </c>
      <c r="B28" s="25">
        <v>0</v>
      </c>
      <c r="C28" s="25">
        <v>757000</v>
      </c>
      <c r="D28" s="25">
        <v>757000</v>
      </c>
      <c r="E28" s="25">
        <f>757000+242400</f>
        <v>999400</v>
      </c>
      <c r="F28" s="25">
        <v>757000</v>
      </c>
      <c r="G28" s="25">
        <v>757000</v>
      </c>
      <c r="H28" s="25">
        <f t="shared" si="1"/>
        <v>4027400</v>
      </c>
      <c r="I28" s="25">
        <f>5026800-4027400</f>
        <v>999400</v>
      </c>
      <c r="J28" s="25">
        <v>757000</v>
      </c>
      <c r="K28" s="25">
        <v>757000</v>
      </c>
      <c r="L28" s="25">
        <f>7540200-6540800</f>
        <v>999400</v>
      </c>
      <c r="M28" s="25">
        <v>757000</v>
      </c>
      <c r="N28" s="25">
        <f>10044590-8297200</f>
        <v>1747390</v>
      </c>
      <c r="O28" s="25">
        <f t="shared" si="2"/>
        <v>6017190</v>
      </c>
      <c r="P28" s="25">
        <f t="shared" si="3"/>
        <v>10044590</v>
      </c>
    </row>
    <row r="29" spans="1:16" ht="12" customHeight="1" x14ac:dyDescent="0.15">
      <c r="A29" s="24" t="s">
        <v>11</v>
      </c>
      <c r="B29" s="32">
        <v>170000</v>
      </c>
      <c r="C29" s="32">
        <v>20000</v>
      </c>
      <c r="D29" s="32">
        <v>0</v>
      </c>
      <c r="E29" s="32">
        <v>18000</v>
      </c>
      <c r="F29" s="32">
        <v>0</v>
      </c>
      <c r="G29" s="32">
        <f>289000-208000</f>
        <v>81000</v>
      </c>
      <c r="H29" s="32">
        <f t="shared" si="1"/>
        <v>289000</v>
      </c>
      <c r="I29" s="32">
        <f>331000-289000</f>
        <v>42000</v>
      </c>
      <c r="J29" s="32">
        <f>397000-331000</f>
        <v>66000</v>
      </c>
      <c r="K29" s="32">
        <v>0</v>
      </c>
      <c r="L29" s="32">
        <f>422000-397000</f>
        <v>25000</v>
      </c>
      <c r="M29" s="32">
        <v>2000</v>
      </c>
      <c r="N29" s="32">
        <v>80000</v>
      </c>
      <c r="O29" s="32">
        <f t="shared" si="2"/>
        <v>215000</v>
      </c>
      <c r="P29" s="32">
        <f t="shared" si="3"/>
        <v>504000</v>
      </c>
    </row>
    <row r="30" spans="1:16" ht="12" customHeight="1" x14ac:dyDescent="0.15">
      <c r="A30" s="24" t="s">
        <v>246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500000</v>
      </c>
      <c r="H30" s="32">
        <f t="shared" si="1"/>
        <v>500000</v>
      </c>
      <c r="I30" s="32">
        <v>0</v>
      </c>
      <c r="J30" s="32">
        <v>0</v>
      </c>
      <c r="K30" s="32">
        <v>0</v>
      </c>
      <c r="L30" s="32">
        <v>1104000</v>
      </c>
      <c r="M30" s="32">
        <v>200000</v>
      </c>
      <c r="N30" s="32">
        <v>200000</v>
      </c>
      <c r="O30" s="32">
        <f t="shared" si="2"/>
        <v>1504000</v>
      </c>
      <c r="P30" s="32">
        <f t="shared" si="3"/>
        <v>2004000</v>
      </c>
    </row>
    <row r="31" spans="1:16" ht="12" customHeight="1" x14ac:dyDescent="0.15">
      <c r="A31" s="24" t="s">
        <v>12</v>
      </c>
      <c r="B31" s="32">
        <v>57822</v>
      </c>
      <c r="C31" s="32">
        <f>104401-57822</f>
        <v>46579</v>
      </c>
      <c r="D31" s="32">
        <f>571536-104401</f>
        <v>467135</v>
      </c>
      <c r="E31" s="32">
        <f>625755-571536</f>
        <v>54219</v>
      </c>
      <c r="F31" s="32">
        <f>676062-625755</f>
        <v>50307</v>
      </c>
      <c r="G31" s="32">
        <f>739410-676062</f>
        <v>63348</v>
      </c>
      <c r="H31" s="32">
        <f t="shared" si="1"/>
        <v>739410</v>
      </c>
      <c r="I31" s="32">
        <f>964297-739410</f>
        <v>224887</v>
      </c>
      <c r="J31" s="32">
        <f>1025505-964297</f>
        <v>61208</v>
      </c>
      <c r="K31" s="32">
        <f>1069903-1025505</f>
        <v>44398</v>
      </c>
      <c r="L31" s="32">
        <f>1110261-1069903</f>
        <v>40358</v>
      </c>
      <c r="M31" s="32">
        <f>1146166-1110261</f>
        <v>35905</v>
      </c>
      <c r="N31" s="32">
        <f>1480427-1146166</f>
        <v>334261</v>
      </c>
      <c r="O31" s="32">
        <f t="shared" si="2"/>
        <v>741017</v>
      </c>
      <c r="P31" s="32">
        <f t="shared" si="3"/>
        <v>1480427</v>
      </c>
    </row>
    <row r="32" spans="1:16" ht="12" customHeight="1" x14ac:dyDescent="0.15">
      <c r="A32" s="24"/>
      <c r="B32" s="32"/>
      <c r="C32" s="32"/>
      <c r="D32" s="32"/>
      <c r="E32" s="32"/>
      <c r="F32" s="32"/>
      <c r="G32" s="32"/>
      <c r="H32" s="32">
        <f t="shared" si="1"/>
        <v>0</v>
      </c>
      <c r="I32" s="32"/>
      <c r="J32" s="32"/>
      <c r="K32" s="32"/>
      <c r="L32" s="32"/>
      <c r="M32" s="32"/>
      <c r="N32" s="32"/>
      <c r="O32" s="32">
        <f t="shared" si="2"/>
        <v>0</v>
      </c>
      <c r="P32" s="32">
        <f t="shared" si="3"/>
        <v>0</v>
      </c>
    </row>
    <row r="33" spans="1:16" ht="12" customHeight="1" x14ac:dyDescent="0.15">
      <c r="A33" s="52" t="s">
        <v>13</v>
      </c>
      <c r="B33" s="32">
        <f>B4+B8+B29+B30+B31</f>
        <v>17527352</v>
      </c>
      <c r="C33" s="32">
        <f t="shared" ref="C33:N33" si="6">C4+C8+C29+C30+C31</f>
        <v>19415939</v>
      </c>
      <c r="D33" s="32">
        <f t="shared" si="6"/>
        <v>19308735</v>
      </c>
      <c r="E33" s="32">
        <f t="shared" si="6"/>
        <v>19215519</v>
      </c>
      <c r="F33" s="32">
        <f t="shared" si="6"/>
        <v>18562727</v>
      </c>
      <c r="G33" s="32">
        <f t="shared" si="6"/>
        <v>19089338</v>
      </c>
      <c r="H33" s="32">
        <f t="shared" si="1"/>
        <v>113119610</v>
      </c>
      <c r="I33" s="32">
        <f t="shared" si="6"/>
        <v>19422137</v>
      </c>
      <c r="J33" s="32">
        <f t="shared" si="6"/>
        <v>19326878</v>
      </c>
      <c r="K33" s="32">
        <f t="shared" si="6"/>
        <v>17485168</v>
      </c>
      <c r="L33" s="32">
        <f t="shared" si="6"/>
        <v>16678658</v>
      </c>
      <c r="M33" s="32">
        <f t="shared" si="6"/>
        <v>15317765</v>
      </c>
      <c r="N33" s="32">
        <f t="shared" si="6"/>
        <v>19168391</v>
      </c>
      <c r="O33" s="32">
        <f t="shared" si="2"/>
        <v>107398997</v>
      </c>
      <c r="P33" s="32">
        <f t="shared" si="3"/>
        <v>220518607</v>
      </c>
    </row>
    <row r="34" spans="1:16" ht="12" customHeight="1" x14ac:dyDescent="0.15">
      <c r="A34" s="23" t="s">
        <v>124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12" customHeight="1" x14ac:dyDescent="0.15">
      <c r="A35" s="6" t="s">
        <v>15</v>
      </c>
      <c r="B35" s="25"/>
      <c r="C35" s="25"/>
      <c r="D35" s="25"/>
      <c r="E35" s="25"/>
      <c r="F35" s="25" t="s">
        <v>304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ht="12" customHeight="1" x14ac:dyDescent="0.15">
      <c r="A36" s="23" t="s">
        <v>16</v>
      </c>
      <c r="B36" s="32">
        <f t="shared" ref="B36:N36" si="7">SUM(B37:B41)</f>
        <v>12552514</v>
      </c>
      <c r="C36" s="32">
        <f t="shared" si="7"/>
        <v>11660269</v>
      </c>
      <c r="D36" s="32">
        <f t="shared" si="7"/>
        <v>11653360</v>
      </c>
      <c r="E36" s="32">
        <f t="shared" si="7"/>
        <v>19465119</v>
      </c>
      <c r="F36" s="32">
        <f t="shared" si="7"/>
        <v>12276476</v>
      </c>
      <c r="G36" s="32">
        <f t="shared" si="7"/>
        <v>12093528</v>
      </c>
      <c r="H36" s="32">
        <f t="shared" ref="H36:H73" si="8">SUM(B36:G36)</f>
        <v>79701266</v>
      </c>
      <c r="I36" s="32">
        <f t="shared" si="7"/>
        <v>11967803</v>
      </c>
      <c r="J36" s="32">
        <f t="shared" si="7"/>
        <v>21951504</v>
      </c>
      <c r="K36" s="32">
        <f t="shared" si="7"/>
        <v>12024210</v>
      </c>
      <c r="L36" s="32">
        <f t="shared" si="7"/>
        <v>11720913</v>
      </c>
      <c r="M36" s="32">
        <f t="shared" si="7"/>
        <v>12029400</v>
      </c>
      <c r="N36" s="32">
        <f t="shared" si="7"/>
        <v>16604863</v>
      </c>
      <c r="O36" s="32">
        <f t="shared" si="2"/>
        <v>86298693</v>
      </c>
      <c r="P36" s="32">
        <f t="shared" si="3"/>
        <v>165999959</v>
      </c>
    </row>
    <row r="37" spans="1:16" ht="12" customHeight="1" x14ac:dyDescent="0.15">
      <c r="A37" s="6" t="s">
        <v>100</v>
      </c>
      <c r="B37" s="25">
        <v>370000</v>
      </c>
      <c r="C37" s="25">
        <v>370000</v>
      </c>
      <c r="D37" s="25">
        <v>370000</v>
      </c>
      <c r="E37" s="25">
        <v>370000</v>
      </c>
      <c r="F37" s="25">
        <v>370000</v>
      </c>
      <c r="G37" s="25">
        <v>370000</v>
      </c>
      <c r="H37" s="25">
        <f t="shared" si="8"/>
        <v>2220000</v>
      </c>
      <c r="I37" s="25">
        <v>370000</v>
      </c>
      <c r="J37" s="25">
        <v>370000</v>
      </c>
      <c r="K37" s="25">
        <v>370000</v>
      </c>
      <c r="L37" s="25">
        <v>370000</v>
      </c>
      <c r="M37" s="25">
        <v>370000</v>
      </c>
      <c r="N37" s="25">
        <v>370000</v>
      </c>
      <c r="O37" s="25">
        <f t="shared" si="2"/>
        <v>2220000</v>
      </c>
      <c r="P37" s="25">
        <f t="shared" si="3"/>
        <v>4440000</v>
      </c>
    </row>
    <row r="38" spans="1:16" ht="12" customHeight="1" x14ac:dyDescent="0.15">
      <c r="A38" s="6" t="s">
        <v>101</v>
      </c>
      <c r="B38" s="25">
        <v>9805304</v>
      </c>
      <c r="C38" s="25">
        <f>18803954-9805304</f>
        <v>8998650</v>
      </c>
      <c r="D38" s="25">
        <f>27760888-18803954</f>
        <v>8956934</v>
      </c>
      <c r="E38" s="25">
        <f>44086582-27760888</f>
        <v>16325694</v>
      </c>
      <c r="F38" s="25">
        <f>53693390-44086582</f>
        <v>9606808</v>
      </c>
      <c r="G38" s="25">
        <f>63144497-53693390</f>
        <v>9451107</v>
      </c>
      <c r="H38" s="25">
        <f t="shared" si="8"/>
        <v>63144497</v>
      </c>
      <c r="I38" s="25">
        <f>72285898-63144497</f>
        <v>9141401</v>
      </c>
      <c r="J38" s="25">
        <f>90185648-72285898</f>
        <v>17899750</v>
      </c>
      <c r="K38" s="25">
        <f>99456889-90185648</f>
        <v>9271241</v>
      </c>
      <c r="L38" s="25">
        <f>108455742-99456889</f>
        <v>8998853</v>
      </c>
      <c r="M38" s="25">
        <f>117734060-108455742</f>
        <v>9278318</v>
      </c>
      <c r="N38" s="25">
        <f>130763873-117734060</f>
        <v>13029813</v>
      </c>
      <c r="O38" s="25">
        <f t="shared" si="2"/>
        <v>67619376</v>
      </c>
      <c r="P38" s="25">
        <f t="shared" si="3"/>
        <v>130763873</v>
      </c>
    </row>
    <row r="39" spans="1:16" ht="12" customHeight="1" x14ac:dyDescent="0.15">
      <c r="A39" s="6" t="s">
        <v>102</v>
      </c>
      <c r="B39" s="25">
        <v>1340175</v>
      </c>
      <c r="C39" s="25">
        <f>2593775-1340175</f>
        <v>1253600</v>
      </c>
      <c r="D39" s="25">
        <f>3841975-2593775</f>
        <v>1248200</v>
      </c>
      <c r="E39" s="25">
        <f>5582984-3841975</f>
        <v>1741009</v>
      </c>
      <c r="F39" s="25">
        <f>6865884-5582984</f>
        <v>1282900</v>
      </c>
      <c r="G39" s="25">
        <f>8147184-6865884</f>
        <v>1281300</v>
      </c>
      <c r="H39" s="25">
        <f t="shared" si="8"/>
        <v>8147184</v>
      </c>
      <c r="I39" s="25">
        <f>9426309-8147184</f>
        <v>1279125</v>
      </c>
      <c r="J39" s="25">
        <f>12021634-9426309</f>
        <v>2595325</v>
      </c>
      <c r="K39" s="25">
        <f>13306984-12021634</f>
        <v>1285350</v>
      </c>
      <c r="L39" s="25">
        <f>14375759-13306984</f>
        <v>1068775</v>
      </c>
      <c r="M39" s="25">
        <f>15647709-14375759</f>
        <v>1271950</v>
      </c>
      <c r="N39" s="25">
        <f>17800384-15647709</f>
        <v>2152675</v>
      </c>
      <c r="O39" s="25">
        <f t="shared" si="2"/>
        <v>9653200</v>
      </c>
      <c r="P39" s="25">
        <f t="shared" si="3"/>
        <v>17800384</v>
      </c>
    </row>
    <row r="40" spans="1:16" ht="12" customHeight="1" x14ac:dyDescent="0.15">
      <c r="A40" s="6" t="s">
        <v>19</v>
      </c>
      <c r="B40" s="25">
        <v>1037035</v>
      </c>
      <c r="C40" s="25">
        <f>2075054-1037035</f>
        <v>1038019</v>
      </c>
      <c r="D40" s="25">
        <f>3153280-2075054</f>
        <v>1078226</v>
      </c>
      <c r="E40" s="25">
        <f>4181696-3153280</f>
        <v>1028416</v>
      </c>
      <c r="F40" s="25">
        <f>5198464-4181696</f>
        <v>1016768</v>
      </c>
      <c r="G40" s="25">
        <f>6189585-5198464</f>
        <v>991121</v>
      </c>
      <c r="H40" s="25">
        <f t="shared" si="8"/>
        <v>6189585</v>
      </c>
      <c r="I40" s="25">
        <f>7366862-6189585</f>
        <v>1177277</v>
      </c>
      <c r="J40" s="25">
        <f>8453291-7366862</f>
        <v>1086429</v>
      </c>
      <c r="K40" s="25">
        <f>9550910-8453291</f>
        <v>1097619</v>
      </c>
      <c r="L40" s="25">
        <f>10834195-9550910</f>
        <v>1283285</v>
      </c>
      <c r="M40" s="25">
        <f>11943327-10834195</f>
        <v>1109132</v>
      </c>
      <c r="N40" s="25">
        <f>12995702-11943327</f>
        <v>1052375</v>
      </c>
      <c r="O40" s="25">
        <f t="shared" si="2"/>
        <v>6806117</v>
      </c>
      <c r="P40" s="25">
        <f t="shared" si="3"/>
        <v>12995702</v>
      </c>
    </row>
    <row r="41" spans="1:16" ht="12" customHeight="1" x14ac:dyDescent="0.15">
      <c r="A41" s="6" t="s">
        <v>117</v>
      </c>
      <c r="B41" s="25"/>
      <c r="C41" s="25"/>
      <c r="D41" s="25"/>
      <c r="E41" s="25"/>
      <c r="F41" s="25"/>
      <c r="G41" s="25"/>
      <c r="H41" s="25">
        <f t="shared" si="8"/>
        <v>0</v>
      </c>
      <c r="I41" s="25"/>
      <c r="J41" s="25"/>
      <c r="K41" s="25"/>
      <c r="L41" s="25"/>
      <c r="M41" s="25"/>
      <c r="N41" s="25"/>
      <c r="O41" s="25">
        <f t="shared" si="2"/>
        <v>0</v>
      </c>
      <c r="P41" s="25">
        <f t="shared" si="3"/>
        <v>0</v>
      </c>
    </row>
    <row r="42" spans="1:16" ht="12" customHeight="1" x14ac:dyDescent="0.15">
      <c r="A42" s="23" t="s">
        <v>20</v>
      </c>
      <c r="B42" s="32">
        <f>SUM(B43:B67)</f>
        <v>3132387</v>
      </c>
      <c r="C42" s="32">
        <f t="shared" ref="C42:N42" si="9">SUM(C43:C67)</f>
        <v>4666260</v>
      </c>
      <c r="D42" s="32">
        <f t="shared" si="9"/>
        <v>3889415</v>
      </c>
      <c r="E42" s="32">
        <f t="shared" si="9"/>
        <v>3665531</v>
      </c>
      <c r="F42" s="32">
        <f t="shared" si="9"/>
        <v>3084408</v>
      </c>
      <c r="G42" s="32">
        <f t="shared" si="9"/>
        <v>7456565</v>
      </c>
      <c r="H42" s="32">
        <f t="shared" si="8"/>
        <v>25894566</v>
      </c>
      <c r="I42" s="32">
        <f t="shared" si="9"/>
        <v>3974731</v>
      </c>
      <c r="J42" s="32">
        <f t="shared" si="9"/>
        <v>3003987</v>
      </c>
      <c r="K42" s="32">
        <f t="shared" si="9"/>
        <v>3571526</v>
      </c>
      <c r="L42" s="32">
        <f t="shared" si="9"/>
        <v>4388732</v>
      </c>
      <c r="M42" s="32">
        <f t="shared" si="9"/>
        <v>3313356</v>
      </c>
      <c r="N42" s="32">
        <f t="shared" si="9"/>
        <v>8443742</v>
      </c>
      <c r="O42" s="32">
        <f t="shared" si="2"/>
        <v>26696074</v>
      </c>
      <c r="P42" s="32">
        <f t="shared" si="3"/>
        <v>52590640</v>
      </c>
    </row>
    <row r="43" spans="1:16" ht="12" customHeight="1" x14ac:dyDescent="0.15">
      <c r="A43" s="6" t="s">
        <v>21</v>
      </c>
      <c r="B43" s="25">
        <v>317300</v>
      </c>
      <c r="C43" s="25">
        <f>612000-317300</f>
        <v>294700</v>
      </c>
      <c r="D43" s="25">
        <f>1492700-612000</f>
        <v>880700</v>
      </c>
      <c r="E43" s="25">
        <f>1928000-1492700</f>
        <v>435300</v>
      </c>
      <c r="F43" s="25">
        <f>2236000-1928000</f>
        <v>308000</v>
      </c>
      <c r="G43" s="25">
        <f>2570000-2236000</f>
        <v>334000</v>
      </c>
      <c r="H43" s="25">
        <f t="shared" si="8"/>
        <v>2570000</v>
      </c>
      <c r="I43" s="25">
        <f>2885987-2570000</f>
        <v>315987</v>
      </c>
      <c r="J43" s="25">
        <f>3182709-2885987</f>
        <v>296722</v>
      </c>
      <c r="K43" s="25">
        <f>3488009-3182709</f>
        <v>305300</v>
      </c>
      <c r="L43" s="25">
        <f>4272497-3488009</f>
        <v>784488</v>
      </c>
      <c r="M43" s="25">
        <f>4778536-4272497</f>
        <v>506039</v>
      </c>
      <c r="N43" s="25">
        <f>5343480-4778536</f>
        <v>564944</v>
      </c>
      <c r="O43" s="25">
        <f t="shared" si="2"/>
        <v>2773480</v>
      </c>
      <c r="P43" s="25">
        <f t="shared" si="3"/>
        <v>5343480</v>
      </c>
    </row>
    <row r="44" spans="1:16" ht="12" customHeight="1" x14ac:dyDescent="0.15">
      <c r="A44" s="6" t="s">
        <v>22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f t="shared" si="8"/>
        <v>0</v>
      </c>
      <c r="I44" s="25">
        <v>400</v>
      </c>
      <c r="J44" s="25">
        <v>0</v>
      </c>
      <c r="K44" s="25">
        <f>3600-400</f>
        <v>3200</v>
      </c>
      <c r="L44" s="25">
        <v>0</v>
      </c>
      <c r="M44" s="25">
        <v>0</v>
      </c>
      <c r="N44" s="25">
        <v>400</v>
      </c>
      <c r="O44" s="25">
        <f t="shared" si="2"/>
        <v>4000</v>
      </c>
      <c r="P44" s="25">
        <f t="shared" si="3"/>
        <v>4000</v>
      </c>
    </row>
    <row r="45" spans="1:16" ht="12" customHeight="1" x14ac:dyDescent="0.15">
      <c r="A45" s="6" t="s">
        <v>103</v>
      </c>
      <c r="B45" s="25">
        <v>2432</v>
      </c>
      <c r="C45" s="25">
        <f>150346-2432</f>
        <v>147914</v>
      </c>
      <c r="D45" s="25">
        <f>213450-150346</f>
        <v>63104</v>
      </c>
      <c r="E45" s="25">
        <f>286953-213450</f>
        <v>73503</v>
      </c>
      <c r="F45" s="25">
        <f>357735-286953</f>
        <v>70782</v>
      </c>
      <c r="G45" s="25">
        <f>366665-357735</f>
        <v>8930</v>
      </c>
      <c r="H45" s="25">
        <f t="shared" si="8"/>
        <v>366665</v>
      </c>
      <c r="I45" s="25">
        <v>135986</v>
      </c>
      <c r="J45" s="25">
        <f>574380-502651</f>
        <v>71729</v>
      </c>
      <c r="K45" s="25">
        <v>8200</v>
      </c>
      <c r="L45" s="25">
        <f>713352-582580</f>
        <v>130772</v>
      </c>
      <c r="M45" s="25">
        <f>802478-713352</f>
        <v>89126</v>
      </c>
      <c r="N45" s="25">
        <v>0</v>
      </c>
      <c r="O45" s="25">
        <f t="shared" si="2"/>
        <v>435813</v>
      </c>
      <c r="P45" s="25">
        <f t="shared" si="3"/>
        <v>802478</v>
      </c>
    </row>
    <row r="46" spans="1:16" ht="12" customHeight="1" x14ac:dyDescent="0.15">
      <c r="A46" s="6" t="s">
        <v>24</v>
      </c>
      <c r="B46" s="25">
        <v>17213</v>
      </c>
      <c r="C46" s="25">
        <f>13656+15833</f>
        <v>29489</v>
      </c>
      <c r="D46" s="25">
        <f>94678-46702</f>
        <v>47976</v>
      </c>
      <c r="E46" s="25">
        <f>113175-94678</f>
        <v>18497</v>
      </c>
      <c r="F46" s="25">
        <f>133717-113175</f>
        <v>20542</v>
      </c>
      <c r="G46" s="25">
        <f>145433-133717</f>
        <v>11716</v>
      </c>
      <c r="H46" s="25">
        <f t="shared" si="8"/>
        <v>145433</v>
      </c>
      <c r="I46" s="25">
        <f>171030-145433</f>
        <v>25597</v>
      </c>
      <c r="J46" s="25">
        <f>188517-171030</f>
        <v>17487</v>
      </c>
      <c r="K46" s="25">
        <f>207937-188517</f>
        <v>19420</v>
      </c>
      <c r="L46" s="25">
        <f>229816-207937</f>
        <v>21879</v>
      </c>
      <c r="M46" s="25">
        <v>216</v>
      </c>
      <c r="N46" s="25">
        <v>7578</v>
      </c>
      <c r="O46" s="25">
        <f t="shared" si="2"/>
        <v>92177</v>
      </c>
      <c r="P46" s="25">
        <f t="shared" si="3"/>
        <v>237610</v>
      </c>
    </row>
    <row r="47" spans="1:16" ht="12" customHeight="1" x14ac:dyDescent="0.15">
      <c r="A47" s="6" t="s">
        <v>104</v>
      </c>
      <c r="B47" s="25">
        <v>56343</v>
      </c>
      <c r="C47" s="25">
        <v>12960</v>
      </c>
      <c r="D47" s="25">
        <v>0</v>
      </c>
      <c r="E47" s="25">
        <v>213840</v>
      </c>
      <c r="F47" s="25">
        <f>304743-283143</f>
        <v>21600</v>
      </c>
      <c r="G47" s="25">
        <f>484517-304743</f>
        <v>179774</v>
      </c>
      <c r="H47" s="25">
        <f t="shared" si="8"/>
        <v>484517</v>
      </c>
      <c r="I47" s="25">
        <v>23544</v>
      </c>
      <c r="J47" s="25">
        <v>0</v>
      </c>
      <c r="K47" s="25">
        <f>626299-508061</f>
        <v>118238</v>
      </c>
      <c r="L47" s="25">
        <v>11664</v>
      </c>
      <c r="M47" s="25">
        <f>21412+19800</f>
        <v>41212</v>
      </c>
      <c r="N47" s="25">
        <f>1091735-679175</f>
        <v>412560</v>
      </c>
      <c r="O47" s="25">
        <f t="shared" si="2"/>
        <v>607218</v>
      </c>
      <c r="P47" s="25">
        <f t="shared" si="3"/>
        <v>1091735</v>
      </c>
    </row>
    <row r="48" spans="1:16" ht="12" customHeight="1" x14ac:dyDescent="0.15">
      <c r="A48" s="6" t="s">
        <v>105</v>
      </c>
      <c r="B48" s="25">
        <v>0</v>
      </c>
      <c r="C48" s="25">
        <v>0</v>
      </c>
      <c r="D48" s="25">
        <v>135974</v>
      </c>
      <c r="E48" s="25">
        <v>19943</v>
      </c>
      <c r="F48" s="25">
        <v>0</v>
      </c>
      <c r="G48" s="25">
        <v>0</v>
      </c>
      <c r="H48" s="25">
        <f t="shared" si="8"/>
        <v>155917</v>
      </c>
      <c r="I48" s="25">
        <v>0</v>
      </c>
      <c r="J48" s="25">
        <v>0</v>
      </c>
      <c r="K48" s="25">
        <v>0</v>
      </c>
      <c r="L48" s="25">
        <v>0</v>
      </c>
      <c r="M48" s="25">
        <v>53946</v>
      </c>
      <c r="N48" s="25">
        <v>0</v>
      </c>
      <c r="O48" s="25">
        <f t="shared" si="2"/>
        <v>53946</v>
      </c>
      <c r="P48" s="25">
        <f t="shared" si="3"/>
        <v>209863</v>
      </c>
    </row>
    <row r="49" spans="1:16" ht="12" customHeight="1" x14ac:dyDescent="0.15">
      <c r="A49" s="6" t="s">
        <v>106</v>
      </c>
      <c r="B49" s="25">
        <v>50555</v>
      </c>
      <c r="C49" s="25">
        <f>100743-50555</f>
        <v>50188</v>
      </c>
      <c r="D49" s="25">
        <f>176192-100743</f>
        <v>75449</v>
      </c>
      <c r="E49" s="25">
        <f>281029-176192</f>
        <v>104837</v>
      </c>
      <c r="F49" s="25">
        <f>406511-281029</f>
        <v>125482</v>
      </c>
      <c r="G49" s="25">
        <f>443258-406511</f>
        <v>36747</v>
      </c>
      <c r="H49" s="25">
        <f t="shared" si="8"/>
        <v>443258</v>
      </c>
      <c r="I49" s="25">
        <f>545613-443258</f>
        <v>102355</v>
      </c>
      <c r="J49" s="25">
        <f>631887-545613</f>
        <v>86274</v>
      </c>
      <c r="K49" s="25">
        <f>703318-631887</f>
        <v>71431</v>
      </c>
      <c r="L49" s="25">
        <f>753932-703318</f>
        <v>50614</v>
      </c>
      <c r="M49" s="25">
        <f>845301-753932</f>
        <v>91369</v>
      </c>
      <c r="N49" s="25">
        <f>904795-845301</f>
        <v>59494</v>
      </c>
      <c r="O49" s="25">
        <f t="shared" si="2"/>
        <v>461537</v>
      </c>
      <c r="P49" s="25">
        <f t="shared" si="3"/>
        <v>904795</v>
      </c>
    </row>
    <row r="50" spans="1:16" ht="12" customHeight="1" x14ac:dyDescent="0.15">
      <c r="A50" s="6" t="s">
        <v>28</v>
      </c>
      <c r="B50" s="25">
        <v>40587</v>
      </c>
      <c r="C50" s="25">
        <f>56353-40587</f>
        <v>15766</v>
      </c>
      <c r="D50" s="25">
        <f>70193-56353</f>
        <v>13840</v>
      </c>
      <c r="E50" s="25">
        <f>128573-70193</f>
        <v>58380</v>
      </c>
      <c r="F50" s="25">
        <f>139486-128573</f>
        <v>10913</v>
      </c>
      <c r="G50" s="25">
        <f>169661-139486</f>
        <v>30175</v>
      </c>
      <c r="H50" s="25">
        <f t="shared" si="8"/>
        <v>169661</v>
      </c>
      <c r="I50" s="25">
        <f>195722-169661</f>
        <v>26061</v>
      </c>
      <c r="J50" s="25">
        <f>226831-195722</f>
        <v>31109</v>
      </c>
      <c r="K50" s="25">
        <f>256519-226831</f>
        <v>29688</v>
      </c>
      <c r="L50" s="25">
        <f>279555-256519</f>
        <v>23036</v>
      </c>
      <c r="M50" s="25">
        <f>290468-279555</f>
        <v>10913</v>
      </c>
      <c r="N50" s="25">
        <f>348864-290468</f>
        <v>58396</v>
      </c>
      <c r="O50" s="25">
        <f t="shared" si="2"/>
        <v>179203</v>
      </c>
      <c r="P50" s="25">
        <f t="shared" si="3"/>
        <v>348864</v>
      </c>
    </row>
    <row r="51" spans="1:16" ht="12" customHeight="1" x14ac:dyDescent="0.15">
      <c r="A51" s="6" t="s">
        <v>107</v>
      </c>
      <c r="B51" s="25">
        <v>21000</v>
      </c>
      <c r="C51" s="25">
        <f>1200+10000</f>
        <v>11200</v>
      </c>
      <c r="D51" s="25">
        <f>60200-32200</f>
        <v>28000</v>
      </c>
      <c r="E51" s="25">
        <v>7000</v>
      </c>
      <c r="F51" s="25">
        <v>4000</v>
      </c>
      <c r="G51" s="25">
        <v>5000</v>
      </c>
      <c r="H51" s="25">
        <f t="shared" si="8"/>
        <v>76200</v>
      </c>
      <c r="I51" s="25">
        <f>112200-76200</f>
        <v>36000</v>
      </c>
      <c r="J51" s="25">
        <v>5000</v>
      </c>
      <c r="K51" s="25">
        <v>25000</v>
      </c>
      <c r="L51" s="25">
        <v>0</v>
      </c>
      <c r="M51" s="25">
        <v>0</v>
      </c>
      <c r="N51" s="25">
        <f>145900-142200</f>
        <v>3700</v>
      </c>
      <c r="O51" s="25">
        <f t="shared" si="2"/>
        <v>69700</v>
      </c>
      <c r="P51" s="25">
        <f t="shared" si="3"/>
        <v>145900</v>
      </c>
    </row>
    <row r="52" spans="1:16" ht="12" customHeight="1" x14ac:dyDescent="0.15">
      <c r="A52" s="6" t="s">
        <v>27</v>
      </c>
      <c r="B52" s="25">
        <v>0</v>
      </c>
      <c r="C52" s="25">
        <v>0</v>
      </c>
      <c r="D52" s="25">
        <v>10800</v>
      </c>
      <c r="E52" s="25">
        <v>0</v>
      </c>
      <c r="F52" s="25">
        <v>0</v>
      </c>
      <c r="G52" s="25">
        <v>0</v>
      </c>
      <c r="H52" s="25">
        <f t="shared" si="8"/>
        <v>10800</v>
      </c>
      <c r="I52" s="25">
        <v>43200</v>
      </c>
      <c r="J52" s="25">
        <v>0</v>
      </c>
      <c r="K52" s="25">
        <v>0</v>
      </c>
      <c r="L52" s="25">
        <v>10800</v>
      </c>
      <c r="M52" s="25">
        <f>10800+27000</f>
        <v>37800</v>
      </c>
      <c r="N52" s="25">
        <v>3600</v>
      </c>
      <c r="O52" s="25">
        <f t="shared" si="2"/>
        <v>95400</v>
      </c>
      <c r="P52" s="25">
        <f t="shared" si="3"/>
        <v>106200</v>
      </c>
    </row>
    <row r="53" spans="1:16" ht="12" customHeight="1" x14ac:dyDescent="0.15">
      <c r="A53" s="6" t="s">
        <v>32</v>
      </c>
      <c r="B53" s="25">
        <v>530492</v>
      </c>
      <c r="C53" s="25">
        <f>1170886-530492</f>
        <v>640394</v>
      </c>
      <c r="D53" s="25">
        <f>1673682-1170886</f>
        <v>502796</v>
      </c>
      <c r="E53" s="25">
        <f>2168019-1673682</f>
        <v>494337</v>
      </c>
      <c r="F53" s="25">
        <f>2678452-2168019</f>
        <v>510433</v>
      </c>
      <c r="G53" s="25">
        <f>3090095-2678452</f>
        <v>411643</v>
      </c>
      <c r="H53" s="25">
        <f t="shared" si="8"/>
        <v>3090095</v>
      </c>
      <c r="I53" s="25">
        <f>3626707-3090095</f>
        <v>536612</v>
      </c>
      <c r="J53" s="25">
        <f>4080376-3626707</f>
        <v>453669</v>
      </c>
      <c r="K53" s="25">
        <f>4634678-4080376</f>
        <v>554302</v>
      </c>
      <c r="L53" s="25">
        <f>5300361-4634678</f>
        <v>665683</v>
      </c>
      <c r="M53" s="25">
        <f>5964647-5300361</f>
        <v>664286</v>
      </c>
      <c r="N53" s="25">
        <f>6536056-5964647</f>
        <v>571409</v>
      </c>
      <c r="O53" s="25">
        <f t="shared" si="2"/>
        <v>3445961</v>
      </c>
      <c r="P53" s="25">
        <f t="shared" si="3"/>
        <v>6536056</v>
      </c>
    </row>
    <row r="54" spans="1:16" ht="12" customHeight="1" x14ac:dyDescent="0.15">
      <c r="A54" s="6" t="s">
        <v>108</v>
      </c>
      <c r="B54" s="25">
        <v>17000</v>
      </c>
      <c r="C54" s="25">
        <f>34000-17000</f>
        <v>17000</v>
      </c>
      <c r="D54" s="25">
        <v>2000</v>
      </c>
      <c r="E54" s="25">
        <v>8000</v>
      </c>
      <c r="F54" s="25">
        <f>57760-44000</f>
        <v>13760</v>
      </c>
      <c r="G54" s="25">
        <v>2000</v>
      </c>
      <c r="H54" s="25">
        <f t="shared" si="8"/>
        <v>59760</v>
      </c>
      <c r="I54" s="25">
        <f>116760-59760</f>
        <v>57000</v>
      </c>
      <c r="J54" s="25">
        <f>190880-116760</f>
        <v>74120</v>
      </c>
      <c r="K54" s="25">
        <v>5000</v>
      </c>
      <c r="L54" s="25">
        <f>207000-195880</f>
        <v>11120</v>
      </c>
      <c r="M54" s="25">
        <f>234120-207000</f>
        <v>27120</v>
      </c>
      <c r="N54" s="25">
        <f>260120-234120</f>
        <v>26000</v>
      </c>
      <c r="O54" s="25">
        <f t="shared" si="2"/>
        <v>200360</v>
      </c>
      <c r="P54" s="25">
        <f t="shared" si="3"/>
        <v>260120</v>
      </c>
    </row>
    <row r="55" spans="1:16" ht="12" customHeight="1" x14ac:dyDescent="0.15">
      <c r="A55" s="6" t="s">
        <v>34</v>
      </c>
      <c r="B55" s="25">
        <v>10000</v>
      </c>
      <c r="C55" s="25">
        <f>68000-10000</f>
        <v>58000</v>
      </c>
      <c r="D55" s="25">
        <v>7000</v>
      </c>
      <c r="E55" s="25">
        <v>24000</v>
      </c>
      <c r="F55" s="25">
        <v>0</v>
      </c>
      <c r="G55" s="25">
        <v>15500</v>
      </c>
      <c r="H55" s="25">
        <f t="shared" si="8"/>
        <v>114500</v>
      </c>
      <c r="I55" s="25">
        <v>3000</v>
      </c>
      <c r="J55" s="25">
        <v>0</v>
      </c>
      <c r="K55" s="25">
        <v>3000</v>
      </c>
      <c r="L55" s="25">
        <v>0</v>
      </c>
      <c r="M55" s="25">
        <v>0</v>
      </c>
      <c r="N55" s="25">
        <v>28800</v>
      </c>
      <c r="O55" s="25">
        <f t="shared" si="2"/>
        <v>34800</v>
      </c>
      <c r="P55" s="25">
        <f t="shared" si="3"/>
        <v>149300</v>
      </c>
    </row>
    <row r="56" spans="1:16" ht="12" customHeight="1" x14ac:dyDescent="0.15">
      <c r="A56" s="6" t="s">
        <v>109</v>
      </c>
      <c r="B56" s="25">
        <v>425108</v>
      </c>
      <c r="C56" s="25">
        <f>916801-425108</f>
        <v>491693</v>
      </c>
      <c r="D56" s="25">
        <f>1431670-916801</f>
        <v>514869</v>
      </c>
      <c r="E56" s="25">
        <f>1919568-1431670</f>
        <v>487898</v>
      </c>
      <c r="F56" s="25">
        <f>2381275-1919568</f>
        <v>461707</v>
      </c>
      <c r="G56" s="25">
        <f>3191646-2381275</f>
        <v>810371</v>
      </c>
      <c r="H56" s="25">
        <f t="shared" si="8"/>
        <v>3191646</v>
      </c>
      <c r="I56" s="25">
        <f>3663465-3191646</f>
        <v>471819</v>
      </c>
      <c r="J56" s="25">
        <f>4158178-3663465</f>
        <v>494713</v>
      </c>
      <c r="K56" s="25">
        <f>4613278-4158178</f>
        <v>455100</v>
      </c>
      <c r="L56" s="25">
        <f>5128671-4613278</f>
        <v>515393</v>
      </c>
      <c r="M56" s="25">
        <f>5570216-5128671</f>
        <v>441545</v>
      </c>
      <c r="N56" s="25">
        <f>5996554-5570216</f>
        <v>426338</v>
      </c>
      <c r="O56" s="25">
        <f t="shared" si="2"/>
        <v>2804908</v>
      </c>
      <c r="P56" s="25">
        <f t="shared" si="3"/>
        <v>5996554</v>
      </c>
    </row>
    <row r="57" spans="1:16" ht="12" customHeight="1" x14ac:dyDescent="0.15">
      <c r="A57" s="6" t="s">
        <v>35</v>
      </c>
      <c r="B57" s="25">
        <v>11556</v>
      </c>
      <c r="C57" s="25">
        <f>38530-11556</f>
        <v>26974</v>
      </c>
      <c r="D57" s="25">
        <f>58029-38530</f>
        <v>19499</v>
      </c>
      <c r="E57" s="25">
        <f>86917-58029</f>
        <v>28888</v>
      </c>
      <c r="F57" s="25">
        <v>5954</v>
      </c>
      <c r="G57" s="25">
        <f>102791-92871</f>
        <v>9920</v>
      </c>
      <c r="H57" s="25">
        <f t="shared" si="8"/>
        <v>102791</v>
      </c>
      <c r="I57" s="25">
        <f>114717-102791</f>
        <v>11926</v>
      </c>
      <c r="J57" s="25">
        <f>126683-114717</f>
        <v>11966</v>
      </c>
      <c r="K57" s="25">
        <v>216</v>
      </c>
      <c r="L57" s="25">
        <f>135139-126899</f>
        <v>8240</v>
      </c>
      <c r="M57" s="25">
        <v>4500</v>
      </c>
      <c r="N57" s="25">
        <f>143962-139639</f>
        <v>4323</v>
      </c>
      <c r="O57" s="25">
        <f t="shared" si="2"/>
        <v>41171</v>
      </c>
      <c r="P57" s="25">
        <f t="shared" si="3"/>
        <v>143962</v>
      </c>
    </row>
    <row r="58" spans="1:16" ht="12" customHeight="1" x14ac:dyDescent="0.15">
      <c r="A58" s="6" t="s">
        <v>110</v>
      </c>
      <c r="B58" s="25">
        <v>77375</v>
      </c>
      <c r="C58" s="25">
        <f>305085-77375</f>
        <v>227710</v>
      </c>
      <c r="D58" s="25">
        <f>321965-305085</f>
        <v>16880</v>
      </c>
      <c r="E58" s="25">
        <v>0</v>
      </c>
      <c r="F58" s="25">
        <f>311995-321965</f>
        <v>-9970</v>
      </c>
      <c r="G58" s="25">
        <f>400565-311995</f>
        <v>88570</v>
      </c>
      <c r="H58" s="25">
        <f t="shared" si="8"/>
        <v>400565</v>
      </c>
      <c r="I58" s="25">
        <v>45820</v>
      </c>
      <c r="J58" s="25">
        <v>0</v>
      </c>
      <c r="K58" s="25">
        <v>0</v>
      </c>
      <c r="L58" s="25">
        <v>530860</v>
      </c>
      <c r="M58" s="25">
        <v>0</v>
      </c>
      <c r="N58" s="25">
        <v>22500</v>
      </c>
      <c r="O58" s="25">
        <f t="shared" si="2"/>
        <v>599180</v>
      </c>
      <c r="P58" s="25">
        <f t="shared" si="3"/>
        <v>999745</v>
      </c>
    </row>
    <row r="59" spans="1:16" ht="12" customHeight="1" x14ac:dyDescent="0.15">
      <c r="A59" s="6" t="s">
        <v>111</v>
      </c>
      <c r="B59" s="25">
        <f>432573+140430</f>
        <v>573003</v>
      </c>
      <c r="C59" s="25">
        <f>1599303-573003</f>
        <v>1026300</v>
      </c>
      <c r="D59" s="25">
        <f>1870772-1599303</f>
        <v>271469</v>
      </c>
      <c r="E59" s="25">
        <f>2296670-1870772</f>
        <v>425898</v>
      </c>
      <c r="F59" s="25">
        <f>2728576-2296670</f>
        <v>431906</v>
      </c>
      <c r="G59" s="25">
        <f>3272813-2728576</f>
        <v>544237</v>
      </c>
      <c r="H59" s="25">
        <f t="shared" si="8"/>
        <v>3272813</v>
      </c>
      <c r="I59" s="25">
        <f>3725770-3272813</f>
        <v>452957</v>
      </c>
      <c r="J59" s="25">
        <f>4001926-3725770</f>
        <v>276156</v>
      </c>
      <c r="K59" s="25">
        <f>4614894-4001926</f>
        <v>612968</v>
      </c>
      <c r="L59" s="25">
        <f>5077415-4614894</f>
        <v>462521</v>
      </c>
      <c r="M59" s="25">
        <f>247310+7020</f>
        <v>254330</v>
      </c>
      <c r="N59" s="25">
        <f>6050104-5331745</f>
        <v>718359</v>
      </c>
      <c r="O59" s="25">
        <f t="shared" si="2"/>
        <v>2777291</v>
      </c>
      <c r="P59" s="25">
        <f t="shared" si="3"/>
        <v>6050104</v>
      </c>
    </row>
    <row r="60" spans="1:16" ht="12" customHeight="1" x14ac:dyDescent="0.15">
      <c r="A60" s="6" t="s">
        <v>112</v>
      </c>
      <c r="B60" s="25">
        <v>0</v>
      </c>
      <c r="C60" s="25">
        <v>0</v>
      </c>
      <c r="D60" s="25">
        <v>60000</v>
      </c>
      <c r="E60" s="25">
        <v>0</v>
      </c>
      <c r="F60" s="25">
        <v>0</v>
      </c>
      <c r="G60" s="25">
        <v>0</v>
      </c>
      <c r="H60" s="25">
        <f t="shared" si="8"/>
        <v>60000</v>
      </c>
      <c r="I60" s="25">
        <v>0</v>
      </c>
      <c r="J60" s="25">
        <v>0</v>
      </c>
      <c r="K60" s="25">
        <v>0</v>
      </c>
      <c r="L60" s="25">
        <v>73418</v>
      </c>
      <c r="M60" s="25">
        <v>97200</v>
      </c>
      <c r="N60" s="25">
        <f>360218-230618</f>
        <v>129600</v>
      </c>
      <c r="O60" s="25">
        <f t="shared" si="2"/>
        <v>300218</v>
      </c>
      <c r="P60" s="25">
        <f t="shared" si="3"/>
        <v>360218</v>
      </c>
    </row>
    <row r="61" spans="1:16" ht="12" customHeight="1" x14ac:dyDescent="0.15">
      <c r="A61" s="6" t="s">
        <v>113</v>
      </c>
      <c r="B61" s="25">
        <v>279872</v>
      </c>
      <c r="C61" s="25">
        <f>561807-279872</f>
        <v>281935</v>
      </c>
      <c r="D61" s="25">
        <f>864575-561807</f>
        <v>302768</v>
      </c>
      <c r="E61" s="25">
        <f>1144447-864575</f>
        <v>279872</v>
      </c>
      <c r="F61" s="25">
        <f>1443759-1144447</f>
        <v>299312</v>
      </c>
      <c r="G61" s="25">
        <f>1839839-1443759</f>
        <v>396080</v>
      </c>
      <c r="H61" s="25">
        <f t="shared" si="8"/>
        <v>1839839</v>
      </c>
      <c r="I61" s="25">
        <f>2194157-1839839</f>
        <v>354318</v>
      </c>
      <c r="J61" s="25">
        <f>2479429-2194157</f>
        <v>285272</v>
      </c>
      <c r="K61" s="25">
        <f>2788569-2479429</f>
        <v>309140</v>
      </c>
      <c r="L61" s="25">
        <f>3073841-2788569</f>
        <v>285272</v>
      </c>
      <c r="M61" s="25">
        <f>3359113-3073841</f>
        <v>285272</v>
      </c>
      <c r="N61" s="25">
        <f>3644385-3359113</f>
        <v>285272</v>
      </c>
      <c r="O61" s="25">
        <f t="shared" si="2"/>
        <v>1804546</v>
      </c>
      <c r="P61" s="25">
        <f t="shared" si="3"/>
        <v>3644385</v>
      </c>
    </row>
    <row r="62" spans="1:16" ht="12" customHeight="1" x14ac:dyDescent="0.15">
      <c r="A62" s="6" t="s">
        <v>121</v>
      </c>
      <c r="B62" s="25">
        <v>295000</v>
      </c>
      <c r="C62" s="25">
        <f>710000-295000</f>
        <v>415000</v>
      </c>
      <c r="D62" s="25">
        <v>295000</v>
      </c>
      <c r="E62" s="25">
        <v>295000</v>
      </c>
      <c r="F62" s="25">
        <v>295000</v>
      </c>
      <c r="G62" s="25">
        <v>295000</v>
      </c>
      <c r="H62" s="25">
        <f t="shared" si="8"/>
        <v>1890000</v>
      </c>
      <c r="I62" s="25">
        <v>295000</v>
      </c>
      <c r="J62" s="25">
        <v>295000</v>
      </c>
      <c r="K62" s="25">
        <v>295000</v>
      </c>
      <c r="L62" s="25">
        <v>295000</v>
      </c>
      <c r="M62" s="25">
        <v>295000</v>
      </c>
      <c r="N62" s="25">
        <v>295000</v>
      </c>
      <c r="O62" s="25">
        <f t="shared" si="2"/>
        <v>1770000</v>
      </c>
      <c r="P62" s="25">
        <f t="shared" si="3"/>
        <v>3660000</v>
      </c>
    </row>
    <row r="63" spans="1:16" ht="12" customHeight="1" x14ac:dyDescent="0.15">
      <c r="A63" s="6" t="s">
        <v>122</v>
      </c>
      <c r="B63" s="49">
        <v>0</v>
      </c>
      <c r="C63" s="25">
        <v>347000</v>
      </c>
      <c r="D63" s="25">
        <v>0</v>
      </c>
      <c r="E63" s="25">
        <f>402400-347000</f>
        <v>55400</v>
      </c>
      <c r="F63" s="25">
        <v>8</v>
      </c>
      <c r="G63" s="25">
        <f>376458-402408</f>
        <v>-25950</v>
      </c>
      <c r="H63" s="25">
        <f t="shared" si="8"/>
        <v>376458</v>
      </c>
      <c r="I63" s="25">
        <v>0</v>
      </c>
      <c r="J63" s="25">
        <v>1000</v>
      </c>
      <c r="K63" s="25">
        <f>447508-377458</f>
        <v>70050</v>
      </c>
      <c r="L63" s="25">
        <v>0</v>
      </c>
      <c r="M63" s="25">
        <f>496515-447508</f>
        <v>49007</v>
      </c>
      <c r="N63" s="25">
        <v>1000</v>
      </c>
      <c r="O63" s="25">
        <f t="shared" si="2"/>
        <v>121057</v>
      </c>
      <c r="P63" s="25">
        <f t="shared" si="3"/>
        <v>497515</v>
      </c>
    </row>
    <row r="64" spans="1:16" ht="12" customHeight="1" x14ac:dyDescent="0.15">
      <c r="A64" s="6" t="s">
        <v>37</v>
      </c>
      <c r="B64" s="25">
        <v>6480</v>
      </c>
      <c r="C64" s="25">
        <f>186156-6480</f>
        <v>179676</v>
      </c>
      <c r="D64" s="25">
        <f>486308-186156</f>
        <v>300152</v>
      </c>
      <c r="E64" s="25">
        <f>599901-486308</f>
        <v>113593</v>
      </c>
      <c r="F64" s="25">
        <f>671288-599901</f>
        <v>71387</v>
      </c>
      <c r="G64" s="25">
        <f>1070456-671288</f>
        <v>399168</v>
      </c>
      <c r="H64" s="25">
        <f t="shared" si="8"/>
        <v>1070456</v>
      </c>
      <c r="I64" s="25">
        <f>1291249-1070456</f>
        <v>220793</v>
      </c>
      <c r="J64" s="25">
        <f>1366610-1291249</f>
        <v>75361</v>
      </c>
      <c r="K64" s="25">
        <f>1570102-1366610</f>
        <v>203492</v>
      </c>
      <c r="L64" s="25">
        <f>1635278-1570102</f>
        <v>65176</v>
      </c>
      <c r="M64" s="25">
        <f>1688282-1635278</f>
        <v>53004</v>
      </c>
      <c r="N64" s="25">
        <f>1830842-1688282</f>
        <v>142560</v>
      </c>
      <c r="O64" s="25">
        <f t="shared" si="2"/>
        <v>760386</v>
      </c>
      <c r="P64" s="25">
        <f t="shared" si="3"/>
        <v>1830842</v>
      </c>
    </row>
    <row r="65" spans="1:16" ht="12" customHeight="1" x14ac:dyDescent="0.15">
      <c r="A65" s="6" t="s">
        <v>114</v>
      </c>
      <c r="B65" s="25">
        <v>18900</v>
      </c>
      <c r="C65" s="25">
        <v>0</v>
      </c>
      <c r="D65" s="25">
        <v>0</v>
      </c>
      <c r="E65" s="25">
        <v>0</v>
      </c>
      <c r="F65" s="25">
        <f>28652-18900</f>
        <v>9752</v>
      </c>
      <c r="G65" s="25">
        <f>33392-28652</f>
        <v>4740</v>
      </c>
      <c r="H65" s="25">
        <f t="shared" si="8"/>
        <v>33392</v>
      </c>
      <c r="I65" s="25">
        <f>107607-33392</f>
        <v>74215</v>
      </c>
      <c r="J65" s="25">
        <f>174673-107607</f>
        <v>67066</v>
      </c>
      <c r="K65" s="25">
        <v>3370</v>
      </c>
      <c r="L65" s="25">
        <v>0</v>
      </c>
      <c r="M65" s="25">
        <v>0</v>
      </c>
      <c r="N65" s="25">
        <v>0</v>
      </c>
      <c r="O65" s="25">
        <f t="shared" si="2"/>
        <v>144651</v>
      </c>
      <c r="P65" s="25">
        <f t="shared" si="3"/>
        <v>178043</v>
      </c>
    </row>
    <row r="66" spans="1:16" ht="12" customHeight="1" x14ac:dyDescent="0.15">
      <c r="A66" s="53" t="s">
        <v>115</v>
      </c>
      <c r="B66" s="25">
        <v>382171</v>
      </c>
      <c r="C66" s="25">
        <f>774532-382171</f>
        <v>392361</v>
      </c>
      <c r="D66" s="25">
        <f>1115671-774532</f>
        <v>341139</v>
      </c>
      <c r="E66" s="25">
        <f>1637016-1115671</f>
        <v>521345</v>
      </c>
      <c r="F66" s="25">
        <f>2070856-1637016</f>
        <v>433840</v>
      </c>
      <c r="G66" s="25">
        <f>2424288-2070856</f>
        <v>353432</v>
      </c>
      <c r="H66" s="25">
        <f t="shared" si="8"/>
        <v>2424288</v>
      </c>
      <c r="I66" s="25">
        <f>3166429-2424288</f>
        <v>742141</v>
      </c>
      <c r="J66" s="25">
        <f>3627772-3166429</f>
        <v>461343</v>
      </c>
      <c r="K66" s="25">
        <f>4107183-3627772</f>
        <v>479411</v>
      </c>
      <c r="L66" s="25">
        <f>4549979-4107183</f>
        <v>442796</v>
      </c>
      <c r="M66" s="25">
        <f>4861450-4549979</f>
        <v>311471</v>
      </c>
      <c r="N66" s="25">
        <f>5495669-4861450</f>
        <v>634219</v>
      </c>
      <c r="O66" s="25">
        <f t="shared" si="2"/>
        <v>3071381</v>
      </c>
      <c r="P66" s="25">
        <f t="shared" si="3"/>
        <v>5495669</v>
      </c>
    </row>
    <row r="67" spans="1:16" ht="12" customHeight="1" x14ac:dyDescent="0.15">
      <c r="A67" s="6" t="s">
        <v>46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3545512</v>
      </c>
      <c r="H67" s="25">
        <f t="shared" si="8"/>
        <v>3545512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f>7593202-3545512</f>
        <v>4047690</v>
      </c>
      <c r="O67" s="25">
        <f t="shared" si="2"/>
        <v>4047690</v>
      </c>
      <c r="P67" s="25">
        <f t="shared" si="3"/>
        <v>7593202</v>
      </c>
    </row>
    <row r="68" spans="1:16" ht="12" customHeight="1" x14ac:dyDescent="0.15">
      <c r="A68" s="54" t="s">
        <v>29</v>
      </c>
      <c r="B68" s="32">
        <f t="shared" ref="B68:N68" si="10">B36+B42</f>
        <v>15684901</v>
      </c>
      <c r="C68" s="32">
        <f t="shared" si="10"/>
        <v>16326529</v>
      </c>
      <c r="D68" s="32">
        <f t="shared" si="10"/>
        <v>15542775</v>
      </c>
      <c r="E68" s="32">
        <f t="shared" si="10"/>
        <v>23130650</v>
      </c>
      <c r="F68" s="32">
        <f t="shared" si="10"/>
        <v>15360884</v>
      </c>
      <c r="G68" s="32">
        <f t="shared" si="10"/>
        <v>19550093</v>
      </c>
      <c r="H68" s="32">
        <f t="shared" si="8"/>
        <v>105595832</v>
      </c>
      <c r="I68" s="32">
        <f t="shared" si="10"/>
        <v>15942534</v>
      </c>
      <c r="J68" s="32">
        <f t="shared" si="10"/>
        <v>24955491</v>
      </c>
      <c r="K68" s="32">
        <f t="shared" si="10"/>
        <v>15595736</v>
      </c>
      <c r="L68" s="32">
        <f t="shared" si="10"/>
        <v>16109645</v>
      </c>
      <c r="M68" s="32">
        <f t="shared" si="10"/>
        <v>15342756</v>
      </c>
      <c r="N68" s="32">
        <f t="shared" si="10"/>
        <v>25048605</v>
      </c>
      <c r="O68" s="32">
        <f t="shared" si="2"/>
        <v>112994767</v>
      </c>
      <c r="P68" s="32">
        <f t="shared" si="3"/>
        <v>218590599</v>
      </c>
    </row>
    <row r="69" spans="1:16" ht="12" customHeight="1" x14ac:dyDescent="0.15">
      <c r="A69" s="54" t="s">
        <v>61</v>
      </c>
      <c r="B69" s="32">
        <f t="shared" ref="B69:G69" si="11">B33-B68</f>
        <v>1842451</v>
      </c>
      <c r="C69" s="32">
        <f t="shared" si="11"/>
        <v>3089410</v>
      </c>
      <c r="D69" s="32">
        <f t="shared" si="11"/>
        <v>3765960</v>
      </c>
      <c r="E69" s="32">
        <f t="shared" si="11"/>
        <v>-3915131</v>
      </c>
      <c r="F69" s="32">
        <f t="shared" si="11"/>
        <v>3201843</v>
      </c>
      <c r="G69" s="32">
        <f t="shared" si="11"/>
        <v>-460755</v>
      </c>
      <c r="H69" s="32">
        <f t="shared" si="8"/>
        <v>7523778</v>
      </c>
      <c r="I69" s="32">
        <f t="shared" ref="I69:N69" si="12">I33-I68</f>
        <v>3479603</v>
      </c>
      <c r="J69" s="32">
        <f t="shared" si="12"/>
        <v>-5628613</v>
      </c>
      <c r="K69" s="32">
        <f t="shared" si="12"/>
        <v>1889432</v>
      </c>
      <c r="L69" s="32">
        <f t="shared" si="12"/>
        <v>569013</v>
      </c>
      <c r="M69" s="32">
        <f t="shared" si="12"/>
        <v>-24991</v>
      </c>
      <c r="N69" s="32">
        <f t="shared" si="12"/>
        <v>-5880214</v>
      </c>
      <c r="O69" s="32">
        <f t="shared" si="2"/>
        <v>-5595770</v>
      </c>
      <c r="P69" s="32">
        <f t="shared" si="3"/>
        <v>1928008</v>
      </c>
    </row>
    <row r="70" spans="1:16" ht="12" customHeight="1" x14ac:dyDescent="0.15">
      <c r="A70" s="23" t="s">
        <v>126</v>
      </c>
      <c r="B70" s="25">
        <v>4</v>
      </c>
      <c r="C70" s="25">
        <v>0</v>
      </c>
      <c r="D70" s="25">
        <v>0</v>
      </c>
      <c r="E70" s="25">
        <v>0</v>
      </c>
      <c r="F70" s="25">
        <f>71-4</f>
        <v>67</v>
      </c>
      <c r="G70" s="25">
        <v>3</v>
      </c>
      <c r="H70" s="32">
        <f t="shared" si="8"/>
        <v>74</v>
      </c>
      <c r="I70" s="25">
        <v>3</v>
      </c>
      <c r="J70" s="25">
        <v>0</v>
      </c>
      <c r="K70" s="25">
        <v>0</v>
      </c>
      <c r="L70" s="25">
        <v>0</v>
      </c>
      <c r="M70" s="25">
        <f>147-77</f>
        <v>70</v>
      </c>
      <c r="N70" s="25">
        <v>2</v>
      </c>
      <c r="O70" s="32">
        <f t="shared" si="2"/>
        <v>75</v>
      </c>
      <c r="P70" s="32">
        <f t="shared" si="3"/>
        <v>149</v>
      </c>
    </row>
    <row r="71" spans="1:16" ht="12" customHeight="1" x14ac:dyDescent="0.15">
      <c r="A71" s="23" t="s">
        <v>127</v>
      </c>
      <c r="B71" s="25">
        <f>11578+16293</f>
        <v>27871</v>
      </c>
      <c r="C71" s="25">
        <f>11813+16950+4438</f>
        <v>33201</v>
      </c>
      <c r="D71" s="25">
        <f>10219+14972+77440-4438</f>
        <v>98193</v>
      </c>
      <c r="E71" s="25">
        <f>10404+15589+28178+2000</f>
        <v>56171</v>
      </c>
      <c r="F71" s="25">
        <f>9883+15173</f>
        <v>25056</v>
      </c>
      <c r="G71" s="25">
        <f>9061+14281+500+800+468</f>
        <v>25110</v>
      </c>
      <c r="H71" s="32">
        <f t="shared" si="8"/>
        <v>265602</v>
      </c>
      <c r="I71" s="25">
        <f>9414+15266+8829</f>
        <v>33509</v>
      </c>
      <c r="J71" s="25">
        <f>7517+12577+27945+132683-90037</f>
        <v>90685</v>
      </c>
      <c r="K71" s="25">
        <f>80141-79889+121537-121101+140966-132683+21657</f>
        <v>30628</v>
      </c>
      <c r="L71" s="25">
        <f>4136+21987</f>
        <v>26123</v>
      </c>
      <c r="M71" s="25">
        <v>26983</v>
      </c>
      <c r="N71" s="25">
        <f>19923+28876+1</f>
        <v>48800</v>
      </c>
      <c r="O71" s="32">
        <f t="shared" si="2"/>
        <v>256728</v>
      </c>
      <c r="P71" s="32">
        <f t="shared" si="3"/>
        <v>522330</v>
      </c>
    </row>
    <row r="72" spans="1:16" ht="12" customHeight="1" x14ac:dyDescent="0.15">
      <c r="A72" s="54" t="s">
        <v>60</v>
      </c>
      <c r="B72" s="33">
        <f t="shared" ref="B72:G72" si="13">B69+B70-B71</f>
        <v>1814584</v>
      </c>
      <c r="C72" s="33">
        <f t="shared" si="13"/>
        <v>3056209</v>
      </c>
      <c r="D72" s="33">
        <f t="shared" si="13"/>
        <v>3667767</v>
      </c>
      <c r="E72" s="33">
        <f t="shared" si="13"/>
        <v>-3971302</v>
      </c>
      <c r="F72" s="33">
        <f t="shared" si="13"/>
        <v>3176854</v>
      </c>
      <c r="G72" s="33">
        <f t="shared" si="13"/>
        <v>-485862</v>
      </c>
      <c r="H72" s="32">
        <f t="shared" si="8"/>
        <v>7258250</v>
      </c>
      <c r="I72" s="33">
        <f t="shared" ref="I72:N72" si="14">I69+I70-I71</f>
        <v>3446097</v>
      </c>
      <c r="J72" s="33">
        <f t="shared" si="14"/>
        <v>-5719298</v>
      </c>
      <c r="K72" s="33">
        <f t="shared" si="14"/>
        <v>1858804</v>
      </c>
      <c r="L72" s="33">
        <f t="shared" si="14"/>
        <v>542890</v>
      </c>
      <c r="M72" s="33">
        <f t="shared" si="14"/>
        <v>-51904</v>
      </c>
      <c r="N72" s="33">
        <f t="shared" si="14"/>
        <v>-5929012</v>
      </c>
      <c r="O72" s="32">
        <f t="shared" si="2"/>
        <v>-5852423</v>
      </c>
      <c r="P72" s="32">
        <f t="shared" si="3"/>
        <v>1405827</v>
      </c>
    </row>
    <row r="73" spans="1:16" ht="12" customHeight="1" x14ac:dyDescent="0.15">
      <c r="A73" s="26" t="s">
        <v>116</v>
      </c>
      <c r="B73" s="25">
        <v>416000</v>
      </c>
      <c r="C73" s="25">
        <v>416000</v>
      </c>
      <c r="D73" s="25">
        <v>416000</v>
      </c>
      <c r="E73" s="25">
        <v>416000</v>
      </c>
      <c r="F73" s="25">
        <v>416000</v>
      </c>
      <c r="G73" s="25">
        <v>416000</v>
      </c>
      <c r="H73" s="32">
        <f t="shared" si="8"/>
        <v>2496000</v>
      </c>
      <c r="I73" s="6">
        <v>416000</v>
      </c>
      <c r="J73" s="6">
        <v>416000</v>
      </c>
      <c r="K73" s="25">
        <v>416000</v>
      </c>
      <c r="L73" s="25">
        <v>416000</v>
      </c>
      <c r="M73" s="25">
        <v>416000</v>
      </c>
      <c r="N73" s="25">
        <v>416000</v>
      </c>
      <c r="O73" s="25">
        <f t="shared" si="2"/>
        <v>2496000</v>
      </c>
      <c r="P73" s="25">
        <f t="shared" si="3"/>
        <v>4992000</v>
      </c>
    </row>
  </sheetData>
  <mergeCells count="1">
    <mergeCell ref="C1:H1"/>
  </mergeCells>
  <phoneticPr fontId="3"/>
  <pageMargins left="0.51181102362204722" right="0.19685039370078741" top="0" bottom="0" header="0.23622047244094491" footer="0.27559055118110237"/>
  <pageSetup paperSize="8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64E4-CDC8-4657-A206-32C222AE71A7}">
  <dimension ref="A1:P73"/>
  <sheetViews>
    <sheetView topLeftCell="A55" workbookViewId="0">
      <pane xSplit="1" topLeftCell="L1" activePane="topRight" state="frozen"/>
      <selection activeCell="A10" sqref="A10"/>
      <selection pane="topRight" activeCell="M1" sqref="M1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72" t="s">
        <v>352</v>
      </c>
      <c r="D1" s="172"/>
      <c r="E1" s="172"/>
      <c r="F1" s="172"/>
      <c r="G1" s="172"/>
      <c r="H1" s="172"/>
    </row>
    <row r="2" spans="1:16" ht="12" customHeight="1" x14ac:dyDescent="0.15">
      <c r="A2" s="26" t="s">
        <v>43</v>
      </c>
      <c r="B2" s="45" t="s">
        <v>340</v>
      </c>
      <c r="C2" s="26" t="s">
        <v>341</v>
      </c>
      <c r="D2" s="45" t="s">
        <v>342</v>
      </c>
      <c r="E2" s="26" t="s">
        <v>343</v>
      </c>
      <c r="F2" s="45" t="s">
        <v>344</v>
      </c>
      <c r="G2" s="26" t="s">
        <v>345</v>
      </c>
      <c r="H2" s="26" t="s">
        <v>39</v>
      </c>
      <c r="I2" s="26" t="s">
        <v>346</v>
      </c>
      <c r="J2" s="26" t="s">
        <v>347</v>
      </c>
      <c r="K2" s="26" t="s">
        <v>348</v>
      </c>
      <c r="L2" s="26" t="s">
        <v>349</v>
      </c>
      <c r="M2" s="26" t="s">
        <v>350</v>
      </c>
      <c r="N2" s="26" t="s">
        <v>351</v>
      </c>
      <c r="O2" s="26" t="s">
        <v>41</v>
      </c>
      <c r="P2" s="26" t="s">
        <v>42</v>
      </c>
    </row>
    <row r="3" spans="1:16" ht="12" customHeight="1" x14ac:dyDescent="0.15">
      <c r="A3" s="24" t="s">
        <v>259</v>
      </c>
      <c r="B3" s="46" t="s">
        <v>40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2" customHeight="1" x14ac:dyDescent="0.15">
      <c r="A4" s="24" t="s">
        <v>0</v>
      </c>
      <c r="B4" s="32">
        <f>SUM(B5:B7)</f>
        <v>95000</v>
      </c>
      <c r="C4" s="32">
        <f t="shared" ref="C4:N4" si="0">SUM(C5:C7)</f>
        <v>35000</v>
      </c>
      <c r="D4" s="32">
        <f t="shared" si="0"/>
        <v>8000</v>
      </c>
      <c r="E4" s="32">
        <f t="shared" si="0"/>
        <v>11000</v>
      </c>
      <c r="F4" s="32">
        <f t="shared" si="0"/>
        <v>7000</v>
      </c>
      <c r="G4" s="32">
        <f t="shared" si="0"/>
        <v>5000</v>
      </c>
      <c r="H4" s="32">
        <f t="shared" ref="H4:H33" si="1">SUM(B4:G4)</f>
        <v>161000</v>
      </c>
      <c r="I4" s="32">
        <f t="shared" si="0"/>
        <v>9000</v>
      </c>
      <c r="J4" s="32">
        <f t="shared" si="0"/>
        <v>1000</v>
      </c>
      <c r="K4" s="32">
        <f t="shared" si="0"/>
        <v>1000</v>
      </c>
      <c r="L4" s="32">
        <f t="shared" si="0"/>
        <v>7000</v>
      </c>
      <c r="M4" s="32">
        <f t="shared" si="0"/>
        <v>4000</v>
      </c>
      <c r="N4" s="32">
        <f t="shared" si="0"/>
        <v>8000</v>
      </c>
      <c r="O4" s="32">
        <f>SUM(I4:N4)</f>
        <v>30000</v>
      </c>
      <c r="P4" s="32">
        <f>H4+O4</f>
        <v>191000</v>
      </c>
    </row>
    <row r="5" spans="1:16" ht="12" customHeight="1" x14ac:dyDescent="0.15">
      <c r="A5" s="21" t="s">
        <v>1</v>
      </c>
      <c r="B5" s="25">
        <v>85000</v>
      </c>
      <c r="C5" s="25">
        <v>3000</v>
      </c>
      <c r="D5" s="25">
        <v>1000</v>
      </c>
      <c r="E5" s="25">
        <v>0</v>
      </c>
      <c r="F5" s="25">
        <v>0</v>
      </c>
      <c r="G5" s="25">
        <v>0</v>
      </c>
      <c r="H5" s="25">
        <f t="shared" si="1"/>
        <v>89000</v>
      </c>
      <c r="I5" s="25">
        <v>2000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f t="shared" ref="O5:O73" si="2">SUM(I5:N5)</f>
        <v>2000</v>
      </c>
      <c r="P5" s="25">
        <f t="shared" ref="P5:P73" si="3">H5+O5</f>
        <v>91000</v>
      </c>
    </row>
    <row r="6" spans="1:16" ht="12" customHeight="1" x14ac:dyDescent="0.15">
      <c r="A6" s="21" t="s">
        <v>2</v>
      </c>
      <c r="B6" s="25">
        <v>7000</v>
      </c>
      <c r="C6" s="25">
        <f>36000-7000</f>
        <v>29000</v>
      </c>
      <c r="D6" s="25">
        <v>6000</v>
      </c>
      <c r="E6" s="25">
        <v>10000</v>
      </c>
      <c r="F6" s="25">
        <v>7000</v>
      </c>
      <c r="G6" s="25">
        <v>4000</v>
      </c>
      <c r="H6" s="25">
        <f t="shared" si="1"/>
        <v>63000</v>
      </c>
      <c r="I6" s="25">
        <v>6000</v>
      </c>
      <c r="J6" s="25">
        <v>1000</v>
      </c>
      <c r="K6" s="25">
        <v>1000</v>
      </c>
      <c r="L6" s="25">
        <v>5000</v>
      </c>
      <c r="M6" s="25">
        <v>3000</v>
      </c>
      <c r="N6" s="25">
        <v>6000</v>
      </c>
      <c r="O6" s="25">
        <f t="shared" si="2"/>
        <v>22000</v>
      </c>
      <c r="P6" s="25">
        <f t="shared" si="3"/>
        <v>85000</v>
      </c>
    </row>
    <row r="7" spans="1:16" ht="12" customHeight="1" x14ac:dyDescent="0.15">
      <c r="A7" s="21" t="s">
        <v>3</v>
      </c>
      <c r="B7" s="25">
        <v>3000</v>
      </c>
      <c r="C7" s="25">
        <v>3000</v>
      </c>
      <c r="D7" s="25">
        <v>1000</v>
      </c>
      <c r="E7" s="25">
        <v>1000</v>
      </c>
      <c r="F7" s="25">
        <v>0</v>
      </c>
      <c r="G7" s="25">
        <v>1000</v>
      </c>
      <c r="H7" s="25">
        <f t="shared" si="1"/>
        <v>9000</v>
      </c>
      <c r="I7" s="25">
        <v>1000</v>
      </c>
      <c r="J7" s="25">
        <v>0</v>
      </c>
      <c r="K7" s="25">
        <v>0</v>
      </c>
      <c r="L7" s="25">
        <v>2000</v>
      </c>
      <c r="M7" s="25">
        <v>1000</v>
      </c>
      <c r="N7" s="25">
        <v>2000</v>
      </c>
      <c r="O7" s="25">
        <f t="shared" si="2"/>
        <v>6000</v>
      </c>
      <c r="P7" s="25">
        <f t="shared" si="3"/>
        <v>15000</v>
      </c>
    </row>
    <row r="8" spans="1:16" ht="12" customHeight="1" x14ac:dyDescent="0.15">
      <c r="A8" s="24" t="s">
        <v>4</v>
      </c>
      <c r="B8" s="32">
        <f t="shared" ref="B8:G8" si="4">SUM(B9:B28)</f>
        <v>17419682</v>
      </c>
      <c r="C8" s="32">
        <f t="shared" si="4"/>
        <v>19053242</v>
      </c>
      <c r="D8" s="32">
        <f t="shared" si="4"/>
        <v>17979874</v>
      </c>
      <c r="E8" s="32">
        <f t="shared" si="4"/>
        <v>18938278</v>
      </c>
      <c r="F8" s="32">
        <f t="shared" si="4"/>
        <v>18597302</v>
      </c>
      <c r="G8" s="32">
        <f t="shared" si="4"/>
        <v>17598632</v>
      </c>
      <c r="H8" s="32">
        <f t="shared" si="1"/>
        <v>109587010</v>
      </c>
      <c r="I8" s="32">
        <f t="shared" ref="I8:N8" si="5">SUM(I9:I28)</f>
        <v>19044406</v>
      </c>
      <c r="J8" s="32">
        <f t="shared" si="5"/>
        <v>17058024</v>
      </c>
      <c r="K8" s="32">
        <f t="shared" si="5"/>
        <v>16413400</v>
      </c>
      <c r="L8" s="32">
        <f t="shared" si="5"/>
        <v>15931044</v>
      </c>
      <c r="M8" s="32">
        <f t="shared" si="5"/>
        <v>15905920</v>
      </c>
      <c r="N8" s="32">
        <f t="shared" si="5"/>
        <v>18343159</v>
      </c>
      <c r="O8" s="32">
        <f t="shared" si="2"/>
        <v>102695953</v>
      </c>
      <c r="P8" s="32">
        <f t="shared" si="3"/>
        <v>212282963</v>
      </c>
    </row>
    <row r="9" spans="1:16" ht="12" customHeight="1" x14ac:dyDescent="0.15">
      <c r="A9" s="47" t="s">
        <v>94</v>
      </c>
      <c r="B9" s="25">
        <v>2974140</v>
      </c>
      <c r="C9" s="25">
        <f>5984370-2974140</f>
        <v>3010230</v>
      </c>
      <c r="D9" s="25">
        <f>9059020-5984370</f>
        <v>3074650</v>
      </c>
      <c r="E9" s="25">
        <f>12064780-9059020</f>
        <v>3005760</v>
      </c>
      <c r="F9" s="25">
        <f>14958500-12064780</f>
        <v>2893720</v>
      </c>
      <c r="G9" s="25">
        <v>2987560</v>
      </c>
      <c r="H9" s="25">
        <f t="shared" si="1"/>
        <v>17946060</v>
      </c>
      <c r="I9" s="25">
        <f>20996010-17946060</f>
        <v>3049950</v>
      </c>
      <c r="J9" s="25">
        <f>23981890-20996010</f>
        <v>2985880</v>
      </c>
      <c r="K9" s="25">
        <f>26993620-23981890</f>
        <v>3011730</v>
      </c>
      <c r="L9" s="25">
        <f>29914750-26993620</f>
        <v>2921130</v>
      </c>
      <c r="M9" s="25">
        <f>32806000-29914750</f>
        <v>2891250</v>
      </c>
      <c r="N9" s="25">
        <f>35817850-32806000</f>
        <v>3011850</v>
      </c>
      <c r="O9" s="25">
        <f t="shared" si="2"/>
        <v>17871790</v>
      </c>
      <c r="P9" s="25">
        <f t="shared" si="3"/>
        <v>35817850</v>
      </c>
    </row>
    <row r="10" spans="1:16" ht="12" customHeight="1" x14ac:dyDescent="0.15">
      <c r="A10" s="48" t="s">
        <v>247</v>
      </c>
      <c r="B10" s="25">
        <v>17200</v>
      </c>
      <c r="C10" s="25">
        <v>17200</v>
      </c>
      <c r="D10" s="25">
        <v>17200</v>
      </c>
      <c r="E10" s="25">
        <v>24500</v>
      </c>
      <c r="F10" s="25">
        <v>17200</v>
      </c>
      <c r="G10" s="25">
        <v>31800</v>
      </c>
      <c r="H10" s="25">
        <f t="shared" si="1"/>
        <v>125100</v>
      </c>
      <c r="I10" s="25">
        <v>40400</v>
      </c>
      <c r="J10" s="25">
        <v>30100</v>
      </c>
      <c r="K10" s="25">
        <v>30100</v>
      </c>
      <c r="L10" s="25">
        <v>25800</v>
      </c>
      <c r="M10" s="25" ph="1">
        <v>21500</v>
      </c>
      <c r="N10" s="25">
        <v>21500</v>
      </c>
      <c r="O10" s="25">
        <f t="shared" si="2"/>
        <v>169400</v>
      </c>
      <c r="P10" s="25">
        <f t="shared" si="3"/>
        <v>294500</v>
      </c>
    </row>
    <row r="11" spans="1:16" ht="12" customHeight="1" x14ac:dyDescent="0.15">
      <c r="A11" s="48" t="s">
        <v>319</v>
      </c>
      <c r="B11" s="25">
        <v>9072</v>
      </c>
      <c r="C11" s="25">
        <v>39312</v>
      </c>
      <c r="D11" s="25">
        <v>33264</v>
      </c>
      <c r="E11" s="25">
        <v>51408</v>
      </c>
      <c r="F11" s="25">
        <v>24192</v>
      </c>
      <c r="G11" s="25">
        <v>39312</v>
      </c>
      <c r="H11" s="25">
        <f t="shared" si="1"/>
        <v>196560</v>
      </c>
      <c r="I11" s="25">
        <v>27216</v>
      </c>
      <c r="J11" s="25">
        <v>33264</v>
      </c>
      <c r="K11" s="25">
        <v>45360</v>
      </c>
      <c r="L11" s="25">
        <v>18144</v>
      </c>
      <c r="M11" s="25">
        <v>30240</v>
      </c>
      <c r="N11" s="25">
        <v>48384</v>
      </c>
      <c r="O11" s="25">
        <f t="shared" si="2"/>
        <v>202608</v>
      </c>
      <c r="P11" s="25">
        <f t="shared" si="3"/>
        <v>399168</v>
      </c>
    </row>
    <row r="12" spans="1:16" ht="12" customHeight="1" x14ac:dyDescent="0.15">
      <c r="A12" s="47" t="s">
        <v>95</v>
      </c>
      <c r="B12" s="49">
        <f>5600010-334200-20400+4417930-283200</f>
        <v>9380140</v>
      </c>
      <c r="C12" s="25">
        <f>11303840-5600010-356400-7800+9068560-4417930-306100</f>
        <v>9684160</v>
      </c>
      <c r="D12" s="25">
        <f>16212250-11303840-312600+13705300-9068560-308400</f>
        <v>8924150</v>
      </c>
      <c r="E12" s="25">
        <f>21185540-16212250-315000-6600+18661690-13705300-320300</f>
        <v>9287780</v>
      </c>
      <c r="F12" s="25">
        <f>25841320-21185540-301800+23598690-18661690-321200</f>
        <v>8969780</v>
      </c>
      <c r="G12" s="25">
        <v>8639700</v>
      </c>
      <c r="H12" s="25">
        <f t="shared" si="1"/>
        <v>54885710</v>
      </c>
      <c r="I12" s="25">
        <f>36038350-30627210-319200-19800+32421940-28063800-292200-4000</f>
        <v>9134080</v>
      </c>
      <c r="J12" s="25">
        <f>40659280-36038350-282000-7800+36527140-32421940-273700-1200</f>
        <v>8161430</v>
      </c>
      <c r="K12" s="25">
        <f>44802320-40659280-263400+40618840-36527140-260100-18000</f>
        <v>7693240</v>
      </c>
      <c r="L12" s="25">
        <f>48878700-44802320-260400+44516970-40618840-257800-1200-2400</f>
        <v>7452710</v>
      </c>
      <c r="M12" s="25">
        <f>52842490-48878700-249700-2400+48545890-44516970-270200</f>
        <v>7470410</v>
      </c>
      <c r="N12" s="25">
        <f>57028470-52842490-267100-600+53262280-48545890-318000</f>
        <v>8316670</v>
      </c>
      <c r="O12" s="25">
        <f t="shared" si="2"/>
        <v>48228540</v>
      </c>
      <c r="P12" s="25">
        <f t="shared" si="3"/>
        <v>103114250</v>
      </c>
    </row>
    <row r="13" spans="1:16" ht="12" customHeight="1" x14ac:dyDescent="0.15">
      <c r="A13" s="21" t="s">
        <v>58</v>
      </c>
      <c r="B13" s="25">
        <f>283200+334200+20400</f>
        <v>637800</v>
      </c>
      <c r="C13" s="25">
        <f>356400+7800+306100</f>
        <v>670300</v>
      </c>
      <c r="D13" s="25">
        <f>312600+308400</f>
        <v>621000</v>
      </c>
      <c r="E13" s="25">
        <f>315000+6600+320300</f>
        <v>641900</v>
      </c>
      <c r="F13" s="25">
        <f>301800+321200</f>
        <v>623000</v>
      </c>
      <c r="G13" s="25">
        <v>611300</v>
      </c>
      <c r="H13" s="25">
        <f t="shared" si="1"/>
        <v>3805300</v>
      </c>
      <c r="I13" s="25">
        <f>319200+19800+292200+4000</f>
        <v>635200</v>
      </c>
      <c r="J13" s="25">
        <f>273700+1200+282000+7800</f>
        <v>564700</v>
      </c>
      <c r="K13" s="25">
        <f>260100+18000+263400</f>
        <v>541500</v>
      </c>
      <c r="L13" s="25">
        <f>260400+257800+1200+2400</f>
        <v>521800</v>
      </c>
      <c r="M13" s="25">
        <f>249700+2400+270200</f>
        <v>522300</v>
      </c>
      <c r="N13" s="25">
        <f>318000+600+267100</f>
        <v>585700</v>
      </c>
      <c r="O13" s="25">
        <f t="shared" si="2"/>
        <v>3371200</v>
      </c>
      <c r="P13" s="25">
        <f t="shared" si="3"/>
        <v>7176500</v>
      </c>
    </row>
    <row r="14" spans="1:16" ht="12" customHeight="1" x14ac:dyDescent="0.15">
      <c r="A14" s="47" t="s">
        <v>96</v>
      </c>
      <c r="B14" s="25">
        <f>574230-58800+230720-23400</f>
        <v>722750</v>
      </c>
      <c r="C14" s="25">
        <f>1162920-574230-67200+460240-230720-24000</f>
        <v>727010</v>
      </c>
      <c r="D14" s="25">
        <f>1786390-1162920-66000+671760-460240-25200</f>
        <v>743790</v>
      </c>
      <c r="E14" s="25">
        <f>2456020-1786390-3000-67200-2400+883880-671760-25200</f>
        <v>783950</v>
      </c>
      <c r="F14" s="25">
        <f>3239630-2456020-78000-3000+1093600-883880-23400</f>
        <v>888930</v>
      </c>
      <c r="G14" s="25">
        <v>764940</v>
      </c>
      <c r="H14" s="25">
        <f t="shared" si="1"/>
        <v>4631370</v>
      </c>
      <c r="I14" s="25">
        <f>4615120-3923630-73500+1403630-1261540-15000</f>
        <v>745080</v>
      </c>
      <c r="J14" s="25">
        <f>5304460-4615120-73800+1528590-1403630-12000</f>
        <v>728500</v>
      </c>
      <c r="K14" s="25">
        <f>5984860-5304460-61200+1692930-1528590-15000</f>
        <v>768540</v>
      </c>
      <c r="L14" s="25">
        <f>6719590-5984860-63200-600-2400+1870160-1692930-13700-1200</f>
        <v>830860</v>
      </c>
      <c r="M14" s="25">
        <f>7412910-6719590-71400-600+2030700-1870160-14400</f>
        <v>767460</v>
      </c>
      <c r="N14" s="25">
        <f>8100170-7412910-72000+2194150-2030700-16800</f>
        <v>761910</v>
      </c>
      <c r="O14" s="25">
        <f t="shared" si="2"/>
        <v>4602350</v>
      </c>
      <c r="P14" s="25">
        <f t="shared" si="3"/>
        <v>9233720</v>
      </c>
    </row>
    <row r="15" spans="1:16" ht="12" customHeight="1" x14ac:dyDescent="0.15">
      <c r="A15" s="21" t="s">
        <v>59</v>
      </c>
      <c r="B15" s="25">
        <f>23400+58800</f>
        <v>82200</v>
      </c>
      <c r="C15" s="25">
        <f>67200+24000</f>
        <v>91200</v>
      </c>
      <c r="D15" s="25">
        <f>66000+25200</f>
        <v>91200</v>
      </c>
      <c r="E15" s="25">
        <f>67200+3000+2400+25200</f>
        <v>97800</v>
      </c>
      <c r="F15" s="25">
        <f>23400+78000+3000</f>
        <v>104400</v>
      </c>
      <c r="G15" s="25">
        <v>87000</v>
      </c>
      <c r="H15" s="25">
        <f t="shared" si="1"/>
        <v>553800</v>
      </c>
      <c r="I15" s="25">
        <f>73500+15000</f>
        <v>88500</v>
      </c>
      <c r="J15" s="25">
        <f>73800+12000</f>
        <v>85800</v>
      </c>
      <c r="K15" s="25">
        <f>15000+61200</f>
        <v>76200</v>
      </c>
      <c r="L15" s="25">
        <f>63200+600+2400+13700+1200</f>
        <v>81100</v>
      </c>
      <c r="M15" s="25">
        <f>71400+600+14400</f>
        <v>86400</v>
      </c>
      <c r="N15" s="25">
        <f>16800+72000</f>
        <v>88800</v>
      </c>
      <c r="O15" s="25">
        <f t="shared" si="2"/>
        <v>506800</v>
      </c>
      <c r="P15" s="25">
        <f t="shared" si="3"/>
        <v>1060600</v>
      </c>
    </row>
    <row r="16" spans="1:16" ht="12" customHeight="1" x14ac:dyDescent="0.15">
      <c r="A16" s="50" t="s">
        <v>120</v>
      </c>
      <c r="B16" s="25">
        <f>1925760-81600</f>
        <v>1844160</v>
      </c>
      <c r="C16" s="25">
        <f>4252490-1925760-94200-4800</f>
        <v>2227730</v>
      </c>
      <c r="D16" s="25">
        <f>6308040-4252490-92400-1200</f>
        <v>1961950</v>
      </c>
      <c r="E16" s="25">
        <f>8578990-6308040-102600</f>
        <v>2168350</v>
      </c>
      <c r="F16" s="25">
        <f>10793680-8578990-100800</f>
        <v>2113890</v>
      </c>
      <c r="G16" s="25">
        <v>1951800</v>
      </c>
      <c r="H16" s="25">
        <f t="shared" si="1"/>
        <v>12267880</v>
      </c>
      <c r="I16" s="25">
        <f>15447150-12839680-110400-9000</f>
        <v>2488070</v>
      </c>
      <c r="J16" s="25">
        <f>17486840-15447150-96000</f>
        <v>1943690</v>
      </c>
      <c r="K16" s="25">
        <f>19350200-17486840-88800</f>
        <v>1774560</v>
      </c>
      <c r="L16" s="25">
        <f>21049750-19350200-81100</f>
        <v>1618450</v>
      </c>
      <c r="M16" s="25">
        <f>22884060-21049750-85200</f>
        <v>1749110</v>
      </c>
      <c r="N16" s="25">
        <f>24867390-22884060-91200</f>
        <v>1892130</v>
      </c>
      <c r="O16" s="25">
        <f t="shared" si="2"/>
        <v>11466010</v>
      </c>
      <c r="P16" s="25">
        <f t="shared" si="3"/>
        <v>23733890</v>
      </c>
    </row>
    <row r="17" spans="1:16" ht="12" customHeight="1" x14ac:dyDescent="0.15">
      <c r="A17" s="21" t="s">
        <v>59</v>
      </c>
      <c r="B17" s="25">
        <v>81600</v>
      </c>
      <c r="C17" s="25">
        <f>94200+4800</f>
        <v>99000</v>
      </c>
      <c r="D17" s="25">
        <f>92400+1200</f>
        <v>93600</v>
      </c>
      <c r="E17" s="25">
        <v>102600</v>
      </c>
      <c r="F17" s="25">
        <v>100800</v>
      </c>
      <c r="G17" s="25">
        <v>94200</v>
      </c>
      <c r="H17" s="25">
        <f t="shared" si="1"/>
        <v>571800</v>
      </c>
      <c r="I17" s="25">
        <f>110400+9000</f>
        <v>119400</v>
      </c>
      <c r="J17" s="25">
        <v>96000</v>
      </c>
      <c r="K17" s="25">
        <v>88800</v>
      </c>
      <c r="L17" s="25">
        <v>81100</v>
      </c>
      <c r="M17" s="25">
        <v>85200</v>
      </c>
      <c r="N17" s="25">
        <v>91200</v>
      </c>
      <c r="O17" s="25">
        <f t="shared" si="2"/>
        <v>561700</v>
      </c>
      <c r="P17" s="25">
        <f t="shared" si="3"/>
        <v>1133500</v>
      </c>
    </row>
    <row r="18" spans="1:16" ht="12" customHeight="1" x14ac:dyDescent="0.15">
      <c r="A18" s="51" t="s">
        <v>245</v>
      </c>
      <c r="B18" s="25">
        <v>781770</v>
      </c>
      <c r="C18" s="25">
        <f>1626930-781770</f>
        <v>845160</v>
      </c>
      <c r="D18" s="25">
        <f>2400650-1626930</f>
        <v>773720</v>
      </c>
      <c r="E18" s="25">
        <f>3218880-2400650</f>
        <v>818230</v>
      </c>
      <c r="F18" s="25">
        <f>4017980-3218880</f>
        <v>799100</v>
      </c>
      <c r="G18" s="25">
        <v>756410</v>
      </c>
      <c r="H18" s="25">
        <f t="shared" si="1"/>
        <v>4774390</v>
      </c>
      <c r="I18" s="25">
        <f>5614460-4774390</f>
        <v>840070</v>
      </c>
      <c r="J18" s="25">
        <f>6339880-5614460</f>
        <v>725420</v>
      </c>
      <c r="K18" s="25">
        <f>7022810-6339880</f>
        <v>682930</v>
      </c>
      <c r="L18" s="25">
        <f>7678990-7022810</f>
        <v>656180</v>
      </c>
      <c r="M18" s="25">
        <f>8346150-7678990</f>
        <v>667160</v>
      </c>
      <c r="N18" s="25">
        <f>9078470-8346150</f>
        <v>732320</v>
      </c>
      <c r="O18" s="25">
        <f>SUM(I18:N18)</f>
        <v>4304080</v>
      </c>
      <c r="P18" s="25">
        <f t="shared" si="3"/>
        <v>9078470</v>
      </c>
    </row>
    <row r="19" spans="1:16" ht="12" customHeight="1" x14ac:dyDescent="0.15">
      <c r="A19" s="51" t="s">
        <v>338</v>
      </c>
      <c r="B19" s="25">
        <f>324100-43800</f>
        <v>280300</v>
      </c>
      <c r="C19" s="25">
        <f>684240-324100-57000</f>
        <v>303140</v>
      </c>
      <c r="D19" s="25">
        <f>996040-684240-37200</f>
        <v>274600</v>
      </c>
      <c r="E19" s="25">
        <f>1341290-996040-58200</f>
        <v>287050</v>
      </c>
      <c r="F19" s="25">
        <f>1678630-1341290-36600</f>
        <v>300740</v>
      </c>
      <c r="G19" s="25">
        <v>316210</v>
      </c>
      <c r="H19" s="25">
        <f t="shared" si="1"/>
        <v>1762040</v>
      </c>
      <c r="I19" s="25">
        <f>2421580-2043440-62400</f>
        <v>315740</v>
      </c>
      <c r="J19" s="25">
        <f>2800920-2421580-47400</f>
        <v>331940</v>
      </c>
      <c r="K19" s="25">
        <f>3179660-2800920-52800</f>
        <v>325940</v>
      </c>
      <c r="L19" s="25">
        <f>3544130-3179660-52200</f>
        <v>312270</v>
      </c>
      <c r="M19" s="25">
        <f>3910420-3544130-46200</f>
        <v>320090</v>
      </c>
      <c r="N19" s="25">
        <f>4270520-3910420-51000</f>
        <v>309100</v>
      </c>
      <c r="O19" s="25">
        <f>SUM(I19:N19)</f>
        <v>1915080</v>
      </c>
      <c r="P19" s="25">
        <f>H19+O19</f>
        <v>3677120</v>
      </c>
    </row>
    <row r="20" spans="1:16" ht="12" customHeight="1" x14ac:dyDescent="0.15">
      <c r="A20" s="21" t="s">
        <v>59</v>
      </c>
      <c r="B20" s="25">
        <v>43800</v>
      </c>
      <c r="C20" s="25">
        <v>57000</v>
      </c>
      <c r="D20" s="25">
        <v>37200</v>
      </c>
      <c r="E20" s="25">
        <v>58200</v>
      </c>
      <c r="F20" s="25">
        <v>36600</v>
      </c>
      <c r="G20" s="25">
        <v>48600</v>
      </c>
      <c r="H20" s="25">
        <f t="shared" si="1"/>
        <v>281400</v>
      </c>
      <c r="I20" s="25">
        <v>62400</v>
      </c>
      <c r="J20" s="25">
        <v>47400</v>
      </c>
      <c r="K20" s="25">
        <v>52800</v>
      </c>
      <c r="L20" s="25">
        <v>52200</v>
      </c>
      <c r="M20" s="25">
        <v>46200</v>
      </c>
      <c r="N20" s="25">
        <v>51000</v>
      </c>
      <c r="O20" s="25">
        <f>SUM(I20:N20)</f>
        <v>312000</v>
      </c>
      <c r="P20" s="25">
        <f>H20+O20</f>
        <v>593400</v>
      </c>
    </row>
    <row r="21" spans="1:16" ht="12" customHeight="1" x14ac:dyDescent="0.15">
      <c r="A21" s="47" t="s">
        <v>119</v>
      </c>
      <c r="B21" s="25">
        <v>76200</v>
      </c>
      <c r="C21" s="25">
        <f>135600-76200</f>
        <v>59400</v>
      </c>
      <c r="D21" s="25">
        <f>238200-135600</f>
        <v>102600</v>
      </c>
      <c r="E21" s="25">
        <f>342600-238200</f>
        <v>104400</v>
      </c>
      <c r="F21" s="25">
        <f>474000-342600</f>
        <v>131400</v>
      </c>
      <c r="G21" s="25">
        <v>114000</v>
      </c>
      <c r="H21" s="25">
        <f t="shared" si="1"/>
        <v>588000</v>
      </c>
      <c r="I21" s="25">
        <f>693000-588000</f>
        <v>105000</v>
      </c>
      <c r="J21" s="25">
        <v>104400</v>
      </c>
      <c r="K21" s="25">
        <f>877200-797400</f>
        <v>79800</v>
      </c>
      <c r="L21" s="25">
        <v>75000</v>
      </c>
      <c r="M21" s="25">
        <f>99600+600</f>
        <v>100200</v>
      </c>
      <c r="N21" s="25">
        <f>1175400-1052400</f>
        <v>123000</v>
      </c>
      <c r="O21" s="25">
        <f t="shared" si="2"/>
        <v>587400</v>
      </c>
      <c r="P21" s="25">
        <f t="shared" si="3"/>
        <v>1175400</v>
      </c>
    </row>
    <row r="22" spans="1:16" ht="12" customHeight="1" x14ac:dyDescent="0.15">
      <c r="A22" s="47" t="s">
        <v>97</v>
      </c>
      <c r="B22" s="25">
        <v>11300</v>
      </c>
      <c r="C22" s="25">
        <f>13300-11300</f>
        <v>2000</v>
      </c>
      <c r="D22" s="25">
        <f>19300-13300</f>
        <v>6000</v>
      </c>
      <c r="E22" s="25">
        <f>31400-19300</f>
        <v>12100</v>
      </c>
      <c r="F22" s="25">
        <f>49500-31400</f>
        <v>18100</v>
      </c>
      <c r="G22" s="25">
        <v>6400</v>
      </c>
      <c r="H22" s="25">
        <f t="shared" si="1"/>
        <v>55900</v>
      </c>
      <c r="I22" s="25">
        <f>73600-55900</f>
        <v>17700</v>
      </c>
      <c r="J22" s="25">
        <f>95700-73600</f>
        <v>22100</v>
      </c>
      <c r="K22" s="25">
        <f>104000-95700</f>
        <v>8300</v>
      </c>
      <c r="L22" s="25">
        <f>124500-104000</f>
        <v>20500</v>
      </c>
      <c r="M22" s="25">
        <f>139500-124500</f>
        <v>15000</v>
      </c>
      <c r="N22" s="25">
        <f>151000-139500</f>
        <v>11500</v>
      </c>
      <c r="O22" s="25">
        <f t="shared" si="2"/>
        <v>95100</v>
      </c>
      <c r="P22" s="25">
        <f t="shared" si="3"/>
        <v>151000</v>
      </c>
    </row>
    <row r="23" spans="1:16" ht="12" customHeight="1" x14ac:dyDescent="0.15">
      <c r="A23" s="47" t="s">
        <v>98</v>
      </c>
      <c r="B23" s="25">
        <v>43350</v>
      </c>
      <c r="C23" s="25">
        <f>158750-43350</f>
        <v>115400</v>
      </c>
      <c r="D23" s="25">
        <f>267750-158750</f>
        <v>109000</v>
      </c>
      <c r="E23" s="25">
        <f>365250-267750</f>
        <v>97500</v>
      </c>
      <c r="F23" s="25">
        <f>490750-365250</f>
        <v>125500</v>
      </c>
      <c r="G23" s="25">
        <v>106400</v>
      </c>
      <c r="H23" s="25">
        <f t="shared" si="1"/>
        <v>597150</v>
      </c>
      <c r="I23" s="25">
        <f>719400-597150</f>
        <v>122250</v>
      </c>
      <c r="J23" s="25">
        <f>819800-719400</f>
        <v>100400</v>
      </c>
      <c r="K23" s="25">
        <f>955950-819800</f>
        <v>136150</v>
      </c>
      <c r="L23" s="25">
        <f>1045100-955950</f>
        <v>89150</v>
      </c>
      <c r="M23" s="25">
        <f>1138200-1045100</f>
        <v>93100</v>
      </c>
      <c r="N23" s="25">
        <f>1288400-1138200</f>
        <v>150200</v>
      </c>
      <c r="O23" s="25">
        <f t="shared" si="2"/>
        <v>691250</v>
      </c>
      <c r="P23" s="25">
        <f t="shared" si="3"/>
        <v>1288400</v>
      </c>
    </row>
    <row r="24" spans="1:16" ht="12" customHeight="1" x14ac:dyDescent="0.15">
      <c r="A24" s="47" t="s">
        <v>249</v>
      </c>
      <c r="B24" s="25">
        <v>301450</v>
      </c>
      <c r="C24" s="25">
        <f>568350-301450</f>
        <v>266900</v>
      </c>
      <c r="D24" s="25">
        <f>850200-568350</f>
        <v>281850</v>
      </c>
      <c r="E24" s="25">
        <f>1180950-850200</f>
        <v>330750</v>
      </c>
      <c r="F24" s="25">
        <f>1586750-1180950</f>
        <v>405800</v>
      </c>
      <c r="G24" s="25">
        <v>250100</v>
      </c>
      <c r="H24" s="25">
        <f t="shared" si="1"/>
        <v>1836850</v>
      </c>
      <c r="I24" s="25">
        <f>2138200-1836850</f>
        <v>301350</v>
      </c>
      <c r="J24" s="25">
        <f>2438200-2138200</f>
        <v>300000</v>
      </c>
      <c r="K24" s="25">
        <f>2723200-2438200</f>
        <v>285000</v>
      </c>
      <c r="L24" s="25">
        <f>2959350-2723200</f>
        <v>236150</v>
      </c>
      <c r="M24" s="25">
        <f>3204950-2959350</f>
        <v>245600</v>
      </c>
      <c r="N24" s="25">
        <f>3520600-3204950</f>
        <v>315650</v>
      </c>
      <c r="O24" s="25">
        <f t="shared" si="2"/>
        <v>1683750</v>
      </c>
      <c r="P24" s="25">
        <f t="shared" si="3"/>
        <v>3520600</v>
      </c>
    </row>
    <row r="25" spans="1:16" ht="12" customHeight="1" x14ac:dyDescent="0.15">
      <c r="A25" s="47" t="s">
        <v>320</v>
      </c>
      <c r="B25" s="25">
        <v>101300</v>
      </c>
      <c r="C25" s="25">
        <f>180450-101300</f>
        <v>79150</v>
      </c>
      <c r="D25" s="25">
        <f>255250-180450</f>
        <v>74800</v>
      </c>
      <c r="E25" s="25">
        <f>378100-255250</f>
        <v>122850</v>
      </c>
      <c r="F25" s="25">
        <f>604000-378100</f>
        <v>225900</v>
      </c>
      <c r="G25" s="25">
        <v>32500</v>
      </c>
      <c r="H25" s="25">
        <f t="shared" si="1"/>
        <v>636500</v>
      </c>
      <c r="I25" s="25">
        <f>678500-636500</f>
        <v>42000</v>
      </c>
      <c r="J25" s="25">
        <f>717450-678500</f>
        <v>38950</v>
      </c>
      <c r="K25" s="25">
        <f>769150-717450</f>
        <v>51700</v>
      </c>
      <c r="L25" s="25">
        <f>798750-769150</f>
        <v>29600</v>
      </c>
      <c r="M25" s="25">
        <f>836450-798750</f>
        <v>37700</v>
      </c>
      <c r="N25" s="25">
        <f>898350-836450</f>
        <v>61900</v>
      </c>
      <c r="O25" s="25">
        <f t="shared" si="2"/>
        <v>261850</v>
      </c>
      <c r="P25" s="25">
        <f t="shared" si="3"/>
        <v>898350</v>
      </c>
    </row>
    <row r="26" spans="1:16" ht="12" customHeight="1" x14ac:dyDescent="0.15">
      <c r="A26" s="47" t="s">
        <v>303</v>
      </c>
      <c r="B26" s="25">
        <v>23200</v>
      </c>
      <c r="C26" s="25">
        <v>0</v>
      </c>
      <c r="D26" s="25">
        <v>0</v>
      </c>
      <c r="E26" s="25">
        <f>56200-23200</f>
        <v>33000</v>
      </c>
      <c r="F26" s="25">
        <f>114400-56200</f>
        <v>58200</v>
      </c>
      <c r="G26" s="25">
        <v>0</v>
      </c>
      <c r="H26" s="25">
        <f t="shared" si="1"/>
        <v>114400</v>
      </c>
      <c r="I26" s="25">
        <v>0</v>
      </c>
      <c r="J26" s="25">
        <v>0</v>
      </c>
      <c r="K26" s="25">
        <f>117250-114400</f>
        <v>2850</v>
      </c>
      <c r="L26" s="25">
        <v>1600</v>
      </c>
      <c r="M26" s="25">
        <v>0</v>
      </c>
      <c r="N26" s="25">
        <f>140750-118850</f>
        <v>21900</v>
      </c>
      <c r="O26" s="25">
        <f t="shared" si="2"/>
        <v>26350</v>
      </c>
      <c r="P26" s="25">
        <f t="shared" si="3"/>
        <v>140750</v>
      </c>
    </row>
    <row r="27" spans="1:16" ht="12" customHeight="1" x14ac:dyDescent="0.15">
      <c r="A27" s="47" t="s">
        <v>251</v>
      </c>
      <c r="B27" s="25">
        <v>7950</v>
      </c>
      <c r="C27" s="25">
        <v>1950</v>
      </c>
      <c r="D27" s="25">
        <f>12200-9900</f>
        <v>2300</v>
      </c>
      <c r="E27" s="25">
        <f>15350-12200</f>
        <v>3150</v>
      </c>
      <c r="F27" s="25">
        <v>3050</v>
      </c>
      <c r="G27" s="25">
        <v>3400</v>
      </c>
      <c r="H27" s="25">
        <f t="shared" si="1"/>
        <v>21800</v>
      </c>
      <c r="I27" s="25">
        <v>3000</v>
      </c>
      <c r="J27" s="25">
        <v>1050</v>
      </c>
      <c r="K27" s="25">
        <v>900</v>
      </c>
      <c r="L27" s="25">
        <v>300</v>
      </c>
      <c r="M27" s="25">
        <v>0</v>
      </c>
      <c r="N27" s="25">
        <v>0</v>
      </c>
      <c r="O27" s="25">
        <f>SUM(I27:N27)</f>
        <v>5250</v>
      </c>
      <c r="P27" s="25">
        <f>H27+O27</f>
        <v>27050</v>
      </c>
    </row>
    <row r="28" spans="1:16" ht="12" customHeight="1" x14ac:dyDescent="0.15">
      <c r="A28" s="21" t="s">
        <v>99</v>
      </c>
      <c r="B28" s="25">
        <v>0</v>
      </c>
      <c r="C28" s="25">
        <v>757000</v>
      </c>
      <c r="D28" s="25">
        <v>757000</v>
      </c>
      <c r="E28" s="25">
        <f>2421000-1514000</f>
        <v>907000</v>
      </c>
      <c r="F28" s="25">
        <v>757000</v>
      </c>
      <c r="G28" s="25">
        <v>757000</v>
      </c>
      <c r="H28" s="25">
        <f t="shared" si="1"/>
        <v>3935000</v>
      </c>
      <c r="I28" s="25">
        <f>757000+150000</f>
        <v>907000</v>
      </c>
      <c r="J28" s="25">
        <v>757000</v>
      </c>
      <c r="K28" s="25">
        <v>757000</v>
      </c>
      <c r="L28" s="25">
        <f>757000+150000</f>
        <v>907000</v>
      </c>
      <c r="M28" s="25">
        <v>757000</v>
      </c>
      <c r="N28" s="25">
        <f>9768445-8020000</f>
        <v>1748445</v>
      </c>
      <c r="O28" s="25">
        <f t="shared" si="2"/>
        <v>5833445</v>
      </c>
      <c r="P28" s="25">
        <f t="shared" si="3"/>
        <v>9768445</v>
      </c>
    </row>
    <row r="29" spans="1:16" ht="12" customHeight="1" x14ac:dyDescent="0.15">
      <c r="A29" s="24" t="s">
        <v>11</v>
      </c>
      <c r="B29" s="32">
        <v>10000</v>
      </c>
      <c r="C29" s="32">
        <f>55000-10000</f>
        <v>45000</v>
      </c>
      <c r="D29" s="32">
        <v>50000</v>
      </c>
      <c r="E29" s="32">
        <v>1000</v>
      </c>
      <c r="F29" s="32">
        <v>10000</v>
      </c>
      <c r="G29" s="32">
        <v>10000</v>
      </c>
      <c r="H29" s="32">
        <f t="shared" si="1"/>
        <v>126000</v>
      </c>
      <c r="I29" s="32">
        <v>30000</v>
      </c>
      <c r="J29" s="32">
        <v>25000</v>
      </c>
      <c r="K29" s="32">
        <v>80000</v>
      </c>
      <c r="L29" s="32">
        <v>11000</v>
      </c>
      <c r="M29" s="32">
        <v>20000</v>
      </c>
      <c r="N29" s="32">
        <f>402000-292000</f>
        <v>110000</v>
      </c>
      <c r="O29" s="32">
        <f t="shared" si="2"/>
        <v>276000</v>
      </c>
      <c r="P29" s="32">
        <f t="shared" si="3"/>
        <v>402000</v>
      </c>
    </row>
    <row r="30" spans="1:16" ht="12" customHeight="1" x14ac:dyDescent="0.15">
      <c r="A30" s="24" t="s">
        <v>246</v>
      </c>
      <c r="B30" s="32"/>
      <c r="C30" s="32"/>
      <c r="D30" s="32"/>
      <c r="E30" s="32"/>
      <c r="F30" s="32">
        <v>200000</v>
      </c>
      <c r="G30" s="32">
        <v>200000</v>
      </c>
      <c r="H30" s="32">
        <f t="shared" si="1"/>
        <v>400000</v>
      </c>
      <c r="I30" s="32"/>
      <c r="J30" s="32">
        <v>500000</v>
      </c>
      <c r="K30" s="32"/>
      <c r="L30" s="32"/>
      <c r="M30" s="32"/>
      <c r="N30" s="32"/>
      <c r="O30" s="32">
        <f t="shared" si="2"/>
        <v>500000</v>
      </c>
      <c r="P30" s="32">
        <f t="shared" si="3"/>
        <v>900000</v>
      </c>
    </row>
    <row r="31" spans="1:16" ht="12" customHeight="1" x14ac:dyDescent="0.15">
      <c r="A31" s="24" t="s">
        <v>12</v>
      </c>
      <c r="B31" s="32">
        <v>42885</v>
      </c>
      <c r="C31" s="32">
        <f>69596-42885</f>
        <v>26711</v>
      </c>
      <c r="D31" s="32">
        <f>249862-69596</f>
        <v>180266</v>
      </c>
      <c r="E31" s="32">
        <f>276357-249862</f>
        <v>26495</v>
      </c>
      <c r="F31" s="32">
        <f>311668-276357</f>
        <v>35311</v>
      </c>
      <c r="G31" s="32">
        <v>38465</v>
      </c>
      <c r="H31" s="32">
        <f t="shared" si="1"/>
        <v>350133</v>
      </c>
      <c r="I31" s="32">
        <f>487023-350133</f>
        <v>136890</v>
      </c>
      <c r="J31" s="32">
        <f>553740-487023</f>
        <v>66717</v>
      </c>
      <c r="K31" s="32">
        <f>584221-553740</f>
        <v>30481</v>
      </c>
      <c r="L31" s="32">
        <f>651201-584221</f>
        <v>66980</v>
      </c>
      <c r="M31" s="32">
        <f>754881-651201</f>
        <v>103680</v>
      </c>
      <c r="N31" s="32">
        <f>797647-754881</f>
        <v>42766</v>
      </c>
      <c r="O31" s="32">
        <f t="shared" si="2"/>
        <v>447514</v>
      </c>
      <c r="P31" s="32">
        <f t="shared" si="3"/>
        <v>797647</v>
      </c>
    </row>
    <row r="32" spans="1:16" ht="12" customHeight="1" x14ac:dyDescent="0.15">
      <c r="A32" s="24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>
        <f t="shared" si="2"/>
        <v>0</v>
      </c>
      <c r="P32" s="32">
        <f t="shared" si="3"/>
        <v>0</v>
      </c>
    </row>
    <row r="33" spans="1:16" ht="12" customHeight="1" x14ac:dyDescent="0.15">
      <c r="A33" s="52" t="s">
        <v>13</v>
      </c>
      <c r="B33" s="32">
        <f>B4+B8+B29+B30+B31</f>
        <v>17567567</v>
      </c>
      <c r="C33" s="32">
        <f t="shared" ref="C33:N33" si="6">C4+C8+C29+C30+C31</f>
        <v>19159953</v>
      </c>
      <c r="D33" s="32">
        <f t="shared" si="6"/>
        <v>18218140</v>
      </c>
      <c r="E33" s="32">
        <f t="shared" si="6"/>
        <v>18976773</v>
      </c>
      <c r="F33" s="32">
        <f t="shared" si="6"/>
        <v>18849613</v>
      </c>
      <c r="G33" s="32">
        <f t="shared" si="6"/>
        <v>17852097</v>
      </c>
      <c r="H33" s="32">
        <f t="shared" si="1"/>
        <v>110624143</v>
      </c>
      <c r="I33" s="32">
        <f t="shared" si="6"/>
        <v>19220296</v>
      </c>
      <c r="J33" s="32">
        <f t="shared" si="6"/>
        <v>17650741</v>
      </c>
      <c r="K33" s="32">
        <f t="shared" si="6"/>
        <v>16524881</v>
      </c>
      <c r="L33" s="32">
        <f t="shared" si="6"/>
        <v>16016024</v>
      </c>
      <c r="M33" s="32">
        <f t="shared" si="6"/>
        <v>16033600</v>
      </c>
      <c r="N33" s="32">
        <f t="shared" si="6"/>
        <v>18503925</v>
      </c>
      <c r="O33" s="32">
        <f t="shared" si="2"/>
        <v>103949467</v>
      </c>
      <c r="P33" s="32">
        <f t="shared" si="3"/>
        <v>214573610</v>
      </c>
    </row>
    <row r="34" spans="1:16" ht="12" customHeight="1" x14ac:dyDescent="0.15">
      <c r="A34" s="23" t="s">
        <v>124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12" customHeight="1" x14ac:dyDescent="0.15">
      <c r="A35" s="6" t="s">
        <v>15</v>
      </c>
      <c r="B35" s="25"/>
      <c r="C35" s="25"/>
      <c r="D35" s="25"/>
      <c r="E35" s="25"/>
      <c r="F35" s="25" t="s">
        <v>304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ht="12" customHeight="1" x14ac:dyDescent="0.15">
      <c r="A36" s="23" t="s">
        <v>16</v>
      </c>
      <c r="B36" s="32">
        <f t="shared" ref="B36:N36" si="7">SUM(B37:B41)</f>
        <v>12929906</v>
      </c>
      <c r="C36" s="32">
        <f t="shared" si="7"/>
        <v>12345996</v>
      </c>
      <c r="D36" s="32">
        <f t="shared" si="7"/>
        <v>12704779</v>
      </c>
      <c r="E36" s="32">
        <f t="shared" si="7"/>
        <v>19859822</v>
      </c>
      <c r="F36" s="32">
        <f t="shared" si="7"/>
        <v>15165487</v>
      </c>
      <c r="G36" s="32">
        <f t="shared" si="7"/>
        <v>12642621</v>
      </c>
      <c r="H36" s="32">
        <f t="shared" ref="H36:H73" si="8">SUM(B36:G36)</f>
        <v>85648611</v>
      </c>
      <c r="I36" s="32">
        <f t="shared" si="7"/>
        <v>12478009</v>
      </c>
      <c r="J36" s="32">
        <f t="shared" si="7"/>
        <v>19508614</v>
      </c>
      <c r="K36" s="32">
        <f t="shared" si="7"/>
        <v>12130625</v>
      </c>
      <c r="L36" s="32">
        <f t="shared" si="7"/>
        <v>12335350</v>
      </c>
      <c r="M36" s="32">
        <f t="shared" si="7"/>
        <v>12060966</v>
      </c>
      <c r="N36" s="32">
        <f t="shared" si="7"/>
        <v>11573932</v>
      </c>
      <c r="O36" s="32">
        <f t="shared" si="2"/>
        <v>80087496</v>
      </c>
      <c r="P36" s="32">
        <f t="shared" si="3"/>
        <v>165736107</v>
      </c>
    </row>
    <row r="37" spans="1:16" ht="12" customHeight="1" x14ac:dyDescent="0.15">
      <c r="A37" s="6" t="s">
        <v>100</v>
      </c>
      <c r="B37" s="25">
        <v>370000</v>
      </c>
      <c r="C37" s="25">
        <v>370000</v>
      </c>
      <c r="D37" s="25">
        <v>370000</v>
      </c>
      <c r="E37" s="25">
        <v>370000</v>
      </c>
      <c r="F37" s="25">
        <v>370000</v>
      </c>
      <c r="G37" s="25">
        <v>370000</v>
      </c>
      <c r="H37" s="25">
        <f t="shared" si="8"/>
        <v>2220000</v>
      </c>
      <c r="I37" s="25">
        <v>370000</v>
      </c>
      <c r="J37" s="25">
        <v>370000</v>
      </c>
      <c r="K37" s="25">
        <v>370000</v>
      </c>
      <c r="L37" s="25">
        <v>370000</v>
      </c>
      <c r="M37" s="25">
        <v>370000</v>
      </c>
      <c r="N37" s="25">
        <v>370000</v>
      </c>
      <c r="O37" s="25">
        <f t="shared" si="2"/>
        <v>2220000</v>
      </c>
      <c r="P37" s="25">
        <f t="shared" si="3"/>
        <v>4440000</v>
      </c>
    </row>
    <row r="38" spans="1:16" ht="12" customHeight="1" x14ac:dyDescent="0.15">
      <c r="A38" s="6" t="s">
        <v>101</v>
      </c>
      <c r="B38" s="25">
        <v>10149458</v>
      </c>
      <c r="C38" s="25">
        <f>19788467-10149458</f>
        <v>9639009</v>
      </c>
      <c r="D38" s="25">
        <f>29509361-19788467</f>
        <v>9720894</v>
      </c>
      <c r="E38" s="25">
        <f>38972863-29509361</f>
        <v>9463502</v>
      </c>
      <c r="F38" s="25">
        <f>55969029-45868363</f>
        <v>10100666</v>
      </c>
      <c r="G38" s="25">
        <v>9778126</v>
      </c>
      <c r="H38" s="25">
        <f t="shared" si="8"/>
        <v>58851655</v>
      </c>
      <c r="I38" s="25">
        <f>75239079-65747155</f>
        <v>9491924</v>
      </c>
      <c r="J38" s="25">
        <f>85122530-75239079</f>
        <v>9883451</v>
      </c>
      <c r="K38" s="25">
        <f>100670123-91372530</f>
        <v>9297593</v>
      </c>
      <c r="L38" s="25">
        <f>109410524-100670123</f>
        <v>8740401</v>
      </c>
      <c r="M38" s="25">
        <f>118575459-109410524</f>
        <v>9164935</v>
      </c>
      <c r="N38" s="25">
        <f>127393210-118575459</f>
        <v>8817751</v>
      </c>
      <c r="O38" s="25">
        <f t="shared" si="2"/>
        <v>55396055</v>
      </c>
      <c r="P38" s="25">
        <f t="shared" si="3"/>
        <v>114247710</v>
      </c>
    </row>
    <row r="39" spans="1:16" ht="12" customHeight="1" x14ac:dyDescent="0.15">
      <c r="A39" s="6" t="s">
        <v>102</v>
      </c>
      <c r="B39" s="25">
        <v>1350950</v>
      </c>
      <c r="C39" s="25">
        <f>2534050-1350950</f>
        <v>1183100</v>
      </c>
      <c r="D39" s="25">
        <f>3874800-2534050</f>
        <v>1340750</v>
      </c>
      <c r="E39" s="25">
        <f>5205925-3874800</f>
        <v>1331125</v>
      </c>
      <c r="F39" s="25">
        <f>7073875-5881325</f>
        <v>1192550</v>
      </c>
      <c r="G39" s="25">
        <v>1386175</v>
      </c>
      <c r="H39" s="25">
        <f t="shared" si="8"/>
        <v>7784650</v>
      </c>
      <c r="I39" s="25">
        <f>9798300-8460050</f>
        <v>1338250</v>
      </c>
      <c r="J39" s="25">
        <f>11223150-9798300</f>
        <v>1424850</v>
      </c>
      <c r="K39" s="25">
        <f>12882950-11593150</f>
        <v>1289800</v>
      </c>
      <c r="L39" s="25">
        <f>13934825-12882950</f>
        <v>1051875</v>
      </c>
      <c r="M39" s="25">
        <f>15306825-13934825</f>
        <v>1372000</v>
      </c>
      <c r="N39" s="25">
        <f>16538925-15306825</f>
        <v>1232100</v>
      </c>
      <c r="O39" s="25">
        <f t="shared" si="2"/>
        <v>7708875</v>
      </c>
      <c r="P39" s="25">
        <f t="shared" si="3"/>
        <v>15493525</v>
      </c>
    </row>
    <row r="40" spans="1:16" ht="12" customHeight="1" x14ac:dyDescent="0.15">
      <c r="A40" s="6" t="s">
        <v>19</v>
      </c>
      <c r="B40" s="25">
        <v>1059498</v>
      </c>
      <c r="C40" s="25">
        <f>2213385-1059498</f>
        <v>1153887</v>
      </c>
      <c r="D40" s="25">
        <f>3486520-2213385</f>
        <v>1273135</v>
      </c>
      <c r="E40" s="25">
        <f>4610815-3486520</f>
        <v>1124295</v>
      </c>
      <c r="F40" s="25">
        <f>8113086-4610815</f>
        <v>3502271</v>
      </c>
      <c r="G40" s="25">
        <v>1108320</v>
      </c>
      <c r="H40" s="25">
        <f t="shared" si="8"/>
        <v>9221406</v>
      </c>
      <c r="I40" s="25">
        <f>10499241-9221406</f>
        <v>1277835</v>
      </c>
      <c r="J40" s="25">
        <f>11709554-10499241</f>
        <v>1210313</v>
      </c>
      <c r="K40" s="25">
        <f>12882786-11709554</f>
        <v>1173232</v>
      </c>
      <c r="L40" s="25">
        <f>15055860-12882786</f>
        <v>2173074</v>
      </c>
      <c r="M40" s="25">
        <f>16209891-15055860</f>
        <v>1154031</v>
      </c>
      <c r="N40" s="25">
        <f>17363972-16209891</f>
        <v>1154081</v>
      </c>
      <c r="O40" s="25">
        <f t="shared" si="2"/>
        <v>8142566</v>
      </c>
      <c r="P40" s="25">
        <f t="shared" si="3"/>
        <v>17363972</v>
      </c>
    </row>
    <row r="41" spans="1:16" ht="12" customHeight="1" x14ac:dyDescent="0.15">
      <c r="A41" s="6" t="s">
        <v>117</v>
      </c>
      <c r="B41" s="25"/>
      <c r="C41" s="25"/>
      <c r="D41" s="25"/>
      <c r="E41" s="25">
        <f>6895500+675400</f>
        <v>7570900</v>
      </c>
      <c r="F41" s="25"/>
      <c r="G41" s="25"/>
      <c r="H41" s="25">
        <f t="shared" si="8"/>
        <v>7570900</v>
      </c>
      <c r="I41" s="25"/>
      <c r="J41" s="25">
        <f>6250000+370000</f>
        <v>6620000</v>
      </c>
      <c r="K41" s="25"/>
      <c r="L41" s="25"/>
      <c r="M41" s="25"/>
      <c r="N41" s="25"/>
      <c r="O41" s="25">
        <f t="shared" si="2"/>
        <v>6620000</v>
      </c>
      <c r="P41" s="25">
        <f t="shared" si="3"/>
        <v>14190900</v>
      </c>
    </row>
    <row r="42" spans="1:16" ht="12" customHeight="1" x14ac:dyDescent="0.15">
      <c r="A42" s="23" t="s">
        <v>20</v>
      </c>
      <c r="B42" s="32">
        <f>SUM(B43:B67)</f>
        <v>3038763</v>
      </c>
      <c r="C42" s="32">
        <f t="shared" ref="C42:N42" si="9">SUM(C43:C67)</f>
        <v>4491398</v>
      </c>
      <c r="D42" s="32">
        <f t="shared" si="9"/>
        <v>2942603</v>
      </c>
      <c r="E42" s="32">
        <f t="shared" si="9"/>
        <v>3543514</v>
      </c>
      <c r="F42" s="32">
        <f t="shared" si="9"/>
        <v>3271953</v>
      </c>
      <c r="G42" s="32">
        <f t="shared" si="9"/>
        <v>7281917</v>
      </c>
      <c r="H42" s="32">
        <f t="shared" si="8"/>
        <v>24570148</v>
      </c>
      <c r="I42" s="32">
        <f t="shared" si="9"/>
        <v>4069077</v>
      </c>
      <c r="J42" s="32">
        <f t="shared" si="9"/>
        <v>3060346</v>
      </c>
      <c r="K42" s="32">
        <f t="shared" si="9"/>
        <v>3856958</v>
      </c>
      <c r="L42" s="32">
        <f t="shared" si="9"/>
        <v>3621849</v>
      </c>
      <c r="M42" s="32">
        <f t="shared" si="9"/>
        <v>3302283</v>
      </c>
      <c r="N42" s="32">
        <f t="shared" si="9"/>
        <v>4680486</v>
      </c>
      <c r="O42" s="32">
        <f t="shared" si="2"/>
        <v>22590999</v>
      </c>
      <c r="P42" s="32">
        <f t="shared" si="3"/>
        <v>47161147</v>
      </c>
    </row>
    <row r="43" spans="1:16" ht="12" customHeight="1" x14ac:dyDescent="0.15">
      <c r="A43" s="6" t="s">
        <v>21</v>
      </c>
      <c r="B43" s="25">
        <v>344100</v>
      </c>
      <c r="C43" s="25">
        <f>647600-344100</f>
        <v>303500</v>
      </c>
      <c r="D43" s="25">
        <f>1027000-647600</f>
        <v>379400</v>
      </c>
      <c r="E43" s="25">
        <f>1324000-1027000</f>
        <v>297000</v>
      </c>
      <c r="F43" s="25">
        <f>1669600-1324000</f>
        <v>345600</v>
      </c>
      <c r="G43" s="25">
        <v>397338</v>
      </c>
      <c r="H43" s="25">
        <f t="shared" si="8"/>
        <v>2066938</v>
      </c>
      <c r="I43" s="25">
        <f>2412338-2066938</f>
        <v>345400</v>
      </c>
      <c r="J43" s="25">
        <f>2714338-2412338</f>
        <v>302000</v>
      </c>
      <c r="K43" s="25">
        <f>3277438-2714338</f>
        <v>563100</v>
      </c>
      <c r="L43" s="25">
        <f>3584227-3277438</f>
        <v>306789</v>
      </c>
      <c r="M43" s="25">
        <f>4204098-3584227</f>
        <v>619871</v>
      </c>
      <c r="N43" s="25">
        <f>4745540-4204098</f>
        <v>541442</v>
      </c>
      <c r="O43" s="25">
        <f t="shared" si="2"/>
        <v>2678602</v>
      </c>
      <c r="P43" s="25">
        <f t="shared" si="3"/>
        <v>4745540</v>
      </c>
    </row>
    <row r="44" spans="1:16" ht="12" customHeight="1" x14ac:dyDescent="0.15">
      <c r="A44" s="6" t="s">
        <v>22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f t="shared" si="8"/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f t="shared" si="2"/>
        <v>0</v>
      </c>
      <c r="P44" s="25">
        <f t="shared" si="3"/>
        <v>0</v>
      </c>
    </row>
    <row r="45" spans="1:16" ht="12" customHeight="1" x14ac:dyDescent="0.15">
      <c r="A45" s="6" t="s">
        <v>103</v>
      </c>
      <c r="B45" s="25">
        <v>74873</v>
      </c>
      <c r="C45" s="25">
        <f>228237-74873</f>
        <v>153364</v>
      </c>
      <c r="D45" s="25">
        <v>8200</v>
      </c>
      <c r="E45" s="25">
        <f>362180-236437</f>
        <v>125743</v>
      </c>
      <c r="F45" s="25">
        <f>439767-362180</f>
        <v>77587</v>
      </c>
      <c r="G45" s="25">
        <v>8200</v>
      </c>
      <c r="H45" s="25">
        <f t="shared" si="8"/>
        <v>447967</v>
      </c>
      <c r="I45" s="25">
        <f>580338-447967</f>
        <v>132371</v>
      </c>
      <c r="J45" s="25">
        <f>655944-580338</f>
        <v>75606</v>
      </c>
      <c r="K45" s="25">
        <f>672854-655944</f>
        <v>16910</v>
      </c>
      <c r="L45" s="25">
        <f>808584-672854</f>
        <v>135730</v>
      </c>
      <c r="M45" s="25">
        <f>881186-808584</f>
        <v>72602</v>
      </c>
      <c r="N45" s="25">
        <f>8200+240</f>
        <v>8440</v>
      </c>
      <c r="O45" s="25">
        <f t="shared" si="2"/>
        <v>441659</v>
      </c>
      <c r="P45" s="25">
        <f t="shared" si="3"/>
        <v>889626</v>
      </c>
    </row>
    <row r="46" spans="1:16" ht="12" customHeight="1" x14ac:dyDescent="0.15">
      <c r="A46" s="6" t="s">
        <v>24</v>
      </c>
      <c r="B46" s="25">
        <v>30672</v>
      </c>
      <c r="C46" s="25">
        <f>60863-30672</f>
        <v>30191</v>
      </c>
      <c r="D46" s="25">
        <f>80985-60863</f>
        <v>20122</v>
      </c>
      <c r="E46" s="25">
        <f>98419-80985</f>
        <v>17434</v>
      </c>
      <c r="F46" s="25">
        <f>135129-98419</f>
        <v>36710</v>
      </c>
      <c r="G46" s="25">
        <v>9589</v>
      </c>
      <c r="H46" s="25">
        <f t="shared" si="8"/>
        <v>144718</v>
      </c>
      <c r="I46" s="25">
        <f>161451-144718</f>
        <v>16733</v>
      </c>
      <c r="J46" s="25">
        <f>176873-161451</f>
        <v>15422</v>
      </c>
      <c r="K46" s="25">
        <f>196725-176873</f>
        <v>19852</v>
      </c>
      <c r="L46" s="25">
        <f>224328-196725</f>
        <v>27603</v>
      </c>
      <c r="M46" s="25">
        <f>256999-224328</f>
        <v>32671</v>
      </c>
      <c r="N46" s="25">
        <f>287214-256999</f>
        <v>30215</v>
      </c>
      <c r="O46" s="25">
        <f t="shared" si="2"/>
        <v>142496</v>
      </c>
      <c r="P46" s="25">
        <f t="shared" si="3"/>
        <v>287214</v>
      </c>
    </row>
    <row r="47" spans="1:16" ht="12" customHeight="1" x14ac:dyDescent="0.15">
      <c r="A47" s="6" t="s">
        <v>104</v>
      </c>
      <c r="B47" s="25">
        <v>24840</v>
      </c>
      <c r="C47" s="25">
        <f>436104-24840</f>
        <v>411264</v>
      </c>
      <c r="D47" s="25">
        <v>39744</v>
      </c>
      <c r="E47" s="25">
        <f>672300-475848</f>
        <v>196452</v>
      </c>
      <c r="F47" s="25">
        <f>893115-672300</f>
        <v>220815</v>
      </c>
      <c r="G47" s="25">
        <v>21000</v>
      </c>
      <c r="H47" s="25">
        <f t="shared" si="8"/>
        <v>914115</v>
      </c>
      <c r="I47" s="25">
        <v>237600</v>
      </c>
      <c r="J47" s="25">
        <f>1262459-1151715</f>
        <v>110744</v>
      </c>
      <c r="K47" s="25">
        <f>1452539-1262459</f>
        <v>190080</v>
      </c>
      <c r="L47" s="25">
        <f>1481768-1452539</f>
        <v>29229</v>
      </c>
      <c r="M47" s="25">
        <v>10238</v>
      </c>
      <c r="N47" s="25">
        <v>75492</v>
      </c>
      <c r="O47" s="25">
        <f t="shared" si="2"/>
        <v>653383</v>
      </c>
      <c r="P47" s="25">
        <f t="shared" si="3"/>
        <v>1567498</v>
      </c>
    </row>
    <row r="48" spans="1:16" ht="12" customHeight="1" x14ac:dyDescent="0.15">
      <c r="A48" s="6" t="s">
        <v>105</v>
      </c>
      <c r="B48" s="25">
        <v>0</v>
      </c>
      <c r="C48" s="25">
        <v>0</v>
      </c>
      <c r="D48" s="25">
        <v>199829</v>
      </c>
      <c r="E48" s="25">
        <f>227784-199829</f>
        <v>27955</v>
      </c>
      <c r="F48" s="25">
        <v>0</v>
      </c>
      <c r="G48" s="25">
        <v>0</v>
      </c>
      <c r="H48" s="25">
        <f t="shared" si="8"/>
        <v>227784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f t="shared" si="2"/>
        <v>0</v>
      </c>
      <c r="P48" s="25">
        <f t="shared" si="3"/>
        <v>227784</v>
      </c>
    </row>
    <row r="49" spans="1:16" ht="12" customHeight="1" x14ac:dyDescent="0.15">
      <c r="A49" s="6" t="s">
        <v>106</v>
      </c>
      <c r="B49" s="25">
        <v>93909</v>
      </c>
      <c r="C49" s="25">
        <f>209638-93909</f>
        <v>115729</v>
      </c>
      <c r="D49" s="25">
        <f>288588-209638</f>
        <v>78950</v>
      </c>
      <c r="E49" s="25">
        <f>353520-288588</f>
        <v>64932</v>
      </c>
      <c r="F49" s="25">
        <f>430915-353520</f>
        <v>77395</v>
      </c>
      <c r="G49" s="25">
        <v>65986</v>
      </c>
      <c r="H49" s="25">
        <f t="shared" si="8"/>
        <v>496901</v>
      </c>
      <c r="I49" s="25">
        <f>587420-496901</f>
        <v>90519</v>
      </c>
      <c r="J49" s="25">
        <f>675143-587420</f>
        <v>87723</v>
      </c>
      <c r="K49" s="25">
        <f>798357-675143</f>
        <v>123214</v>
      </c>
      <c r="L49" s="25">
        <f>869789-798357</f>
        <v>71432</v>
      </c>
      <c r="M49" s="25">
        <f>921339-869789</f>
        <v>51550</v>
      </c>
      <c r="N49" s="25">
        <f>987101-921339</f>
        <v>65762</v>
      </c>
      <c r="O49" s="25">
        <f t="shared" si="2"/>
        <v>490200</v>
      </c>
      <c r="P49" s="25">
        <f t="shared" si="3"/>
        <v>987101</v>
      </c>
    </row>
    <row r="50" spans="1:16" ht="12" customHeight="1" x14ac:dyDescent="0.15">
      <c r="A50" s="6" t="s">
        <v>28</v>
      </c>
      <c r="B50" s="25">
        <v>10913</v>
      </c>
      <c r="C50" s="25">
        <f>21826-10913</f>
        <v>10913</v>
      </c>
      <c r="D50" s="25">
        <f>32739-21826</f>
        <v>10913</v>
      </c>
      <c r="E50" s="25">
        <f>98948-32739</f>
        <v>66209</v>
      </c>
      <c r="F50" s="25">
        <f>109861-98948</f>
        <v>10913</v>
      </c>
      <c r="G50" s="25">
        <v>23256</v>
      </c>
      <c r="H50" s="25">
        <f t="shared" si="8"/>
        <v>133117</v>
      </c>
      <c r="I50" s="25">
        <f>169800-133117</f>
        <v>36683</v>
      </c>
      <c r="J50" s="25">
        <f>200909-169800</f>
        <v>31109</v>
      </c>
      <c r="K50" s="25">
        <f>211822-200909</f>
        <v>10913</v>
      </c>
      <c r="L50" s="25">
        <f>235505-211822</f>
        <v>23683</v>
      </c>
      <c r="M50" s="25">
        <f>247451-235505</f>
        <v>11946</v>
      </c>
      <c r="N50" s="25">
        <f>272768-247451</f>
        <v>25317</v>
      </c>
      <c r="O50" s="25">
        <f t="shared" si="2"/>
        <v>139651</v>
      </c>
      <c r="P50" s="25">
        <f t="shared" si="3"/>
        <v>272768</v>
      </c>
    </row>
    <row r="51" spans="1:16" ht="12" customHeight="1" x14ac:dyDescent="0.15">
      <c r="A51" s="6" t="s">
        <v>107</v>
      </c>
      <c r="B51" s="25">
        <v>29000</v>
      </c>
      <c r="C51" s="25">
        <f>44700-29000</f>
        <v>15700</v>
      </c>
      <c r="D51" s="25">
        <f>59500-44700</f>
        <v>14800</v>
      </c>
      <c r="E51" s="25">
        <v>2000</v>
      </c>
      <c r="F51" s="25">
        <v>4800</v>
      </c>
      <c r="G51" s="25">
        <v>400</v>
      </c>
      <c r="H51" s="25">
        <f t="shared" si="8"/>
        <v>66700</v>
      </c>
      <c r="I51" s="25">
        <v>15000</v>
      </c>
      <c r="J51" s="25">
        <f>107080-81700</f>
        <v>25380</v>
      </c>
      <c r="K51" s="25">
        <f>111480-107080</f>
        <v>4400</v>
      </c>
      <c r="L51" s="25">
        <v>0</v>
      </c>
      <c r="M51" s="25">
        <v>14000</v>
      </c>
      <c r="N51" s="25">
        <v>0</v>
      </c>
      <c r="O51" s="25">
        <f t="shared" si="2"/>
        <v>58780</v>
      </c>
      <c r="P51" s="25">
        <f t="shared" si="3"/>
        <v>125480</v>
      </c>
    </row>
    <row r="52" spans="1:16" ht="12" customHeight="1" x14ac:dyDescent="0.15">
      <c r="A52" s="6" t="s">
        <v>27</v>
      </c>
      <c r="B52" s="25">
        <v>0</v>
      </c>
      <c r="C52" s="25">
        <v>0</v>
      </c>
      <c r="D52" s="25">
        <v>10800</v>
      </c>
      <c r="E52" s="25">
        <v>43200</v>
      </c>
      <c r="F52" s="25">
        <v>0</v>
      </c>
      <c r="G52" s="25">
        <v>10800</v>
      </c>
      <c r="H52" s="25">
        <f t="shared" si="8"/>
        <v>64800</v>
      </c>
      <c r="I52" s="25">
        <v>43200</v>
      </c>
      <c r="J52" s="25">
        <v>0</v>
      </c>
      <c r="K52" s="25">
        <v>0</v>
      </c>
      <c r="L52" s="25">
        <v>10800</v>
      </c>
      <c r="M52" s="25">
        <v>10800</v>
      </c>
      <c r="N52" s="25">
        <v>0</v>
      </c>
      <c r="O52" s="25">
        <f t="shared" si="2"/>
        <v>64800</v>
      </c>
      <c r="P52" s="25">
        <f t="shared" si="3"/>
        <v>129600</v>
      </c>
    </row>
    <row r="53" spans="1:16" ht="12" customHeight="1" x14ac:dyDescent="0.15">
      <c r="A53" s="6" t="s">
        <v>32</v>
      </c>
      <c r="B53" s="25">
        <v>576694</v>
      </c>
      <c r="C53" s="25">
        <f>1203340-576694</f>
        <v>626646</v>
      </c>
      <c r="D53" s="25">
        <f>1569640-1203340</f>
        <v>366300</v>
      </c>
      <c r="E53" s="25">
        <f>2140654-1569640</f>
        <v>571014</v>
      </c>
      <c r="F53" s="25">
        <f>2654230-2140654</f>
        <v>513576</v>
      </c>
      <c r="G53" s="25">
        <v>422707</v>
      </c>
      <c r="H53" s="25">
        <f t="shared" si="8"/>
        <v>3076937</v>
      </c>
      <c r="I53" s="25">
        <f>3537521-3076937</f>
        <v>460584</v>
      </c>
      <c r="J53" s="25">
        <f>3972158-3537521</f>
        <v>434637</v>
      </c>
      <c r="K53" s="25">
        <f>4502209-3972158</f>
        <v>530051</v>
      </c>
      <c r="L53" s="25">
        <f>5083581-4502209</f>
        <v>581372</v>
      </c>
      <c r="M53" s="25">
        <f>5955893-5083581</f>
        <v>872312</v>
      </c>
      <c r="N53" s="25">
        <f>6255622-5955893</f>
        <v>299729</v>
      </c>
      <c r="O53" s="25">
        <f t="shared" si="2"/>
        <v>3178685</v>
      </c>
      <c r="P53" s="25">
        <f t="shared" si="3"/>
        <v>6255622</v>
      </c>
    </row>
    <row r="54" spans="1:16" ht="12" customHeight="1" x14ac:dyDescent="0.15">
      <c r="A54" s="6" t="s">
        <v>108</v>
      </c>
      <c r="B54" s="25">
        <v>3000</v>
      </c>
      <c r="C54" s="25">
        <v>5000</v>
      </c>
      <c r="D54" s="25">
        <f>14000-8000</f>
        <v>6000</v>
      </c>
      <c r="E54" s="25">
        <f>23000-14000</f>
        <v>9000</v>
      </c>
      <c r="F54" s="25">
        <f>43760-23000</f>
        <v>20760</v>
      </c>
      <c r="G54" s="25">
        <v>9000</v>
      </c>
      <c r="H54" s="25">
        <f t="shared" si="8"/>
        <v>52760</v>
      </c>
      <c r="I54" s="25">
        <f>62760-52760</f>
        <v>10000</v>
      </c>
      <c r="J54" s="25">
        <v>9000</v>
      </c>
      <c r="K54" s="25">
        <f>84760-71760</f>
        <v>13000</v>
      </c>
      <c r="L54" s="25">
        <f>103000-84760</f>
        <v>18240</v>
      </c>
      <c r="M54" s="25">
        <f>119000-103000</f>
        <v>16000</v>
      </c>
      <c r="N54" s="25">
        <v>7000</v>
      </c>
      <c r="O54" s="25">
        <f t="shared" si="2"/>
        <v>73240</v>
      </c>
      <c r="P54" s="25">
        <f t="shared" si="3"/>
        <v>126000</v>
      </c>
    </row>
    <row r="55" spans="1:16" ht="12" customHeight="1" x14ac:dyDescent="0.15">
      <c r="A55" s="6" t="s">
        <v>34</v>
      </c>
      <c r="B55" s="25">
        <v>15000</v>
      </c>
      <c r="C55" s="25">
        <v>3000</v>
      </c>
      <c r="D55" s="25">
        <v>7000</v>
      </c>
      <c r="E55" s="25">
        <f>49000-25000</f>
        <v>24000</v>
      </c>
      <c r="F55" s="25">
        <v>0</v>
      </c>
      <c r="G55" s="25">
        <v>15500</v>
      </c>
      <c r="H55" s="25">
        <f t="shared" si="8"/>
        <v>64500</v>
      </c>
      <c r="I55" s="25">
        <v>3000</v>
      </c>
      <c r="J55" s="25">
        <v>0</v>
      </c>
      <c r="K55" s="25">
        <v>0</v>
      </c>
      <c r="L55" s="25">
        <v>0</v>
      </c>
      <c r="M55" s="25">
        <v>20000</v>
      </c>
      <c r="N55" s="25">
        <v>0</v>
      </c>
      <c r="O55" s="25">
        <f t="shared" si="2"/>
        <v>23000</v>
      </c>
      <c r="P55" s="25">
        <f t="shared" si="3"/>
        <v>87500</v>
      </c>
    </row>
    <row r="56" spans="1:16" ht="12" customHeight="1" x14ac:dyDescent="0.15">
      <c r="A56" s="6" t="s">
        <v>109</v>
      </c>
      <c r="B56" s="25">
        <v>411539</v>
      </c>
      <c r="C56" s="25">
        <f>996676-411539</f>
        <v>585137</v>
      </c>
      <c r="D56" s="25">
        <f>1237875-996676</f>
        <v>241199</v>
      </c>
      <c r="E56" s="25">
        <f>1631744-1237875</f>
        <v>393869</v>
      </c>
      <c r="F56" s="25">
        <f>2045000-1631744</f>
        <v>413256</v>
      </c>
      <c r="G56" s="25">
        <v>874883</v>
      </c>
      <c r="H56" s="25">
        <f t="shared" si="8"/>
        <v>2919883</v>
      </c>
      <c r="I56" s="25">
        <f>3498027-2919883</f>
        <v>578144</v>
      </c>
      <c r="J56" s="25">
        <f>4030370-3498027</f>
        <v>532343</v>
      </c>
      <c r="K56" s="25">
        <f>4439861-4030370</f>
        <v>409491</v>
      </c>
      <c r="L56" s="25">
        <f>4803191-4439861</f>
        <v>363330</v>
      </c>
      <c r="M56" s="25">
        <f>5174000-4803191</f>
        <v>370809</v>
      </c>
      <c r="N56" s="25">
        <f>5534040-5174000</f>
        <v>360040</v>
      </c>
      <c r="O56" s="25">
        <f t="shared" si="2"/>
        <v>2614157</v>
      </c>
      <c r="P56" s="25">
        <f t="shared" si="3"/>
        <v>5534040</v>
      </c>
    </row>
    <row r="57" spans="1:16" ht="12" customHeight="1" x14ac:dyDescent="0.15">
      <c r="A57" s="6" t="s">
        <v>35</v>
      </c>
      <c r="B57" s="25">
        <v>11518</v>
      </c>
      <c r="C57" s="25">
        <f>17842-11518</f>
        <v>6324</v>
      </c>
      <c r="D57" s="25">
        <v>3600</v>
      </c>
      <c r="E57" s="25">
        <f>38738-21442</f>
        <v>17296</v>
      </c>
      <c r="F57" s="25">
        <f>7380+540</f>
        <v>7920</v>
      </c>
      <c r="G57" s="25">
        <v>4356</v>
      </c>
      <c r="H57" s="25">
        <f t="shared" si="8"/>
        <v>51014</v>
      </c>
      <c r="I57" s="25">
        <v>3000</v>
      </c>
      <c r="J57" s="25">
        <f>56914-54014</f>
        <v>2900</v>
      </c>
      <c r="K57" s="25">
        <f>59074-56914</f>
        <v>2160</v>
      </c>
      <c r="L57" s="25">
        <f>64746-59074</f>
        <v>5672</v>
      </c>
      <c r="M57" s="25">
        <v>861</v>
      </c>
      <c r="N57" s="25">
        <f>73939-65607</f>
        <v>8332</v>
      </c>
      <c r="O57" s="25">
        <f t="shared" si="2"/>
        <v>22925</v>
      </c>
      <c r="P57" s="25">
        <f t="shared" si="3"/>
        <v>73939</v>
      </c>
    </row>
    <row r="58" spans="1:16" ht="12" customHeight="1" x14ac:dyDescent="0.15">
      <c r="A58" s="6" t="s">
        <v>110</v>
      </c>
      <c r="B58" s="25">
        <v>45053</v>
      </c>
      <c r="C58" s="25">
        <f>253633-45053</f>
        <v>208580</v>
      </c>
      <c r="D58" s="25">
        <v>14670</v>
      </c>
      <c r="E58" s="25">
        <v>0</v>
      </c>
      <c r="F58" s="25">
        <v>0</v>
      </c>
      <c r="G58" s="25">
        <v>33930</v>
      </c>
      <c r="H58" s="25">
        <f t="shared" si="8"/>
        <v>302233</v>
      </c>
      <c r="I58" s="25">
        <v>45820</v>
      </c>
      <c r="J58" s="25">
        <v>-2660</v>
      </c>
      <c r="K58" s="25">
        <v>0</v>
      </c>
      <c r="L58" s="25">
        <v>479610</v>
      </c>
      <c r="M58" s="25">
        <v>220</v>
      </c>
      <c r="N58" s="25">
        <v>22500</v>
      </c>
      <c r="O58" s="25">
        <f t="shared" si="2"/>
        <v>545490</v>
      </c>
      <c r="P58" s="25">
        <f t="shared" si="3"/>
        <v>847723</v>
      </c>
    </row>
    <row r="59" spans="1:16" ht="12" customHeight="1" x14ac:dyDescent="0.15">
      <c r="A59" s="6" t="s">
        <v>111</v>
      </c>
      <c r="B59" s="25">
        <v>289369</v>
      </c>
      <c r="C59" s="25">
        <f>799632-289369</f>
        <v>510263</v>
      </c>
      <c r="D59" s="25">
        <f>1192979-799632</f>
        <v>393347</v>
      </c>
      <c r="E59" s="25">
        <f>1558511-1192979</f>
        <v>365532</v>
      </c>
      <c r="F59" s="25">
        <f>2170385-1558511</f>
        <v>611874</v>
      </c>
      <c r="G59" s="25">
        <v>452422</v>
      </c>
      <c r="H59" s="25">
        <f t="shared" si="8"/>
        <v>2622807</v>
      </c>
      <c r="I59" s="25">
        <f>3103639-2622807</f>
        <v>480832</v>
      </c>
      <c r="J59" s="25">
        <f>3505414-3103639</f>
        <v>401775</v>
      </c>
      <c r="K59" s="25">
        <f>3976334-3505414</f>
        <v>470920</v>
      </c>
      <c r="L59" s="25">
        <f>4672747-3976334</f>
        <v>696413</v>
      </c>
      <c r="M59" s="25">
        <f>4817100-4672747</f>
        <v>144353</v>
      </c>
      <c r="N59" s="25">
        <f>6363772-4817100</f>
        <v>1546672</v>
      </c>
      <c r="O59" s="25">
        <f t="shared" si="2"/>
        <v>3740965</v>
      </c>
      <c r="P59" s="25">
        <f t="shared" si="3"/>
        <v>6363772</v>
      </c>
    </row>
    <row r="60" spans="1:16" ht="12" customHeight="1" x14ac:dyDescent="0.15">
      <c r="A60" s="6" t="s">
        <v>112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f t="shared" si="8"/>
        <v>0</v>
      </c>
      <c r="I60" s="25">
        <v>0</v>
      </c>
      <c r="J60" s="25">
        <v>0</v>
      </c>
      <c r="K60" s="25">
        <v>131112</v>
      </c>
      <c r="L60" s="25">
        <v>0</v>
      </c>
      <c r="M60" s="25">
        <v>17280</v>
      </c>
      <c r="N60" s="25">
        <v>0</v>
      </c>
      <c r="O60" s="25">
        <f t="shared" si="2"/>
        <v>148392</v>
      </c>
      <c r="P60" s="25">
        <f t="shared" si="3"/>
        <v>148392</v>
      </c>
    </row>
    <row r="61" spans="1:16" ht="12" customHeight="1" x14ac:dyDescent="0.15">
      <c r="A61" s="6" t="s">
        <v>113</v>
      </c>
      <c r="B61" s="25">
        <v>285272</v>
      </c>
      <c r="C61" s="25">
        <f>572607-285272</f>
        <v>287335</v>
      </c>
      <c r="D61" s="25">
        <f>880775-572607</f>
        <v>308168</v>
      </c>
      <c r="E61" s="25">
        <f>1166047-880775</f>
        <v>285272</v>
      </c>
      <c r="F61" s="25">
        <f>1470759-1166047</f>
        <v>304712</v>
      </c>
      <c r="G61" s="25">
        <v>401480</v>
      </c>
      <c r="H61" s="25">
        <f t="shared" si="8"/>
        <v>1872239</v>
      </c>
      <c r="I61" s="25">
        <f>2221805-1872239</f>
        <v>349566</v>
      </c>
      <c r="J61" s="25">
        <f>2507077-2221805</f>
        <v>285272</v>
      </c>
      <c r="K61" s="25">
        <f>2804013-2507077</f>
        <v>296936</v>
      </c>
      <c r="L61" s="25">
        <f>3134105-2804013</f>
        <v>330092</v>
      </c>
      <c r="M61" s="25">
        <f>3464197-3134105</f>
        <v>330092</v>
      </c>
      <c r="N61" s="25">
        <f>3741369-3464197</f>
        <v>277172</v>
      </c>
      <c r="O61" s="25">
        <f t="shared" si="2"/>
        <v>1869130</v>
      </c>
      <c r="P61" s="25">
        <f t="shared" si="3"/>
        <v>3741369</v>
      </c>
    </row>
    <row r="62" spans="1:16" ht="12" customHeight="1" x14ac:dyDescent="0.15">
      <c r="A62" s="6" t="s">
        <v>121</v>
      </c>
      <c r="B62" s="25">
        <v>295000</v>
      </c>
      <c r="C62" s="25">
        <f>710000-295000</f>
        <v>415000</v>
      </c>
      <c r="D62" s="25">
        <v>295000</v>
      </c>
      <c r="E62" s="25">
        <v>295000</v>
      </c>
      <c r="F62" s="25">
        <v>295000</v>
      </c>
      <c r="G62" s="25">
        <v>295000</v>
      </c>
      <c r="H62" s="25">
        <f t="shared" si="8"/>
        <v>1890000</v>
      </c>
      <c r="I62" s="25">
        <v>295000</v>
      </c>
      <c r="J62" s="25">
        <v>295000</v>
      </c>
      <c r="K62" s="25">
        <f>2775000-2480000</f>
        <v>295000</v>
      </c>
      <c r="L62" s="25">
        <v>295000</v>
      </c>
      <c r="M62" s="25">
        <v>295000</v>
      </c>
      <c r="N62" s="25">
        <v>295000</v>
      </c>
      <c r="O62" s="25">
        <f t="shared" si="2"/>
        <v>1770000</v>
      </c>
      <c r="P62" s="25">
        <f t="shared" si="3"/>
        <v>3660000</v>
      </c>
    </row>
    <row r="63" spans="1:16" ht="12" customHeight="1" x14ac:dyDescent="0.15">
      <c r="A63" s="6" t="s">
        <v>122</v>
      </c>
      <c r="B63" s="49">
        <v>450</v>
      </c>
      <c r="C63" s="25">
        <f>352600-450</f>
        <v>352150</v>
      </c>
      <c r="D63" s="25">
        <v>0</v>
      </c>
      <c r="E63" s="25">
        <f>374100-352600</f>
        <v>21500</v>
      </c>
      <c r="F63" s="25">
        <v>9</v>
      </c>
      <c r="G63" s="25">
        <v>0</v>
      </c>
      <c r="H63" s="25">
        <f t="shared" si="8"/>
        <v>374109</v>
      </c>
      <c r="I63" s="25">
        <v>0</v>
      </c>
      <c r="J63" s="25">
        <v>1000</v>
      </c>
      <c r="K63" s="25">
        <v>49000</v>
      </c>
      <c r="L63" s="25">
        <v>1250</v>
      </c>
      <c r="M63" s="25">
        <v>49007</v>
      </c>
      <c r="N63" s="25">
        <f>466666-474366</f>
        <v>-7700</v>
      </c>
      <c r="O63" s="25">
        <f t="shared" si="2"/>
        <v>92557</v>
      </c>
      <c r="P63" s="25">
        <f t="shared" si="3"/>
        <v>466666</v>
      </c>
    </row>
    <row r="64" spans="1:16" ht="12" customHeight="1" x14ac:dyDescent="0.15">
      <c r="A64" s="6" t="s">
        <v>37</v>
      </c>
      <c r="B64" s="25">
        <v>101108</v>
      </c>
      <c r="C64" s="25">
        <f>223242-101108</f>
        <v>122134</v>
      </c>
      <c r="D64" s="25">
        <f>450042-223242</f>
        <v>226800</v>
      </c>
      <c r="E64" s="25">
        <f>643198-450042</f>
        <v>193156</v>
      </c>
      <c r="F64" s="25">
        <f>702165-643198</f>
        <v>58967</v>
      </c>
      <c r="G64" s="25">
        <v>438264</v>
      </c>
      <c r="H64" s="25">
        <f t="shared" si="8"/>
        <v>1140429</v>
      </c>
      <c r="I64" s="25">
        <f>1246136-1140429</f>
        <v>105707</v>
      </c>
      <c r="J64" s="25">
        <f>1355906-1246136</f>
        <v>109770</v>
      </c>
      <c r="K64" s="25">
        <f>1549397-1355906</f>
        <v>193491</v>
      </c>
      <c r="L64" s="25">
        <f>1603331-1549397</f>
        <v>53934</v>
      </c>
      <c r="M64" s="25">
        <f>1654532-1603331</f>
        <v>51201</v>
      </c>
      <c r="N64" s="25">
        <f>1797524-1654532</f>
        <v>142992</v>
      </c>
      <c r="O64" s="25">
        <f t="shared" si="2"/>
        <v>657095</v>
      </c>
      <c r="P64" s="25">
        <f t="shared" si="3"/>
        <v>1797524</v>
      </c>
    </row>
    <row r="65" spans="1:16" ht="12" customHeight="1" x14ac:dyDescent="0.15">
      <c r="A65" s="6" t="s">
        <v>114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8010</v>
      </c>
      <c r="H65" s="25">
        <f t="shared" si="8"/>
        <v>8010</v>
      </c>
      <c r="I65" s="25">
        <f>90273-8010</f>
        <v>82263</v>
      </c>
      <c r="J65" s="25">
        <f>92666-90273</f>
        <v>2393</v>
      </c>
      <c r="K65" s="25">
        <f>137887-92666</f>
        <v>45221</v>
      </c>
      <c r="L65" s="25">
        <v>0</v>
      </c>
      <c r="M65" s="25">
        <v>0</v>
      </c>
      <c r="N65" s="25">
        <v>0</v>
      </c>
      <c r="O65" s="25">
        <f t="shared" si="2"/>
        <v>129877</v>
      </c>
      <c r="P65" s="25">
        <f t="shared" si="3"/>
        <v>137887</v>
      </c>
    </row>
    <row r="66" spans="1:16" ht="12" customHeight="1" x14ac:dyDescent="0.15">
      <c r="A66" s="53" t="s">
        <v>115</v>
      </c>
      <c r="B66" s="25">
        <v>396453</v>
      </c>
      <c r="C66" s="25">
        <f>725621-396453</f>
        <v>329168</v>
      </c>
      <c r="D66" s="25">
        <f>1043382-725621</f>
        <v>317761</v>
      </c>
      <c r="E66" s="25">
        <f>1570332-1043382</f>
        <v>526950</v>
      </c>
      <c r="F66" s="25">
        <f>1842391-1570332</f>
        <v>272059</v>
      </c>
      <c r="G66" s="25">
        <v>341011</v>
      </c>
      <c r="H66" s="25">
        <f t="shared" si="8"/>
        <v>2183402</v>
      </c>
      <c r="I66" s="25">
        <f>2921057-2183402</f>
        <v>737655</v>
      </c>
      <c r="J66" s="25">
        <f>3261989-2921057</f>
        <v>340932</v>
      </c>
      <c r="K66" s="25">
        <f>3754096-3261989</f>
        <v>492107</v>
      </c>
      <c r="L66" s="25">
        <f>3945766-3754096</f>
        <v>191670</v>
      </c>
      <c r="M66" s="25">
        <f>4257236-3945766</f>
        <v>311470</v>
      </c>
      <c r="N66" s="25">
        <f>4733192-4257236</f>
        <v>475956</v>
      </c>
      <c r="O66" s="25">
        <f t="shared" si="2"/>
        <v>2549790</v>
      </c>
      <c r="P66" s="25">
        <f t="shared" si="3"/>
        <v>4733192</v>
      </c>
    </row>
    <row r="67" spans="1:16" ht="12" customHeight="1" x14ac:dyDescent="0.15">
      <c r="A67" s="6" t="s">
        <v>46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3448785</v>
      </c>
      <c r="H67" s="25">
        <f t="shared" si="8"/>
        <v>3448785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f>3954910-3448785</f>
        <v>506125</v>
      </c>
      <c r="O67" s="25">
        <f t="shared" si="2"/>
        <v>506125</v>
      </c>
      <c r="P67" s="25">
        <f t="shared" si="3"/>
        <v>3954910</v>
      </c>
    </row>
    <row r="68" spans="1:16" ht="12" customHeight="1" x14ac:dyDescent="0.15">
      <c r="A68" s="54" t="s">
        <v>29</v>
      </c>
      <c r="B68" s="32">
        <f t="shared" ref="B68:N68" si="10">B36+B42</f>
        <v>15968669</v>
      </c>
      <c r="C68" s="32">
        <f t="shared" si="10"/>
        <v>16837394</v>
      </c>
      <c r="D68" s="32">
        <f t="shared" si="10"/>
        <v>15647382</v>
      </c>
      <c r="E68" s="32">
        <f t="shared" si="10"/>
        <v>23403336</v>
      </c>
      <c r="F68" s="32">
        <f t="shared" si="10"/>
        <v>18437440</v>
      </c>
      <c r="G68" s="32">
        <f t="shared" si="10"/>
        <v>19924538</v>
      </c>
      <c r="H68" s="32">
        <f t="shared" si="8"/>
        <v>110218759</v>
      </c>
      <c r="I68" s="32">
        <f t="shared" si="10"/>
        <v>16547086</v>
      </c>
      <c r="J68" s="32">
        <f t="shared" si="10"/>
        <v>22568960</v>
      </c>
      <c r="K68" s="32">
        <f t="shared" si="10"/>
        <v>15987583</v>
      </c>
      <c r="L68" s="32">
        <f t="shared" si="10"/>
        <v>15957199</v>
      </c>
      <c r="M68" s="32">
        <f t="shared" si="10"/>
        <v>15363249</v>
      </c>
      <c r="N68" s="32">
        <f t="shared" si="10"/>
        <v>16254418</v>
      </c>
      <c r="O68" s="32">
        <f t="shared" si="2"/>
        <v>102678495</v>
      </c>
      <c r="P68" s="32">
        <f t="shared" si="3"/>
        <v>212897254</v>
      </c>
    </row>
    <row r="69" spans="1:16" ht="12" customHeight="1" x14ac:dyDescent="0.15">
      <c r="A69" s="54" t="s">
        <v>61</v>
      </c>
      <c r="B69" s="32">
        <f t="shared" ref="B69:G69" si="11">B33-B68</f>
        <v>1598898</v>
      </c>
      <c r="C69" s="32">
        <f t="shared" si="11"/>
        <v>2322559</v>
      </c>
      <c r="D69" s="32">
        <f t="shared" si="11"/>
        <v>2570758</v>
      </c>
      <c r="E69" s="32">
        <f t="shared" si="11"/>
        <v>-4426563</v>
      </c>
      <c r="F69" s="32">
        <f t="shared" si="11"/>
        <v>412173</v>
      </c>
      <c r="G69" s="32">
        <f t="shared" si="11"/>
        <v>-2072441</v>
      </c>
      <c r="H69" s="32">
        <f t="shared" si="8"/>
        <v>405384</v>
      </c>
      <c r="I69" s="32">
        <f t="shared" ref="I69:N69" si="12">I33-I68</f>
        <v>2673210</v>
      </c>
      <c r="J69" s="32">
        <f t="shared" si="12"/>
        <v>-4918219</v>
      </c>
      <c r="K69" s="32">
        <f t="shared" si="12"/>
        <v>537298</v>
      </c>
      <c r="L69" s="32">
        <f t="shared" si="12"/>
        <v>58825</v>
      </c>
      <c r="M69" s="32">
        <f t="shared" si="12"/>
        <v>670351</v>
      </c>
      <c r="N69" s="32">
        <f t="shared" si="12"/>
        <v>2249507</v>
      </c>
      <c r="O69" s="32">
        <f t="shared" si="2"/>
        <v>1270972</v>
      </c>
      <c r="P69" s="32">
        <f t="shared" si="3"/>
        <v>1676356</v>
      </c>
    </row>
    <row r="70" spans="1:16" ht="12" customHeight="1" x14ac:dyDescent="0.15">
      <c r="A70" s="23" t="s">
        <v>126</v>
      </c>
      <c r="B70" s="25">
        <v>3</v>
      </c>
      <c r="C70" s="25">
        <v>0</v>
      </c>
      <c r="D70" s="25">
        <v>0</v>
      </c>
      <c r="E70" s="25">
        <v>0</v>
      </c>
      <c r="F70" s="25">
        <v>72</v>
      </c>
      <c r="G70" s="25">
        <v>2</v>
      </c>
      <c r="H70" s="32">
        <f t="shared" si="8"/>
        <v>77</v>
      </c>
      <c r="I70" s="25">
        <v>2</v>
      </c>
      <c r="J70" s="25">
        <v>0</v>
      </c>
      <c r="K70" s="25">
        <v>0</v>
      </c>
      <c r="L70" s="25">
        <v>0</v>
      </c>
      <c r="M70" s="25">
        <f>143-79</f>
        <v>64</v>
      </c>
      <c r="N70" s="25">
        <v>2</v>
      </c>
      <c r="O70" s="32">
        <f t="shared" si="2"/>
        <v>68</v>
      </c>
      <c r="P70" s="32">
        <f t="shared" si="3"/>
        <v>145</v>
      </c>
    </row>
    <row r="71" spans="1:16" ht="12" customHeight="1" x14ac:dyDescent="0.15">
      <c r="A71" s="23" t="s">
        <v>127</v>
      </c>
      <c r="B71" s="25">
        <f>19578+600</f>
        <v>20178</v>
      </c>
      <c r="C71" s="25">
        <f>19873+1+139518</f>
        <v>159392</v>
      </c>
      <c r="D71" s="25">
        <v>18887</v>
      </c>
      <c r="E71" s="25">
        <f>20396+28410+2043</f>
        <v>50849</v>
      </c>
      <c r="F71" s="25">
        <f>17590+510+1773</f>
        <v>19873</v>
      </c>
      <c r="G71" s="25">
        <v>18049</v>
      </c>
      <c r="H71" s="32">
        <f t="shared" si="8"/>
        <v>287228</v>
      </c>
      <c r="I71" s="25">
        <f>18673+56667</f>
        <v>75340</v>
      </c>
      <c r="J71" s="25">
        <f>16589+27945+23680+24180</f>
        <v>92394</v>
      </c>
      <c r="K71" s="25">
        <f>17376+284596-249169</f>
        <v>52803</v>
      </c>
      <c r="L71" s="25">
        <f>17020+332256-284596</f>
        <v>64680</v>
      </c>
      <c r="M71" s="25">
        <f>15050+363574-332256</f>
        <v>46368</v>
      </c>
      <c r="N71" s="25">
        <f>16306+28410+396726-363574</f>
        <v>77868</v>
      </c>
      <c r="O71" s="32">
        <f t="shared" si="2"/>
        <v>409453</v>
      </c>
      <c r="P71" s="32">
        <f t="shared" si="3"/>
        <v>696681</v>
      </c>
    </row>
    <row r="72" spans="1:16" ht="12" customHeight="1" x14ac:dyDescent="0.15">
      <c r="A72" s="54" t="s">
        <v>60</v>
      </c>
      <c r="B72" s="33">
        <f t="shared" ref="B72:G72" si="13">B69+B70-B71</f>
        <v>1578723</v>
      </c>
      <c r="C72" s="33">
        <f t="shared" si="13"/>
        <v>2163167</v>
      </c>
      <c r="D72" s="33">
        <f t="shared" si="13"/>
        <v>2551871</v>
      </c>
      <c r="E72" s="33">
        <f t="shared" si="13"/>
        <v>-4477412</v>
      </c>
      <c r="F72" s="33">
        <f t="shared" si="13"/>
        <v>392372</v>
      </c>
      <c r="G72" s="33">
        <f t="shared" si="13"/>
        <v>-2090488</v>
      </c>
      <c r="H72" s="32">
        <f t="shared" si="8"/>
        <v>118233</v>
      </c>
      <c r="I72" s="33">
        <f t="shared" ref="I72:N72" si="14">I69+I70-I71</f>
        <v>2597872</v>
      </c>
      <c r="J72" s="33">
        <f t="shared" si="14"/>
        <v>-5010613</v>
      </c>
      <c r="K72" s="33">
        <f t="shared" si="14"/>
        <v>484495</v>
      </c>
      <c r="L72" s="33">
        <f t="shared" si="14"/>
        <v>-5855</v>
      </c>
      <c r="M72" s="33">
        <f t="shared" si="14"/>
        <v>624047</v>
      </c>
      <c r="N72" s="33">
        <f t="shared" si="14"/>
        <v>2171641</v>
      </c>
      <c r="O72" s="32">
        <f t="shared" si="2"/>
        <v>861587</v>
      </c>
      <c r="P72" s="32">
        <f t="shared" si="3"/>
        <v>979820</v>
      </c>
    </row>
    <row r="73" spans="1:16" ht="12" customHeight="1" x14ac:dyDescent="0.15">
      <c r="A73" s="26" t="s">
        <v>116</v>
      </c>
      <c r="B73" s="25">
        <v>280000</v>
      </c>
      <c r="C73" s="25">
        <v>280000</v>
      </c>
      <c r="D73" s="25">
        <v>280000</v>
      </c>
      <c r="E73" s="25">
        <v>280000</v>
      </c>
      <c r="F73" s="25">
        <v>280000</v>
      </c>
      <c r="G73" s="25">
        <v>280000</v>
      </c>
      <c r="H73" s="32">
        <f t="shared" si="8"/>
        <v>1680000</v>
      </c>
      <c r="I73" s="25">
        <v>280000</v>
      </c>
      <c r="J73" s="25">
        <v>280000</v>
      </c>
      <c r="K73" s="25">
        <v>280000</v>
      </c>
      <c r="L73" s="25">
        <v>280000</v>
      </c>
      <c r="M73" s="25">
        <v>280000</v>
      </c>
      <c r="N73" s="25">
        <v>280000</v>
      </c>
      <c r="O73" s="25">
        <f t="shared" si="2"/>
        <v>1680000</v>
      </c>
      <c r="P73" s="25">
        <f t="shared" si="3"/>
        <v>3360000</v>
      </c>
    </row>
  </sheetData>
  <mergeCells count="1">
    <mergeCell ref="C1:H1"/>
  </mergeCells>
  <phoneticPr fontId="3"/>
  <pageMargins left="0.51181102362204722" right="0.19685039370078741" top="0" bottom="0" header="0.23622047244094491" footer="0.27559055118110237"/>
  <pageSetup paperSize="8"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32C4-6B65-4011-9B60-3B8AA45860B3}">
  <dimension ref="A1:P73"/>
  <sheetViews>
    <sheetView topLeftCell="A43" workbookViewId="0">
      <pane xSplit="1" topLeftCell="B1" activePane="topRight" state="frozen"/>
      <selection activeCell="A10" sqref="A10"/>
      <selection pane="topRight" activeCell="B12" sqref="B12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12" t="s">
        <v>353</v>
      </c>
      <c r="D1" s="112"/>
      <c r="E1" s="112"/>
      <c r="F1" s="112"/>
      <c r="G1" s="112"/>
      <c r="H1" s="112"/>
    </row>
    <row r="2" spans="1:16" ht="12" customHeight="1" x14ac:dyDescent="0.15">
      <c r="A2" s="26" t="s">
        <v>43</v>
      </c>
      <c r="B2" s="45" t="s">
        <v>354</v>
      </c>
      <c r="C2" s="26" t="s">
        <v>355</v>
      </c>
      <c r="D2" s="45" t="s">
        <v>356</v>
      </c>
      <c r="E2" s="26" t="s">
        <v>357</v>
      </c>
      <c r="F2" s="45" t="s">
        <v>358</v>
      </c>
      <c r="G2" s="26" t="s">
        <v>359</v>
      </c>
      <c r="H2" s="26" t="s">
        <v>39</v>
      </c>
      <c r="I2" s="26" t="s">
        <v>360</v>
      </c>
      <c r="J2" s="26" t="s">
        <v>361</v>
      </c>
      <c r="K2" s="26" t="s">
        <v>362</v>
      </c>
      <c r="L2" s="26" t="s">
        <v>363</v>
      </c>
      <c r="M2" s="26" t="s">
        <v>364</v>
      </c>
      <c r="N2" s="26" t="s">
        <v>365</v>
      </c>
      <c r="O2" s="26" t="s">
        <v>41</v>
      </c>
      <c r="P2" s="26" t="s">
        <v>42</v>
      </c>
    </row>
    <row r="3" spans="1:16" ht="12" customHeight="1" x14ac:dyDescent="0.15">
      <c r="A3" s="24" t="s">
        <v>259</v>
      </c>
      <c r="B3" s="113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12" customHeight="1" x14ac:dyDescent="0.15">
      <c r="A4" s="24" t="s">
        <v>0</v>
      </c>
      <c r="B4" s="114">
        <f>SUM(B5:B7)</f>
        <v>105000</v>
      </c>
      <c r="C4" s="114">
        <f t="shared" ref="C4:N4" si="0">SUM(C5:C7)</f>
        <v>33000</v>
      </c>
      <c r="D4" s="114">
        <f t="shared" si="0"/>
        <v>9000</v>
      </c>
      <c r="E4" s="114">
        <f t="shared" si="0"/>
        <v>8000</v>
      </c>
      <c r="F4" s="114">
        <f t="shared" si="0"/>
        <v>4000</v>
      </c>
      <c r="G4" s="114">
        <f t="shared" si="0"/>
        <v>1000</v>
      </c>
      <c r="H4" s="114">
        <f t="shared" ref="H4:H33" si="1">SUM(B4:G4)</f>
        <v>160000</v>
      </c>
      <c r="I4" s="114">
        <f t="shared" si="0"/>
        <v>3000</v>
      </c>
      <c r="J4" s="114">
        <f t="shared" si="0"/>
        <v>3000</v>
      </c>
      <c r="K4" s="114">
        <f t="shared" si="0"/>
        <v>4000</v>
      </c>
      <c r="L4" s="114">
        <f t="shared" si="0"/>
        <v>5000</v>
      </c>
      <c r="M4" s="114">
        <f t="shared" si="0"/>
        <v>2000</v>
      </c>
      <c r="N4" s="114">
        <f t="shared" si="0"/>
        <v>3000</v>
      </c>
      <c r="O4" s="114">
        <f>SUM(I4:N4)</f>
        <v>20000</v>
      </c>
      <c r="P4" s="114">
        <f>H4+O4</f>
        <v>180000</v>
      </c>
    </row>
    <row r="5" spans="1:16" ht="12" customHeight="1" x14ac:dyDescent="0.15">
      <c r="A5" s="21" t="s">
        <v>1</v>
      </c>
      <c r="B5" s="111">
        <v>83000</v>
      </c>
      <c r="C5" s="111">
        <v>1000</v>
      </c>
      <c r="D5" s="111">
        <v>0</v>
      </c>
      <c r="E5" s="111">
        <v>1000</v>
      </c>
      <c r="F5" s="111">
        <v>0</v>
      </c>
      <c r="G5" s="111">
        <v>0</v>
      </c>
      <c r="H5" s="111">
        <f t="shared" si="1"/>
        <v>85000</v>
      </c>
      <c r="I5" s="111">
        <v>0</v>
      </c>
      <c r="J5" s="111">
        <v>1000</v>
      </c>
      <c r="K5" s="111">
        <v>0</v>
      </c>
      <c r="L5" s="111">
        <v>0</v>
      </c>
      <c r="M5" s="111">
        <v>0</v>
      </c>
      <c r="N5" s="111">
        <v>0</v>
      </c>
      <c r="O5" s="111">
        <f t="shared" ref="O5:O73" si="2">SUM(I5:N5)</f>
        <v>1000</v>
      </c>
      <c r="P5" s="111">
        <f t="shared" ref="P5:P73" si="3">H5+O5</f>
        <v>86000</v>
      </c>
    </row>
    <row r="6" spans="1:16" ht="12" customHeight="1" x14ac:dyDescent="0.15">
      <c r="A6" s="21" t="s">
        <v>2</v>
      </c>
      <c r="B6" s="111">
        <v>16000</v>
      </c>
      <c r="C6" s="111">
        <f>47000-16000</f>
        <v>31000</v>
      </c>
      <c r="D6" s="111">
        <f>55000-47000</f>
        <v>8000</v>
      </c>
      <c r="E6" s="111">
        <v>6000</v>
      </c>
      <c r="F6" s="111">
        <v>3000</v>
      </c>
      <c r="G6" s="111">
        <v>1000</v>
      </c>
      <c r="H6" s="111">
        <f t="shared" si="1"/>
        <v>65000</v>
      </c>
      <c r="I6" s="111">
        <f>68000-65000</f>
        <v>3000</v>
      </c>
      <c r="J6" s="111">
        <v>2000</v>
      </c>
      <c r="K6" s="111">
        <v>4000</v>
      </c>
      <c r="L6" s="111">
        <v>4000</v>
      </c>
      <c r="M6" s="111">
        <v>2000</v>
      </c>
      <c r="N6" s="111">
        <v>3000</v>
      </c>
      <c r="O6" s="111">
        <f t="shared" si="2"/>
        <v>18000</v>
      </c>
      <c r="P6" s="111">
        <f t="shared" si="3"/>
        <v>83000</v>
      </c>
    </row>
    <row r="7" spans="1:16" ht="12" customHeight="1" x14ac:dyDescent="0.15">
      <c r="A7" s="21" t="s">
        <v>3</v>
      </c>
      <c r="B7" s="111">
        <v>6000</v>
      </c>
      <c r="C7" s="111">
        <v>1000</v>
      </c>
      <c r="D7" s="111">
        <v>1000</v>
      </c>
      <c r="E7" s="111">
        <v>1000</v>
      </c>
      <c r="F7" s="111">
        <v>1000</v>
      </c>
      <c r="G7" s="111">
        <v>0</v>
      </c>
      <c r="H7" s="111">
        <f t="shared" si="1"/>
        <v>10000</v>
      </c>
      <c r="I7" s="111">
        <v>0</v>
      </c>
      <c r="J7" s="111">
        <v>0</v>
      </c>
      <c r="K7" s="111">
        <v>0</v>
      </c>
      <c r="L7" s="111">
        <v>1000</v>
      </c>
      <c r="M7" s="111">
        <v>0</v>
      </c>
      <c r="N7" s="111">
        <v>0</v>
      </c>
      <c r="O7" s="111">
        <f t="shared" si="2"/>
        <v>1000</v>
      </c>
      <c r="P7" s="111">
        <f t="shared" si="3"/>
        <v>11000</v>
      </c>
    </row>
    <row r="8" spans="1:16" ht="12" customHeight="1" x14ac:dyDescent="0.15">
      <c r="A8" s="24" t="s">
        <v>4</v>
      </c>
      <c r="B8" s="114">
        <f t="shared" ref="B8:G8" si="4">SUM(B9:B28)</f>
        <v>16338042</v>
      </c>
      <c r="C8" s="114">
        <f t="shared" si="4"/>
        <v>18764212</v>
      </c>
      <c r="D8" s="114">
        <f t="shared" si="4"/>
        <v>17400482</v>
      </c>
      <c r="E8" s="114">
        <f t="shared" si="4"/>
        <v>18404148</v>
      </c>
      <c r="F8" s="114">
        <f t="shared" si="4"/>
        <v>17732532</v>
      </c>
      <c r="G8" s="114">
        <f t="shared" si="4"/>
        <v>17283010</v>
      </c>
      <c r="H8" s="114">
        <f t="shared" si="1"/>
        <v>105922426</v>
      </c>
      <c r="I8" s="114">
        <f t="shared" ref="I8:N8" si="5">SUM(I9:I28)</f>
        <v>17445470</v>
      </c>
      <c r="J8" s="114">
        <f t="shared" si="5"/>
        <v>17183970</v>
      </c>
      <c r="K8" s="114">
        <f t="shared" si="5"/>
        <v>15960420</v>
      </c>
      <c r="L8" s="114">
        <f t="shared" si="5"/>
        <v>16165252</v>
      </c>
      <c r="M8" s="114">
        <f t="shared" si="5"/>
        <v>16138560</v>
      </c>
      <c r="N8" s="114">
        <f t="shared" si="5"/>
        <v>17756204</v>
      </c>
      <c r="O8" s="114">
        <f t="shared" si="2"/>
        <v>100649876</v>
      </c>
      <c r="P8" s="114">
        <f t="shared" si="3"/>
        <v>206572302</v>
      </c>
    </row>
    <row r="9" spans="1:16" ht="12" customHeight="1" x14ac:dyDescent="0.15">
      <c r="A9" s="47" t="s">
        <v>94</v>
      </c>
      <c r="B9" s="111">
        <v>2889180</v>
      </c>
      <c r="C9" s="111">
        <f>5946000-2889180</f>
        <v>3056820</v>
      </c>
      <c r="D9" s="111">
        <f>8856360-5946000</f>
        <v>2910360</v>
      </c>
      <c r="E9" s="111">
        <f>11909560-8856360</f>
        <v>3053200</v>
      </c>
      <c r="F9" s="111">
        <f>14721970-11909560</f>
        <v>2812410</v>
      </c>
      <c r="G9" s="111">
        <f>17676780-14721970</f>
        <v>2954810</v>
      </c>
      <c r="H9" s="111">
        <f t="shared" si="1"/>
        <v>17676780</v>
      </c>
      <c r="I9" s="111">
        <f>20432800-17676780</f>
        <v>2756020</v>
      </c>
      <c r="J9" s="111">
        <f>23191480-20432800</f>
        <v>2758680</v>
      </c>
      <c r="K9" s="111">
        <f>25921030-23191480</f>
        <v>2729550</v>
      </c>
      <c r="L9" s="111">
        <f>28581130-25921030</f>
        <v>2660100</v>
      </c>
      <c r="M9" s="111">
        <f>31375180-28581130</f>
        <v>2794050</v>
      </c>
      <c r="N9" s="111">
        <f>34172140-31375180</f>
        <v>2796960</v>
      </c>
      <c r="O9" s="111">
        <f t="shared" si="2"/>
        <v>16495360</v>
      </c>
      <c r="P9" s="111">
        <f t="shared" si="3"/>
        <v>34172140</v>
      </c>
    </row>
    <row r="10" spans="1:16" ht="12" customHeight="1" x14ac:dyDescent="0.15">
      <c r="A10" s="48" t="s">
        <v>247</v>
      </c>
      <c r="B10" s="111">
        <v>17200</v>
      </c>
      <c r="C10" s="111">
        <v>33100</v>
      </c>
      <c r="D10" s="111">
        <v>25800</v>
      </c>
      <c r="E10" s="111">
        <v>33100</v>
      </c>
      <c r="F10" s="111">
        <v>37400</v>
      </c>
      <c r="G10" s="111">
        <v>34400</v>
      </c>
      <c r="H10" s="111">
        <f t="shared" si="1"/>
        <v>181000</v>
      </c>
      <c r="I10" s="111">
        <v>34400</v>
      </c>
      <c r="J10" s="111">
        <f>7300+11600+38700</f>
        <v>57600</v>
      </c>
      <c r="K10" s="111">
        <v>0</v>
      </c>
      <c r="L10" s="111">
        <f>30170+25860</f>
        <v>56030</v>
      </c>
      <c r="M10" s="111" ph="1">
        <v>17240</v>
      </c>
      <c r="N10" s="111">
        <v>33170</v>
      </c>
      <c r="O10" s="111">
        <f t="shared" si="2"/>
        <v>198440</v>
      </c>
      <c r="P10" s="111">
        <f t="shared" si="3"/>
        <v>379440</v>
      </c>
    </row>
    <row r="11" spans="1:16" ht="12" customHeight="1" x14ac:dyDescent="0.15">
      <c r="A11" s="48" t="s">
        <v>319</v>
      </c>
      <c r="B11" s="111">
        <v>24192</v>
      </c>
      <c r="C11" s="111">
        <v>39312</v>
      </c>
      <c r="D11" s="111">
        <v>24192</v>
      </c>
      <c r="E11" s="111">
        <v>21168</v>
      </c>
      <c r="F11" s="111">
        <v>24192</v>
      </c>
      <c r="G11" s="111">
        <v>30240</v>
      </c>
      <c r="H11" s="111">
        <f t="shared" si="1"/>
        <v>163296</v>
      </c>
      <c r="I11" s="111">
        <v>46200</v>
      </c>
      <c r="J11" s="111">
        <v>33880</v>
      </c>
      <c r="K11" s="111">
        <v>30800</v>
      </c>
      <c r="L11" s="111">
        <v>27720</v>
      </c>
      <c r="M11" s="111">
        <v>49280</v>
      </c>
      <c r="N11" s="111">
        <v>30800</v>
      </c>
      <c r="O11" s="111">
        <f t="shared" si="2"/>
        <v>218680</v>
      </c>
      <c r="P11" s="111">
        <f t="shared" si="3"/>
        <v>381976</v>
      </c>
    </row>
    <row r="12" spans="1:16" ht="12" customHeight="1" x14ac:dyDescent="0.15">
      <c r="A12" s="47" t="s">
        <v>95</v>
      </c>
      <c r="B12" s="115">
        <f>4081310-261100+4847770-323900</f>
        <v>8344080</v>
      </c>
      <c r="C12" s="111">
        <f>8874770-4081310-305500-600+9945790-4847770-308200-16200</f>
        <v>9260980</v>
      </c>
      <c r="D12" s="111">
        <f>13403640-8874770-293400+14616240-9945790-299000-2400</f>
        <v>8604520</v>
      </c>
      <c r="E12" s="111">
        <f>17993060-13403640-310200-6000-600+19559560-14616240-314200</f>
        <v>8901740</v>
      </c>
      <c r="F12" s="111">
        <f>22735850-17993060-318200-5400+24356960-19559560-305100</f>
        <v>8911490</v>
      </c>
      <c r="G12" s="111">
        <f>27618260-22735850-329300+28650650-24356960-281700</f>
        <v>8565100</v>
      </c>
      <c r="H12" s="111">
        <f t="shared" si="1"/>
        <v>52587910</v>
      </c>
      <c r="I12" s="111">
        <f>32154500-27618260-309300+32915550-28650650-281000</f>
        <v>8210840</v>
      </c>
      <c r="J12" s="111">
        <f>36731050-32154500-299200-9600+36929600-32915550-263300-1800</f>
        <v>8016700</v>
      </c>
      <c r="K12" s="111">
        <f>41050690-36731050-291300+40671300-36929600-243700</f>
        <v>7526340</v>
      </c>
      <c r="L12" s="111">
        <f>45186680-41050690-275100+44482280-40671300-249000</f>
        <v>7422870</v>
      </c>
      <c r="M12" s="111">
        <f>49488700-45186680-288000+48216420-44482280-246100</f>
        <v>7502060</v>
      </c>
      <c r="N12" s="111">
        <f>54197470-49488700-311600+52016840-48216420-248500</f>
        <v>7949090</v>
      </c>
      <c r="O12" s="111">
        <f t="shared" si="2"/>
        <v>46627900</v>
      </c>
      <c r="P12" s="111">
        <f t="shared" si="3"/>
        <v>99215810</v>
      </c>
    </row>
    <row r="13" spans="1:16" ht="12" customHeight="1" x14ac:dyDescent="0.15">
      <c r="A13" s="21" t="s">
        <v>58</v>
      </c>
      <c r="B13" s="111">
        <f>261100+323900</f>
        <v>585000</v>
      </c>
      <c r="C13" s="111">
        <f>305500+600+308200+16200</f>
        <v>630500</v>
      </c>
      <c r="D13" s="111">
        <f>293400+299000+2400</f>
        <v>594800</v>
      </c>
      <c r="E13" s="111">
        <f>310200+6000+600+314200</f>
        <v>631000</v>
      </c>
      <c r="F13" s="111">
        <f>318200+5400+305100</f>
        <v>628700</v>
      </c>
      <c r="G13" s="111">
        <f>281700+329300</f>
        <v>611000</v>
      </c>
      <c r="H13" s="111">
        <f t="shared" si="1"/>
        <v>3681000</v>
      </c>
      <c r="I13" s="111">
        <f>309300+281000</f>
        <v>590300</v>
      </c>
      <c r="J13" s="111">
        <f>299200+9600+263300+1800</f>
        <v>573900</v>
      </c>
      <c r="K13" s="111">
        <f>243700+291300</f>
        <v>535000</v>
      </c>
      <c r="L13" s="111">
        <f>249000+275100</f>
        <v>524100</v>
      </c>
      <c r="M13" s="111">
        <f>288000+246100</f>
        <v>534100</v>
      </c>
      <c r="N13" s="111">
        <f>311600+248500</f>
        <v>560100</v>
      </c>
      <c r="O13" s="111">
        <f t="shared" si="2"/>
        <v>3317500</v>
      </c>
      <c r="P13" s="111">
        <f t="shared" si="3"/>
        <v>6998500</v>
      </c>
    </row>
    <row r="14" spans="1:16" ht="12" customHeight="1" x14ac:dyDescent="0.15">
      <c r="A14" s="47" t="s">
        <v>96</v>
      </c>
      <c r="B14" s="111">
        <f>772760-71400-2400-1800+177060-19800</f>
        <v>854420</v>
      </c>
      <c r="C14" s="111">
        <f>1510440-772760-75600+354120-177060-19800</f>
        <v>819340</v>
      </c>
      <c r="D14" s="111">
        <f>2182180-1510440-66600+552420-354120-16200</f>
        <v>787240</v>
      </c>
      <c r="E14" s="111">
        <f>2896900-2182180-71900-2400+720340-552420-15600</f>
        <v>792740</v>
      </c>
      <c r="F14" s="111">
        <f>3492680-2896900-61600+849500-720340-14900</f>
        <v>648440</v>
      </c>
      <c r="G14" s="111">
        <f>4087550-3492680-59400+1047830-849500-20700</f>
        <v>713100</v>
      </c>
      <c r="H14" s="111">
        <f t="shared" si="1"/>
        <v>4615280</v>
      </c>
      <c r="I14" s="111">
        <f>4711380-4087550-69000+1271500-1047830-20700</f>
        <v>757800</v>
      </c>
      <c r="J14" s="111">
        <f>5372530-4711380-66600+1521890-1271500-21100</f>
        <v>823840</v>
      </c>
      <c r="K14" s="111">
        <f>5995280-5372530-58200+1753440-1521890-21000</f>
        <v>775100</v>
      </c>
      <c r="L14" s="111">
        <f>6753242-5995280-2400-61200-2400+2049050-1753440-28000</f>
        <v>959572</v>
      </c>
      <c r="M14" s="111">
        <f>7402422-6753242-61200+2349910-2049050-29200</f>
        <v>859640</v>
      </c>
      <c r="N14" s="111">
        <f>8018022-7402422-62400+2634820-2349910-25500</f>
        <v>812610</v>
      </c>
      <c r="O14" s="111">
        <f t="shared" si="2"/>
        <v>4988562</v>
      </c>
      <c r="P14" s="111">
        <f t="shared" si="3"/>
        <v>9603842</v>
      </c>
    </row>
    <row r="15" spans="1:16" ht="12" customHeight="1" x14ac:dyDescent="0.15">
      <c r="A15" s="21" t="s">
        <v>59</v>
      </c>
      <c r="B15" s="111">
        <f>71400+2400+1800+19800</f>
        <v>95400</v>
      </c>
      <c r="C15" s="111">
        <f>75600+19800</f>
        <v>95400</v>
      </c>
      <c r="D15" s="111">
        <f>66600+16200</f>
        <v>82800</v>
      </c>
      <c r="E15" s="111">
        <f>71900+2400+15600</f>
        <v>89900</v>
      </c>
      <c r="F15" s="111">
        <f>61600+14900</f>
        <v>76500</v>
      </c>
      <c r="G15" s="111">
        <f>59400+20700</f>
        <v>80100</v>
      </c>
      <c r="H15" s="111">
        <f t="shared" si="1"/>
        <v>520100</v>
      </c>
      <c r="I15" s="111">
        <f>69000+20700</f>
        <v>89700</v>
      </c>
      <c r="J15" s="111">
        <f>66600+21100</f>
        <v>87700</v>
      </c>
      <c r="K15" s="111">
        <f>58200+21000</f>
        <v>79200</v>
      </c>
      <c r="L15" s="111">
        <f>28000+2400+61200+2400</f>
        <v>94000</v>
      </c>
      <c r="M15" s="111">
        <f>61200+29200</f>
        <v>90400</v>
      </c>
      <c r="N15" s="111">
        <f>62400+25500</f>
        <v>87900</v>
      </c>
      <c r="O15" s="111">
        <f t="shared" si="2"/>
        <v>528900</v>
      </c>
      <c r="P15" s="111">
        <f t="shared" si="3"/>
        <v>1049000</v>
      </c>
    </row>
    <row r="16" spans="1:16" ht="12" customHeight="1" x14ac:dyDescent="0.15">
      <c r="A16" s="50" t="s">
        <v>120</v>
      </c>
      <c r="B16" s="111">
        <f>1750860-81000</f>
        <v>1669860</v>
      </c>
      <c r="C16" s="111">
        <f>4123320-1750860-91800-7800-8400</f>
        <v>2264460</v>
      </c>
      <c r="D16" s="111">
        <f>6202920-4123320-84600-7200</f>
        <v>1987800</v>
      </c>
      <c r="E16" s="111">
        <f>8350090-6202920-97200</f>
        <v>2049970</v>
      </c>
      <c r="F16" s="111">
        <f>10312260-8350090-89300</f>
        <v>1872870</v>
      </c>
      <c r="G16" s="111">
        <f>12335540-10312260-90000-600</f>
        <v>1932680</v>
      </c>
      <c r="H16" s="111">
        <f t="shared" si="1"/>
        <v>11777640</v>
      </c>
      <c r="I16" s="111">
        <f>14867280-12335540-108600</f>
        <v>2423140</v>
      </c>
      <c r="J16" s="111">
        <f>17381410-14867280-107400</f>
        <v>2406730</v>
      </c>
      <c r="K16" s="111">
        <f>19507200-17381410-95400</f>
        <v>2030390</v>
      </c>
      <c r="L16" s="111">
        <f>21631900-19507200-94800</f>
        <v>2029900</v>
      </c>
      <c r="M16" s="111">
        <f>23857630-21631900-100200</f>
        <v>2125530</v>
      </c>
      <c r="N16" s="111">
        <f>25999520-23857630-96600</f>
        <v>2045290</v>
      </c>
      <c r="O16" s="111">
        <f t="shared" si="2"/>
        <v>13060980</v>
      </c>
      <c r="P16" s="111">
        <f t="shared" si="3"/>
        <v>24838620</v>
      </c>
    </row>
    <row r="17" spans="1:16" ht="12" customHeight="1" x14ac:dyDescent="0.15">
      <c r="A17" s="21" t="s">
        <v>59</v>
      </c>
      <c r="B17" s="111">
        <v>81000</v>
      </c>
      <c r="C17" s="111">
        <f>91800+7800+8400</f>
        <v>108000</v>
      </c>
      <c r="D17" s="111">
        <f>84600+7200</f>
        <v>91800</v>
      </c>
      <c r="E17" s="111">
        <v>97200</v>
      </c>
      <c r="F17" s="111">
        <v>89300</v>
      </c>
      <c r="G17" s="111">
        <v>90600</v>
      </c>
      <c r="H17" s="111">
        <f t="shared" si="1"/>
        <v>557900</v>
      </c>
      <c r="I17" s="111">
        <v>108600</v>
      </c>
      <c r="J17" s="111">
        <v>107400</v>
      </c>
      <c r="K17" s="111">
        <v>95400</v>
      </c>
      <c r="L17" s="111">
        <v>94800</v>
      </c>
      <c r="M17" s="111">
        <v>100200</v>
      </c>
      <c r="N17" s="111">
        <v>96600</v>
      </c>
      <c r="O17" s="111">
        <f t="shared" si="2"/>
        <v>603000</v>
      </c>
      <c r="P17" s="111">
        <f t="shared" si="3"/>
        <v>1160900</v>
      </c>
    </row>
    <row r="18" spans="1:16" ht="12" customHeight="1" x14ac:dyDescent="0.15">
      <c r="A18" s="51" t="s">
        <v>245</v>
      </c>
      <c r="B18" s="111">
        <v>715250</v>
      </c>
      <c r="C18" s="111">
        <f>1544570-715250</f>
        <v>829320</v>
      </c>
      <c r="D18" s="111">
        <f>2304650-1544570</f>
        <v>760080</v>
      </c>
      <c r="E18" s="111">
        <f>3089270-2304650</f>
        <v>784620</v>
      </c>
      <c r="F18" s="111">
        <f>3847060-3089270</f>
        <v>757790</v>
      </c>
      <c r="G18" s="111">
        <f>4594650-3847060</f>
        <v>747590</v>
      </c>
      <c r="H18" s="111">
        <f t="shared" si="1"/>
        <v>4594650</v>
      </c>
      <c r="I18" s="111">
        <f>5374570-4594650</f>
        <v>779920</v>
      </c>
      <c r="J18" s="111">
        <f>6133170-5374570</f>
        <v>758600</v>
      </c>
      <c r="K18" s="111">
        <f>6833290-6133170</f>
        <v>700120</v>
      </c>
      <c r="L18" s="111">
        <f>7536920-6833290</f>
        <v>703630</v>
      </c>
      <c r="M18" s="111">
        <f>8249750-7536920</f>
        <v>712830</v>
      </c>
      <c r="N18" s="111">
        <f>8978320-8249750</f>
        <v>728570</v>
      </c>
      <c r="O18" s="111">
        <f>SUM(I18:N18)</f>
        <v>4383670</v>
      </c>
      <c r="P18" s="111">
        <f t="shared" si="3"/>
        <v>8978320</v>
      </c>
    </row>
    <row r="19" spans="1:16" ht="12" customHeight="1" x14ac:dyDescent="0.15">
      <c r="A19" s="51" t="s">
        <v>338</v>
      </c>
      <c r="B19" s="111">
        <f>333260-46200</f>
        <v>287060</v>
      </c>
      <c r="C19" s="111">
        <f>641120-333260-C20</f>
        <v>265860</v>
      </c>
      <c r="D19" s="111">
        <f>923460-641120-37800</f>
        <v>244540</v>
      </c>
      <c r="E19" s="111">
        <f>1234320-923460-51600</f>
        <v>259260</v>
      </c>
      <c r="F19" s="111">
        <f>1508710-1234320-28800</f>
        <v>245590</v>
      </c>
      <c r="G19" s="111">
        <f>1802900-1508710-40200</f>
        <v>253990</v>
      </c>
      <c r="H19" s="111">
        <f t="shared" si="1"/>
        <v>1556300</v>
      </c>
      <c r="I19" s="111">
        <f>2100900-1802900-37800</f>
        <v>260200</v>
      </c>
      <c r="J19" s="111">
        <f>2385440-2100900-37200</f>
        <v>247340</v>
      </c>
      <c r="K19" s="111">
        <f>2654760-2385440-34800</f>
        <v>234520</v>
      </c>
      <c r="L19" s="111">
        <f>2909140-2654760-34200</f>
        <v>220180</v>
      </c>
      <c r="M19" s="111">
        <f>3115320-2909140-15000</f>
        <v>191180</v>
      </c>
      <c r="N19" s="111">
        <f>3349080-3115320-40800</f>
        <v>192960</v>
      </c>
      <c r="O19" s="111">
        <f>SUM(I19:N19)</f>
        <v>1346380</v>
      </c>
      <c r="P19" s="111">
        <f>H19+O19</f>
        <v>2902680</v>
      </c>
    </row>
    <row r="20" spans="1:16" ht="12" customHeight="1" x14ac:dyDescent="0.15">
      <c r="A20" s="21" t="s">
        <v>59</v>
      </c>
      <c r="B20" s="111">
        <v>46200</v>
      </c>
      <c r="C20" s="111">
        <v>42000</v>
      </c>
      <c r="D20" s="111">
        <v>37800</v>
      </c>
      <c r="E20" s="111">
        <v>51600</v>
      </c>
      <c r="F20" s="111">
        <v>28800</v>
      </c>
      <c r="G20" s="111">
        <v>40200</v>
      </c>
      <c r="H20" s="111">
        <f t="shared" si="1"/>
        <v>246600</v>
      </c>
      <c r="I20" s="111">
        <v>37800</v>
      </c>
      <c r="J20" s="111">
        <v>37200</v>
      </c>
      <c r="K20" s="111">
        <v>34800</v>
      </c>
      <c r="L20" s="111">
        <v>34200</v>
      </c>
      <c r="M20" s="111">
        <v>15000</v>
      </c>
      <c r="N20" s="111">
        <v>40800</v>
      </c>
      <c r="O20" s="111">
        <f>SUM(I20:N20)</f>
        <v>199800</v>
      </c>
      <c r="P20" s="111">
        <f>H20+O20</f>
        <v>446400</v>
      </c>
    </row>
    <row r="21" spans="1:16" ht="12" customHeight="1" x14ac:dyDescent="0.15">
      <c r="A21" s="47" t="s">
        <v>119</v>
      </c>
      <c r="B21" s="111">
        <v>102600</v>
      </c>
      <c r="C21" s="111">
        <f>203400-102600</f>
        <v>100800</v>
      </c>
      <c r="D21" s="111">
        <f>303600-203400</f>
        <v>100200</v>
      </c>
      <c r="E21" s="111">
        <f>417000-303600</f>
        <v>113400</v>
      </c>
      <c r="F21" s="111">
        <f>112800+1800</f>
        <v>114600</v>
      </c>
      <c r="G21" s="111">
        <v>102000</v>
      </c>
      <c r="H21" s="111">
        <f t="shared" si="1"/>
        <v>633600</v>
      </c>
      <c r="I21" s="111">
        <f>97200+600</f>
        <v>97800</v>
      </c>
      <c r="J21" s="111">
        <f>855600-731400</f>
        <v>124200</v>
      </c>
      <c r="K21" s="111">
        <f>952200-855600</f>
        <v>96600</v>
      </c>
      <c r="L21" s="111">
        <f>1049400-952200</f>
        <v>97200</v>
      </c>
      <c r="M21" s="111">
        <f>1138200-1049400</f>
        <v>88800</v>
      </c>
      <c r="N21" s="111">
        <f>1206600-1138200</f>
        <v>68400</v>
      </c>
      <c r="O21" s="111">
        <f t="shared" si="2"/>
        <v>573000</v>
      </c>
      <c r="P21" s="111">
        <f t="shared" si="3"/>
        <v>1206600</v>
      </c>
    </row>
    <row r="22" spans="1:16" ht="12" customHeight="1" x14ac:dyDescent="0.15">
      <c r="A22" s="47" t="s">
        <v>97</v>
      </c>
      <c r="B22" s="111">
        <v>11400</v>
      </c>
      <c r="C22" s="111">
        <f>24600-B22</f>
        <v>13200</v>
      </c>
      <c r="D22" s="111">
        <f>37900-24600</f>
        <v>13300</v>
      </c>
      <c r="E22" s="111">
        <f>46600-37900</f>
        <v>8700</v>
      </c>
      <c r="F22" s="111">
        <f>64450-46600</f>
        <v>17850</v>
      </c>
      <c r="G22" s="111">
        <f>76950-64450</f>
        <v>12500</v>
      </c>
      <c r="H22" s="111">
        <f t="shared" si="1"/>
        <v>76950</v>
      </c>
      <c r="I22" s="111">
        <f>99450-76950</f>
        <v>22500</v>
      </c>
      <c r="J22" s="111">
        <f>116450-99450</f>
        <v>17000</v>
      </c>
      <c r="K22" s="111">
        <f>137250-116450</f>
        <v>20800</v>
      </c>
      <c r="L22" s="111">
        <f>148950-137250</f>
        <v>11700</v>
      </c>
      <c r="M22" s="111">
        <f>163050-148950</f>
        <v>14100</v>
      </c>
      <c r="N22" s="111">
        <f>190650-163050</f>
        <v>27600</v>
      </c>
      <c r="O22" s="111">
        <f t="shared" si="2"/>
        <v>113700</v>
      </c>
      <c r="P22" s="111">
        <f t="shared" si="3"/>
        <v>190650</v>
      </c>
    </row>
    <row r="23" spans="1:16" ht="12" customHeight="1" x14ac:dyDescent="0.15">
      <c r="A23" s="47" t="s">
        <v>98</v>
      </c>
      <c r="B23" s="111">
        <v>93450</v>
      </c>
      <c r="C23" s="111">
        <f>160020-B23</f>
        <v>66570</v>
      </c>
      <c r="D23" s="111">
        <f>183720-160020</f>
        <v>23700</v>
      </c>
      <c r="E23" s="111">
        <f>238270-183720</f>
        <v>54550</v>
      </c>
      <c r="F23" s="111">
        <f>275970-238270</f>
        <v>37700</v>
      </c>
      <c r="G23" s="111">
        <f>300520-275970</f>
        <v>24550</v>
      </c>
      <c r="H23" s="111">
        <f t="shared" si="1"/>
        <v>300520</v>
      </c>
      <c r="I23" s="111">
        <f>331520-300520</f>
        <v>31000</v>
      </c>
      <c r="J23" s="111">
        <f>390470-331520</f>
        <v>58950</v>
      </c>
      <c r="K23" s="111">
        <f>423420-390470</f>
        <v>32950</v>
      </c>
      <c r="L23" s="111">
        <f>494620-423420</f>
        <v>71200</v>
      </c>
      <c r="M23" s="111">
        <f>537070-494620</f>
        <v>42450</v>
      </c>
      <c r="N23" s="111">
        <f>610570-537070</f>
        <v>73500</v>
      </c>
      <c r="O23" s="111">
        <f t="shared" si="2"/>
        <v>310050</v>
      </c>
      <c r="P23" s="111">
        <f t="shared" si="3"/>
        <v>610570</v>
      </c>
    </row>
    <row r="24" spans="1:16" ht="12" customHeight="1" x14ac:dyDescent="0.15">
      <c r="A24" s="47" t="s">
        <v>249</v>
      </c>
      <c r="B24" s="111">
        <v>356550</v>
      </c>
      <c r="C24" s="111">
        <f>629200-B24</f>
        <v>272650</v>
      </c>
      <c r="D24" s="111">
        <f>883550-629200</f>
        <v>254350</v>
      </c>
      <c r="E24" s="111">
        <f>1259200-883550</f>
        <v>375650</v>
      </c>
      <c r="F24" s="111">
        <f>1648800-1259200</f>
        <v>389600</v>
      </c>
      <c r="G24" s="111">
        <f>1884900-1648800</f>
        <v>236100</v>
      </c>
      <c r="H24" s="111">
        <f t="shared" si="1"/>
        <v>1884900</v>
      </c>
      <c r="I24" s="111">
        <f>2106800-1884900</f>
        <v>221900</v>
      </c>
      <c r="J24" s="111">
        <f>2320550-2106800</f>
        <v>213750</v>
      </c>
      <c r="K24" s="111">
        <f>2508600-2320550</f>
        <v>188050</v>
      </c>
      <c r="L24" s="111">
        <f>2694350-2508600</f>
        <v>185750</v>
      </c>
      <c r="M24" s="111">
        <f>2863700-2694350</f>
        <v>169350</v>
      </c>
      <c r="N24" s="111">
        <f>3031600-2863700</f>
        <v>167900</v>
      </c>
      <c r="O24" s="111">
        <f t="shared" si="2"/>
        <v>1146700</v>
      </c>
      <c r="P24" s="111">
        <f t="shared" si="3"/>
        <v>3031600</v>
      </c>
    </row>
    <row r="25" spans="1:16" ht="12" customHeight="1" x14ac:dyDescent="0.15">
      <c r="A25" s="47" t="s">
        <v>320</v>
      </c>
      <c r="B25" s="111">
        <v>138000</v>
      </c>
      <c r="C25" s="111">
        <f>231800-B25</f>
        <v>93800</v>
      </c>
      <c r="D25" s="111">
        <f>319000-231800</f>
        <v>87200</v>
      </c>
      <c r="E25" s="111">
        <f>485950-319000</f>
        <v>166950</v>
      </c>
      <c r="F25" s="111">
        <f>714900-485950</f>
        <v>228950</v>
      </c>
      <c r="G25" s="111">
        <f>798950-714900</f>
        <v>84050</v>
      </c>
      <c r="H25" s="111">
        <f t="shared" si="1"/>
        <v>798950</v>
      </c>
      <c r="I25" s="111">
        <f>886300-798950</f>
        <v>87350</v>
      </c>
      <c r="J25" s="111">
        <f>976800-886300</f>
        <v>90500</v>
      </c>
      <c r="K25" s="111">
        <f>1051300-976800</f>
        <v>74500</v>
      </c>
      <c r="L25" s="111">
        <f>1131200-1051300</f>
        <v>79900</v>
      </c>
      <c r="M25" s="111">
        <f>1193550-1131200</f>
        <v>62350</v>
      </c>
      <c r="N25" s="111">
        <f>1288100-1193550</f>
        <v>94550</v>
      </c>
      <c r="O25" s="111">
        <f t="shared" si="2"/>
        <v>489150</v>
      </c>
      <c r="P25" s="111">
        <f t="shared" si="3"/>
        <v>1288100</v>
      </c>
    </row>
    <row r="26" spans="1:16" ht="12" customHeight="1" x14ac:dyDescent="0.15">
      <c r="A26" s="47" t="s">
        <v>303</v>
      </c>
      <c r="B26" s="111">
        <v>27200</v>
      </c>
      <c r="C26" s="111">
        <v>2100</v>
      </c>
      <c r="D26" s="111">
        <v>0</v>
      </c>
      <c r="E26" s="111">
        <f>58700-29300</f>
        <v>29400</v>
      </c>
      <c r="F26" s="111">
        <f>98750-58700</f>
        <v>40050</v>
      </c>
      <c r="G26" s="111">
        <v>0</v>
      </c>
      <c r="H26" s="111">
        <f t="shared" si="1"/>
        <v>98750</v>
      </c>
      <c r="I26" s="111">
        <v>0</v>
      </c>
      <c r="J26" s="111">
        <v>0</v>
      </c>
      <c r="K26" s="111">
        <v>6300</v>
      </c>
      <c r="L26" s="111">
        <v>2100</v>
      </c>
      <c r="M26" s="111">
        <v>0</v>
      </c>
      <c r="N26" s="111">
        <v>0</v>
      </c>
      <c r="O26" s="111">
        <f t="shared" si="2"/>
        <v>8400</v>
      </c>
      <c r="P26" s="111">
        <f t="shared" si="3"/>
        <v>107150</v>
      </c>
    </row>
    <row r="27" spans="1:16" ht="12" customHeight="1" x14ac:dyDescent="0.15">
      <c r="A27" s="47" t="s">
        <v>251</v>
      </c>
      <c r="B27" s="111">
        <v>0</v>
      </c>
      <c r="C27" s="111">
        <v>0</v>
      </c>
      <c r="D27" s="111">
        <v>0</v>
      </c>
      <c r="E27" s="111">
        <v>0</v>
      </c>
      <c r="F27" s="111">
        <v>300</v>
      </c>
      <c r="G27" s="111">
        <v>0</v>
      </c>
      <c r="H27" s="111">
        <f t="shared" si="1"/>
        <v>300</v>
      </c>
      <c r="I27" s="111">
        <v>0</v>
      </c>
      <c r="J27" s="111">
        <v>0</v>
      </c>
      <c r="K27" s="111">
        <v>0</v>
      </c>
      <c r="L27" s="111">
        <v>300</v>
      </c>
      <c r="M27" s="111">
        <v>0</v>
      </c>
      <c r="N27" s="111">
        <v>0</v>
      </c>
      <c r="O27" s="111">
        <f>SUM(I27:N27)</f>
        <v>300</v>
      </c>
      <c r="P27" s="111">
        <f>H27+O27</f>
        <v>600</v>
      </c>
    </row>
    <row r="28" spans="1:16" ht="12" customHeight="1" x14ac:dyDescent="0.15">
      <c r="A28" s="21" t="s">
        <v>99</v>
      </c>
      <c r="B28" s="111">
        <v>0</v>
      </c>
      <c r="C28" s="111">
        <v>770000</v>
      </c>
      <c r="D28" s="111">
        <v>770000</v>
      </c>
      <c r="E28" s="111">
        <f>770000+120000</f>
        <v>890000</v>
      </c>
      <c r="F28" s="111">
        <v>770000</v>
      </c>
      <c r="G28" s="111">
        <v>770000</v>
      </c>
      <c r="H28" s="111">
        <f t="shared" si="1"/>
        <v>3970000</v>
      </c>
      <c r="I28" s="111">
        <f>770000+120000</f>
        <v>890000</v>
      </c>
      <c r="J28" s="111">
        <v>770000</v>
      </c>
      <c r="K28" s="111">
        <v>770000</v>
      </c>
      <c r="L28" s="111">
        <f>770000+120000</f>
        <v>890000</v>
      </c>
      <c r="M28" s="111">
        <v>770000</v>
      </c>
      <c r="N28" s="111">
        <f>770000+778000+355000+46404</f>
        <v>1949404</v>
      </c>
      <c r="O28" s="111">
        <f t="shared" si="2"/>
        <v>6039404</v>
      </c>
      <c r="P28" s="111">
        <f t="shared" si="3"/>
        <v>10009404</v>
      </c>
    </row>
    <row r="29" spans="1:16" ht="12" customHeight="1" x14ac:dyDescent="0.15">
      <c r="A29" s="24" t="s">
        <v>11</v>
      </c>
      <c r="B29" s="114">
        <v>10000</v>
      </c>
      <c r="C29" s="114">
        <v>10000</v>
      </c>
      <c r="D29" s="114">
        <v>0</v>
      </c>
      <c r="E29" s="114">
        <f>67000-20000</f>
        <v>47000</v>
      </c>
      <c r="F29" s="114">
        <v>0</v>
      </c>
      <c r="G29" s="114">
        <v>10000</v>
      </c>
      <c r="H29" s="114">
        <f t="shared" si="1"/>
        <v>77000</v>
      </c>
      <c r="I29" s="114">
        <f>87000-77000</f>
        <v>10000</v>
      </c>
      <c r="J29" s="114">
        <v>2000</v>
      </c>
      <c r="K29" s="114">
        <v>10000</v>
      </c>
      <c r="L29" s="114">
        <v>0</v>
      </c>
      <c r="M29" s="114">
        <v>2000</v>
      </c>
      <c r="N29" s="114">
        <v>30000</v>
      </c>
      <c r="O29" s="114">
        <f t="shared" si="2"/>
        <v>54000</v>
      </c>
      <c r="P29" s="114">
        <f t="shared" si="3"/>
        <v>131000</v>
      </c>
    </row>
    <row r="30" spans="1:16" ht="12" customHeight="1" x14ac:dyDescent="0.15">
      <c r="A30" s="24" t="s">
        <v>246</v>
      </c>
      <c r="B30" s="114">
        <v>0</v>
      </c>
      <c r="C30" s="114">
        <v>0</v>
      </c>
      <c r="D30" s="114">
        <v>0</v>
      </c>
      <c r="E30" s="114">
        <v>500000</v>
      </c>
      <c r="F30" s="114">
        <v>0</v>
      </c>
      <c r="G30" s="114">
        <v>0</v>
      </c>
      <c r="H30" s="114">
        <f t="shared" si="1"/>
        <v>500000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4">
        <v>200000</v>
      </c>
      <c r="O30" s="114">
        <f t="shared" si="2"/>
        <v>200000</v>
      </c>
      <c r="P30" s="114">
        <f t="shared" si="3"/>
        <v>700000</v>
      </c>
    </row>
    <row r="31" spans="1:16" ht="12" customHeight="1" x14ac:dyDescent="0.15">
      <c r="A31" s="24" t="s">
        <v>12</v>
      </c>
      <c r="B31" s="114">
        <v>65425</v>
      </c>
      <c r="C31" s="114">
        <f>97152-65425</f>
        <v>31727</v>
      </c>
      <c r="D31" s="114">
        <f>143610-97152</f>
        <v>46458</v>
      </c>
      <c r="E31" s="114">
        <f>185701-143610</f>
        <v>42091</v>
      </c>
      <c r="F31" s="114">
        <f>575954-185701</f>
        <v>390253</v>
      </c>
      <c r="G31" s="114">
        <f>615069-575954</f>
        <v>39115</v>
      </c>
      <c r="H31" s="114">
        <f t="shared" si="1"/>
        <v>615069</v>
      </c>
      <c r="I31" s="114">
        <f>643399-615069</f>
        <v>28330</v>
      </c>
      <c r="J31" s="114">
        <f>788569-643399</f>
        <v>145170</v>
      </c>
      <c r="K31" s="114">
        <f>834260-788569</f>
        <v>45691</v>
      </c>
      <c r="L31" s="114">
        <f>871248-834260</f>
        <v>36988</v>
      </c>
      <c r="M31" s="114">
        <f>962003-871248</f>
        <v>90755</v>
      </c>
      <c r="N31" s="114">
        <f>1111821-962003</f>
        <v>149818</v>
      </c>
      <c r="O31" s="114">
        <f t="shared" si="2"/>
        <v>496752</v>
      </c>
      <c r="P31" s="114">
        <f t="shared" si="3"/>
        <v>1111821</v>
      </c>
    </row>
    <row r="32" spans="1:16" ht="12" customHeight="1" x14ac:dyDescent="0.15">
      <c r="A32" s="2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>
        <f t="shared" si="2"/>
        <v>0</v>
      </c>
      <c r="P32" s="114">
        <f t="shared" si="3"/>
        <v>0</v>
      </c>
    </row>
    <row r="33" spans="1:16" ht="12" customHeight="1" x14ac:dyDescent="0.15">
      <c r="A33" s="52" t="s">
        <v>13</v>
      </c>
      <c r="B33" s="114">
        <f t="shared" ref="B33:N33" si="6">B4+B8+B29+B30+B31</f>
        <v>16518467</v>
      </c>
      <c r="C33" s="114">
        <f t="shared" si="6"/>
        <v>18838939</v>
      </c>
      <c r="D33" s="114">
        <f t="shared" si="6"/>
        <v>17455940</v>
      </c>
      <c r="E33" s="114">
        <f t="shared" si="6"/>
        <v>19001239</v>
      </c>
      <c r="F33" s="114">
        <f t="shared" si="6"/>
        <v>18126785</v>
      </c>
      <c r="G33" s="114">
        <f t="shared" si="6"/>
        <v>17333125</v>
      </c>
      <c r="H33" s="114">
        <f t="shared" si="1"/>
        <v>107274495</v>
      </c>
      <c r="I33" s="114">
        <f t="shared" si="6"/>
        <v>17486800</v>
      </c>
      <c r="J33" s="114">
        <f t="shared" si="6"/>
        <v>17334140</v>
      </c>
      <c r="K33" s="114">
        <f t="shared" si="6"/>
        <v>16020111</v>
      </c>
      <c r="L33" s="114">
        <f t="shared" si="6"/>
        <v>16207240</v>
      </c>
      <c r="M33" s="114">
        <f t="shared" si="6"/>
        <v>16233315</v>
      </c>
      <c r="N33" s="114">
        <f t="shared" si="6"/>
        <v>18139022</v>
      </c>
      <c r="O33" s="114">
        <f t="shared" si="2"/>
        <v>101420628</v>
      </c>
      <c r="P33" s="114">
        <f t="shared" si="3"/>
        <v>208695123</v>
      </c>
    </row>
    <row r="34" spans="1:16" ht="12" customHeight="1" x14ac:dyDescent="0.15">
      <c r="A34" s="23" t="s">
        <v>124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5" spans="1:16" ht="12" customHeight="1" x14ac:dyDescent="0.15">
      <c r="A35" s="6" t="s">
        <v>15</v>
      </c>
      <c r="B35" s="111"/>
      <c r="C35" s="111"/>
      <c r="D35" s="111"/>
      <c r="E35" s="111"/>
      <c r="F35" s="111" t="s">
        <v>304</v>
      </c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16" ht="12" customHeight="1" x14ac:dyDescent="0.15">
      <c r="A36" s="23" t="s">
        <v>16</v>
      </c>
      <c r="B36" s="114">
        <f t="shared" ref="B36:N36" si="7">SUM(B37:B41)</f>
        <v>12495837</v>
      </c>
      <c r="C36" s="114">
        <f t="shared" si="7"/>
        <v>11540179</v>
      </c>
      <c r="D36" s="114">
        <f t="shared" si="7"/>
        <v>12013233</v>
      </c>
      <c r="E36" s="114">
        <f t="shared" si="7"/>
        <v>17765940</v>
      </c>
      <c r="F36" s="114">
        <f t="shared" si="7"/>
        <v>11950672</v>
      </c>
      <c r="G36" s="114">
        <f t="shared" si="7"/>
        <v>12776599</v>
      </c>
      <c r="H36" s="114">
        <f t="shared" ref="H36:H73" si="8">SUM(B36:G36)</f>
        <v>78542460</v>
      </c>
      <c r="I36" s="114">
        <f t="shared" si="7"/>
        <v>11454288</v>
      </c>
      <c r="J36" s="114">
        <f t="shared" si="7"/>
        <v>21478632</v>
      </c>
      <c r="K36" s="114">
        <f t="shared" si="7"/>
        <v>11826744</v>
      </c>
      <c r="L36" s="114">
        <f t="shared" si="7"/>
        <v>12416396</v>
      </c>
      <c r="M36" s="114">
        <f t="shared" si="7"/>
        <v>11977944</v>
      </c>
      <c r="N36" s="114">
        <f t="shared" si="7"/>
        <v>11887065</v>
      </c>
      <c r="O36" s="114">
        <f t="shared" si="2"/>
        <v>81041069</v>
      </c>
      <c r="P36" s="114">
        <f t="shared" si="3"/>
        <v>159583529</v>
      </c>
    </row>
    <row r="37" spans="1:16" ht="12" customHeight="1" x14ac:dyDescent="0.15">
      <c r="A37" s="6" t="s">
        <v>100</v>
      </c>
      <c r="B37" s="111">
        <v>370000</v>
      </c>
      <c r="C37" s="111">
        <v>370000</v>
      </c>
      <c r="D37" s="111">
        <v>370000</v>
      </c>
      <c r="E37" s="111">
        <v>370000</v>
      </c>
      <c r="F37" s="111">
        <v>370000</v>
      </c>
      <c r="G37" s="111">
        <v>370000</v>
      </c>
      <c r="H37" s="111">
        <f t="shared" si="8"/>
        <v>2220000</v>
      </c>
      <c r="I37" s="111">
        <v>370000</v>
      </c>
      <c r="J37" s="111">
        <v>370000</v>
      </c>
      <c r="K37" s="111">
        <v>370000</v>
      </c>
      <c r="L37" s="111">
        <v>370000</v>
      </c>
      <c r="M37" s="111">
        <v>370000</v>
      </c>
      <c r="N37" s="111">
        <v>370000</v>
      </c>
      <c r="O37" s="111">
        <f t="shared" si="2"/>
        <v>2220000</v>
      </c>
      <c r="P37" s="111">
        <f t="shared" si="3"/>
        <v>4440000</v>
      </c>
    </row>
    <row r="38" spans="1:16" ht="12" customHeight="1" x14ac:dyDescent="0.15">
      <c r="A38" s="6" t="s">
        <v>101</v>
      </c>
      <c r="B38" s="111">
        <v>9662180</v>
      </c>
      <c r="C38" s="111">
        <f>18463361-9662180</f>
        <v>8801181</v>
      </c>
      <c r="D38" s="111">
        <f>27550927-18463361</f>
        <v>9087566</v>
      </c>
      <c r="E38" s="111">
        <f>36398086-27550927</f>
        <v>8847159</v>
      </c>
      <c r="F38" s="111">
        <f>51812258-42523886</f>
        <v>9288372</v>
      </c>
      <c r="G38" s="111">
        <f>61088236-51812258</f>
        <v>9275978</v>
      </c>
      <c r="H38" s="111">
        <f t="shared" si="8"/>
        <v>54962436</v>
      </c>
      <c r="I38" s="111">
        <f>69718920-61088236</f>
        <v>8630684</v>
      </c>
      <c r="J38" s="111">
        <f>79381268-69718920</f>
        <v>9662348</v>
      </c>
      <c r="K38" s="111">
        <f>97447314-88385288</f>
        <v>9062026</v>
      </c>
      <c r="L38" s="111">
        <f>106181399-97447314</f>
        <v>8734085</v>
      </c>
      <c r="M38" s="111">
        <f>115306121-106181399</f>
        <v>9124722</v>
      </c>
      <c r="N38" s="111">
        <f>124543911-115306121</f>
        <v>9237790</v>
      </c>
      <c r="O38" s="111">
        <f t="shared" si="2"/>
        <v>54451655</v>
      </c>
      <c r="P38" s="111">
        <f t="shared" si="3"/>
        <v>109414091</v>
      </c>
    </row>
    <row r="39" spans="1:16" ht="12" customHeight="1" x14ac:dyDescent="0.15">
      <c r="A39" s="6" t="s">
        <v>102</v>
      </c>
      <c r="B39" s="111">
        <v>1307350</v>
      </c>
      <c r="C39" s="111">
        <f>2472050-1307350</f>
        <v>1164700</v>
      </c>
      <c r="D39" s="111">
        <f>3724575-2472050</f>
        <v>1252525</v>
      </c>
      <c r="E39" s="111">
        <f>4945450-3724575</f>
        <v>1220875</v>
      </c>
      <c r="F39" s="111">
        <f>6218600-4945450</f>
        <v>1273150</v>
      </c>
      <c r="G39" s="111">
        <f>7580525-6218600</f>
        <v>1361925</v>
      </c>
      <c r="H39" s="111">
        <f t="shared" si="8"/>
        <v>7580525</v>
      </c>
      <c r="I39" s="111">
        <f>8831125-7580525</f>
        <v>1250600</v>
      </c>
      <c r="J39" s="111">
        <f>10227575-8831125</f>
        <v>1396450</v>
      </c>
      <c r="K39" s="111">
        <f>11553875-10227575</f>
        <v>1326300</v>
      </c>
      <c r="L39" s="111">
        <f>12623375-11553875</f>
        <v>1069500</v>
      </c>
      <c r="M39" s="111">
        <f>14002625-12623375</f>
        <v>1379250</v>
      </c>
      <c r="N39" s="111">
        <f>15307975-14002625</f>
        <v>1305350</v>
      </c>
      <c r="O39" s="111">
        <f t="shared" si="2"/>
        <v>7727450</v>
      </c>
      <c r="P39" s="111">
        <f t="shared" si="3"/>
        <v>15307975</v>
      </c>
    </row>
    <row r="40" spans="1:16" ht="12" customHeight="1" x14ac:dyDescent="0.15">
      <c r="A40" s="6" t="s">
        <v>19</v>
      </c>
      <c r="B40" s="111">
        <v>1156307</v>
      </c>
      <c r="C40" s="111">
        <f>2360605-1156307</f>
        <v>1204298</v>
      </c>
      <c r="D40" s="111">
        <f>3663747-2360605</f>
        <v>1303142</v>
      </c>
      <c r="E40" s="111">
        <f>4865853-3663747</f>
        <v>1202106</v>
      </c>
      <c r="F40" s="111">
        <f>5885003-4865853</f>
        <v>1019150</v>
      </c>
      <c r="G40" s="111">
        <f>7653699-5885003</f>
        <v>1768696</v>
      </c>
      <c r="H40" s="111">
        <f t="shared" si="8"/>
        <v>7653699</v>
      </c>
      <c r="I40" s="111">
        <f>8856703-7653699</f>
        <v>1203004</v>
      </c>
      <c r="J40" s="111">
        <f>9902517-8856703</f>
        <v>1045814</v>
      </c>
      <c r="K40" s="111">
        <f>10970935-9902517</f>
        <v>1068418</v>
      </c>
      <c r="L40" s="111">
        <f>13213746-10970935</f>
        <v>2242811</v>
      </c>
      <c r="M40" s="111">
        <f>14317718-13213746</f>
        <v>1103972</v>
      </c>
      <c r="N40" s="111">
        <f>15291643-14317718</f>
        <v>973925</v>
      </c>
      <c r="O40" s="111">
        <f t="shared" si="2"/>
        <v>7637944</v>
      </c>
      <c r="P40" s="111">
        <f t="shared" si="3"/>
        <v>15291643</v>
      </c>
    </row>
    <row r="41" spans="1:16" ht="12" customHeight="1" x14ac:dyDescent="0.15">
      <c r="A41" s="6" t="s">
        <v>117</v>
      </c>
      <c r="B41" s="111"/>
      <c r="C41" s="111"/>
      <c r="D41" s="111"/>
      <c r="E41" s="111">
        <v>6125800</v>
      </c>
      <c r="F41" s="111"/>
      <c r="G41" s="111"/>
      <c r="H41" s="111">
        <f t="shared" si="8"/>
        <v>6125800</v>
      </c>
      <c r="I41" s="111"/>
      <c r="J41" s="111">
        <v>9004020</v>
      </c>
      <c r="K41" s="111"/>
      <c r="L41" s="111"/>
      <c r="M41" s="111"/>
      <c r="N41" s="111"/>
      <c r="O41" s="111">
        <f t="shared" si="2"/>
        <v>9004020</v>
      </c>
      <c r="P41" s="111">
        <f t="shared" si="3"/>
        <v>15129820</v>
      </c>
    </row>
    <row r="42" spans="1:16" ht="12" customHeight="1" x14ac:dyDescent="0.15">
      <c r="A42" s="23" t="s">
        <v>20</v>
      </c>
      <c r="B42" s="114">
        <f>SUM(B43:B67)</f>
        <v>2835465</v>
      </c>
      <c r="C42" s="114">
        <f t="shared" ref="C42:N42" si="9">SUM(C43:C67)</f>
        <v>4278443</v>
      </c>
      <c r="D42" s="114">
        <f t="shared" si="9"/>
        <v>3166533</v>
      </c>
      <c r="E42" s="114">
        <f t="shared" si="9"/>
        <v>3314652</v>
      </c>
      <c r="F42" s="114">
        <f t="shared" si="9"/>
        <v>2546288</v>
      </c>
      <c r="G42" s="114">
        <f t="shared" si="9"/>
        <v>6324276</v>
      </c>
      <c r="H42" s="114">
        <f t="shared" si="8"/>
        <v>22465657</v>
      </c>
      <c r="I42" s="114">
        <f t="shared" si="9"/>
        <v>3741698</v>
      </c>
      <c r="J42" s="114">
        <f t="shared" si="9"/>
        <v>2816124</v>
      </c>
      <c r="K42" s="114">
        <f t="shared" si="9"/>
        <v>3615375</v>
      </c>
      <c r="L42" s="114">
        <f t="shared" si="9"/>
        <v>3819800</v>
      </c>
      <c r="M42" s="114">
        <f t="shared" si="9"/>
        <v>2860925</v>
      </c>
      <c r="N42" s="114">
        <f t="shared" si="9"/>
        <v>7612851</v>
      </c>
      <c r="O42" s="114">
        <f t="shared" si="2"/>
        <v>24466773</v>
      </c>
      <c r="P42" s="114">
        <f t="shared" si="3"/>
        <v>46932430</v>
      </c>
    </row>
    <row r="43" spans="1:16" ht="12" customHeight="1" x14ac:dyDescent="0.15">
      <c r="A43" s="6" t="s">
        <v>21</v>
      </c>
      <c r="B43" s="111">
        <v>309080</v>
      </c>
      <c r="C43" s="111">
        <f>656580-309080</f>
        <v>347500</v>
      </c>
      <c r="D43" s="111">
        <f>965580-656580</f>
        <v>309000</v>
      </c>
      <c r="E43" s="111">
        <f>1316720-965580</f>
        <v>351140</v>
      </c>
      <c r="F43" s="111">
        <f>1621750-1316720</f>
        <v>305030</v>
      </c>
      <c r="G43" s="111">
        <f>1941590-1621750</f>
        <v>319840</v>
      </c>
      <c r="H43" s="111">
        <f t="shared" si="8"/>
        <v>1941590</v>
      </c>
      <c r="I43" s="111">
        <f>2220430-1941590</f>
        <v>278840</v>
      </c>
      <c r="J43" s="111">
        <f>2502270-2220430</f>
        <v>281840</v>
      </c>
      <c r="K43" s="111">
        <f>3056790-2502270</f>
        <v>554520</v>
      </c>
      <c r="L43" s="111">
        <f>3356110-3056790</f>
        <v>299320</v>
      </c>
      <c r="M43" s="111">
        <f>3900487-3356110</f>
        <v>544377</v>
      </c>
      <c r="N43" s="111">
        <f>4420916-3900487</f>
        <v>520429</v>
      </c>
      <c r="O43" s="111">
        <f t="shared" si="2"/>
        <v>2479326</v>
      </c>
      <c r="P43" s="111">
        <f t="shared" si="3"/>
        <v>4420916</v>
      </c>
    </row>
    <row r="44" spans="1:16" ht="12" customHeight="1" x14ac:dyDescent="0.15">
      <c r="A44" s="6" t="s">
        <v>22</v>
      </c>
      <c r="B44" s="111">
        <v>0</v>
      </c>
      <c r="C44" s="111">
        <v>0</v>
      </c>
      <c r="D44" s="111">
        <v>0</v>
      </c>
      <c r="E44" s="111">
        <v>0</v>
      </c>
      <c r="F44" s="111">
        <v>0</v>
      </c>
      <c r="G44" s="111">
        <v>0</v>
      </c>
      <c r="H44" s="111">
        <f t="shared" si="8"/>
        <v>0</v>
      </c>
      <c r="I44" s="111">
        <v>0</v>
      </c>
      <c r="J44" s="111">
        <v>0</v>
      </c>
      <c r="K44" s="111">
        <v>20030</v>
      </c>
      <c r="L44" s="111">
        <v>0</v>
      </c>
      <c r="M44" s="111">
        <v>0</v>
      </c>
      <c r="N44" s="111">
        <v>0</v>
      </c>
      <c r="O44" s="111">
        <f t="shared" si="2"/>
        <v>20030</v>
      </c>
      <c r="P44" s="111">
        <f t="shared" si="3"/>
        <v>20030</v>
      </c>
    </row>
    <row r="45" spans="1:16" ht="12" customHeight="1" x14ac:dyDescent="0.15">
      <c r="A45" s="6" t="s">
        <v>103</v>
      </c>
      <c r="B45" s="111">
        <v>67549</v>
      </c>
      <c r="C45" s="111">
        <f>204862-67549</f>
        <v>137313</v>
      </c>
      <c r="D45" s="111">
        <v>0</v>
      </c>
      <c r="E45" s="111">
        <f>350636-204862</f>
        <v>145774</v>
      </c>
      <c r="F45" s="111">
        <v>0</v>
      </c>
      <c r="G45" s="111">
        <f>489835-350636</f>
        <v>139199</v>
      </c>
      <c r="H45" s="111">
        <f t="shared" si="8"/>
        <v>489835</v>
      </c>
      <c r="I45" s="111">
        <f>548512-489835</f>
        <v>58677</v>
      </c>
      <c r="J45" s="111">
        <f>566690-548512</f>
        <v>18178</v>
      </c>
      <c r="K45" s="111">
        <f>643564-566690</f>
        <v>76874</v>
      </c>
      <c r="L45" s="111">
        <f>764290-643564</f>
        <v>120726</v>
      </c>
      <c r="M45" s="111">
        <f>773442-764290</f>
        <v>9152</v>
      </c>
      <c r="N45" s="111">
        <f>890249-773442</f>
        <v>116807</v>
      </c>
      <c r="O45" s="111">
        <f t="shared" si="2"/>
        <v>400414</v>
      </c>
      <c r="P45" s="111">
        <f t="shared" si="3"/>
        <v>890249</v>
      </c>
    </row>
    <row r="46" spans="1:16" ht="12" customHeight="1" x14ac:dyDescent="0.15">
      <c r="A46" s="6" t="s">
        <v>24</v>
      </c>
      <c r="B46" s="111">
        <v>25248</v>
      </c>
      <c r="C46" s="111">
        <f>32249-25248</f>
        <v>7001</v>
      </c>
      <c r="D46" s="111">
        <f>39869-32249</f>
        <v>7620</v>
      </c>
      <c r="E46" s="111">
        <f>54857-39869</f>
        <v>14988</v>
      </c>
      <c r="F46" s="111">
        <f>77995-54857</f>
        <v>23138</v>
      </c>
      <c r="G46" s="111">
        <f>94165-77995</f>
        <v>16170</v>
      </c>
      <c r="H46" s="111">
        <f t="shared" si="8"/>
        <v>94165</v>
      </c>
      <c r="I46" s="111">
        <f>139765-94165</f>
        <v>45600</v>
      </c>
      <c r="J46" s="111">
        <f>151959-139765</f>
        <v>12194</v>
      </c>
      <c r="K46" s="111">
        <f>159779-151959</f>
        <v>7820</v>
      </c>
      <c r="L46" s="111">
        <f>171471-159779</f>
        <v>11692</v>
      </c>
      <c r="M46" s="111">
        <f>195688-171471</f>
        <v>24217</v>
      </c>
      <c r="N46" s="111">
        <f>205879-195688</f>
        <v>10191</v>
      </c>
      <c r="O46" s="111">
        <f t="shared" si="2"/>
        <v>111714</v>
      </c>
      <c r="P46" s="111">
        <f t="shared" si="3"/>
        <v>205879</v>
      </c>
    </row>
    <row r="47" spans="1:16" ht="12" customHeight="1" x14ac:dyDescent="0.15">
      <c r="A47" s="6" t="s">
        <v>104</v>
      </c>
      <c r="B47" s="111">
        <v>23426</v>
      </c>
      <c r="C47" s="111">
        <v>0</v>
      </c>
      <c r="D47" s="111">
        <f>88906-23426</f>
        <v>65480</v>
      </c>
      <c r="E47" s="111">
        <v>10680</v>
      </c>
      <c r="F47" s="111">
        <v>11680</v>
      </c>
      <c r="G47" s="111">
        <v>60307</v>
      </c>
      <c r="H47" s="111">
        <f t="shared" si="8"/>
        <v>171573</v>
      </c>
      <c r="I47" s="111">
        <v>0</v>
      </c>
      <c r="J47" s="111">
        <f>195029-171573</f>
        <v>23456</v>
      </c>
      <c r="K47" s="111">
        <v>22000</v>
      </c>
      <c r="L47" s="111">
        <f>369679-217029</f>
        <v>152650</v>
      </c>
      <c r="M47" s="111">
        <f>468679-369679</f>
        <v>99000</v>
      </c>
      <c r="N47" s="111">
        <f>582182-468679</f>
        <v>113503</v>
      </c>
      <c r="O47" s="111">
        <f t="shared" si="2"/>
        <v>410609</v>
      </c>
      <c r="P47" s="111">
        <f t="shared" si="3"/>
        <v>582182</v>
      </c>
    </row>
    <row r="48" spans="1:16" ht="12" customHeight="1" x14ac:dyDescent="0.15">
      <c r="A48" s="6" t="s">
        <v>105</v>
      </c>
      <c r="B48" s="111">
        <v>0</v>
      </c>
      <c r="C48" s="111">
        <v>0</v>
      </c>
      <c r="D48" s="111">
        <v>122506</v>
      </c>
      <c r="E48" s="111">
        <f>151206-122506</f>
        <v>28700</v>
      </c>
      <c r="F48" s="111">
        <v>0</v>
      </c>
      <c r="G48" s="111">
        <v>0</v>
      </c>
      <c r="H48" s="111">
        <f t="shared" si="8"/>
        <v>151206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f>206206-151206</f>
        <v>55000</v>
      </c>
      <c r="O48" s="111">
        <f t="shared" si="2"/>
        <v>55000</v>
      </c>
      <c r="P48" s="111">
        <f t="shared" si="3"/>
        <v>206206</v>
      </c>
    </row>
    <row r="49" spans="1:16" ht="12" customHeight="1" x14ac:dyDescent="0.15">
      <c r="A49" s="6" t="s">
        <v>106</v>
      </c>
      <c r="B49" s="111">
        <v>53873</v>
      </c>
      <c r="C49" s="111">
        <f>138020-53873</f>
        <v>84147</v>
      </c>
      <c r="D49" s="111">
        <f>244403-138020</f>
        <v>106383</v>
      </c>
      <c r="E49" s="111">
        <f>358536-244403</f>
        <v>114133</v>
      </c>
      <c r="F49" s="111">
        <f>438792-358536</f>
        <v>80256</v>
      </c>
      <c r="G49" s="111">
        <f>499452-438792</f>
        <v>60660</v>
      </c>
      <c r="H49" s="111">
        <f t="shared" si="8"/>
        <v>499452</v>
      </c>
      <c r="I49" s="111">
        <f>571929-499452</f>
        <v>72477</v>
      </c>
      <c r="J49" s="111">
        <f>672073-571929</f>
        <v>100144</v>
      </c>
      <c r="K49" s="111">
        <f>775819-672073</f>
        <v>103746</v>
      </c>
      <c r="L49" s="111">
        <f>855505-775819</f>
        <v>79686</v>
      </c>
      <c r="M49" s="111">
        <f>959102-855505</f>
        <v>103597</v>
      </c>
      <c r="N49" s="111">
        <f>1032245-959102</f>
        <v>73143</v>
      </c>
      <c r="O49" s="111">
        <f t="shared" si="2"/>
        <v>532793</v>
      </c>
      <c r="P49" s="111">
        <f t="shared" si="3"/>
        <v>1032245</v>
      </c>
    </row>
    <row r="50" spans="1:16" ht="12" customHeight="1" x14ac:dyDescent="0.15">
      <c r="A50" s="6" t="s">
        <v>28</v>
      </c>
      <c r="B50" s="111">
        <v>12146</v>
      </c>
      <c r="C50" s="111">
        <f>37942-12146</f>
        <v>25796</v>
      </c>
      <c r="D50" s="111">
        <f>63738-37942</f>
        <v>25796</v>
      </c>
      <c r="E50" s="111">
        <f>97598-63738</f>
        <v>33860</v>
      </c>
      <c r="F50" s="111">
        <f>128027-97598</f>
        <v>30429</v>
      </c>
      <c r="G50" s="111">
        <f>148993-128027</f>
        <v>20966</v>
      </c>
      <c r="H50" s="111">
        <f t="shared" si="8"/>
        <v>148993</v>
      </c>
      <c r="I50" s="111">
        <f>161139-148993</f>
        <v>12146</v>
      </c>
      <c r="J50" s="111">
        <f>195217-161139</f>
        <v>34078</v>
      </c>
      <c r="K50" s="111">
        <f>207363-195217</f>
        <v>12146</v>
      </c>
      <c r="L50" s="111">
        <f>232479-207363</f>
        <v>25116</v>
      </c>
      <c r="M50" s="111">
        <f>244625-232479</f>
        <v>12146</v>
      </c>
      <c r="N50" s="111">
        <f>256771-244625</f>
        <v>12146</v>
      </c>
      <c r="O50" s="111">
        <f t="shared" si="2"/>
        <v>107778</v>
      </c>
      <c r="P50" s="111">
        <f t="shared" si="3"/>
        <v>256771</v>
      </c>
    </row>
    <row r="51" spans="1:16" ht="12" customHeight="1" x14ac:dyDescent="0.15">
      <c r="A51" s="6" t="s">
        <v>107</v>
      </c>
      <c r="B51" s="111">
        <v>26000</v>
      </c>
      <c r="C51" s="111">
        <f>36500-26000</f>
        <v>10500</v>
      </c>
      <c r="D51" s="111">
        <f>51300-36500</f>
        <v>14800</v>
      </c>
      <c r="E51" s="111">
        <f>74300-51300</f>
        <v>23000</v>
      </c>
      <c r="F51" s="111">
        <f>92835-74300</f>
        <v>18535</v>
      </c>
      <c r="G51" s="111">
        <f>124085-92835</f>
        <v>31250</v>
      </c>
      <c r="H51" s="111">
        <f t="shared" si="8"/>
        <v>124085</v>
      </c>
      <c r="I51" s="111">
        <f>126885-124085</f>
        <v>2800</v>
      </c>
      <c r="J51" s="111">
        <v>800</v>
      </c>
      <c r="K51" s="111">
        <f>132185-127685</f>
        <v>4500</v>
      </c>
      <c r="L51" s="111">
        <v>4000</v>
      </c>
      <c r="M51" s="111">
        <v>0</v>
      </c>
      <c r="N51" s="111">
        <f>153785-136185</f>
        <v>17600</v>
      </c>
      <c r="O51" s="111">
        <f t="shared" si="2"/>
        <v>29700</v>
      </c>
      <c r="P51" s="111">
        <f t="shared" si="3"/>
        <v>153785</v>
      </c>
    </row>
    <row r="52" spans="1:16" ht="12" customHeight="1" x14ac:dyDescent="0.15">
      <c r="A52" s="6" t="s">
        <v>27</v>
      </c>
      <c r="B52" s="111">
        <v>0</v>
      </c>
      <c r="C52" s="111">
        <v>0</v>
      </c>
      <c r="D52" s="111">
        <v>3600</v>
      </c>
      <c r="E52" s="111">
        <v>10800</v>
      </c>
      <c r="F52" s="111">
        <v>0</v>
      </c>
      <c r="G52" s="111">
        <v>43200</v>
      </c>
      <c r="H52" s="111">
        <f t="shared" si="8"/>
        <v>57600</v>
      </c>
      <c r="I52" s="111">
        <v>0</v>
      </c>
      <c r="J52" s="111">
        <v>0</v>
      </c>
      <c r="K52" s="111">
        <v>28600</v>
      </c>
      <c r="L52" s="111">
        <v>11000</v>
      </c>
      <c r="M52" s="111">
        <f>141200-97200</f>
        <v>44000</v>
      </c>
      <c r="N52" s="111">
        <v>0</v>
      </c>
      <c r="O52" s="111">
        <f t="shared" si="2"/>
        <v>83600</v>
      </c>
      <c r="P52" s="111">
        <f t="shared" si="3"/>
        <v>141200</v>
      </c>
    </row>
    <row r="53" spans="1:16" ht="12" customHeight="1" x14ac:dyDescent="0.15">
      <c r="A53" s="6" t="s">
        <v>32</v>
      </c>
      <c r="B53" s="111">
        <v>568340</v>
      </c>
      <c r="C53" s="111">
        <f>1172217-568340</f>
        <v>603877</v>
      </c>
      <c r="D53" s="111">
        <f>1553906-1172217</f>
        <v>381689</v>
      </c>
      <c r="E53" s="111">
        <f>2037112-1553906</f>
        <v>483206</v>
      </c>
      <c r="F53" s="111">
        <f>2411548-2037112</f>
        <v>374436</v>
      </c>
      <c r="G53" s="111">
        <f>2953837-2411548</f>
        <v>542289</v>
      </c>
      <c r="H53" s="111">
        <f t="shared" si="8"/>
        <v>2953837</v>
      </c>
      <c r="I53" s="111">
        <f>3341966-2953837</f>
        <v>388129</v>
      </c>
      <c r="J53" s="111">
        <f>3650876-3341966</f>
        <v>308910</v>
      </c>
      <c r="K53" s="111">
        <f>4269081-3650876</f>
        <v>618205</v>
      </c>
      <c r="L53" s="111">
        <f>4838365-4269081</f>
        <v>569284</v>
      </c>
      <c r="M53" s="111">
        <f>5335488-4838365</f>
        <v>497123</v>
      </c>
      <c r="N53" s="111">
        <f>5975482-5335488</f>
        <v>639994</v>
      </c>
      <c r="O53" s="111">
        <f t="shared" si="2"/>
        <v>3021645</v>
      </c>
      <c r="P53" s="111">
        <f t="shared" si="3"/>
        <v>5975482</v>
      </c>
    </row>
    <row r="54" spans="1:16" ht="12" customHeight="1" x14ac:dyDescent="0.15">
      <c r="A54" s="6" t="s">
        <v>108</v>
      </c>
      <c r="B54" s="111">
        <v>8000</v>
      </c>
      <c r="C54" s="111">
        <f>20000-8000</f>
        <v>12000</v>
      </c>
      <c r="D54" s="111">
        <f>32000-20000</f>
        <v>12000</v>
      </c>
      <c r="E54" s="111">
        <v>2000</v>
      </c>
      <c r="F54" s="111">
        <v>0</v>
      </c>
      <c r="G54" s="111">
        <f>48760-34000</f>
        <v>14760</v>
      </c>
      <c r="H54" s="111">
        <f t="shared" si="8"/>
        <v>48760</v>
      </c>
      <c r="I54" s="111">
        <f>56760-48760</f>
        <v>8000</v>
      </c>
      <c r="J54" s="111">
        <f>73860-56760</f>
        <v>17100</v>
      </c>
      <c r="K54" s="111">
        <f>81060-73860</f>
        <v>7200</v>
      </c>
      <c r="L54" s="111">
        <f>101020-81060</f>
        <v>19960</v>
      </c>
      <c r="M54" s="111">
        <f>105039-101020</f>
        <v>4019</v>
      </c>
      <c r="N54" s="111">
        <f>109039-105039</f>
        <v>4000</v>
      </c>
      <c r="O54" s="111">
        <f t="shared" si="2"/>
        <v>60279</v>
      </c>
      <c r="P54" s="111">
        <f t="shared" si="3"/>
        <v>109039</v>
      </c>
    </row>
    <row r="55" spans="1:16" ht="12" customHeight="1" x14ac:dyDescent="0.15">
      <c r="A55" s="6" t="s">
        <v>34</v>
      </c>
      <c r="B55" s="111">
        <v>8800</v>
      </c>
      <c r="C55" s="111">
        <f>21800-8800</f>
        <v>13000</v>
      </c>
      <c r="D55" s="111">
        <f>44300-21800</f>
        <v>22500</v>
      </c>
      <c r="E55" s="111">
        <f>68300-44300</f>
        <v>24000</v>
      </c>
      <c r="F55" s="111">
        <v>0</v>
      </c>
      <c r="G55" s="111">
        <v>0</v>
      </c>
      <c r="H55" s="111">
        <f t="shared" si="8"/>
        <v>68300</v>
      </c>
      <c r="I55" s="111">
        <v>0</v>
      </c>
      <c r="J55" s="111">
        <v>0</v>
      </c>
      <c r="K55" s="111">
        <v>3000</v>
      </c>
      <c r="L55" s="111">
        <v>0</v>
      </c>
      <c r="M55" s="111">
        <v>0</v>
      </c>
      <c r="N55" s="111">
        <f>91300-71300</f>
        <v>20000</v>
      </c>
      <c r="O55" s="111">
        <f t="shared" si="2"/>
        <v>23000</v>
      </c>
      <c r="P55" s="111">
        <f t="shared" si="3"/>
        <v>91300</v>
      </c>
    </row>
    <row r="56" spans="1:16" ht="12" customHeight="1" x14ac:dyDescent="0.15">
      <c r="A56" s="6" t="s">
        <v>109</v>
      </c>
      <c r="B56" s="111">
        <v>432836</v>
      </c>
      <c r="C56" s="111">
        <f>833117-432836</f>
        <v>400281</v>
      </c>
      <c r="D56" s="111">
        <f>1263629-833117</f>
        <v>430512</v>
      </c>
      <c r="E56" s="111">
        <f>1694783-1263629</f>
        <v>431154</v>
      </c>
      <c r="F56" s="111">
        <f>2135396-1694783</f>
        <v>440613</v>
      </c>
      <c r="G56" s="111">
        <f>2586784-2135396</f>
        <v>451388</v>
      </c>
      <c r="H56" s="111">
        <f t="shared" si="8"/>
        <v>2586784</v>
      </c>
      <c r="I56" s="111">
        <f>3171376-2586784</f>
        <v>584592</v>
      </c>
      <c r="J56" s="111">
        <f>3581393-3171376</f>
        <v>410017</v>
      </c>
      <c r="K56" s="111">
        <f>3983744-3581393</f>
        <v>402351</v>
      </c>
      <c r="L56" s="111">
        <f>4396770-3983744</f>
        <v>413026</v>
      </c>
      <c r="M56" s="111">
        <f>4758816-4396770</f>
        <v>362046</v>
      </c>
      <c r="N56" s="111">
        <f>5163694-4758816</f>
        <v>404878</v>
      </c>
      <c r="O56" s="111">
        <f t="shared" si="2"/>
        <v>2576910</v>
      </c>
      <c r="P56" s="111">
        <f t="shared" si="3"/>
        <v>5163694</v>
      </c>
    </row>
    <row r="57" spans="1:16" ht="12" customHeight="1" x14ac:dyDescent="0.15">
      <c r="A57" s="6" t="s">
        <v>35</v>
      </c>
      <c r="B57" s="111">
        <v>432</v>
      </c>
      <c r="C57" s="111">
        <f>20282-432</f>
        <v>19850</v>
      </c>
      <c r="D57" s="111">
        <f>26744-20282</f>
        <v>6462</v>
      </c>
      <c r="E57" s="111">
        <f>32876-26744</f>
        <v>6132</v>
      </c>
      <c r="F57" s="111">
        <f>42184-32876</f>
        <v>9308</v>
      </c>
      <c r="G57" s="111">
        <f>45792-42184</f>
        <v>3608</v>
      </c>
      <c r="H57" s="111">
        <f t="shared" si="8"/>
        <v>45792</v>
      </c>
      <c r="I57" s="111">
        <f>73792-45792</f>
        <v>28000</v>
      </c>
      <c r="J57" s="111">
        <f>74892-73792</f>
        <v>1100</v>
      </c>
      <c r="K57" s="111">
        <v>5400</v>
      </c>
      <c r="L57" s="111">
        <f>86322-80292</f>
        <v>6030</v>
      </c>
      <c r="M57" s="111">
        <v>0</v>
      </c>
      <c r="N57" s="111">
        <f>109394-86322</f>
        <v>23072</v>
      </c>
      <c r="O57" s="111">
        <f t="shared" si="2"/>
        <v>63602</v>
      </c>
      <c r="P57" s="111">
        <f t="shared" si="3"/>
        <v>109394</v>
      </c>
    </row>
    <row r="58" spans="1:16" ht="12" customHeight="1" x14ac:dyDescent="0.15">
      <c r="A58" s="6" t="s">
        <v>110</v>
      </c>
      <c r="B58" s="111">
        <v>4351</v>
      </c>
      <c r="C58" s="111">
        <f>246111-B58</f>
        <v>241760</v>
      </c>
      <c r="D58" s="111">
        <v>0</v>
      </c>
      <c r="E58" s="111">
        <v>0</v>
      </c>
      <c r="F58" s="111">
        <v>0</v>
      </c>
      <c r="G58" s="111">
        <v>23280</v>
      </c>
      <c r="H58" s="111">
        <f t="shared" si="8"/>
        <v>269391</v>
      </c>
      <c r="I58" s="111">
        <f>315001-269391</f>
        <v>45610</v>
      </c>
      <c r="J58" s="111">
        <v>0</v>
      </c>
      <c r="K58" s="111">
        <v>0</v>
      </c>
      <c r="L58" s="111">
        <v>517470</v>
      </c>
      <c r="M58" s="111">
        <v>0</v>
      </c>
      <c r="N58" s="111">
        <f>854971-832471</f>
        <v>22500</v>
      </c>
      <c r="O58" s="111">
        <f t="shared" si="2"/>
        <v>585580</v>
      </c>
      <c r="P58" s="111">
        <f t="shared" si="3"/>
        <v>854971</v>
      </c>
    </row>
    <row r="59" spans="1:16" ht="12" customHeight="1" x14ac:dyDescent="0.15">
      <c r="A59" s="6" t="s">
        <v>111</v>
      </c>
      <c r="B59" s="111">
        <v>333298</v>
      </c>
      <c r="C59" s="111">
        <f>1178091-B59</f>
        <v>844793</v>
      </c>
      <c r="D59" s="111">
        <f>1461609-1178091</f>
        <v>283518</v>
      </c>
      <c r="E59" s="111">
        <f>1955132-1461609</f>
        <v>493523</v>
      </c>
      <c r="F59" s="111">
        <f>2288005-1955132</f>
        <v>332873</v>
      </c>
      <c r="G59" s="111">
        <f>2802742-2288005</f>
        <v>514737</v>
      </c>
      <c r="H59" s="111">
        <f t="shared" si="8"/>
        <v>2802742</v>
      </c>
      <c r="I59" s="111">
        <f>3313238-2802742</f>
        <v>510496</v>
      </c>
      <c r="J59" s="111">
        <f>3875865-3313238</f>
        <v>562627</v>
      </c>
      <c r="K59" s="111">
        <f>4384690-3875865</f>
        <v>508825</v>
      </c>
      <c r="L59" s="111">
        <f>4913390-4384690</f>
        <v>528700</v>
      </c>
      <c r="M59" s="111">
        <f>5195008-4913390</f>
        <v>281618</v>
      </c>
      <c r="N59" s="111">
        <f>5821368-5195008</f>
        <v>626360</v>
      </c>
      <c r="O59" s="111">
        <f t="shared" si="2"/>
        <v>3018626</v>
      </c>
      <c r="P59" s="111">
        <f t="shared" si="3"/>
        <v>5821368</v>
      </c>
    </row>
    <row r="60" spans="1:16" ht="12" customHeight="1" x14ac:dyDescent="0.15">
      <c r="A60" s="6" t="s">
        <v>112</v>
      </c>
      <c r="B60" s="111">
        <v>0</v>
      </c>
      <c r="C60" s="111">
        <v>0</v>
      </c>
      <c r="D60" s="111">
        <v>0</v>
      </c>
      <c r="E60" s="111">
        <v>56603</v>
      </c>
      <c r="F60" s="111">
        <v>0</v>
      </c>
      <c r="G60" s="111">
        <v>0</v>
      </c>
      <c r="H60" s="111">
        <f t="shared" si="8"/>
        <v>56603</v>
      </c>
      <c r="I60" s="111">
        <v>0</v>
      </c>
      <c r="J60" s="111">
        <v>0</v>
      </c>
      <c r="K60" s="111">
        <v>0</v>
      </c>
      <c r="L60" s="111">
        <v>64900</v>
      </c>
      <c r="M60" s="111">
        <v>0</v>
      </c>
      <c r="N60" s="111">
        <v>0</v>
      </c>
      <c r="O60" s="111">
        <f t="shared" si="2"/>
        <v>64900</v>
      </c>
      <c r="P60" s="111">
        <f t="shared" si="3"/>
        <v>121503</v>
      </c>
    </row>
    <row r="61" spans="1:16" ht="12" customHeight="1" x14ac:dyDescent="0.15">
      <c r="A61" s="6" t="s">
        <v>113</v>
      </c>
      <c r="B61" s="111">
        <v>278280</v>
      </c>
      <c r="C61" s="111">
        <f>619371-B61</f>
        <v>341091</v>
      </c>
      <c r="D61" s="111">
        <f>944495-619371</f>
        <v>325124</v>
      </c>
      <c r="E61" s="111">
        <f>1246723-944495</f>
        <v>302228</v>
      </c>
      <c r="F61" s="111">
        <f>1568391-1246723</f>
        <v>321668</v>
      </c>
      <c r="G61" s="111">
        <f>1986827-1568391</f>
        <v>418436</v>
      </c>
      <c r="H61" s="111">
        <f t="shared" si="8"/>
        <v>1986827</v>
      </c>
      <c r="I61" s="111">
        <f>2353349-1986827</f>
        <v>366522</v>
      </c>
      <c r="J61" s="111">
        <f>2655577-2353349</f>
        <v>302228</v>
      </c>
      <c r="K61" s="111">
        <f>2994545-2655577</f>
        <v>338968</v>
      </c>
      <c r="L61" s="111">
        <f>3314289-2994545+7344</f>
        <v>327088</v>
      </c>
      <c r="M61" s="111">
        <f>3698066-3321633</f>
        <v>376433</v>
      </c>
      <c r="N61" s="111">
        <f>4035159-3698066</f>
        <v>337093</v>
      </c>
      <c r="O61" s="111">
        <f t="shared" si="2"/>
        <v>2048332</v>
      </c>
      <c r="P61" s="111">
        <f t="shared" si="3"/>
        <v>4035159</v>
      </c>
    </row>
    <row r="62" spans="1:16" ht="12" customHeight="1" x14ac:dyDescent="0.15">
      <c r="A62" s="6" t="s">
        <v>121</v>
      </c>
      <c r="B62" s="111">
        <v>295000</v>
      </c>
      <c r="C62" s="111">
        <f>710000-B62</f>
        <v>415000</v>
      </c>
      <c r="D62" s="111">
        <v>295000</v>
      </c>
      <c r="E62" s="111">
        <v>295000</v>
      </c>
      <c r="F62" s="111">
        <v>295000</v>
      </c>
      <c r="G62" s="111">
        <v>295000</v>
      </c>
      <c r="H62" s="111">
        <f t="shared" si="8"/>
        <v>1890000</v>
      </c>
      <c r="I62" s="111">
        <f>2185000-1890000</f>
        <v>295000</v>
      </c>
      <c r="J62" s="111">
        <v>295000</v>
      </c>
      <c r="K62" s="111">
        <v>295000</v>
      </c>
      <c r="L62" s="111">
        <v>295000</v>
      </c>
      <c r="M62" s="111">
        <f>3365000-3070000</f>
        <v>295000</v>
      </c>
      <c r="N62" s="111">
        <f>3660000-3365000</f>
        <v>295000</v>
      </c>
      <c r="O62" s="111">
        <f t="shared" si="2"/>
        <v>1770000</v>
      </c>
      <c r="P62" s="111">
        <f t="shared" si="3"/>
        <v>3660000</v>
      </c>
    </row>
    <row r="63" spans="1:16" ht="12" customHeight="1" x14ac:dyDescent="0.15">
      <c r="A63" s="6" t="s">
        <v>122</v>
      </c>
      <c r="B63" s="115">
        <v>0</v>
      </c>
      <c r="C63" s="111">
        <v>345584</v>
      </c>
      <c r="D63" s="111">
        <v>0</v>
      </c>
      <c r="E63" s="111">
        <f>404084-345584</f>
        <v>58500</v>
      </c>
      <c r="F63" s="111">
        <v>10</v>
      </c>
      <c r="G63" s="111">
        <f>462944-404094</f>
        <v>58850</v>
      </c>
      <c r="H63" s="111">
        <f t="shared" si="8"/>
        <v>462944</v>
      </c>
      <c r="I63" s="111">
        <v>0</v>
      </c>
      <c r="J63" s="111">
        <v>0</v>
      </c>
      <c r="K63" s="111">
        <v>53600</v>
      </c>
      <c r="L63" s="111">
        <v>1200</v>
      </c>
      <c r="M63" s="111">
        <f>517754-517744</f>
        <v>10</v>
      </c>
      <c r="N63" s="111">
        <f>570754-517754</f>
        <v>53000</v>
      </c>
      <c r="O63" s="111">
        <f t="shared" si="2"/>
        <v>107810</v>
      </c>
      <c r="P63" s="111">
        <f t="shared" si="3"/>
        <v>570754</v>
      </c>
    </row>
    <row r="64" spans="1:16" ht="12" customHeight="1" x14ac:dyDescent="0.15">
      <c r="A64" s="6" t="s">
        <v>37</v>
      </c>
      <c r="B64" s="111">
        <v>97317</v>
      </c>
      <c r="C64" s="111">
        <f>201253-B64</f>
        <v>103936</v>
      </c>
      <c r="D64" s="111">
        <f>420061-201253</f>
        <v>218808</v>
      </c>
      <c r="E64" s="111">
        <f>577533-420061</f>
        <v>157472</v>
      </c>
      <c r="F64" s="111">
        <f>584445-577533</f>
        <v>6912</v>
      </c>
      <c r="G64" s="111">
        <f>824249-584445</f>
        <v>239804</v>
      </c>
      <c r="H64" s="111">
        <f t="shared" si="8"/>
        <v>824249</v>
      </c>
      <c r="I64" s="111">
        <f>1170690-824249</f>
        <v>346441</v>
      </c>
      <c r="J64" s="111">
        <f>1227102-1170690</f>
        <v>56412</v>
      </c>
      <c r="K64" s="111">
        <f>1419638-1227102</f>
        <v>192536</v>
      </c>
      <c r="L64" s="111">
        <f>1472782-1419638</f>
        <v>53144</v>
      </c>
      <c r="M64" s="111">
        <f>1482462-1472782</f>
        <v>9680</v>
      </c>
      <c r="N64" s="111">
        <f>1766444-1482462</f>
        <v>283982</v>
      </c>
      <c r="O64" s="111">
        <f t="shared" si="2"/>
        <v>942195</v>
      </c>
      <c r="P64" s="111">
        <f t="shared" si="3"/>
        <v>1766444</v>
      </c>
    </row>
    <row r="65" spans="1:16" ht="12" customHeight="1" x14ac:dyDescent="0.15">
      <c r="A65" s="6" t="s">
        <v>114</v>
      </c>
      <c r="B65" s="111">
        <v>0</v>
      </c>
      <c r="C65" s="111">
        <v>0</v>
      </c>
      <c r="D65" s="111">
        <v>0</v>
      </c>
      <c r="E65" s="111">
        <v>0</v>
      </c>
      <c r="F65" s="111">
        <v>15847</v>
      </c>
      <c r="G65" s="111">
        <f>17593-15847</f>
        <v>1746</v>
      </c>
      <c r="H65" s="111">
        <f t="shared" si="8"/>
        <v>17593</v>
      </c>
      <c r="I65" s="111">
        <v>0</v>
      </c>
      <c r="J65" s="111">
        <f>92619-17593</f>
        <v>75026</v>
      </c>
      <c r="K65" s="111">
        <f>103871-92619</f>
        <v>11252</v>
      </c>
      <c r="L65" s="111">
        <f>113276-103871</f>
        <v>9405</v>
      </c>
      <c r="M65" s="111">
        <f>114530-113276</f>
        <v>1254</v>
      </c>
      <c r="N65" s="111">
        <v>0</v>
      </c>
      <c r="O65" s="111">
        <f t="shared" si="2"/>
        <v>96937</v>
      </c>
      <c r="P65" s="111">
        <f t="shared" si="3"/>
        <v>114530</v>
      </c>
    </row>
    <row r="66" spans="1:16" ht="12" customHeight="1" x14ac:dyDescent="0.15">
      <c r="A66" s="53" t="s">
        <v>115</v>
      </c>
      <c r="B66" s="111">
        <v>291489</v>
      </c>
      <c r="C66" s="111">
        <f>616503-B66</f>
        <v>325014</v>
      </c>
      <c r="D66" s="111">
        <f>1152238-616503</f>
        <v>535735</v>
      </c>
      <c r="E66" s="111">
        <f>1423997-1152238</f>
        <v>271759</v>
      </c>
      <c r="F66" s="111">
        <f>1704550-1423997</f>
        <v>280553</v>
      </c>
      <c r="G66" s="111">
        <f>1979198-1704550</f>
        <v>274648</v>
      </c>
      <c r="H66" s="111">
        <f t="shared" si="8"/>
        <v>1979198</v>
      </c>
      <c r="I66" s="111">
        <f>2677566-1979198</f>
        <v>698368</v>
      </c>
      <c r="J66" s="111">
        <f>2994580-2677566</f>
        <v>317014</v>
      </c>
      <c r="K66" s="111">
        <f>3343382-2994580</f>
        <v>348802</v>
      </c>
      <c r="L66" s="111">
        <f>3649715-3343382+3520+550</f>
        <v>310403</v>
      </c>
      <c r="M66" s="111">
        <f>3851038-3653785</f>
        <v>197253</v>
      </c>
      <c r="N66" s="111">
        <f>4597167-3851038</f>
        <v>746129</v>
      </c>
      <c r="O66" s="111">
        <f t="shared" si="2"/>
        <v>2617969</v>
      </c>
      <c r="P66" s="111">
        <f t="shared" si="3"/>
        <v>4597167</v>
      </c>
    </row>
    <row r="67" spans="1:16" ht="12" customHeight="1" x14ac:dyDescent="0.15">
      <c r="A67" s="6" t="s">
        <v>46</v>
      </c>
      <c r="B67" s="111">
        <v>0</v>
      </c>
      <c r="C67" s="111">
        <v>0</v>
      </c>
      <c r="D67" s="111">
        <v>0</v>
      </c>
      <c r="E67" s="111">
        <v>0</v>
      </c>
      <c r="F67" s="111">
        <v>0</v>
      </c>
      <c r="G67" s="111">
        <v>2794138</v>
      </c>
      <c r="H67" s="111">
        <f t="shared" si="8"/>
        <v>2794138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11">
        <f>6032162-2794138</f>
        <v>3238024</v>
      </c>
      <c r="O67" s="111">
        <f t="shared" si="2"/>
        <v>3238024</v>
      </c>
      <c r="P67" s="111">
        <f t="shared" si="3"/>
        <v>6032162</v>
      </c>
    </row>
    <row r="68" spans="1:16" ht="12" customHeight="1" x14ac:dyDescent="0.15">
      <c r="A68" s="54" t="s">
        <v>29</v>
      </c>
      <c r="B68" s="114">
        <f t="shared" ref="B68:N68" si="10">B36+B42</f>
        <v>15331302</v>
      </c>
      <c r="C68" s="114">
        <f t="shared" si="10"/>
        <v>15818622</v>
      </c>
      <c r="D68" s="114">
        <f t="shared" si="10"/>
        <v>15179766</v>
      </c>
      <c r="E68" s="114">
        <f t="shared" si="10"/>
        <v>21080592</v>
      </c>
      <c r="F68" s="114">
        <f t="shared" si="10"/>
        <v>14496960</v>
      </c>
      <c r="G68" s="114">
        <f t="shared" si="10"/>
        <v>19100875</v>
      </c>
      <c r="H68" s="114">
        <f t="shared" si="8"/>
        <v>101008117</v>
      </c>
      <c r="I68" s="114">
        <f t="shared" si="10"/>
        <v>15195986</v>
      </c>
      <c r="J68" s="114">
        <f t="shared" si="10"/>
        <v>24294756</v>
      </c>
      <c r="K68" s="114">
        <f t="shared" si="10"/>
        <v>15442119</v>
      </c>
      <c r="L68" s="114">
        <f t="shared" si="10"/>
        <v>16236196</v>
      </c>
      <c r="M68" s="114">
        <f t="shared" si="10"/>
        <v>14838869</v>
      </c>
      <c r="N68" s="114">
        <f t="shared" si="10"/>
        <v>19499916</v>
      </c>
      <c r="O68" s="114">
        <f t="shared" si="2"/>
        <v>105507842</v>
      </c>
      <c r="P68" s="114">
        <f t="shared" si="3"/>
        <v>206515959</v>
      </c>
    </row>
    <row r="69" spans="1:16" ht="12" customHeight="1" x14ac:dyDescent="0.15">
      <c r="A69" s="54" t="s">
        <v>61</v>
      </c>
      <c r="B69" s="114">
        <f t="shared" ref="B69:G69" si="11">B33-B68</f>
        <v>1187165</v>
      </c>
      <c r="C69" s="114">
        <f t="shared" si="11"/>
        <v>3020317</v>
      </c>
      <c r="D69" s="114">
        <f t="shared" si="11"/>
        <v>2276174</v>
      </c>
      <c r="E69" s="114">
        <f t="shared" si="11"/>
        <v>-2079353</v>
      </c>
      <c r="F69" s="114">
        <f t="shared" si="11"/>
        <v>3629825</v>
      </c>
      <c r="G69" s="114">
        <f t="shared" si="11"/>
        <v>-1767750</v>
      </c>
      <c r="H69" s="114">
        <f t="shared" si="8"/>
        <v>6266378</v>
      </c>
      <c r="I69" s="114">
        <f t="shared" ref="I69:N69" si="12">I33-I68</f>
        <v>2290814</v>
      </c>
      <c r="J69" s="114">
        <f t="shared" si="12"/>
        <v>-6960616</v>
      </c>
      <c r="K69" s="114">
        <f t="shared" si="12"/>
        <v>577992</v>
      </c>
      <c r="L69" s="114">
        <f t="shared" si="12"/>
        <v>-28956</v>
      </c>
      <c r="M69" s="114">
        <f t="shared" si="12"/>
        <v>1394446</v>
      </c>
      <c r="N69" s="114">
        <f t="shared" si="12"/>
        <v>-1360894</v>
      </c>
      <c r="O69" s="114">
        <f t="shared" si="2"/>
        <v>-4087214</v>
      </c>
      <c r="P69" s="114">
        <f t="shared" si="3"/>
        <v>2179164</v>
      </c>
    </row>
    <row r="70" spans="1:16" ht="12" customHeight="1" x14ac:dyDescent="0.15">
      <c r="A70" s="23" t="s">
        <v>126</v>
      </c>
      <c r="B70" s="111">
        <v>1</v>
      </c>
      <c r="C70" s="111">
        <v>0</v>
      </c>
      <c r="D70" s="111">
        <v>0</v>
      </c>
      <c r="E70" s="111">
        <v>0</v>
      </c>
      <c r="F70" s="111">
        <v>78</v>
      </c>
      <c r="G70" s="111">
        <v>2</v>
      </c>
      <c r="H70" s="114">
        <f t="shared" si="8"/>
        <v>81</v>
      </c>
      <c r="I70" s="111">
        <v>2</v>
      </c>
      <c r="J70" s="111">
        <v>0</v>
      </c>
      <c r="K70" s="111">
        <v>0</v>
      </c>
      <c r="L70" s="111">
        <v>0</v>
      </c>
      <c r="M70" s="111">
        <f>163-83</f>
        <v>80</v>
      </c>
      <c r="N70" s="111">
        <f>165-163</f>
        <v>2</v>
      </c>
      <c r="O70" s="114">
        <f t="shared" si="2"/>
        <v>84</v>
      </c>
      <c r="P70" s="114">
        <f t="shared" si="3"/>
        <v>165</v>
      </c>
    </row>
    <row r="71" spans="1:16" ht="12" customHeight="1" x14ac:dyDescent="0.15">
      <c r="A71" s="23" t="s">
        <v>127</v>
      </c>
      <c r="B71" s="111">
        <f>16464+51560</f>
        <v>68024</v>
      </c>
      <c r="C71" s="111">
        <f>14587+1200+1200</f>
        <v>16987</v>
      </c>
      <c r="D71" s="111">
        <f>14745+65602-53960</f>
        <v>26387</v>
      </c>
      <c r="E71" s="111">
        <f>15360+28178+503317-65602</f>
        <v>481253</v>
      </c>
      <c r="F71" s="111">
        <f>14054+15433</f>
        <v>29487</v>
      </c>
      <c r="G71" s="111">
        <f>13709+544188-518750</f>
        <v>39147</v>
      </c>
      <c r="H71" s="114">
        <f t="shared" si="8"/>
        <v>661285</v>
      </c>
      <c r="I71" s="111">
        <f>13809+545708-544188</f>
        <v>15329</v>
      </c>
      <c r="J71" s="111">
        <f>13019+613478-545708</f>
        <v>80789</v>
      </c>
      <c r="K71" s="111">
        <f>13941+651238-613478</f>
        <v>51701</v>
      </c>
      <c r="L71" s="111">
        <f>11917+707887-651238</f>
        <v>68566</v>
      </c>
      <c r="M71" s="111">
        <f>11584+801548-707887</f>
        <v>105245</v>
      </c>
      <c r="N71" s="111">
        <f>12802+875148-801548</f>
        <v>86402</v>
      </c>
      <c r="O71" s="114">
        <f t="shared" si="2"/>
        <v>408032</v>
      </c>
      <c r="P71" s="114">
        <f t="shared" si="3"/>
        <v>1069317</v>
      </c>
    </row>
    <row r="72" spans="1:16" ht="12" customHeight="1" x14ac:dyDescent="0.15">
      <c r="A72" s="54" t="s">
        <v>60</v>
      </c>
      <c r="B72" s="33">
        <f t="shared" ref="B72:G72" si="13">B69+B70-B71</f>
        <v>1119142</v>
      </c>
      <c r="C72" s="33">
        <f t="shared" si="13"/>
        <v>3003330</v>
      </c>
      <c r="D72" s="33">
        <f t="shared" si="13"/>
        <v>2249787</v>
      </c>
      <c r="E72" s="33">
        <f t="shared" si="13"/>
        <v>-2560606</v>
      </c>
      <c r="F72" s="33">
        <f t="shared" si="13"/>
        <v>3600416</v>
      </c>
      <c r="G72" s="33">
        <f t="shared" si="13"/>
        <v>-1806895</v>
      </c>
      <c r="H72" s="114">
        <f t="shared" si="8"/>
        <v>5605174</v>
      </c>
      <c r="I72" s="33">
        <f t="shared" ref="I72:N72" si="14">I69+I70-I71</f>
        <v>2275487</v>
      </c>
      <c r="J72" s="33">
        <f t="shared" si="14"/>
        <v>-7041405</v>
      </c>
      <c r="K72" s="33">
        <f t="shared" si="14"/>
        <v>526291</v>
      </c>
      <c r="L72" s="33">
        <f t="shared" si="14"/>
        <v>-97522</v>
      </c>
      <c r="M72" s="33">
        <f t="shared" si="14"/>
        <v>1289281</v>
      </c>
      <c r="N72" s="33">
        <f t="shared" si="14"/>
        <v>-1447294</v>
      </c>
      <c r="O72" s="114">
        <f t="shared" si="2"/>
        <v>-4495162</v>
      </c>
      <c r="P72" s="110">
        <f t="shared" si="3"/>
        <v>1110012</v>
      </c>
    </row>
    <row r="73" spans="1:16" ht="12" customHeight="1" x14ac:dyDescent="0.15">
      <c r="A73" s="26" t="s">
        <v>116</v>
      </c>
      <c r="B73" s="111">
        <v>280000</v>
      </c>
      <c r="C73" s="111">
        <v>280000</v>
      </c>
      <c r="D73" s="111">
        <v>280000</v>
      </c>
      <c r="E73" s="111">
        <v>280000</v>
      </c>
      <c r="F73" s="111">
        <v>280000</v>
      </c>
      <c r="G73" s="111">
        <v>280000</v>
      </c>
      <c r="H73" s="114">
        <f t="shared" si="8"/>
        <v>1680000</v>
      </c>
      <c r="I73" s="111">
        <v>280000</v>
      </c>
      <c r="J73" s="111">
        <v>280000</v>
      </c>
      <c r="K73" s="111">
        <v>280000</v>
      </c>
      <c r="L73" s="111">
        <v>280000</v>
      </c>
      <c r="M73" s="111">
        <v>280000</v>
      </c>
      <c r="N73" s="111">
        <v>280000</v>
      </c>
      <c r="O73" s="111">
        <f t="shared" si="2"/>
        <v>1680000</v>
      </c>
      <c r="P73" s="111">
        <f t="shared" si="3"/>
        <v>3360000</v>
      </c>
    </row>
  </sheetData>
  <phoneticPr fontId="3"/>
  <pageMargins left="0.51181102362204722" right="0.19685039370078741" top="0" bottom="0" header="0.23622047244094491" footer="0.27559055118110237"/>
  <pageSetup paperSize="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7532-6390-4C3F-8CA0-F90696616B67}">
  <dimension ref="A1:AN141"/>
  <sheetViews>
    <sheetView zoomScale="70" zoomScaleNormal="70" workbookViewId="0">
      <pane xSplit="1" topLeftCell="B1" activePane="topRight" state="frozen"/>
      <selection activeCell="A10" sqref="A10"/>
      <selection pane="topRight" activeCell="G20" sqref="G20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12" t="s">
        <v>367</v>
      </c>
      <c r="D1" s="112"/>
      <c r="E1" s="112"/>
      <c r="F1" s="112"/>
      <c r="G1" s="112"/>
      <c r="H1" s="112"/>
    </row>
    <row r="2" spans="1:16" ht="12" customHeight="1" x14ac:dyDescent="0.15">
      <c r="A2" s="26" t="s">
        <v>43</v>
      </c>
      <c r="B2" s="45" t="s">
        <v>368</v>
      </c>
      <c r="C2" s="26" t="s">
        <v>369</v>
      </c>
      <c r="D2" s="45" t="s">
        <v>370</v>
      </c>
      <c r="E2" s="26" t="s">
        <v>371</v>
      </c>
      <c r="F2" s="45" t="s">
        <v>372</v>
      </c>
      <c r="G2" s="26" t="s">
        <v>373</v>
      </c>
      <c r="H2" s="26" t="s">
        <v>39</v>
      </c>
      <c r="I2" s="26" t="s">
        <v>374</v>
      </c>
      <c r="J2" s="26" t="s">
        <v>375</v>
      </c>
      <c r="K2" s="26" t="s">
        <v>376</v>
      </c>
      <c r="L2" s="26" t="s">
        <v>377</v>
      </c>
      <c r="M2" s="26" t="s">
        <v>378</v>
      </c>
      <c r="N2" s="26" t="s">
        <v>379</v>
      </c>
      <c r="O2" s="26" t="s">
        <v>41</v>
      </c>
      <c r="P2" s="26" t="s">
        <v>42</v>
      </c>
    </row>
    <row r="3" spans="1:16" ht="12" customHeight="1" x14ac:dyDescent="0.15">
      <c r="A3" s="24" t="s">
        <v>259</v>
      </c>
      <c r="B3" s="113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12" customHeight="1" x14ac:dyDescent="0.15">
      <c r="A4" s="24" t="s">
        <v>0</v>
      </c>
      <c r="B4" s="114">
        <f>SUM(B5:B7)</f>
        <v>90000</v>
      </c>
      <c r="C4" s="114">
        <f t="shared" ref="C4:N4" si="0">SUM(C5:C7)</f>
        <v>36000</v>
      </c>
      <c r="D4" s="114">
        <f t="shared" si="0"/>
        <v>3000</v>
      </c>
      <c r="E4" s="114">
        <f t="shared" si="0"/>
        <v>8000</v>
      </c>
      <c r="F4" s="114">
        <f t="shared" si="0"/>
        <v>3000</v>
      </c>
      <c r="G4" s="114">
        <f t="shared" si="0"/>
        <v>4000</v>
      </c>
      <c r="H4" s="114">
        <f t="shared" ref="H4:H34" si="1">SUM(B4:G4)</f>
        <v>144000</v>
      </c>
      <c r="I4" s="114">
        <f>SUM(I5:I7)</f>
        <v>6000</v>
      </c>
      <c r="J4" s="114">
        <f t="shared" si="0"/>
        <v>2000</v>
      </c>
      <c r="K4" s="114">
        <f t="shared" si="0"/>
        <v>3000</v>
      </c>
      <c r="L4" s="114">
        <f>SUM(L5:L7)</f>
        <v>1000</v>
      </c>
      <c r="M4" s="114">
        <f>SUM(M5:M7)</f>
        <v>0</v>
      </c>
      <c r="N4" s="114">
        <f t="shared" si="0"/>
        <v>2000</v>
      </c>
      <c r="O4" s="114">
        <f>SUM(I4:N4)</f>
        <v>14000</v>
      </c>
      <c r="P4" s="114">
        <f>H4+O4</f>
        <v>158000</v>
      </c>
    </row>
    <row r="5" spans="1:16" ht="12" customHeight="1" x14ac:dyDescent="0.15">
      <c r="A5" s="21" t="s">
        <v>1</v>
      </c>
      <c r="B5" s="111">
        <v>77000</v>
      </c>
      <c r="C5" s="111">
        <f>79000-77000</f>
        <v>2000</v>
      </c>
      <c r="D5" s="111">
        <f>82000-79000</f>
        <v>3000</v>
      </c>
      <c r="E5" s="111">
        <f>83000-82000</f>
        <v>1000</v>
      </c>
      <c r="F5" s="111">
        <v>0</v>
      </c>
      <c r="G5" s="111">
        <f>G76-F76</f>
        <v>0</v>
      </c>
      <c r="H5" s="111">
        <f t="shared" si="1"/>
        <v>83000</v>
      </c>
      <c r="I5" s="111">
        <f>I76-G76</f>
        <v>0</v>
      </c>
      <c r="J5" s="111">
        <f t="shared" ref="J5:N7" si="2">J76-I76</f>
        <v>1000</v>
      </c>
      <c r="K5" s="111">
        <f t="shared" si="2"/>
        <v>1000</v>
      </c>
      <c r="L5" s="111">
        <f t="shared" si="2"/>
        <v>0</v>
      </c>
      <c r="M5" s="111">
        <f t="shared" si="2"/>
        <v>0</v>
      </c>
      <c r="N5" s="111">
        <f t="shared" si="2"/>
        <v>0</v>
      </c>
      <c r="O5" s="111">
        <f t="shared" ref="O5:O74" si="3">SUM(I5:N5)</f>
        <v>2000</v>
      </c>
      <c r="P5" s="111">
        <f t="shared" ref="P5:P74" si="4">H5+O5</f>
        <v>85000</v>
      </c>
    </row>
    <row r="6" spans="1:16" ht="12" customHeight="1" x14ac:dyDescent="0.15">
      <c r="A6" s="21" t="s">
        <v>2</v>
      </c>
      <c r="B6" s="111">
        <v>10000</v>
      </c>
      <c r="C6" s="111">
        <f>43000-10000</f>
        <v>33000</v>
      </c>
      <c r="D6" s="111">
        <v>0</v>
      </c>
      <c r="E6" s="111">
        <f>50000-43000</f>
        <v>7000</v>
      </c>
      <c r="F6" s="111">
        <f>53000-50000</f>
        <v>3000</v>
      </c>
      <c r="G6" s="111">
        <f>G77-F77</f>
        <v>2000</v>
      </c>
      <c r="H6" s="111">
        <f t="shared" si="1"/>
        <v>55000</v>
      </c>
      <c r="I6" s="111">
        <f>I77-G77</f>
        <v>5000</v>
      </c>
      <c r="J6" s="111">
        <f t="shared" si="2"/>
        <v>1000</v>
      </c>
      <c r="K6" s="111">
        <f t="shared" si="2"/>
        <v>2000</v>
      </c>
      <c r="L6" s="111">
        <f t="shared" si="2"/>
        <v>0</v>
      </c>
      <c r="M6" s="111">
        <f t="shared" si="2"/>
        <v>0</v>
      </c>
      <c r="N6" s="111">
        <f t="shared" si="2"/>
        <v>2000</v>
      </c>
      <c r="O6" s="111">
        <f t="shared" si="3"/>
        <v>10000</v>
      </c>
      <c r="P6" s="111">
        <f t="shared" si="4"/>
        <v>65000</v>
      </c>
    </row>
    <row r="7" spans="1:16" ht="12" customHeight="1" x14ac:dyDescent="0.15">
      <c r="A7" s="21" t="s">
        <v>3</v>
      </c>
      <c r="B7" s="111">
        <v>3000</v>
      </c>
      <c r="C7" s="111">
        <f>4000-3000</f>
        <v>1000</v>
      </c>
      <c r="D7" s="111">
        <v>0</v>
      </c>
      <c r="E7" s="111">
        <v>0</v>
      </c>
      <c r="F7" s="111">
        <v>0</v>
      </c>
      <c r="G7" s="111">
        <f>G78-F78</f>
        <v>2000</v>
      </c>
      <c r="H7" s="111">
        <f t="shared" si="1"/>
        <v>6000</v>
      </c>
      <c r="I7" s="111">
        <f>I78-G78</f>
        <v>1000</v>
      </c>
      <c r="J7" s="111">
        <f t="shared" si="2"/>
        <v>0</v>
      </c>
      <c r="K7" s="111">
        <f t="shared" si="2"/>
        <v>0</v>
      </c>
      <c r="L7" s="111">
        <f t="shared" si="2"/>
        <v>1000</v>
      </c>
      <c r="M7" s="111">
        <f t="shared" si="2"/>
        <v>0</v>
      </c>
      <c r="N7" s="111">
        <f t="shared" si="2"/>
        <v>0</v>
      </c>
      <c r="O7" s="111">
        <f t="shared" si="3"/>
        <v>2000</v>
      </c>
      <c r="P7" s="111">
        <f t="shared" si="4"/>
        <v>8000</v>
      </c>
    </row>
    <row r="8" spans="1:16" ht="12" customHeight="1" x14ac:dyDescent="0.15">
      <c r="A8" s="24" t="s">
        <v>4</v>
      </c>
      <c r="B8" s="114">
        <f t="shared" ref="B8:G8" si="5">SUM(B9:B29)</f>
        <v>16692120</v>
      </c>
      <c r="C8" s="114">
        <f t="shared" si="5"/>
        <v>17592720</v>
      </c>
      <c r="D8" s="114">
        <f t="shared" si="5"/>
        <v>17537810</v>
      </c>
      <c r="E8" s="114">
        <f t="shared" si="5"/>
        <v>18569560</v>
      </c>
      <c r="F8" s="114">
        <f t="shared" si="5"/>
        <v>17518160</v>
      </c>
      <c r="G8" s="114">
        <f t="shared" si="5"/>
        <v>18392800</v>
      </c>
      <c r="H8" s="114">
        <f t="shared" si="1"/>
        <v>106303170</v>
      </c>
      <c r="I8" s="114">
        <f t="shared" ref="I8:N8" si="6">SUM(I9:I29)</f>
        <v>18605350</v>
      </c>
      <c r="J8" s="114">
        <f t="shared" si="6"/>
        <v>17337730</v>
      </c>
      <c r="K8" s="114">
        <f t="shared" si="6"/>
        <v>15916590</v>
      </c>
      <c r="L8" s="114">
        <f t="shared" si="6"/>
        <v>14451620</v>
      </c>
      <c r="M8" s="114">
        <f t="shared" si="6"/>
        <v>14962690</v>
      </c>
      <c r="N8" s="114">
        <f t="shared" si="6"/>
        <v>18240930</v>
      </c>
      <c r="O8" s="114">
        <f t="shared" si="3"/>
        <v>99514910</v>
      </c>
      <c r="P8" s="114">
        <f t="shared" si="4"/>
        <v>205818080</v>
      </c>
    </row>
    <row r="9" spans="1:16" ht="12" customHeight="1" x14ac:dyDescent="0.15">
      <c r="A9" s="47" t="s">
        <v>94</v>
      </c>
      <c r="B9" s="111">
        <v>2689650</v>
      </c>
      <c r="C9" s="111">
        <f>5521860-2689650</f>
        <v>2832210</v>
      </c>
      <c r="D9" s="111">
        <f>8371260-5521860</f>
        <v>2849400</v>
      </c>
      <c r="E9" s="111">
        <f>11317260-8371260</f>
        <v>2946000</v>
      </c>
      <c r="F9" s="111">
        <f>14245960-11317260</f>
        <v>2928700</v>
      </c>
      <c r="G9" s="111">
        <f>G80-F80</f>
        <v>3013760</v>
      </c>
      <c r="H9" s="111">
        <f t="shared" si="1"/>
        <v>17259720</v>
      </c>
      <c r="I9" s="111">
        <f>I80-G80</f>
        <v>2998510</v>
      </c>
      <c r="J9" s="111">
        <f>J80-I80</f>
        <v>2850560</v>
      </c>
      <c r="K9" s="111">
        <f>K80-J80</f>
        <v>2799800</v>
      </c>
      <c r="L9" s="111">
        <f>L80-K80</f>
        <v>2775140</v>
      </c>
      <c r="M9" s="111">
        <f>M80-L80</f>
        <v>2701450</v>
      </c>
      <c r="N9" s="111">
        <f>N80-M80</f>
        <v>2957570</v>
      </c>
      <c r="O9" s="111">
        <f t="shared" si="3"/>
        <v>17083030</v>
      </c>
      <c r="P9" s="111">
        <f t="shared" si="4"/>
        <v>34342750</v>
      </c>
    </row>
    <row r="10" spans="1:16" ht="12" customHeight="1" x14ac:dyDescent="0.15">
      <c r="A10" s="48" t="s">
        <v>247</v>
      </c>
      <c r="B10" s="111">
        <v>25860</v>
      </c>
      <c r="C10" s="111">
        <v>37480</v>
      </c>
      <c r="D10" s="111">
        <v>25860</v>
      </c>
      <c r="E10" s="111">
        <v>25860</v>
      </c>
      <c r="F10" s="111">
        <v>33170</v>
      </c>
      <c r="G10" s="111">
        <v>34480</v>
      </c>
      <c r="H10" s="111">
        <f t="shared" si="1"/>
        <v>182710</v>
      </c>
      <c r="I10" s="119">
        <v>34480</v>
      </c>
      <c r="J10" s="119">
        <v>0</v>
      </c>
      <c r="K10" s="119">
        <v>0</v>
      </c>
      <c r="L10" s="119">
        <v>0</v>
      </c>
      <c r="M10" s="119">
        <v>0</v>
      </c>
      <c r="N10" s="119">
        <v>21550</v>
      </c>
      <c r="O10" s="111">
        <f t="shared" si="3"/>
        <v>56030</v>
      </c>
      <c r="P10" s="111">
        <f t="shared" si="4"/>
        <v>238740</v>
      </c>
    </row>
    <row r="11" spans="1:16" ht="12" customHeight="1" x14ac:dyDescent="0.15">
      <c r="A11" s="48" t="s">
        <v>319</v>
      </c>
      <c r="B11" s="111">
        <v>9240</v>
      </c>
      <c r="C11" s="111">
        <v>9240</v>
      </c>
      <c r="D11" s="111">
        <v>30800</v>
      </c>
      <c r="E11" s="111">
        <v>21560</v>
      </c>
      <c r="F11" s="111">
        <v>9240</v>
      </c>
      <c r="G11" s="111">
        <v>21560</v>
      </c>
      <c r="H11" s="111">
        <f t="shared" si="1"/>
        <v>101640</v>
      </c>
      <c r="I11" s="119">
        <v>12320</v>
      </c>
      <c r="J11" s="119">
        <v>12320</v>
      </c>
      <c r="K11" s="119">
        <v>30800</v>
      </c>
      <c r="L11" s="119">
        <v>15400</v>
      </c>
      <c r="M11" s="119">
        <v>27720</v>
      </c>
      <c r="N11" s="119">
        <f>15400+38790+38790+25860+25860</f>
        <v>144700</v>
      </c>
      <c r="O11" s="111">
        <f t="shared" si="3"/>
        <v>243260</v>
      </c>
      <c r="P11" s="111">
        <f t="shared" si="4"/>
        <v>344900</v>
      </c>
    </row>
    <row r="12" spans="1:16" ht="12" customHeight="1" x14ac:dyDescent="0.15">
      <c r="A12" s="47" t="s">
        <v>95</v>
      </c>
      <c r="B12" s="115">
        <f>4279850-274800-7200+3873930-255700</f>
        <v>7616080</v>
      </c>
      <c r="C12" s="111">
        <f>8967370-4279850-304200-10200+8023030-3873930-276800</f>
        <v>8245420</v>
      </c>
      <c r="D12" s="111">
        <f>13344860-8967370-294700-1200+12399100-8023030-292100-500</f>
        <v>8165060</v>
      </c>
      <c r="E12" s="111">
        <f>18143020-13344860-323600-1800+16651420-12399100-275900-4200</f>
        <v>8444980</v>
      </c>
      <c r="F12" s="111">
        <f>22756480-18143020-310900+20396750-16651420-244100</f>
        <v>7803790</v>
      </c>
      <c r="G12" s="111">
        <f>27845130-22756480-332600-6600+24459990-20396750-258500-3600</f>
        <v>8550590</v>
      </c>
      <c r="H12" s="111">
        <f t="shared" si="1"/>
        <v>48825920</v>
      </c>
      <c r="I12" s="119">
        <f>33161550-27845130-354900+28581080-24459990-265300-600</f>
        <v>8816710</v>
      </c>
      <c r="J12" s="119">
        <f>38345370-33161550-349300+32324310-28581080-241600</f>
        <v>8336150</v>
      </c>
      <c r="K12" s="119">
        <f>42696530-38345370-294200+35614190-32324310-211200</f>
        <v>7135640</v>
      </c>
      <c r="L12" s="119">
        <f>46816890-42696530-269000-15600+38277630-35614190-171800</f>
        <v>6327400</v>
      </c>
      <c r="M12" s="119">
        <f>51110050-46816890-296000+41236320-38277630-188100</f>
        <v>6767750</v>
      </c>
      <c r="N12" s="119">
        <f>56291920-51110050-346300-5400+45091740-41236320-244900</f>
        <v>8440690</v>
      </c>
      <c r="O12" s="111">
        <f t="shared" si="3"/>
        <v>45824340</v>
      </c>
      <c r="P12" s="111">
        <f t="shared" si="4"/>
        <v>94650260</v>
      </c>
    </row>
    <row r="13" spans="1:16" ht="12" customHeight="1" x14ac:dyDescent="0.15">
      <c r="A13" s="21" t="s">
        <v>58</v>
      </c>
      <c r="B13" s="111">
        <f>274800+7200+255700</f>
        <v>537700</v>
      </c>
      <c r="C13" s="111">
        <f>304200+10200+276800</f>
        <v>591200</v>
      </c>
      <c r="D13" s="111">
        <f>294700+1200+292100+500</f>
        <v>588500</v>
      </c>
      <c r="E13" s="111">
        <f>323600+1800+275900+4200</f>
        <v>605500</v>
      </c>
      <c r="F13" s="111">
        <f>310900+244100</f>
        <v>555000</v>
      </c>
      <c r="G13" s="111">
        <f>332600+6600+258500+3600</f>
        <v>601300</v>
      </c>
      <c r="H13" s="111">
        <f t="shared" si="1"/>
        <v>3479200</v>
      </c>
      <c r="I13" s="119">
        <f>354900+265300+600</f>
        <v>620800</v>
      </c>
      <c r="J13" s="119">
        <f>349300+241600</f>
        <v>590900</v>
      </c>
      <c r="K13" s="119">
        <f>294200+211200</f>
        <v>505400</v>
      </c>
      <c r="L13" s="119">
        <f>269000+15600+171800</f>
        <v>456400</v>
      </c>
      <c r="M13" s="119">
        <f>296000+188100</f>
        <v>484100</v>
      </c>
      <c r="N13" s="119">
        <f>346300+5400+244900</f>
        <v>596600</v>
      </c>
      <c r="O13" s="111">
        <f t="shared" si="3"/>
        <v>3254200</v>
      </c>
      <c r="P13" s="111">
        <f t="shared" si="4"/>
        <v>6733400</v>
      </c>
    </row>
    <row r="14" spans="1:16" ht="12" customHeight="1" x14ac:dyDescent="0.15">
      <c r="A14" s="47" t="s">
        <v>96</v>
      </c>
      <c r="B14" s="111">
        <f>709420-70800+209370-21000</f>
        <v>826990</v>
      </c>
      <c r="C14" s="111">
        <f>1422280-709420-73800+461860-209370-27000</f>
        <v>864550</v>
      </c>
      <c r="D14" s="111">
        <f>2136340-1422280-75600+698050-461860-27000</f>
        <v>847650</v>
      </c>
      <c r="E14" s="111">
        <f>2870740-2136340-73800+971530-698050-28800</f>
        <v>905280</v>
      </c>
      <c r="F14" s="111">
        <f>3587780-2870740-61200+1202320-971530-23400</f>
        <v>863230</v>
      </c>
      <c r="G14" s="111">
        <v>812800</v>
      </c>
      <c r="H14" s="111">
        <f t="shared" si="1"/>
        <v>5120500</v>
      </c>
      <c r="I14" s="119">
        <f>5077870-4304610-82800+1590910-1395490-23400</f>
        <v>862480</v>
      </c>
      <c r="J14" s="119">
        <f>5794020-5077870-70800+1823950-1590910-23400</f>
        <v>854990</v>
      </c>
      <c r="K14" s="119">
        <f>6542410-5794020-75600+2087870-1823950-27000</f>
        <v>909710</v>
      </c>
      <c r="L14" s="119">
        <f>7236180-6542410-58800+2315660-2087870-18600</f>
        <v>844160</v>
      </c>
      <c r="M14" s="119">
        <f>8003290-7236180-72600-2400+2626640-2315660-28800</f>
        <v>974290</v>
      </c>
      <c r="N14" s="119">
        <f>8761450-8003290-82200+2942420-2626640-34200</f>
        <v>957540</v>
      </c>
      <c r="O14" s="111">
        <f t="shared" si="3"/>
        <v>5403170</v>
      </c>
      <c r="P14" s="111">
        <f t="shared" si="4"/>
        <v>10523670</v>
      </c>
    </row>
    <row r="15" spans="1:16" ht="12" customHeight="1" x14ac:dyDescent="0.15">
      <c r="A15" s="21" t="s">
        <v>59</v>
      </c>
      <c r="B15" s="111">
        <f>70800+21000</f>
        <v>91800</v>
      </c>
      <c r="C15" s="111">
        <f>73800+27000</f>
        <v>100800</v>
      </c>
      <c r="D15" s="111">
        <f>75600+27000</f>
        <v>102600</v>
      </c>
      <c r="E15" s="111">
        <f>73800+28800</f>
        <v>102600</v>
      </c>
      <c r="F15" s="111">
        <f>61200+23400</f>
        <v>84600</v>
      </c>
      <c r="G15" s="111">
        <v>97200</v>
      </c>
      <c r="H15" s="111">
        <f t="shared" si="1"/>
        <v>579600</v>
      </c>
      <c r="I15" s="119">
        <f>82800+23400</f>
        <v>106200</v>
      </c>
      <c r="J15" s="119">
        <f>70800+23400</f>
        <v>94200</v>
      </c>
      <c r="K15" s="119">
        <f>75600+27000</f>
        <v>102600</v>
      </c>
      <c r="L15" s="119">
        <f>58800+18600</f>
        <v>77400</v>
      </c>
      <c r="M15" s="119">
        <f>72600+2400+28800</f>
        <v>103800</v>
      </c>
      <c r="N15" s="119">
        <f>82200+34200</f>
        <v>116400</v>
      </c>
      <c r="O15" s="111">
        <f t="shared" si="3"/>
        <v>600600</v>
      </c>
      <c r="P15" s="111">
        <f t="shared" si="4"/>
        <v>1180200</v>
      </c>
    </row>
    <row r="16" spans="1:16" ht="12" customHeight="1" x14ac:dyDescent="0.15">
      <c r="A16" s="50" t="s">
        <v>120</v>
      </c>
      <c r="B16" s="111">
        <f>2529520-114600-2400</f>
        <v>2412520</v>
      </c>
      <c r="C16" s="111">
        <f>5176170-2529520-120600</f>
        <v>2526050</v>
      </c>
      <c r="D16" s="111">
        <f>7676170-5176170-113400</f>
        <v>2386600</v>
      </c>
      <c r="E16" s="111">
        <f>10550930-7676170-129600</f>
        <v>2745160</v>
      </c>
      <c r="F16" s="111">
        <f>13350690-10550930-126600</f>
        <v>2673160</v>
      </c>
      <c r="G16" s="111">
        <f>16019050-13350690-120000</f>
        <v>2548360</v>
      </c>
      <c r="H16" s="111">
        <f t="shared" si="1"/>
        <v>15291850</v>
      </c>
      <c r="I16" s="119">
        <f>18599560-16019050-117600</f>
        <v>2462910</v>
      </c>
      <c r="J16" s="119">
        <f>20781790-18599560-100200</f>
        <v>2082030</v>
      </c>
      <c r="K16" s="119">
        <f>22767030-20781790-91800</f>
        <v>1893440</v>
      </c>
      <c r="L16" s="119">
        <f>24578610-22767030-84000</f>
        <v>1727580</v>
      </c>
      <c r="M16" s="119">
        <f>26298590-24578610-79200</f>
        <v>1640780</v>
      </c>
      <c r="N16" s="119">
        <f>28717320-26298590-104400-4800</f>
        <v>2309530</v>
      </c>
      <c r="O16" s="111">
        <f t="shared" si="3"/>
        <v>12116270</v>
      </c>
      <c r="P16" s="111">
        <f t="shared" si="4"/>
        <v>27408120</v>
      </c>
    </row>
    <row r="17" spans="1:16" ht="12" customHeight="1" x14ac:dyDescent="0.15">
      <c r="A17" s="21" t="s">
        <v>59</v>
      </c>
      <c r="B17" s="111">
        <f>114600+2400</f>
        <v>117000</v>
      </c>
      <c r="C17" s="111">
        <v>120600</v>
      </c>
      <c r="D17" s="111">
        <f>113400</f>
        <v>113400</v>
      </c>
      <c r="E17" s="111">
        <v>129600</v>
      </c>
      <c r="F17" s="111">
        <v>126600</v>
      </c>
      <c r="G17" s="111">
        <v>120000</v>
      </c>
      <c r="H17" s="111">
        <f t="shared" si="1"/>
        <v>727200</v>
      </c>
      <c r="I17" s="119">
        <v>117600</v>
      </c>
      <c r="J17" s="119">
        <v>100200</v>
      </c>
      <c r="K17" s="119">
        <v>91800</v>
      </c>
      <c r="L17" s="119">
        <f>84000</f>
        <v>84000</v>
      </c>
      <c r="M17" s="119">
        <f>79200</f>
        <v>79200</v>
      </c>
      <c r="N17" s="119">
        <f>104400+4800</f>
        <v>109200</v>
      </c>
      <c r="O17" s="111">
        <f t="shared" si="3"/>
        <v>582000</v>
      </c>
      <c r="P17" s="111">
        <f t="shared" si="4"/>
        <v>1309200</v>
      </c>
    </row>
    <row r="18" spans="1:16" ht="12" customHeight="1" x14ac:dyDescent="0.15">
      <c r="A18" s="51" t="s">
        <v>245</v>
      </c>
      <c r="B18" s="111">
        <v>747690</v>
      </c>
      <c r="C18" s="111">
        <f>1546520-747690</f>
        <v>798830</v>
      </c>
      <c r="D18" s="111">
        <f>2325210-1546520</f>
        <v>778690</v>
      </c>
      <c r="E18" s="111">
        <f>3161110-2325210</f>
        <v>835900</v>
      </c>
      <c r="F18" s="111">
        <f>3948940-3161110</f>
        <v>787830</v>
      </c>
      <c r="G18" s="111">
        <f>G89-F89</f>
        <v>815690</v>
      </c>
      <c r="H18" s="111">
        <f t="shared" si="1"/>
        <v>4764630</v>
      </c>
      <c r="I18" s="111">
        <f>I89-G89</f>
        <v>825770</v>
      </c>
      <c r="J18" s="111">
        <f t="shared" ref="J18:N19" si="7">J89-I89</f>
        <v>757870</v>
      </c>
      <c r="K18" s="111">
        <f t="shared" si="7"/>
        <v>670180</v>
      </c>
      <c r="L18" s="111">
        <f t="shared" si="7"/>
        <v>601860</v>
      </c>
      <c r="M18" s="111">
        <f t="shared" si="7"/>
        <v>626550</v>
      </c>
      <c r="N18" s="111">
        <f t="shared" si="7"/>
        <v>791120</v>
      </c>
      <c r="O18" s="111">
        <f>SUM(I18:N18)</f>
        <v>4273350</v>
      </c>
      <c r="P18" s="111">
        <f t="shared" si="4"/>
        <v>9037980</v>
      </c>
    </row>
    <row r="19" spans="1:16" ht="12" customHeight="1" x14ac:dyDescent="0.15">
      <c r="A19" s="51" t="s">
        <v>366</v>
      </c>
      <c r="B19" s="111">
        <v>173210</v>
      </c>
      <c r="C19" s="111">
        <f>360580-173210</f>
        <v>187370</v>
      </c>
      <c r="D19" s="111">
        <f>542560-360580</f>
        <v>181980</v>
      </c>
      <c r="E19" s="111">
        <f>739680-542560</f>
        <v>197120</v>
      </c>
      <c r="F19" s="111">
        <f>926300-739680</f>
        <v>186620</v>
      </c>
      <c r="G19" s="111">
        <f>G90-F90</f>
        <v>191020</v>
      </c>
      <c r="H19" s="111">
        <f t="shared" si="1"/>
        <v>1117320</v>
      </c>
      <c r="I19" s="111">
        <f>I90-G90</f>
        <v>192230</v>
      </c>
      <c r="J19" s="111">
        <f t="shared" si="7"/>
        <v>174670</v>
      </c>
      <c r="K19" s="111">
        <f t="shared" si="7"/>
        <v>155020</v>
      </c>
      <c r="L19" s="111">
        <f t="shared" si="7"/>
        <v>139460</v>
      </c>
      <c r="M19" s="111">
        <f t="shared" si="7"/>
        <v>143600</v>
      </c>
      <c r="N19" s="111">
        <f t="shared" si="7"/>
        <v>183440</v>
      </c>
      <c r="O19" s="111">
        <f>SUM(I19:N19)</f>
        <v>988420</v>
      </c>
      <c r="P19" s="111">
        <f t="shared" si="4"/>
        <v>2105740</v>
      </c>
    </row>
    <row r="20" spans="1:16" ht="12" customHeight="1" x14ac:dyDescent="0.15">
      <c r="A20" s="51" t="s">
        <v>338</v>
      </c>
      <c r="B20" s="111">
        <f>222180-17400</f>
        <v>204780</v>
      </c>
      <c r="C20" s="111">
        <f>386200-222180</f>
        <v>164020</v>
      </c>
      <c r="D20" s="111">
        <f>600820-386200-31800</f>
        <v>182820</v>
      </c>
      <c r="E20" s="111">
        <f>816920-600820-24600</f>
        <v>191500</v>
      </c>
      <c r="F20" s="111">
        <f>994740-816920-13200</f>
        <v>164620</v>
      </c>
      <c r="G20" s="111">
        <f>1218180-994740-32400</f>
        <v>191040</v>
      </c>
      <c r="H20" s="111">
        <f t="shared" si="1"/>
        <v>1098780</v>
      </c>
      <c r="I20" s="119">
        <f>1458220-1218180-34200</f>
        <v>205840</v>
      </c>
      <c r="J20" s="119">
        <f>1673860-1458220-24000</f>
        <v>191640</v>
      </c>
      <c r="K20" s="119">
        <f>1903160-1673860-36600</f>
        <v>192700</v>
      </c>
      <c r="L20" s="119">
        <f>2087580-1903160-20400</f>
        <v>164020</v>
      </c>
      <c r="M20" s="119">
        <f>2255080-2087580-18000</f>
        <v>149500</v>
      </c>
      <c r="N20" s="119">
        <f>2449720-2255080-32400</f>
        <v>162240</v>
      </c>
      <c r="O20" s="111">
        <f>SUM(I20:N20)</f>
        <v>1065940</v>
      </c>
      <c r="P20" s="111">
        <f>H20+O20</f>
        <v>2164720</v>
      </c>
    </row>
    <row r="21" spans="1:16" ht="12" customHeight="1" x14ac:dyDescent="0.15">
      <c r="A21" s="21" t="s">
        <v>59</v>
      </c>
      <c r="B21" s="111">
        <v>17400</v>
      </c>
      <c r="C21" s="111">
        <v>0</v>
      </c>
      <c r="D21" s="111">
        <f>31800</f>
        <v>31800</v>
      </c>
      <c r="E21" s="111">
        <v>24600</v>
      </c>
      <c r="F21" s="111">
        <v>13200</v>
      </c>
      <c r="G21" s="111">
        <v>32400</v>
      </c>
      <c r="H21" s="111">
        <f t="shared" si="1"/>
        <v>119400</v>
      </c>
      <c r="I21" s="119">
        <v>34200</v>
      </c>
      <c r="J21" s="119">
        <v>24000</v>
      </c>
      <c r="K21" s="119">
        <v>36600</v>
      </c>
      <c r="L21" s="119">
        <f>20400</f>
        <v>20400</v>
      </c>
      <c r="M21" s="119">
        <f>18000</f>
        <v>18000</v>
      </c>
      <c r="N21" s="119">
        <f>32400</f>
        <v>32400</v>
      </c>
      <c r="O21" s="111">
        <f>SUM(I21:N21)</f>
        <v>165600</v>
      </c>
      <c r="P21" s="111">
        <f>H21+O21</f>
        <v>285000</v>
      </c>
    </row>
    <row r="22" spans="1:16" ht="12" customHeight="1" x14ac:dyDescent="0.15">
      <c r="A22" s="47" t="s">
        <v>119</v>
      </c>
      <c r="B22" s="111">
        <v>50400</v>
      </c>
      <c r="C22" s="111">
        <v>0</v>
      </c>
      <c r="D22" s="111">
        <f>133200-50400</f>
        <v>82800</v>
      </c>
      <c r="E22" s="111">
        <f>218400-133200</f>
        <v>85200</v>
      </c>
      <c r="F22" s="111">
        <f>270000-218400</f>
        <v>51600</v>
      </c>
      <c r="G22" s="111">
        <f t="shared" ref="G22:G29" si="8">G93-F93</f>
        <v>103200</v>
      </c>
      <c r="H22" s="111">
        <f t="shared" si="1"/>
        <v>373200</v>
      </c>
      <c r="I22" s="111">
        <f t="shared" ref="I22:I29" si="9">I93-G93</f>
        <v>122400</v>
      </c>
      <c r="J22" s="111">
        <f>J93-I93</f>
        <v>98400</v>
      </c>
      <c r="K22" s="111">
        <f>K93-J93</f>
        <v>94200</v>
      </c>
      <c r="L22" s="111">
        <f>L93-K93</f>
        <v>70200</v>
      </c>
      <c r="M22" s="111">
        <f>M93-L93</f>
        <v>84600</v>
      </c>
      <c r="N22" s="111">
        <f>N93-M93</f>
        <v>98400</v>
      </c>
      <c r="O22" s="111">
        <f t="shared" si="3"/>
        <v>568200</v>
      </c>
      <c r="P22" s="111">
        <f t="shared" si="4"/>
        <v>941400</v>
      </c>
    </row>
    <row r="23" spans="1:16" ht="12" customHeight="1" x14ac:dyDescent="0.15">
      <c r="A23" s="47" t="s">
        <v>97</v>
      </c>
      <c r="B23" s="111">
        <v>12400</v>
      </c>
      <c r="C23" s="111">
        <f>24900-12400</f>
        <v>12500</v>
      </c>
      <c r="D23" s="111">
        <f>31100-24900</f>
        <v>6200</v>
      </c>
      <c r="E23" s="111">
        <f>44000-31100</f>
        <v>12900</v>
      </c>
      <c r="F23" s="111">
        <f>69450-44000</f>
        <v>25450</v>
      </c>
      <c r="G23" s="111">
        <f t="shared" si="8"/>
        <v>9900</v>
      </c>
      <c r="H23" s="111">
        <f t="shared" si="1"/>
        <v>79350</v>
      </c>
      <c r="I23" s="111">
        <f t="shared" si="9"/>
        <v>13200</v>
      </c>
      <c r="J23" s="111">
        <f t="shared" ref="J23:L29" si="10">J94-I94</f>
        <v>9700</v>
      </c>
      <c r="K23" s="111">
        <f t="shared" si="10"/>
        <v>26500</v>
      </c>
      <c r="L23" s="111">
        <f t="shared" si="10"/>
        <v>11800</v>
      </c>
      <c r="M23" s="111">
        <f t="shared" ref="M23:N29" si="11">M94-L94</f>
        <v>17200</v>
      </c>
      <c r="N23" s="111">
        <f t="shared" si="11"/>
        <v>16800</v>
      </c>
      <c r="O23" s="111">
        <f t="shared" si="3"/>
        <v>95200</v>
      </c>
      <c r="P23" s="111">
        <f t="shared" si="4"/>
        <v>174550</v>
      </c>
    </row>
    <row r="24" spans="1:16" ht="12" customHeight="1" x14ac:dyDescent="0.15">
      <c r="A24" s="47" t="s">
        <v>98</v>
      </c>
      <c r="B24" s="111">
        <v>35200</v>
      </c>
      <c r="C24" s="111">
        <f>69550-35200</f>
        <v>34350</v>
      </c>
      <c r="D24" s="111">
        <f>114000-69550</f>
        <v>44450</v>
      </c>
      <c r="E24" s="111">
        <f>193450-114000</f>
        <v>79450</v>
      </c>
      <c r="F24" s="111">
        <f>233100-193450</f>
        <v>39650</v>
      </c>
      <c r="G24" s="111">
        <f t="shared" si="8"/>
        <v>34450</v>
      </c>
      <c r="H24" s="111">
        <f t="shared" si="1"/>
        <v>267550</v>
      </c>
      <c r="I24" s="111">
        <f t="shared" si="9"/>
        <v>57400</v>
      </c>
      <c r="J24" s="111">
        <f t="shared" si="10"/>
        <v>52100</v>
      </c>
      <c r="K24" s="111">
        <f t="shared" si="10"/>
        <v>40950</v>
      </c>
      <c r="L24" s="111">
        <f t="shared" si="10"/>
        <v>36100</v>
      </c>
      <c r="M24" s="111">
        <f t="shared" si="11"/>
        <v>45850</v>
      </c>
      <c r="N24" s="111">
        <f t="shared" si="11"/>
        <v>49500</v>
      </c>
      <c r="O24" s="111">
        <f t="shared" si="3"/>
        <v>281900</v>
      </c>
      <c r="P24" s="111">
        <f t="shared" si="4"/>
        <v>549450</v>
      </c>
    </row>
    <row r="25" spans="1:16" ht="12" customHeight="1" x14ac:dyDescent="0.15">
      <c r="A25" s="47" t="s">
        <v>249</v>
      </c>
      <c r="B25" s="111">
        <v>41700</v>
      </c>
      <c r="C25" s="111">
        <f>84200-41700</f>
        <v>42500</v>
      </c>
      <c r="D25" s="111">
        <f>155400-84200</f>
        <v>71200</v>
      </c>
      <c r="E25" s="111">
        <f>219200-155400</f>
        <v>63800</v>
      </c>
      <c r="F25" s="111">
        <f>265500-219200</f>
        <v>46300</v>
      </c>
      <c r="G25" s="111">
        <f t="shared" si="8"/>
        <v>54800</v>
      </c>
      <c r="H25" s="111">
        <f t="shared" si="1"/>
        <v>320300</v>
      </c>
      <c r="I25" s="111">
        <f t="shared" si="9"/>
        <v>58800</v>
      </c>
      <c r="J25" s="111">
        <f t="shared" si="10"/>
        <v>52400</v>
      </c>
      <c r="K25" s="111">
        <f t="shared" si="10"/>
        <v>54100</v>
      </c>
      <c r="L25" s="111">
        <f t="shared" si="10"/>
        <v>40500</v>
      </c>
      <c r="M25" s="111">
        <f t="shared" si="11"/>
        <v>48000</v>
      </c>
      <c r="N25" s="111">
        <f t="shared" si="11"/>
        <v>55900</v>
      </c>
      <c r="O25" s="111">
        <f t="shared" si="3"/>
        <v>309700</v>
      </c>
      <c r="P25" s="111">
        <f t="shared" si="4"/>
        <v>630000</v>
      </c>
    </row>
    <row r="26" spans="1:16" ht="12" customHeight="1" x14ac:dyDescent="0.15">
      <c r="A26" s="47" t="s">
        <v>320</v>
      </c>
      <c r="B26" s="111">
        <v>67100</v>
      </c>
      <c r="C26" s="111">
        <f>82700-67100</f>
        <v>15600</v>
      </c>
      <c r="D26" s="111">
        <f>120400-82700</f>
        <v>37700</v>
      </c>
      <c r="E26" s="111">
        <f>161200-120400</f>
        <v>40800</v>
      </c>
      <c r="F26" s="111">
        <f>268400-161200</f>
        <v>107200</v>
      </c>
      <c r="G26" s="111">
        <f t="shared" si="8"/>
        <v>45000</v>
      </c>
      <c r="H26" s="111">
        <f t="shared" si="1"/>
        <v>313400</v>
      </c>
      <c r="I26" s="111">
        <f t="shared" si="9"/>
        <v>52300</v>
      </c>
      <c r="J26" s="111">
        <f t="shared" si="10"/>
        <v>45300</v>
      </c>
      <c r="K26" s="111">
        <f t="shared" si="10"/>
        <v>64800</v>
      </c>
      <c r="L26" s="111">
        <f t="shared" si="10"/>
        <v>47800</v>
      </c>
      <c r="M26" s="111">
        <f t="shared" si="11"/>
        <v>38800</v>
      </c>
      <c r="N26" s="111">
        <f t="shared" si="11"/>
        <v>78200</v>
      </c>
      <c r="O26" s="111">
        <f t="shared" si="3"/>
        <v>327200</v>
      </c>
      <c r="P26" s="111">
        <f t="shared" si="4"/>
        <v>640600</v>
      </c>
    </row>
    <row r="27" spans="1:16" ht="12" customHeight="1" x14ac:dyDescent="0.15">
      <c r="A27" s="47" t="s">
        <v>303</v>
      </c>
      <c r="B27" s="111">
        <v>4000</v>
      </c>
      <c r="C27" s="111">
        <v>0</v>
      </c>
      <c r="D27" s="111">
        <v>0</v>
      </c>
      <c r="E27" s="111">
        <v>0</v>
      </c>
      <c r="F27" s="111">
        <f>11900-4000</f>
        <v>7900</v>
      </c>
      <c r="G27" s="111">
        <f t="shared" si="8"/>
        <v>0</v>
      </c>
      <c r="H27" s="111">
        <f t="shared" si="1"/>
        <v>11900</v>
      </c>
      <c r="I27" s="111">
        <f t="shared" si="9"/>
        <v>0</v>
      </c>
      <c r="J27" s="111">
        <f t="shared" si="10"/>
        <v>0</v>
      </c>
      <c r="K27" s="111">
        <f t="shared" si="10"/>
        <v>300</v>
      </c>
      <c r="L27" s="111">
        <f t="shared" si="10"/>
        <v>1100</v>
      </c>
      <c r="M27" s="111">
        <f t="shared" si="11"/>
        <v>0</v>
      </c>
      <c r="N27" s="111">
        <f t="shared" si="11"/>
        <v>1200</v>
      </c>
      <c r="O27" s="111">
        <f t="shared" si="3"/>
        <v>2600</v>
      </c>
      <c r="P27" s="111">
        <f t="shared" si="4"/>
        <v>14500</v>
      </c>
    </row>
    <row r="28" spans="1:16" ht="12" customHeight="1" x14ac:dyDescent="0.15">
      <c r="A28" s="47" t="s">
        <v>251</v>
      </c>
      <c r="B28" s="111">
        <v>1400</v>
      </c>
      <c r="C28" s="111">
        <v>0</v>
      </c>
      <c r="D28" s="111">
        <f>1700-1400</f>
        <v>300</v>
      </c>
      <c r="E28" s="111">
        <v>0</v>
      </c>
      <c r="F28" s="111">
        <f>2000-1700</f>
        <v>300</v>
      </c>
      <c r="G28" s="111">
        <f t="shared" si="8"/>
        <v>3500</v>
      </c>
      <c r="H28" s="111">
        <f t="shared" si="1"/>
        <v>5500</v>
      </c>
      <c r="I28" s="111">
        <f t="shared" si="9"/>
        <v>1200</v>
      </c>
      <c r="J28" s="111">
        <f t="shared" si="10"/>
        <v>300</v>
      </c>
      <c r="K28" s="111">
        <f t="shared" si="10"/>
        <v>300</v>
      </c>
      <c r="L28" s="111">
        <f t="shared" si="10"/>
        <v>900</v>
      </c>
      <c r="M28" s="111">
        <f t="shared" si="11"/>
        <v>1500</v>
      </c>
      <c r="N28" s="111">
        <f t="shared" si="11"/>
        <v>3200</v>
      </c>
      <c r="O28" s="111">
        <f>SUM(I28:N28)</f>
        <v>7400</v>
      </c>
      <c r="P28" s="111">
        <f>H28+O28</f>
        <v>12900</v>
      </c>
    </row>
    <row r="29" spans="1:16" ht="12" customHeight="1" x14ac:dyDescent="0.15">
      <c r="A29" s="21" t="s">
        <v>99</v>
      </c>
      <c r="B29" s="111">
        <v>1010000</v>
      </c>
      <c r="C29" s="111">
        <f>2020000-1010000</f>
        <v>1010000</v>
      </c>
      <c r="D29" s="111">
        <f>3030000-2020000</f>
        <v>1010000</v>
      </c>
      <c r="E29" s="111">
        <f>4141750-3030000</f>
        <v>1111750</v>
      </c>
      <c r="F29" s="111">
        <f>5151750-4141750</f>
        <v>1010000</v>
      </c>
      <c r="G29" s="111">
        <f t="shared" si="8"/>
        <v>1111750</v>
      </c>
      <c r="H29" s="111">
        <f t="shared" si="1"/>
        <v>6263500</v>
      </c>
      <c r="I29" s="111">
        <f t="shared" si="9"/>
        <v>1010000</v>
      </c>
      <c r="J29" s="111">
        <f t="shared" si="10"/>
        <v>1010000</v>
      </c>
      <c r="K29" s="111">
        <f t="shared" si="10"/>
        <v>1111750</v>
      </c>
      <c r="L29" s="111">
        <f t="shared" si="10"/>
        <v>1010000</v>
      </c>
      <c r="M29" s="111">
        <f t="shared" si="11"/>
        <v>1010000</v>
      </c>
      <c r="N29" s="111">
        <f t="shared" si="11"/>
        <v>1114750</v>
      </c>
      <c r="O29" s="111">
        <f t="shared" si="3"/>
        <v>6266500</v>
      </c>
      <c r="P29" s="111">
        <f t="shared" si="4"/>
        <v>12530000</v>
      </c>
    </row>
    <row r="30" spans="1:16" ht="12" customHeight="1" x14ac:dyDescent="0.15">
      <c r="A30" s="24" t="s">
        <v>11</v>
      </c>
      <c r="B30" s="114">
        <v>0</v>
      </c>
      <c r="C30" s="114">
        <v>360000</v>
      </c>
      <c r="D30" s="114">
        <f>390000-360000</f>
        <v>30000</v>
      </c>
      <c r="E30" s="114">
        <f>420000-390000</f>
        <v>30000</v>
      </c>
      <c r="F30" s="114">
        <f>450000-420000</f>
        <v>30000</v>
      </c>
      <c r="G30" s="114">
        <f>G102-F102</f>
        <v>0</v>
      </c>
      <c r="H30" s="114">
        <f t="shared" si="1"/>
        <v>450000</v>
      </c>
      <c r="I30" s="114">
        <f>I102-G102</f>
        <v>10000</v>
      </c>
      <c r="J30" s="114">
        <f t="shared" ref="J30:N32" si="12">J102-I102</f>
        <v>10000</v>
      </c>
      <c r="K30" s="114">
        <f t="shared" si="12"/>
        <v>50000</v>
      </c>
      <c r="L30" s="114">
        <f t="shared" si="12"/>
        <v>0</v>
      </c>
      <c r="M30" s="114">
        <f t="shared" si="12"/>
        <v>0</v>
      </c>
      <c r="N30" s="114">
        <f t="shared" si="12"/>
        <v>40000</v>
      </c>
      <c r="O30" s="114">
        <f t="shared" si="3"/>
        <v>110000</v>
      </c>
      <c r="P30" s="114">
        <f t="shared" si="4"/>
        <v>560000</v>
      </c>
    </row>
    <row r="31" spans="1:16" ht="12" customHeight="1" x14ac:dyDescent="0.15">
      <c r="A31" s="24" t="s">
        <v>246</v>
      </c>
      <c r="B31" s="114">
        <v>0</v>
      </c>
      <c r="C31" s="114">
        <v>0</v>
      </c>
      <c r="D31" s="114">
        <v>0</v>
      </c>
      <c r="E31" s="114">
        <v>0</v>
      </c>
      <c r="F31" s="114">
        <v>0</v>
      </c>
      <c r="G31" s="114">
        <f>G103-F103</f>
        <v>3107000</v>
      </c>
      <c r="H31" s="114">
        <f t="shared" si="1"/>
        <v>3107000</v>
      </c>
      <c r="I31" s="114">
        <f>I103-G103</f>
        <v>500000</v>
      </c>
      <c r="J31" s="114">
        <f t="shared" si="12"/>
        <v>0</v>
      </c>
      <c r="K31" s="114">
        <f t="shared" si="12"/>
        <v>0</v>
      </c>
      <c r="L31" s="114">
        <f t="shared" si="12"/>
        <v>485000</v>
      </c>
      <c r="M31" s="114">
        <f t="shared" si="12"/>
        <v>484968</v>
      </c>
      <c r="N31" s="114">
        <f t="shared" si="12"/>
        <v>272000</v>
      </c>
      <c r="O31" s="114">
        <f t="shared" si="3"/>
        <v>1741968</v>
      </c>
      <c r="P31" s="114">
        <f t="shared" si="4"/>
        <v>4848968</v>
      </c>
    </row>
    <row r="32" spans="1:16" ht="12" customHeight="1" x14ac:dyDescent="0.15">
      <c r="A32" s="24" t="s">
        <v>12</v>
      </c>
      <c r="B32" s="114">
        <v>43712</v>
      </c>
      <c r="C32" s="114">
        <f>88307-43712</f>
        <v>44595</v>
      </c>
      <c r="D32" s="114">
        <f>143659-88307</f>
        <v>55352</v>
      </c>
      <c r="E32" s="114">
        <f>195968-143659</f>
        <v>52309</v>
      </c>
      <c r="F32" s="114">
        <f>238112-195968</f>
        <v>42144</v>
      </c>
      <c r="G32" s="114">
        <f>G104-F104</f>
        <v>64475</v>
      </c>
      <c r="H32" s="114">
        <f t="shared" si="1"/>
        <v>302587</v>
      </c>
      <c r="I32" s="114">
        <f>I104-G104</f>
        <v>90653</v>
      </c>
      <c r="J32" s="114">
        <f t="shared" si="12"/>
        <v>378373</v>
      </c>
      <c r="K32" s="114">
        <f t="shared" si="12"/>
        <v>80255</v>
      </c>
      <c r="L32" s="114">
        <f t="shared" si="12"/>
        <v>127477</v>
      </c>
      <c r="M32" s="114">
        <f t="shared" si="12"/>
        <v>41565</v>
      </c>
      <c r="N32" s="114">
        <f t="shared" si="12"/>
        <v>46370</v>
      </c>
      <c r="O32" s="114">
        <f t="shared" si="3"/>
        <v>764693</v>
      </c>
      <c r="P32" s="114">
        <f t="shared" si="4"/>
        <v>1067280</v>
      </c>
    </row>
    <row r="33" spans="1:16" ht="12" customHeight="1" x14ac:dyDescent="0.15">
      <c r="A33" s="2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>
        <f t="shared" si="3"/>
        <v>0</v>
      </c>
      <c r="P33" s="114">
        <f t="shared" si="4"/>
        <v>0</v>
      </c>
    </row>
    <row r="34" spans="1:16" ht="12" customHeight="1" x14ac:dyDescent="0.15">
      <c r="A34" s="52" t="s">
        <v>13</v>
      </c>
      <c r="B34" s="114">
        <f t="shared" ref="B34:N34" si="13">B4+B8+B30+B31+B32</f>
        <v>16825832</v>
      </c>
      <c r="C34" s="114">
        <f t="shared" si="13"/>
        <v>18033315</v>
      </c>
      <c r="D34" s="114">
        <f t="shared" si="13"/>
        <v>17626162</v>
      </c>
      <c r="E34" s="114">
        <f t="shared" si="13"/>
        <v>18659869</v>
      </c>
      <c r="F34" s="114">
        <f t="shared" si="13"/>
        <v>17593304</v>
      </c>
      <c r="G34" s="114">
        <f t="shared" si="13"/>
        <v>21568275</v>
      </c>
      <c r="H34" s="114">
        <f t="shared" si="1"/>
        <v>110306757</v>
      </c>
      <c r="I34" s="114">
        <f>I4+I8+I30+I31+I32</f>
        <v>19212003</v>
      </c>
      <c r="J34" s="114">
        <f t="shared" si="13"/>
        <v>17728103</v>
      </c>
      <c r="K34" s="114">
        <f t="shared" si="13"/>
        <v>16049845</v>
      </c>
      <c r="L34" s="114">
        <f t="shared" si="13"/>
        <v>15065097</v>
      </c>
      <c r="M34" s="114">
        <f t="shared" si="13"/>
        <v>15489223</v>
      </c>
      <c r="N34" s="114">
        <f t="shared" si="13"/>
        <v>18601300</v>
      </c>
      <c r="O34" s="114">
        <f t="shared" si="3"/>
        <v>102145571</v>
      </c>
      <c r="P34" s="114">
        <f t="shared" si="4"/>
        <v>212452328</v>
      </c>
    </row>
    <row r="35" spans="1:16" ht="12" customHeight="1" x14ac:dyDescent="0.15">
      <c r="A35" s="23" t="s">
        <v>124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16" ht="12" customHeight="1" x14ac:dyDescent="0.15">
      <c r="A36" s="6" t="s">
        <v>15</v>
      </c>
      <c r="B36" s="111"/>
      <c r="C36" s="111"/>
      <c r="D36" s="111"/>
      <c r="E36" s="111"/>
      <c r="F36" s="111" t="s">
        <v>304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  <row r="37" spans="1:16" ht="12" customHeight="1" x14ac:dyDescent="0.15">
      <c r="A37" s="23" t="s">
        <v>16</v>
      </c>
      <c r="B37" s="114">
        <f t="shared" ref="B37:N37" si="14">SUM(B38:B42)</f>
        <v>12529324</v>
      </c>
      <c r="C37" s="114">
        <f t="shared" si="14"/>
        <v>11540410</v>
      </c>
      <c r="D37" s="114">
        <f t="shared" si="14"/>
        <v>11917572</v>
      </c>
      <c r="E37" s="114">
        <f t="shared" si="14"/>
        <v>19500367</v>
      </c>
      <c r="F37" s="114">
        <f t="shared" si="14"/>
        <v>13320820</v>
      </c>
      <c r="G37" s="114">
        <f t="shared" si="14"/>
        <v>12050202</v>
      </c>
      <c r="H37" s="114">
        <f t="shared" ref="H37:H74" si="15">SUM(B37:G37)</f>
        <v>80858695</v>
      </c>
      <c r="I37" s="114">
        <f>SUM(I38:I42)</f>
        <v>12113910</v>
      </c>
      <c r="J37" s="114">
        <f t="shared" si="14"/>
        <v>20675894</v>
      </c>
      <c r="K37" s="114">
        <f t="shared" si="14"/>
        <v>11664515</v>
      </c>
      <c r="L37" s="114">
        <f t="shared" si="14"/>
        <v>11492751</v>
      </c>
      <c r="M37" s="114">
        <f t="shared" si="14"/>
        <v>12639583</v>
      </c>
      <c r="N37" s="114">
        <f t="shared" si="14"/>
        <v>11424617</v>
      </c>
      <c r="O37" s="114">
        <f t="shared" si="3"/>
        <v>80011270</v>
      </c>
      <c r="P37" s="114">
        <f t="shared" si="4"/>
        <v>160869965</v>
      </c>
    </row>
    <row r="38" spans="1:16" ht="12" customHeight="1" x14ac:dyDescent="0.15">
      <c r="A38" s="6" t="s">
        <v>100</v>
      </c>
      <c r="B38" s="111">
        <v>370000</v>
      </c>
      <c r="C38" s="111">
        <f>740000-370000</f>
        <v>370000</v>
      </c>
      <c r="D38" s="111">
        <f>1110000-740000</f>
        <v>370000</v>
      </c>
      <c r="E38" s="111">
        <f>1480000-1110000</f>
        <v>370000</v>
      </c>
      <c r="F38" s="111">
        <f>1850000-1480000</f>
        <v>370000</v>
      </c>
      <c r="G38" s="111">
        <f>G107-F107</f>
        <v>370000</v>
      </c>
      <c r="H38" s="111">
        <f t="shared" si="15"/>
        <v>2220000</v>
      </c>
      <c r="I38" s="111">
        <f>I107-G107</f>
        <v>370000</v>
      </c>
      <c r="J38" s="111">
        <f t="shared" ref="J38:N42" si="16">J107-I107</f>
        <v>370000</v>
      </c>
      <c r="K38" s="111">
        <f t="shared" si="16"/>
        <v>370000</v>
      </c>
      <c r="L38" s="111">
        <f t="shared" si="16"/>
        <v>370000</v>
      </c>
      <c r="M38" s="111">
        <f t="shared" si="16"/>
        <v>370000</v>
      </c>
      <c r="N38" s="111">
        <f t="shared" si="16"/>
        <v>370000</v>
      </c>
      <c r="O38" s="111">
        <f t="shared" si="3"/>
        <v>2220000</v>
      </c>
      <c r="P38" s="111">
        <f t="shared" si="4"/>
        <v>4440000</v>
      </c>
    </row>
    <row r="39" spans="1:16" ht="12" customHeight="1" x14ac:dyDescent="0.15">
      <c r="A39" s="6" t="s">
        <v>101</v>
      </c>
      <c r="B39" s="111">
        <v>9862124</v>
      </c>
      <c r="C39" s="111">
        <f>18968056-9862124</f>
        <v>9105932</v>
      </c>
      <c r="D39" s="111">
        <f>28199274-18968056</f>
        <v>9231218</v>
      </c>
      <c r="E39" s="111">
        <f>44906692-28199274-7436400</f>
        <v>9271018</v>
      </c>
      <c r="F39" s="111">
        <f>54715537-44906692</f>
        <v>9808845</v>
      </c>
      <c r="G39" s="111">
        <f>G108-F108</f>
        <v>9294546</v>
      </c>
      <c r="H39" s="111">
        <f t="shared" si="15"/>
        <v>56573683</v>
      </c>
      <c r="I39" s="111">
        <f>I108-G108</f>
        <v>9290453</v>
      </c>
      <c r="J39" s="111">
        <f t="shared" si="16"/>
        <v>9193015</v>
      </c>
      <c r="K39" s="111">
        <f>K108-J108-K111</f>
        <v>8954758</v>
      </c>
      <c r="L39" s="111">
        <f>L108-K108</f>
        <v>8677608</v>
      </c>
      <c r="M39" s="111">
        <f>M108-L108</f>
        <v>8951041</v>
      </c>
      <c r="N39" s="111">
        <f>N108-M108</f>
        <v>8770858</v>
      </c>
      <c r="O39" s="111">
        <f t="shared" si="3"/>
        <v>53837733</v>
      </c>
      <c r="P39" s="111">
        <f t="shared" si="4"/>
        <v>110411416</v>
      </c>
    </row>
    <row r="40" spans="1:16" ht="12" customHeight="1" x14ac:dyDescent="0.15">
      <c r="A40" s="6" t="s">
        <v>102</v>
      </c>
      <c r="B40" s="111">
        <v>1247460</v>
      </c>
      <c r="C40" s="111">
        <f>2263460-1247460</f>
        <v>1016000</v>
      </c>
      <c r="D40" s="111">
        <f>3462960-2263460</f>
        <v>1199500</v>
      </c>
      <c r="E40" s="111">
        <f>4752960-3462960</f>
        <v>1290000</v>
      </c>
      <c r="F40" s="111">
        <f>5931410-4752960</f>
        <v>1178450</v>
      </c>
      <c r="G40" s="111">
        <f>G109-F109</f>
        <v>1361350</v>
      </c>
      <c r="H40" s="111">
        <f t="shared" si="15"/>
        <v>7292760</v>
      </c>
      <c r="I40" s="111">
        <f>I109-G109</f>
        <v>1253900</v>
      </c>
      <c r="J40" s="111">
        <f t="shared" si="16"/>
        <v>1324500</v>
      </c>
      <c r="K40" s="111">
        <f t="shared" si="16"/>
        <v>1255700</v>
      </c>
      <c r="L40" s="111">
        <f t="shared" si="16"/>
        <v>1205400</v>
      </c>
      <c r="M40" s="111">
        <f t="shared" si="16"/>
        <v>1300450</v>
      </c>
      <c r="N40" s="111">
        <f t="shared" si="16"/>
        <v>1229350</v>
      </c>
      <c r="O40" s="111">
        <f t="shared" si="3"/>
        <v>7569300</v>
      </c>
      <c r="P40" s="111">
        <f t="shared" si="4"/>
        <v>14862060</v>
      </c>
    </row>
    <row r="41" spans="1:16" ht="12" customHeight="1" x14ac:dyDescent="0.15">
      <c r="A41" s="6" t="s">
        <v>19</v>
      </c>
      <c r="B41" s="111">
        <v>1049740</v>
      </c>
      <c r="C41" s="111">
        <f>2098218-1049740</f>
        <v>1048478</v>
      </c>
      <c r="D41" s="111">
        <f>3215072-2098218</f>
        <v>1116854</v>
      </c>
      <c r="E41" s="111">
        <f>4348021-3215072</f>
        <v>1132949</v>
      </c>
      <c r="F41" s="111">
        <f>6311546-4348021</f>
        <v>1963525</v>
      </c>
      <c r="G41" s="111">
        <f>G110-F110</f>
        <v>1024306</v>
      </c>
      <c r="H41" s="111">
        <f t="shared" si="15"/>
        <v>7335852</v>
      </c>
      <c r="I41" s="111">
        <f>I110-G110</f>
        <v>1199557</v>
      </c>
      <c r="J41" s="111">
        <f t="shared" si="16"/>
        <v>1132779</v>
      </c>
      <c r="K41" s="111">
        <f t="shared" si="16"/>
        <v>1084057</v>
      </c>
      <c r="L41" s="111">
        <f t="shared" si="16"/>
        <v>1239743</v>
      </c>
      <c r="M41" s="111">
        <f t="shared" si="16"/>
        <v>2018092</v>
      </c>
      <c r="N41" s="111">
        <f t="shared" si="16"/>
        <v>1054409</v>
      </c>
      <c r="O41" s="111">
        <f t="shared" si="3"/>
        <v>7728637</v>
      </c>
      <c r="P41" s="111">
        <f t="shared" si="4"/>
        <v>15064489</v>
      </c>
    </row>
    <row r="42" spans="1:16" ht="12" customHeight="1" x14ac:dyDescent="0.15">
      <c r="A42" s="6" t="s">
        <v>117</v>
      </c>
      <c r="B42" s="111">
        <v>0</v>
      </c>
      <c r="C42" s="111">
        <v>0</v>
      </c>
      <c r="D42" s="111">
        <v>0</v>
      </c>
      <c r="E42" s="111">
        <v>7436400</v>
      </c>
      <c r="F42" s="111">
        <v>0</v>
      </c>
      <c r="G42" s="111">
        <f>G111-F111</f>
        <v>0</v>
      </c>
      <c r="H42" s="111">
        <f t="shared" si="15"/>
        <v>7436400</v>
      </c>
      <c r="I42" s="111">
        <f>I111-H111</f>
        <v>0</v>
      </c>
      <c r="J42" s="111">
        <f t="shared" si="16"/>
        <v>8655600</v>
      </c>
      <c r="K42" s="111">
        <f t="shared" si="16"/>
        <v>0</v>
      </c>
      <c r="L42" s="111">
        <f t="shared" si="16"/>
        <v>0</v>
      </c>
      <c r="M42" s="111">
        <f t="shared" si="16"/>
        <v>0</v>
      </c>
      <c r="N42" s="111">
        <f t="shared" si="16"/>
        <v>0</v>
      </c>
      <c r="O42" s="111">
        <f t="shared" si="3"/>
        <v>8655600</v>
      </c>
      <c r="P42" s="111">
        <f t="shared" si="4"/>
        <v>16092000</v>
      </c>
    </row>
    <row r="43" spans="1:16" ht="12" customHeight="1" x14ac:dyDescent="0.15">
      <c r="A43" s="23" t="s">
        <v>20</v>
      </c>
      <c r="B43" s="114">
        <f>SUM(B44:B68)</f>
        <v>3034652</v>
      </c>
      <c r="C43" s="114">
        <f t="shared" ref="C43:N43" si="17">SUM(C44:C68)</f>
        <v>3151872</v>
      </c>
      <c r="D43" s="114">
        <f t="shared" si="17"/>
        <v>3852529</v>
      </c>
      <c r="E43" s="114">
        <f t="shared" si="17"/>
        <v>3081382</v>
      </c>
      <c r="F43" s="114">
        <f t="shared" si="17"/>
        <v>3438534</v>
      </c>
      <c r="G43" s="114">
        <f t="shared" si="17"/>
        <v>6626029</v>
      </c>
      <c r="H43" s="114">
        <f t="shared" si="15"/>
        <v>23184998</v>
      </c>
      <c r="I43" s="114">
        <f>SUM(I44:I68)</f>
        <v>4057859</v>
      </c>
      <c r="J43" s="114">
        <f t="shared" si="17"/>
        <v>4243808</v>
      </c>
      <c r="K43" s="114">
        <f t="shared" si="17"/>
        <v>4202916</v>
      </c>
      <c r="L43" s="114">
        <f t="shared" si="17"/>
        <v>3831666</v>
      </c>
      <c r="M43" s="114">
        <f t="shared" si="17"/>
        <v>3255002</v>
      </c>
      <c r="N43" s="114">
        <f t="shared" si="17"/>
        <v>6615369</v>
      </c>
      <c r="O43" s="114">
        <f t="shared" si="3"/>
        <v>26206620</v>
      </c>
      <c r="P43" s="114">
        <f t="shared" si="4"/>
        <v>49391618</v>
      </c>
    </row>
    <row r="44" spans="1:16" ht="12" customHeight="1" x14ac:dyDescent="0.15">
      <c r="A44" s="6" t="s">
        <v>21</v>
      </c>
      <c r="B44" s="111">
        <v>291123</v>
      </c>
      <c r="C44" s="111">
        <f>592743-291123</f>
        <v>301620</v>
      </c>
      <c r="D44" s="111">
        <f>1058163-592743</f>
        <v>465420</v>
      </c>
      <c r="E44" s="111">
        <f>1363843-1058163</f>
        <v>305680</v>
      </c>
      <c r="F44" s="111">
        <f>1703523-1363843</f>
        <v>339680</v>
      </c>
      <c r="G44" s="111">
        <f>G113-F113</f>
        <v>320180</v>
      </c>
      <c r="H44" s="111">
        <f t="shared" si="15"/>
        <v>2023703</v>
      </c>
      <c r="I44" s="111">
        <f t="shared" ref="I44:I68" si="18">I113-G113</f>
        <v>298180</v>
      </c>
      <c r="J44" s="111">
        <f>J113-I113</f>
        <v>311406</v>
      </c>
      <c r="K44" s="111">
        <f>K113-J113</f>
        <v>274800</v>
      </c>
      <c r="L44" s="111">
        <f>L113-K113</f>
        <v>339000</v>
      </c>
      <c r="M44" s="111">
        <f>M113-L113</f>
        <v>488887</v>
      </c>
      <c r="N44" s="111">
        <f>N113-M113</f>
        <v>648642</v>
      </c>
      <c r="O44" s="111">
        <f t="shared" si="3"/>
        <v>2360915</v>
      </c>
      <c r="P44" s="111">
        <f t="shared" si="4"/>
        <v>4384618</v>
      </c>
    </row>
    <row r="45" spans="1:16" ht="12" customHeight="1" x14ac:dyDescent="0.15">
      <c r="A45" s="6" t="s">
        <v>22</v>
      </c>
      <c r="B45" s="111">
        <v>0</v>
      </c>
      <c r="C45" s="111">
        <v>0</v>
      </c>
      <c r="D45" s="111">
        <v>0</v>
      </c>
      <c r="E45" s="111">
        <v>0</v>
      </c>
      <c r="F45" s="111">
        <v>0</v>
      </c>
      <c r="G45" s="111">
        <f t="shared" ref="G45:G68" si="19">G114-F114</f>
        <v>0</v>
      </c>
      <c r="H45" s="111">
        <f t="shared" si="15"/>
        <v>0</v>
      </c>
      <c r="I45" s="111">
        <f t="shared" si="18"/>
        <v>0</v>
      </c>
      <c r="J45" s="111">
        <f t="shared" ref="J45:N68" si="20">J114-I114</f>
        <v>0</v>
      </c>
      <c r="K45" s="111">
        <f t="shared" si="20"/>
        <v>0</v>
      </c>
      <c r="L45" s="111">
        <f t="shared" si="20"/>
        <v>0</v>
      </c>
      <c r="M45" s="111">
        <f t="shared" si="20"/>
        <v>0</v>
      </c>
      <c r="N45" s="111">
        <f t="shared" si="20"/>
        <v>0</v>
      </c>
      <c r="O45" s="111">
        <f t="shared" si="3"/>
        <v>0</v>
      </c>
      <c r="P45" s="111">
        <f t="shared" si="4"/>
        <v>0</v>
      </c>
    </row>
    <row r="46" spans="1:16" ht="12" customHeight="1" x14ac:dyDescent="0.15">
      <c r="A46" s="6" t="s">
        <v>103</v>
      </c>
      <c r="B46" s="111">
        <v>87044</v>
      </c>
      <c r="C46" s="111">
        <f>102102-87044</f>
        <v>15058</v>
      </c>
      <c r="D46" s="111">
        <f>232861-102102</f>
        <v>130759</v>
      </c>
      <c r="E46" s="111">
        <f>308240-232861</f>
        <v>75379</v>
      </c>
      <c r="F46" s="111">
        <f>378763-308240</f>
        <v>70523</v>
      </c>
      <c r="G46" s="111">
        <f t="shared" si="19"/>
        <v>61151</v>
      </c>
      <c r="H46" s="111">
        <f t="shared" si="15"/>
        <v>439914</v>
      </c>
      <c r="I46" s="111">
        <f t="shared" si="18"/>
        <v>10740</v>
      </c>
      <c r="J46" s="111">
        <f t="shared" si="20"/>
        <v>132580</v>
      </c>
      <c r="K46" s="111">
        <f t="shared" si="20"/>
        <v>13285</v>
      </c>
      <c r="L46" s="111">
        <f t="shared" si="20"/>
        <v>81447</v>
      </c>
      <c r="M46" s="111">
        <f t="shared" si="20"/>
        <v>73359</v>
      </c>
      <c r="N46" s="111">
        <f t="shared" si="20"/>
        <v>154581</v>
      </c>
      <c r="O46" s="111">
        <f t="shared" si="3"/>
        <v>465992</v>
      </c>
      <c r="P46" s="111">
        <f t="shared" si="4"/>
        <v>905906</v>
      </c>
    </row>
    <row r="47" spans="1:16" ht="12" customHeight="1" x14ac:dyDescent="0.15">
      <c r="A47" s="6" t="s">
        <v>24</v>
      </c>
      <c r="B47" s="111">
        <v>45732</v>
      </c>
      <c r="C47" s="111">
        <f>59466-45732</f>
        <v>13734</v>
      </c>
      <c r="D47" s="111">
        <f>100252-59466</f>
        <v>40786</v>
      </c>
      <c r="E47" s="111">
        <f>124131-100252</f>
        <v>23879</v>
      </c>
      <c r="F47" s="111">
        <f>136019-124131</f>
        <v>11888</v>
      </c>
      <c r="G47" s="111">
        <f t="shared" si="19"/>
        <v>28551</v>
      </c>
      <c r="H47" s="111">
        <f t="shared" si="15"/>
        <v>164570</v>
      </c>
      <c r="I47" s="111">
        <f t="shared" si="18"/>
        <v>15891</v>
      </c>
      <c r="J47" s="111">
        <f t="shared" si="20"/>
        <v>20167</v>
      </c>
      <c r="K47" s="111">
        <f t="shared" si="20"/>
        <v>32704</v>
      </c>
      <c r="L47" s="111">
        <f t="shared" si="20"/>
        <v>16514</v>
      </c>
      <c r="M47" s="111">
        <f t="shared" si="20"/>
        <v>36144</v>
      </c>
      <c r="N47" s="111">
        <f t="shared" si="20"/>
        <v>20872</v>
      </c>
      <c r="O47" s="111">
        <f t="shared" si="3"/>
        <v>142292</v>
      </c>
      <c r="P47" s="111">
        <f t="shared" si="4"/>
        <v>306862</v>
      </c>
    </row>
    <row r="48" spans="1:16" ht="12" customHeight="1" x14ac:dyDescent="0.15">
      <c r="A48" s="6" t="s">
        <v>104</v>
      </c>
      <c r="B48" s="111">
        <v>54601</v>
      </c>
      <c r="C48" s="111">
        <v>0</v>
      </c>
      <c r="D48" s="111">
        <f>105480-54601</f>
        <v>50879</v>
      </c>
      <c r="E48" s="111">
        <v>0</v>
      </c>
      <c r="F48" s="111">
        <f>207030-105480</f>
        <v>101550</v>
      </c>
      <c r="G48" s="111">
        <f t="shared" si="19"/>
        <v>12000</v>
      </c>
      <c r="H48" s="111">
        <f t="shared" si="15"/>
        <v>219030</v>
      </c>
      <c r="I48" s="111">
        <f t="shared" si="18"/>
        <v>747565</v>
      </c>
      <c r="J48" s="111">
        <f t="shared" si="20"/>
        <v>521744</v>
      </c>
      <c r="K48" s="111">
        <f t="shared" si="20"/>
        <v>18399</v>
      </c>
      <c r="L48" s="111">
        <f t="shared" si="20"/>
        <v>0</v>
      </c>
      <c r="M48" s="111">
        <f t="shared" si="20"/>
        <v>261530</v>
      </c>
      <c r="N48" s="111">
        <f t="shared" si="20"/>
        <v>-142420</v>
      </c>
      <c r="O48" s="111">
        <f t="shared" si="3"/>
        <v>1406818</v>
      </c>
      <c r="P48" s="111">
        <f t="shared" si="4"/>
        <v>1625848</v>
      </c>
    </row>
    <row r="49" spans="1:16" ht="12" customHeight="1" x14ac:dyDescent="0.15">
      <c r="A49" s="6" t="s">
        <v>105</v>
      </c>
      <c r="B49" s="111">
        <v>0</v>
      </c>
      <c r="C49" s="111">
        <v>32400</v>
      </c>
      <c r="D49" s="111">
        <f>62100-32400</f>
        <v>29700</v>
      </c>
      <c r="E49" s="111">
        <v>0</v>
      </c>
      <c r="F49" s="111">
        <v>0</v>
      </c>
      <c r="G49" s="111">
        <f t="shared" si="19"/>
        <v>0</v>
      </c>
      <c r="H49" s="111">
        <f t="shared" si="15"/>
        <v>62100</v>
      </c>
      <c r="I49" s="111">
        <f t="shared" si="18"/>
        <v>32400</v>
      </c>
      <c r="J49" s="111">
        <f t="shared" si="20"/>
        <v>0</v>
      </c>
      <c r="K49" s="111">
        <f t="shared" si="20"/>
        <v>0</v>
      </c>
      <c r="L49" s="111">
        <f t="shared" si="20"/>
        <v>0</v>
      </c>
      <c r="M49" s="111">
        <f t="shared" si="20"/>
        <v>0</v>
      </c>
      <c r="N49" s="111">
        <f t="shared" si="20"/>
        <v>0</v>
      </c>
      <c r="O49" s="111">
        <f t="shared" si="3"/>
        <v>32400</v>
      </c>
      <c r="P49" s="111">
        <f t="shared" si="4"/>
        <v>94500</v>
      </c>
    </row>
    <row r="50" spans="1:16" ht="12" customHeight="1" x14ac:dyDescent="0.15">
      <c r="A50" s="6" t="s">
        <v>106</v>
      </c>
      <c r="B50" s="111">
        <v>74981</v>
      </c>
      <c r="C50" s="111">
        <f>156875-74981</f>
        <v>81894</v>
      </c>
      <c r="D50" s="111">
        <f>264112-156875</f>
        <v>107237</v>
      </c>
      <c r="E50" s="111">
        <f>342406-264112</f>
        <v>78294</v>
      </c>
      <c r="F50" s="111">
        <f>421782-342406</f>
        <v>79376</v>
      </c>
      <c r="G50" s="111">
        <f t="shared" si="19"/>
        <v>86343</v>
      </c>
      <c r="H50" s="111">
        <f t="shared" si="15"/>
        <v>508125</v>
      </c>
      <c r="I50" s="111">
        <f t="shared" si="18"/>
        <v>92410</v>
      </c>
      <c r="J50" s="111">
        <f t="shared" si="20"/>
        <v>81711</v>
      </c>
      <c r="K50" s="111">
        <f t="shared" si="20"/>
        <v>78600</v>
      </c>
      <c r="L50" s="111">
        <f t="shared" si="20"/>
        <v>88045</v>
      </c>
      <c r="M50" s="111">
        <f t="shared" si="20"/>
        <v>107916</v>
      </c>
      <c r="N50" s="111">
        <f t="shared" si="20"/>
        <v>65434</v>
      </c>
      <c r="O50" s="111">
        <f t="shared" si="3"/>
        <v>514116</v>
      </c>
      <c r="P50" s="111">
        <f t="shared" si="4"/>
        <v>1022241</v>
      </c>
    </row>
    <row r="51" spans="1:16" ht="12" customHeight="1" x14ac:dyDescent="0.15">
      <c r="A51" s="6" t="s">
        <v>28</v>
      </c>
      <c r="B51" s="111">
        <v>26076</v>
      </c>
      <c r="C51" s="111">
        <f>38222-26076</f>
        <v>12146</v>
      </c>
      <c r="D51" s="111">
        <f>64298-38222</f>
        <v>26076</v>
      </c>
      <c r="E51" s="111">
        <f>99192-64298</f>
        <v>34894</v>
      </c>
      <c r="F51" s="111">
        <f>123438-99192</f>
        <v>24246</v>
      </c>
      <c r="G51" s="111">
        <f t="shared" si="19"/>
        <v>12146</v>
      </c>
      <c r="H51" s="111">
        <f t="shared" si="15"/>
        <v>135584</v>
      </c>
      <c r="I51" s="111">
        <f t="shared" si="18"/>
        <v>12146</v>
      </c>
      <c r="J51" s="111">
        <f t="shared" si="20"/>
        <v>34894</v>
      </c>
      <c r="K51" s="111">
        <f t="shared" si="20"/>
        <v>26076</v>
      </c>
      <c r="L51" s="111">
        <f t="shared" si="20"/>
        <v>12146</v>
      </c>
      <c r="M51" s="111">
        <f t="shared" si="20"/>
        <v>12146</v>
      </c>
      <c r="N51" s="111">
        <f t="shared" si="20"/>
        <v>12146</v>
      </c>
      <c r="O51" s="111">
        <f t="shared" si="3"/>
        <v>109554</v>
      </c>
      <c r="P51" s="111">
        <f t="shared" si="4"/>
        <v>245138</v>
      </c>
    </row>
    <row r="52" spans="1:16" ht="12" customHeight="1" x14ac:dyDescent="0.15">
      <c r="A52" s="6" t="s">
        <v>107</v>
      </c>
      <c r="B52" s="111">
        <v>16000</v>
      </c>
      <c r="C52" s="111">
        <f>41200-16000</f>
        <v>25200</v>
      </c>
      <c r="D52" s="111">
        <f>55700-41200</f>
        <v>14500</v>
      </c>
      <c r="E52" s="111">
        <f>61000-55700</f>
        <v>5300</v>
      </c>
      <c r="F52" s="111">
        <f>75200-61000</f>
        <v>14200</v>
      </c>
      <c r="G52" s="111">
        <f t="shared" si="19"/>
        <v>3000</v>
      </c>
      <c r="H52" s="111">
        <f t="shared" si="15"/>
        <v>78200</v>
      </c>
      <c r="I52" s="111">
        <f t="shared" si="18"/>
        <v>13000</v>
      </c>
      <c r="J52" s="111">
        <f t="shared" si="20"/>
        <v>5800</v>
      </c>
      <c r="K52" s="111">
        <f t="shared" si="20"/>
        <v>18400</v>
      </c>
      <c r="L52" s="111">
        <f t="shared" si="20"/>
        <v>21400</v>
      </c>
      <c r="M52" s="111">
        <f t="shared" si="20"/>
        <v>24400</v>
      </c>
      <c r="N52" s="111">
        <f t="shared" si="20"/>
        <v>400</v>
      </c>
      <c r="O52" s="111">
        <f t="shared" si="3"/>
        <v>83400</v>
      </c>
      <c r="P52" s="111">
        <f t="shared" si="4"/>
        <v>161600</v>
      </c>
    </row>
    <row r="53" spans="1:16" ht="12" customHeight="1" x14ac:dyDescent="0.15">
      <c r="A53" s="6" t="s">
        <v>27</v>
      </c>
      <c r="B53" s="111">
        <v>0</v>
      </c>
      <c r="C53" s="111">
        <v>0</v>
      </c>
      <c r="D53" s="111">
        <f>47960-0</f>
        <v>47960</v>
      </c>
      <c r="E53" s="111">
        <f>65560-47960</f>
        <v>17600</v>
      </c>
      <c r="F53" s="111">
        <v>0</v>
      </c>
      <c r="G53" s="111">
        <f t="shared" si="19"/>
        <v>0</v>
      </c>
      <c r="H53" s="111">
        <f t="shared" si="15"/>
        <v>65560</v>
      </c>
      <c r="I53" s="111">
        <f t="shared" si="18"/>
        <v>0</v>
      </c>
      <c r="J53" s="111">
        <f t="shared" si="20"/>
        <v>44000</v>
      </c>
      <c r="K53" s="111">
        <f t="shared" si="20"/>
        <v>0</v>
      </c>
      <c r="L53" s="111">
        <f t="shared" si="20"/>
        <v>11000</v>
      </c>
      <c r="M53" s="111">
        <f t="shared" si="20"/>
        <v>11000</v>
      </c>
      <c r="N53" s="111">
        <f t="shared" si="20"/>
        <v>0</v>
      </c>
      <c r="O53" s="111">
        <f t="shared" si="3"/>
        <v>66000</v>
      </c>
      <c r="P53" s="111">
        <f t="shared" si="4"/>
        <v>131560</v>
      </c>
    </row>
    <row r="54" spans="1:16" ht="12" customHeight="1" x14ac:dyDescent="0.15">
      <c r="A54" s="6" t="s">
        <v>32</v>
      </c>
      <c r="B54" s="111">
        <v>598228</v>
      </c>
      <c r="C54" s="111">
        <f>1026211-598228</f>
        <v>427983</v>
      </c>
      <c r="D54" s="111">
        <f>1564457-1026211</f>
        <v>538246</v>
      </c>
      <c r="E54" s="111">
        <f>1983305-1564457</f>
        <v>418848</v>
      </c>
      <c r="F54" s="111">
        <f>2416504-1983305</f>
        <v>433199</v>
      </c>
      <c r="G54" s="111">
        <f t="shared" si="19"/>
        <v>466045</v>
      </c>
      <c r="H54" s="111">
        <f t="shared" si="15"/>
        <v>2882549</v>
      </c>
      <c r="I54" s="111">
        <f t="shared" si="18"/>
        <v>284342</v>
      </c>
      <c r="J54" s="111">
        <f t="shared" si="20"/>
        <v>489729</v>
      </c>
      <c r="K54" s="111">
        <f t="shared" si="20"/>
        <v>205965</v>
      </c>
      <c r="L54" s="111">
        <f t="shared" si="20"/>
        <v>375753</v>
      </c>
      <c r="M54" s="111">
        <f t="shared" si="20"/>
        <v>236433</v>
      </c>
      <c r="N54" s="111">
        <f t="shared" si="20"/>
        <v>914692</v>
      </c>
      <c r="O54" s="111">
        <f t="shared" si="3"/>
        <v>2506914</v>
      </c>
      <c r="P54" s="111">
        <f t="shared" si="4"/>
        <v>5389463</v>
      </c>
    </row>
    <row r="55" spans="1:16" ht="12" customHeight="1" x14ac:dyDescent="0.15">
      <c r="A55" s="6" t="s">
        <v>108</v>
      </c>
      <c r="B55" s="111">
        <v>9000</v>
      </c>
      <c r="C55" s="111">
        <f>18000-9000</f>
        <v>9000</v>
      </c>
      <c r="D55" s="111">
        <f>20000-18000</f>
        <v>2000</v>
      </c>
      <c r="E55" s="111">
        <f>33000-20000</f>
        <v>13000</v>
      </c>
      <c r="F55" s="111">
        <f>60500-33000</f>
        <v>27500</v>
      </c>
      <c r="G55" s="111">
        <f t="shared" si="19"/>
        <v>8880</v>
      </c>
      <c r="H55" s="111">
        <f t="shared" si="15"/>
        <v>69380</v>
      </c>
      <c r="I55" s="111">
        <f t="shared" si="18"/>
        <v>9000</v>
      </c>
      <c r="J55" s="111">
        <f t="shared" si="20"/>
        <v>16100</v>
      </c>
      <c r="K55" s="111">
        <f t="shared" si="20"/>
        <v>0</v>
      </c>
      <c r="L55" s="111">
        <f t="shared" si="20"/>
        <v>17720</v>
      </c>
      <c r="M55" s="111">
        <f t="shared" si="20"/>
        <v>4000</v>
      </c>
      <c r="N55" s="111">
        <f t="shared" si="20"/>
        <v>2000</v>
      </c>
      <c r="O55" s="111">
        <f t="shared" si="3"/>
        <v>48820</v>
      </c>
      <c r="P55" s="111">
        <f t="shared" si="4"/>
        <v>118200</v>
      </c>
    </row>
    <row r="56" spans="1:16" ht="12" customHeight="1" x14ac:dyDescent="0.15">
      <c r="A56" s="6" t="s">
        <v>34</v>
      </c>
      <c r="B56" s="111">
        <v>8100</v>
      </c>
      <c r="C56" s="111">
        <f>32100-8100</f>
        <v>24000</v>
      </c>
      <c r="D56" s="111">
        <v>0</v>
      </c>
      <c r="E56" s="111">
        <f>42100-32100</f>
        <v>10000</v>
      </c>
      <c r="F56" s="111">
        <f>57600-42100</f>
        <v>15500</v>
      </c>
      <c r="G56" s="111">
        <f t="shared" si="19"/>
        <v>0</v>
      </c>
      <c r="H56" s="111">
        <f t="shared" si="15"/>
        <v>57600</v>
      </c>
      <c r="I56" s="111">
        <f t="shared" si="18"/>
        <v>0</v>
      </c>
      <c r="J56" s="111">
        <f t="shared" si="20"/>
        <v>0</v>
      </c>
      <c r="K56" s="111">
        <f t="shared" si="20"/>
        <v>0</v>
      </c>
      <c r="L56" s="111">
        <f t="shared" si="20"/>
        <v>0</v>
      </c>
      <c r="M56" s="111">
        <f t="shared" si="20"/>
        <v>20000</v>
      </c>
      <c r="N56" s="111">
        <f t="shared" si="20"/>
        <v>3000</v>
      </c>
      <c r="O56" s="111">
        <f t="shared" si="3"/>
        <v>23000</v>
      </c>
      <c r="P56" s="111">
        <f t="shared" si="4"/>
        <v>80600</v>
      </c>
    </row>
    <row r="57" spans="1:16" ht="12" customHeight="1" x14ac:dyDescent="0.15">
      <c r="A57" s="6" t="s">
        <v>109</v>
      </c>
      <c r="B57" s="111">
        <v>414382</v>
      </c>
      <c r="C57" s="111">
        <f>773204-414382</f>
        <v>358822</v>
      </c>
      <c r="D57" s="111">
        <f>1173029-773204</f>
        <v>399825</v>
      </c>
      <c r="E57" s="111">
        <f>1689238-1173029</f>
        <v>516209</v>
      </c>
      <c r="F57" s="111">
        <f>2189682-1689238</f>
        <v>500444</v>
      </c>
      <c r="G57" s="111">
        <f t="shared" si="19"/>
        <v>777899</v>
      </c>
      <c r="H57" s="111">
        <f t="shared" si="15"/>
        <v>2967581</v>
      </c>
      <c r="I57" s="111">
        <f t="shared" si="18"/>
        <v>458187</v>
      </c>
      <c r="J57" s="111">
        <f t="shared" si="20"/>
        <v>447628</v>
      </c>
      <c r="K57" s="111">
        <f t="shared" si="20"/>
        <v>504731</v>
      </c>
      <c r="L57" s="111">
        <f t="shared" si="20"/>
        <v>320397</v>
      </c>
      <c r="M57" s="111">
        <f t="shared" si="20"/>
        <v>360100</v>
      </c>
      <c r="N57" s="111">
        <f t="shared" si="20"/>
        <v>316392</v>
      </c>
      <c r="O57" s="111">
        <f t="shared" si="3"/>
        <v>2407435</v>
      </c>
      <c r="P57" s="111">
        <f t="shared" si="4"/>
        <v>5375016</v>
      </c>
    </row>
    <row r="58" spans="1:16" ht="12" customHeight="1" x14ac:dyDescent="0.15">
      <c r="A58" s="6" t="s">
        <v>35</v>
      </c>
      <c r="B58" s="111">
        <v>17793</v>
      </c>
      <c r="C58" s="111">
        <f>20117-17793</f>
        <v>2324</v>
      </c>
      <c r="D58" s="111">
        <f>29867-20117</f>
        <v>9750</v>
      </c>
      <c r="E58" s="111">
        <f>33387-29867</f>
        <v>3520</v>
      </c>
      <c r="F58" s="111">
        <f>39723-33387</f>
        <v>6336</v>
      </c>
      <c r="G58" s="111">
        <f t="shared" si="19"/>
        <v>7317</v>
      </c>
      <c r="H58" s="111">
        <f t="shared" si="15"/>
        <v>47040</v>
      </c>
      <c r="I58" s="111">
        <f t="shared" si="18"/>
        <v>10027</v>
      </c>
      <c r="J58" s="111">
        <f t="shared" si="20"/>
        <v>23530</v>
      </c>
      <c r="K58" s="111">
        <f t="shared" si="20"/>
        <v>14236</v>
      </c>
      <c r="L58" s="111">
        <f t="shared" si="20"/>
        <v>2200</v>
      </c>
      <c r="M58" s="111">
        <f t="shared" si="20"/>
        <v>12452</v>
      </c>
      <c r="N58" s="111">
        <f t="shared" si="20"/>
        <v>8470</v>
      </c>
      <c r="O58" s="111">
        <f t="shared" si="3"/>
        <v>70915</v>
      </c>
      <c r="P58" s="111">
        <f t="shared" si="4"/>
        <v>117955</v>
      </c>
    </row>
    <row r="59" spans="1:16" ht="12" customHeight="1" x14ac:dyDescent="0.15">
      <c r="A59" s="6" t="s">
        <v>110</v>
      </c>
      <c r="B59" s="111">
        <v>65432</v>
      </c>
      <c r="C59" s="111">
        <f>237322-65432</f>
        <v>171890</v>
      </c>
      <c r="D59" s="111">
        <v>0</v>
      </c>
      <c r="E59" s="111">
        <v>0</v>
      </c>
      <c r="F59" s="111">
        <f>248532-237322</f>
        <v>11210</v>
      </c>
      <c r="G59" s="111">
        <f t="shared" si="19"/>
        <v>30460</v>
      </c>
      <c r="H59" s="111">
        <f t="shared" si="15"/>
        <v>278992</v>
      </c>
      <c r="I59" s="111">
        <f t="shared" si="18"/>
        <v>45820</v>
      </c>
      <c r="J59" s="111">
        <f t="shared" si="20"/>
        <v>0</v>
      </c>
      <c r="K59" s="111">
        <f t="shared" si="20"/>
        <v>0</v>
      </c>
      <c r="L59" s="111">
        <f t="shared" si="20"/>
        <v>559030</v>
      </c>
      <c r="M59" s="111">
        <f t="shared" si="20"/>
        <v>-25730</v>
      </c>
      <c r="N59" s="111">
        <f t="shared" si="20"/>
        <v>22500</v>
      </c>
      <c r="O59" s="111">
        <f t="shared" si="3"/>
        <v>601620</v>
      </c>
      <c r="P59" s="111">
        <f t="shared" si="4"/>
        <v>880612</v>
      </c>
    </row>
    <row r="60" spans="1:16" ht="12" customHeight="1" x14ac:dyDescent="0.15">
      <c r="A60" s="6" t="s">
        <v>111</v>
      </c>
      <c r="B60" s="111">
        <v>255523</v>
      </c>
      <c r="C60" s="111">
        <f>700295-255523</f>
        <v>444772</v>
      </c>
      <c r="D60" s="111">
        <f>1135006-700295</f>
        <v>434711</v>
      </c>
      <c r="E60" s="111">
        <f>1448153-1135006</f>
        <v>313147</v>
      </c>
      <c r="F60" s="111">
        <f>1944544-1448153</f>
        <v>496391</v>
      </c>
      <c r="G60" s="111">
        <f t="shared" si="19"/>
        <v>683721</v>
      </c>
      <c r="H60" s="111">
        <f t="shared" si="15"/>
        <v>2628265</v>
      </c>
      <c r="I60" s="111">
        <f t="shared" si="18"/>
        <v>499854</v>
      </c>
      <c r="J60" s="111">
        <f t="shared" si="20"/>
        <v>423940</v>
      </c>
      <c r="K60" s="111">
        <f t="shared" si="20"/>
        <v>475478</v>
      </c>
      <c r="L60" s="111">
        <f t="shared" si="20"/>
        <v>917751</v>
      </c>
      <c r="M60" s="111">
        <f t="shared" si="20"/>
        <v>677558</v>
      </c>
      <c r="N60" s="111">
        <f t="shared" si="20"/>
        <v>545364</v>
      </c>
      <c r="O60" s="111">
        <f t="shared" si="3"/>
        <v>3539945</v>
      </c>
      <c r="P60" s="111">
        <f t="shared" si="4"/>
        <v>6168210</v>
      </c>
    </row>
    <row r="61" spans="1:16" ht="12" customHeight="1" x14ac:dyDescent="0.15">
      <c r="A61" s="6" t="s">
        <v>112</v>
      </c>
      <c r="B61" s="111">
        <v>0</v>
      </c>
      <c r="C61" s="111">
        <v>0</v>
      </c>
      <c r="D61" s="111">
        <f>156200-0</f>
        <v>156200</v>
      </c>
      <c r="E61" s="111">
        <v>0</v>
      </c>
      <c r="F61" s="111">
        <v>0</v>
      </c>
      <c r="G61" s="111">
        <f t="shared" si="19"/>
        <v>0</v>
      </c>
      <c r="H61" s="111">
        <f t="shared" si="15"/>
        <v>156200</v>
      </c>
      <c r="I61" s="111">
        <f t="shared" si="18"/>
        <v>0</v>
      </c>
      <c r="J61" s="111">
        <f t="shared" si="20"/>
        <v>86900</v>
      </c>
      <c r="K61" s="111">
        <f t="shared" si="20"/>
        <v>1232000</v>
      </c>
      <c r="L61" s="111">
        <f t="shared" si="20"/>
        <v>0</v>
      </c>
      <c r="M61" s="111">
        <f t="shared" si="20"/>
        <v>0</v>
      </c>
      <c r="N61" s="111">
        <f t="shared" si="20"/>
        <v>0</v>
      </c>
      <c r="O61" s="111">
        <f t="shared" si="3"/>
        <v>1318900</v>
      </c>
      <c r="P61" s="111">
        <f t="shared" si="4"/>
        <v>1475100</v>
      </c>
    </row>
    <row r="62" spans="1:16" ht="12" customHeight="1" x14ac:dyDescent="0.15">
      <c r="A62" s="6" t="s">
        <v>113</v>
      </c>
      <c r="B62" s="111">
        <v>337093</v>
      </c>
      <c r="C62" s="111">
        <f>676288-337093</f>
        <v>339195</v>
      </c>
      <c r="D62" s="111">
        <f>1055411-676288</f>
        <v>379123</v>
      </c>
      <c r="E62" s="111">
        <f>1431959-1055411</f>
        <v>376548</v>
      </c>
      <c r="F62" s="111">
        <f>1828307-1431959</f>
        <v>396348</v>
      </c>
      <c r="G62" s="111">
        <f t="shared" si="19"/>
        <v>494908</v>
      </c>
      <c r="H62" s="111">
        <f t="shared" si="15"/>
        <v>2323215</v>
      </c>
      <c r="I62" s="111">
        <f t="shared" si="18"/>
        <v>422675</v>
      </c>
      <c r="J62" s="111">
        <f t="shared" si="20"/>
        <v>388290</v>
      </c>
      <c r="K62" s="111">
        <f t="shared" si="20"/>
        <v>379567</v>
      </c>
      <c r="L62" s="111">
        <f t="shared" si="20"/>
        <v>367687</v>
      </c>
      <c r="M62" s="111">
        <f t="shared" si="20"/>
        <v>262491</v>
      </c>
      <c r="N62" s="111">
        <f t="shared" si="20"/>
        <v>364361</v>
      </c>
      <c r="O62" s="111">
        <f t="shared" si="3"/>
        <v>2185071</v>
      </c>
      <c r="P62" s="111">
        <f t="shared" si="4"/>
        <v>4508286</v>
      </c>
    </row>
    <row r="63" spans="1:16" ht="12" customHeight="1" x14ac:dyDescent="0.15">
      <c r="A63" s="6" t="s">
        <v>121</v>
      </c>
      <c r="B63" s="111">
        <v>295000</v>
      </c>
      <c r="C63" s="111">
        <f>710000-295000</f>
        <v>415000</v>
      </c>
      <c r="D63" s="111">
        <f>1005000-710000</f>
        <v>295000</v>
      </c>
      <c r="E63" s="111">
        <f>1300000-1005000</f>
        <v>295000</v>
      </c>
      <c r="F63" s="111">
        <f>1595000-1300000</f>
        <v>295000</v>
      </c>
      <c r="G63" s="111">
        <f t="shared" si="19"/>
        <v>295000</v>
      </c>
      <c r="H63" s="111">
        <f t="shared" si="15"/>
        <v>1890000</v>
      </c>
      <c r="I63" s="111">
        <f t="shared" si="18"/>
        <v>295000</v>
      </c>
      <c r="J63" s="111">
        <f t="shared" si="20"/>
        <v>295000</v>
      </c>
      <c r="K63" s="111">
        <f t="shared" si="20"/>
        <v>295000</v>
      </c>
      <c r="L63" s="111">
        <f t="shared" si="20"/>
        <v>295000</v>
      </c>
      <c r="M63" s="111">
        <f t="shared" si="20"/>
        <v>295000</v>
      </c>
      <c r="N63" s="111">
        <f t="shared" si="20"/>
        <v>295000</v>
      </c>
      <c r="O63" s="111">
        <f t="shared" si="3"/>
        <v>1770000</v>
      </c>
      <c r="P63" s="111">
        <f t="shared" si="4"/>
        <v>3660000</v>
      </c>
    </row>
    <row r="64" spans="1:16" ht="12" customHeight="1" x14ac:dyDescent="0.15">
      <c r="A64" s="6" t="s">
        <v>122</v>
      </c>
      <c r="B64" s="115">
        <v>0</v>
      </c>
      <c r="C64" s="111">
        <v>209500</v>
      </c>
      <c r="D64" s="111">
        <f>476350-209500</f>
        <v>266850</v>
      </c>
      <c r="E64" s="111">
        <f>529350-476350</f>
        <v>53000</v>
      </c>
      <c r="F64" s="111">
        <f>529358-529350</f>
        <v>8</v>
      </c>
      <c r="G64" s="111">
        <f t="shared" si="19"/>
        <v>450</v>
      </c>
      <c r="H64" s="111">
        <f t="shared" si="15"/>
        <v>529808</v>
      </c>
      <c r="I64" s="111">
        <f t="shared" si="18"/>
        <v>-19800</v>
      </c>
      <c r="J64" s="111">
        <f t="shared" si="20"/>
        <v>0</v>
      </c>
      <c r="K64" s="111">
        <f t="shared" si="20"/>
        <v>53000</v>
      </c>
      <c r="L64" s="111">
        <f t="shared" si="20"/>
        <v>0</v>
      </c>
      <c r="M64" s="111">
        <f t="shared" si="20"/>
        <v>9</v>
      </c>
      <c r="N64" s="111">
        <f t="shared" si="20"/>
        <v>53440</v>
      </c>
      <c r="O64" s="111">
        <f t="shared" si="3"/>
        <v>86649</v>
      </c>
      <c r="P64" s="111">
        <f t="shared" si="4"/>
        <v>616457</v>
      </c>
    </row>
    <row r="65" spans="1:18" ht="12" customHeight="1" x14ac:dyDescent="0.15">
      <c r="A65" s="6" t="s">
        <v>37</v>
      </c>
      <c r="B65" s="111">
        <v>9680</v>
      </c>
      <c r="C65" s="111">
        <f>19360-9680</f>
        <v>9680</v>
      </c>
      <c r="D65" s="111">
        <f>208464-19360</f>
        <v>189104</v>
      </c>
      <c r="E65" s="111">
        <f>319567-208464</f>
        <v>111103</v>
      </c>
      <c r="F65" s="111">
        <f>456905-319567</f>
        <v>137338</v>
      </c>
      <c r="G65" s="111">
        <f t="shared" si="19"/>
        <v>517190</v>
      </c>
      <c r="H65" s="111">
        <f t="shared" si="15"/>
        <v>974095</v>
      </c>
      <c r="I65" s="111">
        <f t="shared" si="18"/>
        <v>9680</v>
      </c>
      <c r="J65" s="111">
        <f t="shared" si="20"/>
        <v>156261</v>
      </c>
      <c r="K65" s="111">
        <f t="shared" si="20"/>
        <v>200489</v>
      </c>
      <c r="L65" s="111">
        <f t="shared" si="20"/>
        <v>9680</v>
      </c>
      <c r="M65" s="111">
        <f t="shared" si="20"/>
        <v>50757</v>
      </c>
      <c r="N65" s="111">
        <f t="shared" si="20"/>
        <v>232062</v>
      </c>
      <c r="O65" s="111">
        <f t="shared" si="3"/>
        <v>658929</v>
      </c>
      <c r="P65" s="111">
        <f t="shared" si="4"/>
        <v>1633024</v>
      </c>
    </row>
    <row r="66" spans="1:18" ht="12" customHeight="1" x14ac:dyDescent="0.15">
      <c r="A66" s="6" t="s">
        <v>114</v>
      </c>
      <c r="B66" s="111">
        <v>0</v>
      </c>
      <c r="C66" s="111">
        <v>0</v>
      </c>
      <c r="D66" s="111">
        <v>0</v>
      </c>
      <c r="E66" s="111">
        <v>0</v>
      </c>
      <c r="F66" s="111">
        <v>0</v>
      </c>
      <c r="G66" s="111">
        <f t="shared" si="19"/>
        <v>12374</v>
      </c>
      <c r="H66" s="111">
        <f t="shared" si="15"/>
        <v>12374</v>
      </c>
      <c r="I66" s="111">
        <f t="shared" si="18"/>
        <v>37125</v>
      </c>
      <c r="J66" s="111">
        <f t="shared" si="20"/>
        <v>231000</v>
      </c>
      <c r="K66" s="111">
        <f t="shared" si="20"/>
        <v>3500</v>
      </c>
      <c r="L66" s="111">
        <f t="shared" si="20"/>
        <v>8282</v>
      </c>
      <c r="M66" s="111">
        <f t="shared" si="20"/>
        <v>2689</v>
      </c>
      <c r="N66" s="111">
        <f t="shared" si="20"/>
        <v>0</v>
      </c>
      <c r="O66" s="111">
        <f t="shared" si="3"/>
        <v>282596</v>
      </c>
      <c r="P66" s="111">
        <f t="shared" si="4"/>
        <v>294970</v>
      </c>
    </row>
    <row r="67" spans="1:18" ht="12" customHeight="1" x14ac:dyDescent="0.15">
      <c r="A67" s="53" t="s">
        <v>115</v>
      </c>
      <c r="B67" s="111">
        <v>428864</v>
      </c>
      <c r="C67" s="111">
        <f>686518-428864</f>
        <v>257654</v>
      </c>
      <c r="D67" s="111">
        <f>954921-686518</f>
        <v>268403</v>
      </c>
      <c r="E67" s="111">
        <f>1384902-954921</f>
        <v>429981</v>
      </c>
      <c r="F67" s="111">
        <f>1862699-1384902</f>
        <v>477797</v>
      </c>
      <c r="G67" s="111">
        <f t="shared" si="19"/>
        <v>429879</v>
      </c>
      <c r="H67" s="111">
        <f t="shared" si="15"/>
        <v>2292578</v>
      </c>
      <c r="I67" s="111">
        <f t="shared" si="18"/>
        <v>783617</v>
      </c>
      <c r="J67" s="111">
        <f t="shared" si="20"/>
        <v>533128</v>
      </c>
      <c r="K67" s="111">
        <f t="shared" si="20"/>
        <v>376686</v>
      </c>
      <c r="L67" s="111">
        <f t="shared" si="20"/>
        <v>388614</v>
      </c>
      <c r="M67" s="111">
        <f t="shared" si="20"/>
        <v>343861</v>
      </c>
      <c r="N67" s="111">
        <f t="shared" si="20"/>
        <v>678094</v>
      </c>
      <c r="O67" s="111">
        <f t="shared" si="3"/>
        <v>3104000</v>
      </c>
      <c r="P67" s="111">
        <f t="shared" si="4"/>
        <v>5396578</v>
      </c>
    </row>
    <row r="68" spans="1:18" ht="12" customHeight="1" x14ac:dyDescent="0.15">
      <c r="A68" s="6" t="s">
        <v>46</v>
      </c>
      <c r="B68" s="111">
        <v>0</v>
      </c>
      <c r="C68" s="111">
        <v>0</v>
      </c>
      <c r="D68" s="111">
        <v>0</v>
      </c>
      <c r="E68" s="111">
        <v>0</v>
      </c>
      <c r="F68" s="111">
        <v>0</v>
      </c>
      <c r="G68" s="111">
        <f t="shared" si="19"/>
        <v>2378535</v>
      </c>
      <c r="H68" s="111">
        <f t="shared" si="15"/>
        <v>2378535</v>
      </c>
      <c r="I68" s="111">
        <f t="shared" si="18"/>
        <v>0</v>
      </c>
      <c r="J68" s="111">
        <f t="shared" si="20"/>
        <v>0</v>
      </c>
      <c r="K68" s="111">
        <f t="shared" si="20"/>
        <v>0</v>
      </c>
      <c r="L68" s="111">
        <f t="shared" si="20"/>
        <v>0</v>
      </c>
      <c r="M68" s="111">
        <f t="shared" si="20"/>
        <v>0</v>
      </c>
      <c r="N68" s="111">
        <f t="shared" si="20"/>
        <v>2420339</v>
      </c>
      <c r="O68" s="111">
        <f t="shared" si="3"/>
        <v>2420339</v>
      </c>
      <c r="P68" s="111">
        <f t="shared" si="4"/>
        <v>4798874</v>
      </c>
    </row>
    <row r="69" spans="1:18" ht="12" customHeight="1" x14ac:dyDescent="0.15">
      <c r="A69" s="54" t="s">
        <v>29</v>
      </c>
      <c r="B69" s="114">
        <f t="shared" ref="B69:N69" si="21">B37+B43</f>
        <v>15563976</v>
      </c>
      <c r="C69" s="114">
        <f t="shared" si="21"/>
        <v>14692282</v>
      </c>
      <c r="D69" s="114">
        <f t="shared" si="21"/>
        <v>15770101</v>
      </c>
      <c r="E69" s="114">
        <f t="shared" si="21"/>
        <v>22581749</v>
      </c>
      <c r="F69" s="114">
        <f t="shared" si="21"/>
        <v>16759354</v>
      </c>
      <c r="G69" s="114">
        <f t="shared" si="21"/>
        <v>18676231</v>
      </c>
      <c r="H69" s="114">
        <f t="shared" si="15"/>
        <v>104043693</v>
      </c>
      <c r="I69" s="114">
        <f>I37+I43</f>
        <v>16171769</v>
      </c>
      <c r="J69" s="114">
        <f t="shared" si="21"/>
        <v>24919702</v>
      </c>
      <c r="K69" s="114">
        <f t="shared" si="21"/>
        <v>15867431</v>
      </c>
      <c r="L69" s="114">
        <f t="shared" si="21"/>
        <v>15324417</v>
      </c>
      <c r="M69" s="114">
        <f t="shared" si="21"/>
        <v>15894585</v>
      </c>
      <c r="N69" s="114">
        <f t="shared" si="21"/>
        <v>18039986</v>
      </c>
      <c r="O69" s="114">
        <f t="shared" si="3"/>
        <v>106217890</v>
      </c>
      <c r="P69" s="114">
        <f t="shared" si="4"/>
        <v>210261583</v>
      </c>
    </row>
    <row r="70" spans="1:18" ht="12" customHeight="1" x14ac:dyDescent="0.15">
      <c r="A70" s="54" t="s">
        <v>61</v>
      </c>
      <c r="B70" s="114">
        <f t="shared" ref="B70:G70" si="22">B34-B69</f>
        <v>1261856</v>
      </c>
      <c r="C70" s="114">
        <f t="shared" si="22"/>
        <v>3341033</v>
      </c>
      <c r="D70" s="114">
        <f t="shared" si="22"/>
        <v>1856061</v>
      </c>
      <c r="E70" s="114">
        <f t="shared" si="22"/>
        <v>-3921880</v>
      </c>
      <c r="F70" s="114">
        <f t="shared" si="22"/>
        <v>833950</v>
      </c>
      <c r="G70" s="114">
        <f t="shared" si="22"/>
        <v>2892044</v>
      </c>
      <c r="H70" s="114">
        <f t="shared" si="15"/>
        <v>6263064</v>
      </c>
      <c r="I70" s="114">
        <f t="shared" ref="I70:N70" si="23">I34-I69</f>
        <v>3040234</v>
      </c>
      <c r="J70" s="114">
        <f t="shared" si="23"/>
        <v>-7191599</v>
      </c>
      <c r="K70" s="114">
        <f t="shared" si="23"/>
        <v>182414</v>
      </c>
      <c r="L70" s="114">
        <f t="shared" si="23"/>
        <v>-259320</v>
      </c>
      <c r="M70" s="114">
        <f t="shared" si="23"/>
        <v>-405362</v>
      </c>
      <c r="N70" s="114">
        <f t="shared" si="23"/>
        <v>561314</v>
      </c>
      <c r="O70" s="114">
        <f t="shared" si="3"/>
        <v>-4072319</v>
      </c>
      <c r="P70" s="114">
        <f t="shared" si="4"/>
        <v>2190745</v>
      </c>
    </row>
    <row r="71" spans="1:18" ht="12" customHeight="1" x14ac:dyDescent="0.15">
      <c r="A71" s="23" t="s">
        <v>126</v>
      </c>
      <c r="B71" s="111">
        <v>5</v>
      </c>
      <c r="C71" s="111">
        <v>0</v>
      </c>
      <c r="D71" s="111">
        <v>0</v>
      </c>
      <c r="E71" s="111">
        <v>0</v>
      </c>
      <c r="F71" s="111">
        <f>73-5</f>
        <v>68</v>
      </c>
      <c r="G71" s="111">
        <f>G105-F105</f>
        <v>1</v>
      </c>
      <c r="H71" s="114">
        <f t="shared" si="15"/>
        <v>74</v>
      </c>
      <c r="I71" s="111">
        <f>I105-G105</f>
        <v>6</v>
      </c>
      <c r="J71" s="111">
        <f>J105-I105</f>
        <v>0</v>
      </c>
      <c r="K71" s="111">
        <f>K105-J105</f>
        <v>0</v>
      </c>
      <c r="L71" s="111">
        <f>L105-K105</f>
        <v>0</v>
      </c>
      <c r="M71" s="111">
        <f>M105-L105</f>
        <v>76</v>
      </c>
      <c r="N71" s="111">
        <f>N105-M105</f>
        <v>1</v>
      </c>
      <c r="O71" s="114">
        <f t="shared" si="3"/>
        <v>83</v>
      </c>
      <c r="P71" s="114">
        <f t="shared" si="4"/>
        <v>157</v>
      </c>
    </row>
    <row r="72" spans="1:18" ht="12" customHeight="1" x14ac:dyDescent="0.15">
      <c r="A72" s="23" t="s">
        <v>127</v>
      </c>
      <c r="B72" s="111">
        <f>10540+5500</f>
        <v>16040</v>
      </c>
      <c r="C72" s="111">
        <f>21852-10540</f>
        <v>11312</v>
      </c>
      <c r="D72" s="111">
        <f>33161-21852</f>
        <v>11309</v>
      </c>
      <c r="E72" s="111">
        <f>43076-33161</f>
        <v>9915</v>
      </c>
      <c r="F72" s="111">
        <f>53318-43076</f>
        <v>10242</v>
      </c>
      <c r="G72" s="111">
        <f>G139+G140+G141-F139-F140-F141</f>
        <v>9886</v>
      </c>
      <c r="H72" s="114">
        <f t="shared" si="15"/>
        <v>68704</v>
      </c>
      <c r="I72" s="111">
        <f>I139+I140+I141-G139-G140-G141</f>
        <v>332259</v>
      </c>
      <c r="J72" s="111">
        <f>J139+J140+J141-I139-I140-I141</f>
        <v>8876</v>
      </c>
      <c r="K72" s="111">
        <f>K139+K140+K141-J139-J140-J141</f>
        <v>125141</v>
      </c>
      <c r="L72" s="111">
        <f>L139+L140+L141-K139-K140-K141</f>
        <v>8460</v>
      </c>
      <c r="M72" s="111">
        <f>M139+M140+M141-L139-L140-L141</f>
        <v>7818</v>
      </c>
      <c r="N72" s="111">
        <f>N139+N140+N141-M139-M140-M141</f>
        <v>64200</v>
      </c>
      <c r="O72" s="114">
        <f t="shared" si="3"/>
        <v>546754</v>
      </c>
      <c r="P72" s="114">
        <f t="shared" si="4"/>
        <v>615458</v>
      </c>
      <c r="Q72" s="173" t="s">
        <v>386</v>
      </c>
      <c r="R72" s="174"/>
    </row>
    <row r="73" spans="1:18" ht="12" customHeight="1" x14ac:dyDescent="0.15">
      <c r="A73" s="54" t="s">
        <v>60</v>
      </c>
      <c r="B73" s="33">
        <f t="shared" ref="B73:G73" si="24">B70+B71-B72</f>
        <v>1245821</v>
      </c>
      <c r="C73" s="33">
        <f t="shared" si="24"/>
        <v>3329721</v>
      </c>
      <c r="D73" s="33">
        <f t="shared" si="24"/>
        <v>1844752</v>
      </c>
      <c r="E73" s="33">
        <f t="shared" si="24"/>
        <v>-3931795</v>
      </c>
      <c r="F73" s="33">
        <f t="shared" si="24"/>
        <v>823776</v>
      </c>
      <c r="G73" s="33">
        <f t="shared" si="24"/>
        <v>2882159</v>
      </c>
      <c r="H73" s="114">
        <f t="shared" si="15"/>
        <v>6194434</v>
      </c>
      <c r="I73" s="33">
        <f t="shared" ref="I73:N73" si="25">I70+I71-I72</f>
        <v>2707981</v>
      </c>
      <c r="J73" s="33">
        <f t="shared" si="25"/>
        <v>-7200475</v>
      </c>
      <c r="K73" s="33">
        <f t="shared" si="25"/>
        <v>57273</v>
      </c>
      <c r="L73" s="33">
        <f t="shared" si="25"/>
        <v>-267780</v>
      </c>
      <c r="M73" s="33">
        <f t="shared" si="25"/>
        <v>-413104</v>
      </c>
      <c r="N73" s="33">
        <f t="shared" si="25"/>
        <v>497115</v>
      </c>
      <c r="O73" s="114">
        <f t="shared" si="3"/>
        <v>-4618990</v>
      </c>
      <c r="P73" s="110">
        <f t="shared" si="4"/>
        <v>1575444</v>
      </c>
      <c r="Q73" s="175">
        <f>P73-'[1]3.3月'!$D$62</f>
        <v>0</v>
      </c>
      <c r="R73" s="176"/>
    </row>
    <row r="74" spans="1:18" ht="12" customHeight="1" x14ac:dyDescent="0.15">
      <c r="A74" s="26" t="s">
        <v>116</v>
      </c>
      <c r="B74" s="111">
        <v>280000</v>
      </c>
      <c r="C74" s="111">
        <v>280000</v>
      </c>
      <c r="D74" s="111">
        <v>280000</v>
      </c>
      <c r="E74" s="111">
        <v>280000</v>
      </c>
      <c r="F74" s="111">
        <v>280000</v>
      </c>
      <c r="G74" s="111">
        <v>280000</v>
      </c>
      <c r="H74" s="114">
        <f t="shared" si="15"/>
        <v>1680000</v>
      </c>
      <c r="I74" s="111">
        <v>280000</v>
      </c>
      <c r="J74" s="111">
        <v>280000</v>
      </c>
      <c r="K74" s="111">
        <v>280000</v>
      </c>
      <c r="L74" s="111">
        <v>280000</v>
      </c>
      <c r="M74" s="111">
        <v>280000</v>
      </c>
      <c r="N74" s="111">
        <v>280000</v>
      </c>
      <c r="O74" s="111">
        <f t="shared" si="3"/>
        <v>1680000</v>
      </c>
      <c r="P74" s="111">
        <f t="shared" si="4"/>
        <v>3360000</v>
      </c>
      <c r="Q74" s="177"/>
      <c r="R74" s="178"/>
    </row>
    <row r="75" spans="1:18" x14ac:dyDescent="0.15">
      <c r="Q75" s="179"/>
      <c r="R75" s="179"/>
    </row>
    <row r="76" spans="1:18" x14ac:dyDescent="0.15">
      <c r="A76" s="21" t="s">
        <v>1</v>
      </c>
      <c r="B76" s="116"/>
      <c r="C76" s="116"/>
      <c r="D76" s="116"/>
      <c r="E76" s="116"/>
      <c r="F76" s="116">
        <v>83000</v>
      </c>
      <c r="G76" s="116">
        <v>83000</v>
      </c>
      <c r="H76" s="116"/>
      <c r="I76" s="116">
        <v>83000</v>
      </c>
      <c r="J76" s="116">
        <v>84000</v>
      </c>
      <c r="K76" s="116">
        <v>85000</v>
      </c>
      <c r="L76" s="116">
        <v>85000</v>
      </c>
      <c r="M76" s="116">
        <v>85000</v>
      </c>
      <c r="N76" s="116">
        <v>85000</v>
      </c>
      <c r="O76" s="116"/>
      <c r="P76" s="116"/>
    </row>
    <row r="77" spans="1:18" x14ac:dyDescent="0.15">
      <c r="A77" s="21" t="s">
        <v>2</v>
      </c>
      <c r="B77" s="116"/>
      <c r="C77" s="116"/>
      <c r="D77" s="116"/>
      <c r="E77" s="116"/>
      <c r="F77" s="116">
        <v>53000</v>
      </c>
      <c r="G77" s="116">
        <v>55000</v>
      </c>
      <c r="H77" s="116"/>
      <c r="I77" s="116">
        <v>60000</v>
      </c>
      <c r="J77" s="116">
        <v>61000</v>
      </c>
      <c r="K77" s="116">
        <v>63000</v>
      </c>
      <c r="L77" s="116">
        <v>63000</v>
      </c>
      <c r="M77" s="116">
        <v>63000</v>
      </c>
      <c r="N77" s="116">
        <v>65000</v>
      </c>
      <c r="O77" s="116"/>
      <c r="P77" s="116"/>
    </row>
    <row r="78" spans="1:18" x14ac:dyDescent="0.15">
      <c r="A78" s="21" t="s">
        <v>3</v>
      </c>
      <c r="B78" s="116"/>
      <c r="C78" s="116"/>
      <c r="D78" s="116"/>
      <c r="E78" s="116"/>
      <c r="F78" s="116">
        <v>4000</v>
      </c>
      <c r="G78" s="116">
        <v>6000</v>
      </c>
      <c r="H78" s="116"/>
      <c r="I78" s="116">
        <v>7000</v>
      </c>
      <c r="J78" s="116">
        <v>7000</v>
      </c>
      <c r="K78" s="116">
        <v>7000</v>
      </c>
      <c r="L78" s="116">
        <v>8000</v>
      </c>
      <c r="M78" s="116">
        <v>8000</v>
      </c>
      <c r="N78" s="116">
        <v>8000</v>
      </c>
      <c r="O78" s="116"/>
      <c r="P78" s="116"/>
    </row>
    <row r="79" spans="1:18" x14ac:dyDescent="0.15">
      <c r="A79" s="118" t="s">
        <v>387</v>
      </c>
      <c r="B79" s="116"/>
      <c r="C79" s="120"/>
      <c r="D79" s="120"/>
      <c r="E79" s="120"/>
      <c r="F79" s="120"/>
      <c r="G79" s="117"/>
      <c r="H79" s="120"/>
      <c r="I79" s="117"/>
      <c r="J79" s="120"/>
      <c r="K79" s="120"/>
      <c r="L79" s="120"/>
      <c r="M79" s="120"/>
      <c r="N79" s="120"/>
      <c r="O79" s="120"/>
      <c r="P79" s="120"/>
    </row>
    <row r="80" spans="1:18" x14ac:dyDescent="0.15">
      <c r="A80" s="47" t="s">
        <v>94</v>
      </c>
      <c r="B80" s="116"/>
      <c r="C80" s="116"/>
      <c r="D80" s="116"/>
      <c r="E80" s="116"/>
      <c r="F80" s="116">
        <v>14245960</v>
      </c>
      <c r="G80" s="116">
        <v>17259720</v>
      </c>
      <c r="H80" s="116"/>
      <c r="I80" s="116">
        <v>20258230</v>
      </c>
      <c r="J80" s="116">
        <v>23108790</v>
      </c>
      <c r="K80" s="116">
        <v>25908590</v>
      </c>
      <c r="L80" s="116">
        <v>28683730</v>
      </c>
      <c r="M80" s="116">
        <v>31385180</v>
      </c>
      <c r="N80" s="116">
        <v>34342750</v>
      </c>
      <c r="O80" s="116"/>
      <c r="P80" s="116"/>
    </row>
    <row r="81" spans="1:17" x14ac:dyDescent="0.15">
      <c r="A81" s="48" t="s">
        <v>247</v>
      </c>
      <c r="B81" s="116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</row>
    <row r="82" spans="1:17" x14ac:dyDescent="0.15">
      <c r="A82" s="48" t="s">
        <v>319</v>
      </c>
      <c r="B82" s="116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</row>
    <row r="83" spans="1:17" x14ac:dyDescent="0.15">
      <c r="A83" s="47" t="s">
        <v>95</v>
      </c>
      <c r="B83" s="116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</row>
    <row r="84" spans="1:17" x14ac:dyDescent="0.15">
      <c r="A84" s="21" t="s">
        <v>58</v>
      </c>
      <c r="B84" s="116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</row>
    <row r="85" spans="1:17" x14ac:dyDescent="0.15">
      <c r="A85" s="47" t="s">
        <v>96</v>
      </c>
      <c r="B85" s="116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</row>
    <row r="86" spans="1:17" x14ac:dyDescent="0.15">
      <c r="A86" s="21" t="s">
        <v>59</v>
      </c>
      <c r="B86" s="116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</row>
    <row r="87" spans="1:17" x14ac:dyDescent="0.15">
      <c r="A87" s="50" t="s">
        <v>120</v>
      </c>
      <c r="B87" s="116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</row>
    <row r="88" spans="1:17" x14ac:dyDescent="0.15">
      <c r="A88" s="21" t="s">
        <v>59</v>
      </c>
      <c r="B88" s="116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</row>
    <row r="89" spans="1:17" x14ac:dyDescent="0.15">
      <c r="A89" s="51" t="s">
        <v>245</v>
      </c>
      <c r="B89" s="116"/>
      <c r="C89" s="116"/>
      <c r="D89" s="116"/>
      <c r="E89" s="116"/>
      <c r="F89" s="116">
        <v>3948940</v>
      </c>
      <c r="G89" s="116">
        <v>4764630</v>
      </c>
      <c r="H89" s="116"/>
      <c r="I89" s="116">
        <v>5590400</v>
      </c>
      <c r="J89" s="116">
        <v>6348270</v>
      </c>
      <c r="K89" s="116">
        <v>7018450</v>
      </c>
      <c r="L89" s="116">
        <v>7620310</v>
      </c>
      <c r="M89" s="116">
        <v>8246860</v>
      </c>
      <c r="N89" s="116">
        <v>9037980</v>
      </c>
      <c r="O89" s="116"/>
      <c r="P89" s="116"/>
    </row>
    <row r="90" spans="1:17" x14ac:dyDescent="0.15">
      <c r="A90" s="51" t="s">
        <v>366</v>
      </c>
      <c r="B90" s="116"/>
      <c r="C90" s="116"/>
      <c r="D90" s="116"/>
      <c r="E90" s="116"/>
      <c r="F90" s="116">
        <v>926300</v>
      </c>
      <c r="G90" s="116">
        <v>1117320</v>
      </c>
      <c r="H90" s="116"/>
      <c r="I90" s="116">
        <v>1309550</v>
      </c>
      <c r="J90" s="116">
        <v>1484220</v>
      </c>
      <c r="K90" s="116">
        <v>1639240</v>
      </c>
      <c r="L90" s="116">
        <v>1778700</v>
      </c>
      <c r="M90" s="116">
        <v>1922300</v>
      </c>
      <c r="N90" s="116">
        <v>2105740</v>
      </c>
      <c r="O90" s="116"/>
      <c r="P90" s="116"/>
    </row>
    <row r="91" spans="1:17" x14ac:dyDescent="0.15">
      <c r="A91" s="51" t="s">
        <v>338</v>
      </c>
      <c r="B91" s="116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 t="s">
        <v>390</v>
      </c>
      <c r="O91" s="120"/>
      <c r="P91" s="120"/>
    </row>
    <row r="92" spans="1:17" x14ac:dyDescent="0.15">
      <c r="A92" s="21" t="s">
        <v>59</v>
      </c>
      <c r="B92" s="116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</row>
    <row r="93" spans="1:17" x14ac:dyDescent="0.15">
      <c r="A93" s="47" t="s">
        <v>119</v>
      </c>
      <c r="B93" s="116"/>
      <c r="C93" s="116"/>
      <c r="D93" s="116"/>
      <c r="E93" s="116"/>
      <c r="F93" s="116">
        <v>270000</v>
      </c>
      <c r="G93" s="116">
        <v>373200</v>
      </c>
      <c r="H93" s="116"/>
      <c r="I93" s="116">
        <v>495600</v>
      </c>
      <c r="J93" s="116">
        <v>594000</v>
      </c>
      <c r="K93" s="116">
        <v>688200</v>
      </c>
      <c r="L93" s="116">
        <v>758400</v>
      </c>
      <c r="M93" s="116">
        <v>843000</v>
      </c>
      <c r="N93" s="116">
        <v>941400</v>
      </c>
      <c r="O93" s="116"/>
      <c r="P93" s="116"/>
      <c r="Q93" s="116"/>
    </row>
    <row r="94" spans="1:17" x14ac:dyDescent="0.15">
      <c r="A94" s="47" t="s">
        <v>97</v>
      </c>
      <c r="B94" s="116"/>
      <c r="C94" s="116"/>
      <c r="D94" s="116"/>
      <c r="E94" s="116"/>
      <c r="F94" s="116">
        <v>69450</v>
      </c>
      <c r="G94" s="116">
        <v>79350</v>
      </c>
      <c r="H94" s="116"/>
      <c r="I94" s="116">
        <v>92550</v>
      </c>
      <c r="J94" s="116">
        <v>102250</v>
      </c>
      <c r="K94" s="116">
        <v>128750</v>
      </c>
      <c r="L94" s="116">
        <v>140550</v>
      </c>
      <c r="M94" s="116">
        <v>157750</v>
      </c>
      <c r="N94" s="116">
        <v>174550</v>
      </c>
      <c r="O94" s="116"/>
    </row>
    <row r="95" spans="1:17" x14ac:dyDescent="0.15">
      <c r="A95" s="47" t="s">
        <v>98</v>
      </c>
      <c r="B95" s="116"/>
      <c r="C95" s="116"/>
      <c r="D95" s="116"/>
      <c r="E95" s="116"/>
      <c r="F95" s="116">
        <v>233100</v>
      </c>
      <c r="G95" s="116">
        <v>267550</v>
      </c>
      <c r="H95" s="116"/>
      <c r="I95" s="116">
        <v>324950</v>
      </c>
      <c r="J95" s="116">
        <v>377050</v>
      </c>
      <c r="K95" s="116">
        <v>418000</v>
      </c>
      <c r="L95" s="116">
        <v>454100</v>
      </c>
      <c r="M95" s="116">
        <v>499950</v>
      </c>
      <c r="N95" s="116">
        <v>549450</v>
      </c>
      <c r="O95" s="116"/>
      <c r="P95" s="116"/>
    </row>
    <row r="96" spans="1:17" x14ac:dyDescent="0.15">
      <c r="A96" s="47" t="s">
        <v>249</v>
      </c>
      <c r="B96" s="116"/>
      <c r="C96" s="116"/>
      <c r="D96" s="116"/>
      <c r="E96" s="116"/>
      <c r="F96" s="116">
        <v>265500</v>
      </c>
      <c r="G96" s="116">
        <v>320300</v>
      </c>
      <c r="H96" s="116"/>
      <c r="I96" s="116">
        <v>379100</v>
      </c>
      <c r="J96" s="116">
        <v>431500</v>
      </c>
      <c r="K96" s="116">
        <v>485600</v>
      </c>
      <c r="L96" s="116">
        <v>526100</v>
      </c>
      <c r="M96" s="116">
        <v>574100</v>
      </c>
      <c r="N96" s="116">
        <v>630000</v>
      </c>
      <c r="O96" s="116"/>
      <c r="P96" s="116"/>
    </row>
    <row r="97" spans="1:40" x14ac:dyDescent="0.15">
      <c r="A97" s="47" t="s">
        <v>320</v>
      </c>
      <c r="B97" s="116"/>
      <c r="C97" s="116"/>
      <c r="D97" s="116"/>
      <c r="E97" s="116"/>
      <c r="F97" s="116">
        <v>268400</v>
      </c>
      <c r="G97" s="116">
        <v>313400</v>
      </c>
      <c r="H97" s="116"/>
      <c r="I97" s="116">
        <v>365700</v>
      </c>
      <c r="J97" s="116">
        <v>411000</v>
      </c>
      <c r="K97" s="116">
        <v>475800</v>
      </c>
      <c r="L97" s="116">
        <v>523600</v>
      </c>
      <c r="M97" s="116">
        <v>562400</v>
      </c>
      <c r="N97" s="116">
        <v>640600</v>
      </c>
      <c r="O97" s="116"/>
      <c r="P97" s="116"/>
    </row>
    <row r="98" spans="1:40" x14ac:dyDescent="0.15">
      <c r="A98" s="47" t="s">
        <v>303</v>
      </c>
      <c r="B98" s="116"/>
      <c r="C98" s="116"/>
      <c r="D98" s="116"/>
      <c r="E98" s="116"/>
      <c r="F98" s="116">
        <v>11900</v>
      </c>
      <c r="G98" s="116">
        <v>11900</v>
      </c>
      <c r="H98" s="116"/>
      <c r="I98" s="116">
        <v>11900</v>
      </c>
      <c r="J98" s="116">
        <v>11900</v>
      </c>
      <c r="K98" s="116">
        <v>12200</v>
      </c>
      <c r="L98" s="116">
        <v>13300</v>
      </c>
      <c r="M98" s="116">
        <v>13300</v>
      </c>
      <c r="N98" s="116">
        <v>14500</v>
      </c>
      <c r="O98" s="116"/>
      <c r="P98" s="116"/>
    </row>
    <row r="99" spans="1:40" x14ac:dyDescent="0.15">
      <c r="A99" s="47" t="s">
        <v>251</v>
      </c>
      <c r="B99" s="116"/>
      <c r="C99" s="116"/>
      <c r="D99" s="116"/>
      <c r="E99" s="116"/>
      <c r="F99" s="116">
        <v>2000</v>
      </c>
      <c r="G99" s="116">
        <v>5500</v>
      </c>
      <c r="H99" s="116"/>
      <c r="I99" s="116">
        <v>6700</v>
      </c>
      <c r="J99" s="116">
        <v>7000</v>
      </c>
      <c r="K99" s="116">
        <v>7300</v>
      </c>
      <c r="L99" s="116">
        <v>8200</v>
      </c>
      <c r="M99" s="116">
        <v>9700</v>
      </c>
      <c r="N99" s="116">
        <v>12900</v>
      </c>
      <c r="O99" s="116"/>
      <c r="P99" s="116"/>
    </row>
    <row r="100" spans="1:40" x14ac:dyDescent="0.15">
      <c r="A100" s="21" t="s">
        <v>99</v>
      </c>
      <c r="B100" s="116"/>
      <c r="C100" s="116"/>
      <c r="D100" s="116"/>
      <c r="E100" s="116"/>
      <c r="F100" s="116">
        <v>5151750</v>
      </c>
      <c r="G100" s="116">
        <v>6263500</v>
      </c>
      <c r="H100" s="116"/>
      <c r="I100" s="116">
        <v>7273500</v>
      </c>
      <c r="J100" s="116">
        <v>8283500</v>
      </c>
      <c r="K100" s="116">
        <v>9395250</v>
      </c>
      <c r="L100" s="116">
        <v>10405250</v>
      </c>
      <c r="M100" s="116">
        <v>11415250</v>
      </c>
      <c r="N100" s="116">
        <v>12530000</v>
      </c>
      <c r="O100" s="116"/>
      <c r="P100" s="116"/>
    </row>
    <row r="101" spans="1:40" x14ac:dyDescent="0.15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40" x14ac:dyDescent="0.15">
      <c r="A102" s="21" t="s">
        <v>383</v>
      </c>
      <c r="B102" s="116"/>
      <c r="C102" s="116"/>
      <c r="D102" s="116"/>
      <c r="E102" s="116"/>
      <c r="F102" s="116">
        <v>450000</v>
      </c>
      <c r="G102" s="116">
        <v>450000</v>
      </c>
      <c r="H102" s="116"/>
      <c r="I102" s="116">
        <v>460000</v>
      </c>
      <c r="J102" s="116">
        <v>470000</v>
      </c>
      <c r="K102" s="116">
        <v>520000</v>
      </c>
      <c r="L102" s="116">
        <v>520000</v>
      </c>
      <c r="M102" s="116">
        <v>520000</v>
      </c>
      <c r="N102" s="116">
        <v>560000</v>
      </c>
      <c r="O102" s="116"/>
      <c r="P102" s="116"/>
    </row>
    <row r="103" spans="1:40" x14ac:dyDescent="0.15">
      <c r="A103" s="21" t="s">
        <v>384</v>
      </c>
      <c r="B103" s="116"/>
      <c r="C103" s="116"/>
      <c r="D103" s="116"/>
      <c r="E103" s="116"/>
      <c r="F103" s="116">
        <v>0</v>
      </c>
      <c r="G103" s="116">
        <v>3107000</v>
      </c>
      <c r="H103" s="116"/>
      <c r="I103" s="116">
        <v>3607000</v>
      </c>
      <c r="J103" s="116">
        <v>3607000</v>
      </c>
      <c r="K103" s="116">
        <v>3607000</v>
      </c>
      <c r="L103" s="116">
        <v>4092000</v>
      </c>
      <c r="M103" s="116">
        <v>4576968</v>
      </c>
      <c r="N103" s="116">
        <v>4848968</v>
      </c>
      <c r="O103" s="116"/>
      <c r="P103" s="116"/>
    </row>
    <row r="104" spans="1:40" x14ac:dyDescent="0.15">
      <c r="A104" s="21" t="s">
        <v>385</v>
      </c>
      <c r="B104" s="116"/>
      <c r="C104" s="116"/>
      <c r="D104" s="116"/>
      <c r="E104" s="116"/>
      <c r="F104" s="116">
        <v>238112</v>
      </c>
      <c r="G104" s="116">
        <v>302587</v>
      </c>
      <c r="H104" s="116"/>
      <c r="I104" s="116">
        <v>393240</v>
      </c>
      <c r="J104" s="116">
        <v>771613</v>
      </c>
      <c r="K104" s="116">
        <v>851868</v>
      </c>
      <c r="L104" s="116">
        <v>979345</v>
      </c>
      <c r="M104" s="116">
        <v>1020910</v>
      </c>
      <c r="N104" s="116">
        <v>1067280</v>
      </c>
      <c r="O104" s="116"/>
      <c r="P104" s="116"/>
    </row>
    <row r="105" spans="1:40" x14ac:dyDescent="0.15">
      <c r="A105" s="21" t="s">
        <v>388</v>
      </c>
      <c r="F105" s="116">
        <v>73</v>
      </c>
      <c r="G105" s="116">
        <v>74</v>
      </c>
      <c r="I105" s="116">
        <v>80</v>
      </c>
      <c r="J105" s="116">
        <v>80</v>
      </c>
      <c r="K105" s="116">
        <v>80</v>
      </c>
      <c r="L105" s="116">
        <v>80</v>
      </c>
      <c r="M105" s="116">
        <v>156</v>
      </c>
      <c r="N105" s="116">
        <v>157</v>
      </c>
    </row>
    <row r="107" spans="1:40" x14ac:dyDescent="0.15">
      <c r="A107" s="6" t="s">
        <v>100</v>
      </c>
      <c r="B107" s="116"/>
      <c r="C107" s="116"/>
      <c r="D107" s="116"/>
      <c r="E107" s="116"/>
      <c r="F107" s="116">
        <v>1850000</v>
      </c>
      <c r="G107" s="116">
        <v>2220000</v>
      </c>
      <c r="H107" s="116"/>
      <c r="I107" s="116">
        <v>2590000</v>
      </c>
      <c r="J107" s="116">
        <v>2960000</v>
      </c>
      <c r="K107" s="116">
        <v>3330000</v>
      </c>
      <c r="L107" s="116">
        <v>3700000</v>
      </c>
      <c r="M107" s="116">
        <v>4070000</v>
      </c>
      <c r="N107" s="116">
        <v>4440000</v>
      </c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</row>
    <row r="108" spans="1:40" x14ac:dyDescent="0.15">
      <c r="A108" s="6" t="s">
        <v>101</v>
      </c>
      <c r="B108" s="116"/>
      <c r="C108" s="116"/>
      <c r="D108" s="116"/>
      <c r="E108" s="116"/>
      <c r="F108" s="116">
        <v>54715537</v>
      </c>
      <c r="G108" s="116">
        <v>64010083</v>
      </c>
      <c r="H108" s="116"/>
      <c r="I108" s="116">
        <v>73300536</v>
      </c>
      <c r="J108" s="116">
        <v>82493551</v>
      </c>
      <c r="K108" s="116">
        <v>100103909</v>
      </c>
      <c r="L108" s="116">
        <v>108781517</v>
      </c>
      <c r="M108" s="116">
        <v>117732558</v>
      </c>
      <c r="N108" s="116">
        <v>126503416</v>
      </c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</row>
    <row r="109" spans="1:40" x14ac:dyDescent="0.15">
      <c r="A109" s="6" t="s">
        <v>102</v>
      </c>
      <c r="B109" s="116"/>
      <c r="C109" s="116"/>
      <c r="D109" s="116"/>
      <c r="E109" s="116"/>
      <c r="F109" s="116">
        <v>5931410</v>
      </c>
      <c r="G109" s="116">
        <v>7292760</v>
      </c>
      <c r="H109" s="116"/>
      <c r="I109" s="116">
        <v>8546660</v>
      </c>
      <c r="J109" s="116">
        <v>9871160</v>
      </c>
      <c r="K109" s="116">
        <v>11126860</v>
      </c>
      <c r="L109" s="116">
        <v>12332260</v>
      </c>
      <c r="M109" s="116">
        <v>13632710</v>
      </c>
      <c r="N109" s="116">
        <v>14862060</v>
      </c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</row>
    <row r="110" spans="1:40" x14ac:dyDescent="0.15">
      <c r="A110" s="6" t="s">
        <v>19</v>
      </c>
      <c r="B110" s="116"/>
      <c r="C110" s="116"/>
      <c r="D110" s="116"/>
      <c r="E110" s="116"/>
      <c r="F110" s="116">
        <v>6311546</v>
      </c>
      <c r="G110" s="116">
        <v>7335852</v>
      </c>
      <c r="H110" s="116"/>
      <c r="I110" s="116">
        <v>8535409</v>
      </c>
      <c r="J110" s="116">
        <v>9668188</v>
      </c>
      <c r="K110" s="116">
        <v>10752245</v>
      </c>
      <c r="L110" s="116">
        <v>11991988</v>
      </c>
      <c r="M110" s="116">
        <v>14010080</v>
      </c>
      <c r="N110" s="116">
        <v>15064489</v>
      </c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</row>
    <row r="111" spans="1:40" x14ac:dyDescent="0.15">
      <c r="A111" s="26" t="s">
        <v>389</v>
      </c>
      <c r="B111" s="116"/>
      <c r="C111" s="121"/>
      <c r="D111" s="121"/>
      <c r="E111" s="121"/>
      <c r="F111" s="121"/>
      <c r="G111" s="121"/>
      <c r="H111" s="121"/>
      <c r="I111" s="121"/>
      <c r="J111" s="121">
        <v>8655600</v>
      </c>
      <c r="K111" s="116">
        <v>8655600</v>
      </c>
      <c r="L111" s="116">
        <v>8655600</v>
      </c>
      <c r="M111" s="116">
        <v>8655600</v>
      </c>
      <c r="N111" s="116">
        <v>8655600</v>
      </c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</row>
    <row r="112" spans="1:40" x14ac:dyDescent="0.15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</row>
    <row r="113" spans="1:40" x14ac:dyDescent="0.15">
      <c r="A113" s="6" t="s">
        <v>21</v>
      </c>
      <c r="B113" s="116"/>
      <c r="C113" s="116"/>
      <c r="D113" s="116"/>
      <c r="E113" s="116"/>
      <c r="F113" s="116">
        <v>1703523</v>
      </c>
      <c r="G113" s="116">
        <v>2023703</v>
      </c>
      <c r="H113" s="116"/>
      <c r="I113" s="116">
        <v>2321883</v>
      </c>
      <c r="J113" s="116">
        <v>2633289</v>
      </c>
      <c r="K113" s="116">
        <v>2908089</v>
      </c>
      <c r="L113" s="116">
        <v>3247089</v>
      </c>
      <c r="M113" s="116">
        <v>3735976</v>
      </c>
      <c r="N113" s="116">
        <v>4384618</v>
      </c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</row>
    <row r="114" spans="1:40" x14ac:dyDescent="0.15">
      <c r="A114" s="6" t="s">
        <v>22</v>
      </c>
      <c r="B114" s="116"/>
      <c r="C114" s="116"/>
      <c r="D114" s="116"/>
      <c r="E114" s="116"/>
      <c r="F114" s="116">
        <v>0</v>
      </c>
      <c r="G114" s="116">
        <v>0</v>
      </c>
      <c r="H114" s="116"/>
      <c r="I114" s="116">
        <v>0</v>
      </c>
      <c r="J114" s="116">
        <v>0</v>
      </c>
      <c r="K114" s="116">
        <v>0</v>
      </c>
      <c r="L114" s="116">
        <v>0</v>
      </c>
      <c r="M114" s="116">
        <v>0</v>
      </c>
      <c r="N114" s="116">
        <v>0</v>
      </c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</row>
    <row r="115" spans="1:40" x14ac:dyDescent="0.15">
      <c r="A115" s="6" t="s">
        <v>103</v>
      </c>
      <c r="B115" s="116"/>
      <c r="C115" s="116"/>
      <c r="D115" s="116"/>
      <c r="E115" s="116"/>
      <c r="F115" s="116">
        <v>378763</v>
      </c>
      <c r="G115" s="116">
        <v>439914</v>
      </c>
      <c r="H115" s="116"/>
      <c r="I115" s="116">
        <v>450654</v>
      </c>
      <c r="J115" s="116">
        <v>583234</v>
      </c>
      <c r="K115" s="116">
        <v>596519</v>
      </c>
      <c r="L115" s="116">
        <v>677966</v>
      </c>
      <c r="M115" s="116">
        <v>751325</v>
      </c>
      <c r="N115" s="116">
        <v>905906</v>
      </c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</row>
    <row r="116" spans="1:40" x14ac:dyDescent="0.15">
      <c r="A116" s="6" t="s">
        <v>24</v>
      </c>
      <c r="B116" s="116"/>
      <c r="C116" s="116"/>
      <c r="D116" s="116"/>
      <c r="E116" s="116"/>
      <c r="F116" s="116">
        <v>136019</v>
      </c>
      <c r="G116" s="116">
        <v>164570</v>
      </c>
      <c r="H116" s="116"/>
      <c r="I116" s="116">
        <v>180461</v>
      </c>
      <c r="J116" s="116">
        <v>200628</v>
      </c>
      <c r="K116" s="116">
        <v>233332</v>
      </c>
      <c r="L116" s="116">
        <v>249846</v>
      </c>
      <c r="M116" s="116">
        <v>285990</v>
      </c>
      <c r="N116" s="116">
        <v>306862</v>
      </c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</row>
    <row r="117" spans="1:40" x14ac:dyDescent="0.15">
      <c r="A117" s="6" t="s">
        <v>104</v>
      </c>
      <c r="B117" s="116"/>
      <c r="C117" s="116"/>
      <c r="D117" s="116"/>
      <c r="E117" s="116"/>
      <c r="F117" s="116">
        <v>207030</v>
      </c>
      <c r="G117" s="116">
        <v>219030</v>
      </c>
      <c r="H117" s="116"/>
      <c r="I117" s="116">
        <v>966595</v>
      </c>
      <c r="J117" s="116">
        <v>1488339</v>
      </c>
      <c r="K117" s="116">
        <v>1506738</v>
      </c>
      <c r="L117" s="116">
        <v>1506738</v>
      </c>
      <c r="M117" s="116">
        <v>1768268</v>
      </c>
      <c r="N117" s="116">
        <v>1625848</v>
      </c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</row>
    <row r="118" spans="1:40" x14ac:dyDescent="0.15">
      <c r="A118" s="6" t="s">
        <v>105</v>
      </c>
      <c r="B118" s="116"/>
      <c r="C118" s="116"/>
      <c r="D118" s="116"/>
      <c r="E118" s="116"/>
      <c r="F118" s="116">
        <v>62100</v>
      </c>
      <c r="G118" s="116">
        <v>62100</v>
      </c>
      <c r="H118" s="116"/>
      <c r="I118" s="116">
        <v>94500</v>
      </c>
      <c r="J118" s="116">
        <v>94500</v>
      </c>
      <c r="K118" s="116">
        <v>94500</v>
      </c>
      <c r="L118" s="116">
        <v>94500</v>
      </c>
      <c r="M118" s="116">
        <v>94500</v>
      </c>
      <c r="N118" s="116">
        <v>94500</v>
      </c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</row>
    <row r="119" spans="1:40" x14ac:dyDescent="0.15">
      <c r="A119" s="6" t="s">
        <v>106</v>
      </c>
      <c r="B119" s="116"/>
      <c r="C119" s="116"/>
      <c r="D119" s="116"/>
      <c r="E119" s="116"/>
      <c r="F119" s="116">
        <v>421782</v>
      </c>
      <c r="G119" s="116">
        <v>508125</v>
      </c>
      <c r="H119" s="116"/>
      <c r="I119" s="116">
        <v>600535</v>
      </c>
      <c r="J119" s="116">
        <v>682246</v>
      </c>
      <c r="K119" s="116">
        <v>760846</v>
      </c>
      <c r="L119" s="116">
        <v>848891</v>
      </c>
      <c r="M119" s="116">
        <v>956807</v>
      </c>
      <c r="N119" s="116">
        <v>1022241</v>
      </c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</row>
    <row r="120" spans="1:40" x14ac:dyDescent="0.15">
      <c r="A120" s="6" t="s">
        <v>28</v>
      </c>
      <c r="B120" s="116"/>
      <c r="C120" s="116"/>
      <c r="D120" s="116"/>
      <c r="E120" s="116"/>
      <c r="F120" s="116">
        <v>123438</v>
      </c>
      <c r="G120" s="116">
        <v>135584</v>
      </c>
      <c r="H120" s="116"/>
      <c r="I120" s="116">
        <v>147730</v>
      </c>
      <c r="J120" s="116">
        <v>182624</v>
      </c>
      <c r="K120" s="116">
        <v>208700</v>
      </c>
      <c r="L120" s="116">
        <v>220846</v>
      </c>
      <c r="M120" s="116">
        <v>232992</v>
      </c>
      <c r="N120" s="116">
        <v>245138</v>
      </c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</row>
    <row r="121" spans="1:40" x14ac:dyDescent="0.15">
      <c r="A121" s="6" t="s">
        <v>107</v>
      </c>
      <c r="B121" s="116"/>
      <c r="C121" s="116"/>
      <c r="D121" s="116"/>
      <c r="E121" s="116"/>
      <c r="F121" s="116">
        <v>75200</v>
      </c>
      <c r="G121" s="116">
        <v>78200</v>
      </c>
      <c r="H121" s="116"/>
      <c r="I121" s="116">
        <v>91200</v>
      </c>
      <c r="J121" s="116">
        <v>97000</v>
      </c>
      <c r="K121" s="116">
        <v>115400</v>
      </c>
      <c r="L121" s="116">
        <v>136800</v>
      </c>
      <c r="M121" s="116">
        <v>161200</v>
      </c>
      <c r="N121" s="116">
        <v>161600</v>
      </c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</row>
    <row r="122" spans="1:40" x14ac:dyDescent="0.15">
      <c r="A122" s="6" t="s">
        <v>27</v>
      </c>
      <c r="B122" s="116"/>
      <c r="C122" s="116"/>
      <c r="D122" s="116"/>
      <c r="E122" s="116"/>
      <c r="F122" s="116">
        <v>65560</v>
      </c>
      <c r="G122" s="116">
        <v>65560</v>
      </c>
      <c r="H122" s="116"/>
      <c r="I122" s="116">
        <v>65560</v>
      </c>
      <c r="J122" s="116">
        <v>109560</v>
      </c>
      <c r="K122" s="116">
        <v>109560</v>
      </c>
      <c r="L122" s="116">
        <v>120560</v>
      </c>
      <c r="M122" s="116">
        <v>131560</v>
      </c>
      <c r="N122" s="116">
        <v>131560</v>
      </c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</row>
    <row r="123" spans="1:40" x14ac:dyDescent="0.15">
      <c r="A123" s="6" t="s">
        <v>32</v>
      </c>
      <c r="B123" s="116"/>
      <c r="C123" s="116"/>
      <c r="D123" s="116"/>
      <c r="E123" s="116"/>
      <c r="F123" s="116">
        <v>2416504</v>
      </c>
      <c r="G123" s="116">
        <v>2882549</v>
      </c>
      <c r="H123" s="116"/>
      <c r="I123" s="116">
        <v>3166891</v>
      </c>
      <c r="J123" s="116">
        <v>3656620</v>
      </c>
      <c r="K123" s="116">
        <v>3862585</v>
      </c>
      <c r="L123" s="116">
        <v>4238338</v>
      </c>
      <c r="M123" s="116">
        <v>4474771</v>
      </c>
      <c r="N123" s="116">
        <v>5389463</v>
      </c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</row>
    <row r="124" spans="1:40" x14ac:dyDescent="0.15">
      <c r="A124" s="6" t="s">
        <v>108</v>
      </c>
      <c r="B124" s="116"/>
      <c r="C124" s="116"/>
      <c r="D124" s="116"/>
      <c r="E124" s="116"/>
      <c r="F124" s="116">
        <v>60500</v>
      </c>
      <c r="G124" s="116">
        <v>69380</v>
      </c>
      <c r="H124" s="116"/>
      <c r="I124" s="116">
        <v>78380</v>
      </c>
      <c r="J124" s="116">
        <v>94480</v>
      </c>
      <c r="K124" s="116">
        <v>94480</v>
      </c>
      <c r="L124" s="116">
        <v>112200</v>
      </c>
      <c r="M124" s="116">
        <v>116200</v>
      </c>
      <c r="N124" s="116">
        <v>118200</v>
      </c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</row>
    <row r="125" spans="1:40" x14ac:dyDescent="0.15">
      <c r="A125" s="6" t="s">
        <v>34</v>
      </c>
      <c r="B125" s="116"/>
      <c r="C125" s="116"/>
      <c r="D125" s="116"/>
      <c r="E125" s="116"/>
      <c r="F125" s="116">
        <v>57600</v>
      </c>
      <c r="G125" s="116">
        <v>57600</v>
      </c>
      <c r="H125" s="116"/>
      <c r="I125" s="116">
        <v>57600</v>
      </c>
      <c r="J125" s="116">
        <v>57600</v>
      </c>
      <c r="K125" s="116">
        <v>57600</v>
      </c>
      <c r="L125" s="116">
        <v>57600</v>
      </c>
      <c r="M125" s="116">
        <v>77600</v>
      </c>
      <c r="N125" s="116">
        <v>80600</v>
      </c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</row>
    <row r="126" spans="1:40" x14ac:dyDescent="0.15">
      <c r="A126" s="6" t="s">
        <v>109</v>
      </c>
      <c r="B126" s="116"/>
      <c r="C126" s="116"/>
      <c r="D126" s="116"/>
      <c r="E126" s="116"/>
      <c r="F126" s="116">
        <v>2189682</v>
      </c>
      <c r="G126" s="116">
        <v>2967581</v>
      </c>
      <c r="H126" s="116"/>
      <c r="I126" s="116">
        <v>3425768</v>
      </c>
      <c r="J126" s="116">
        <v>3873396</v>
      </c>
      <c r="K126" s="116">
        <v>4378127</v>
      </c>
      <c r="L126" s="116">
        <v>4698524</v>
      </c>
      <c r="M126" s="116">
        <v>5058624</v>
      </c>
      <c r="N126" s="116">
        <v>5375016</v>
      </c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</row>
    <row r="127" spans="1:40" x14ac:dyDescent="0.15">
      <c r="A127" s="6" t="s">
        <v>35</v>
      </c>
      <c r="B127" s="116"/>
      <c r="C127" s="116"/>
      <c r="D127" s="116"/>
      <c r="E127" s="116"/>
      <c r="F127" s="116">
        <v>39723</v>
      </c>
      <c r="G127" s="116">
        <v>47040</v>
      </c>
      <c r="H127" s="116"/>
      <c r="I127" s="116">
        <v>57067</v>
      </c>
      <c r="J127" s="116">
        <v>80597</v>
      </c>
      <c r="K127" s="116">
        <v>94833</v>
      </c>
      <c r="L127" s="116">
        <v>97033</v>
      </c>
      <c r="M127" s="116">
        <v>109485</v>
      </c>
      <c r="N127" s="116">
        <v>117955</v>
      </c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</row>
    <row r="128" spans="1:40" x14ac:dyDescent="0.15">
      <c r="A128" s="6" t="s">
        <v>110</v>
      </c>
      <c r="B128" s="116"/>
      <c r="C128" s="116"/>
      <c r="D128" s="116"/>
      <c r="E128" s="116"/>
      <c r="F128" s="116">
        <v>248532</v>
      </c>
      <c r="G128" s="116">
        <v>278992</v>
      </c>
      <c r="H128" s="116"/>
      <c r="I128" s="116">
        <v>324812</v>
      </c>
      <c r="J128" s="116">
        <v>324812</v>
      </c>
      <c r="K128" s="116">
        <v>324812</v>
      </c>
      <c r="L128" s="116">
        <v>883842</v>
      </c>
      <c r="M128" s="116">
        <v>858112</v>
      </c>
      <c r="N128" s="116">
        <v>880612</v>
      </c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</row>
    <row r="129" spans="1:40" x14ac:dyDescent="0.15">
      <c r="A129" s="6" t="s">
        <v>111</v>
      </c>
      <c r="B129" s="116"/>
      <c r="C129" s="116"/>
      <c r="D129" s="116"/>
      <c r="E129" s="116"/>
      <c r="F129" s="116">
        <v>1944544</v>
      </c>
      <c r="G129" s="116">
        <v>2628265</v>
      </c>
      <c r="H129" s="116"/>
      <c r="I129" s="116">
        <v>3128119</v>
      </c>
      <c r="J129" s="116">
        <v>3552059</v>
      </c>
      <c r="K129" s="116">
        <v>4027537</v>
      </c>
      <c r="L129" s="116">
        <v>4945288</v>
      </c>
      <c r="M129" s="116">
        <v>5622846</v>
      </c>
      <c r="N129" s="116">
        <v>6168210</v>
      </c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</row>
    <row r="130" spans="1:40" x14ac:dyDescent="0.15">
      <c r="A130" s="6" t="s">
        <v>112</v>
      </c>
      <c r="B130" s="116"/>
      <c r="C130" s="116"/>
      <c r="D130" s="116"/>
      <c r="E130" s="116"/>
      <c r="F130" s="116">
        <v>156200</v>
      </c>
      <c r="G130" s="116">
        <v>156200</v>
      </c>
      <c r="H130" s="116"/>
      <c r="I130" s="116">
        <v>156200</v>
      </c>
      <c r="J130" s="116">
        <v>243100</v>
      </c>
      <c r="K130" s="116">
        <v>1475100</v>
      </c>
      <c r="L130" s="116">
        <v>1475100</v>
      </c>
      <c r="M130" s="116">
        <v>1475100</v>
      </c>
      <c r="N130" s="116">
        <v>1475100</v>
      </c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</row>
    <row r="131" spans="1:40" x14ac:dyDescent="0.15">
      <c r="A131" s="6" t="s">
        <v>113</v>
      </c>
      <c r="B131" s="116"/>
      <c r="C131" s="116"/>
      <c r="D131" s="116"/>
      <c r="E131" s="116"/>
      <c r="F131" s="116">
        <v>1828307</v>
      </c>
      <c r="G131" s="116">
        <v>2323215</v>
      </c>
      <c r="H131" s="116"/>
      <c r="I131" s="116">
        <v>2745890</v>
      </c>
      <c r="J131" s="116">
        <v>3134180</v>
      </c>
      <c r="K131" s="116">
        <v>3513747</v>
      </c>
      <c r="L131" s="116">
        <v>3881434</v>
      </c>
      <c r="M131" s="116">
        <v>4143925</v>
      </c>
      <c r="N131" s="116">
        <v>4508286</v>
      </c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</row>
    <row r="132" spans="1:40" x14ac:dyDescent="0.15">
      <c r="A132" s="6" t="s">
        <v>121</v>
      </c>
      <c r="B132" s="116"/>
      <c r="C132" s="116"/>
      <c r="D132" s="116"/>
      <c r="E132" s="116"/>
      <c r="F132" s="116">
        <v>1595000</v>
      </c>
      <c r="G132" s="116">
        <v>1890000</v>
      </c>
      <c r="H132" s="116"/>
      <c r="I132" s="116">
        <v>2185000</v>
      </c>
      <c r="J132" s="116">
        <v>2480000</v>
      </c>
      <c r="K132" s="116">
        <v>2775000</v>
      </c>
      <c r="L132" s="116">
        <v>3070000</v>
      </c>
      <c r="M132" s="116">
        <v>3365000</v>
      </c>
      <c r="N132" s="116">
        <v>3660000</v>
      </c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</row>
    <row r="133" spans="1:40" x14ac:dyDescent="0.15">
      <c r="A133" s="6" t="s">
        <v>122</v>
      </c>
      <c r="B133" s="116"/>
      <c r="C133" s="116"/>
      <c r="D133" s="116"/>
      <c r="E133" s="116"/>
      <c r="F133" s="116">
        <v>529358</v>
      </c>
      <c r="G133" s="116">
        <v>529808</v>
      </c>
      <c r="H133" s="116"/>
      <c r="I133" s="116">
        <v>510008</v>
      </c>
      <c r="J133" s="116">
        <v>510008</v>
      </c>
      <c r="K133" s="116">
        <v>563008</v>
      </c>
      <c r="L133" s="116">
        <v>563008</v>
      </c>
      <c r="M133" s="116">
        <v>563017</v>
      </c>
      <c r="N133" s="116">
        <v>616457</v>
      </c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</row>
    <row r="134" spans="1:40" x14ac:dyDescent="0.15">
      <c r="A134" s="6" t="s">
        <v>37</v>
      </c>
      <c r="B134" s="116"/>
      <c r="C134" s="116"/>
      <c r="D134" s="116"/>
      <c r="E134" s="116"/>
      <c r="F134" s="116">
        <v>456905</v>
      </c>
      <c r="G134" s="116">
        <v>974095</v>
      </c>
      <c r="H134" s="116"/>
      <c r="I134" s="116">
        <v>983775</v>
      </c>
      <c r="J134" s="116">
        <v>1140036</v>
      </c>
      <c r="K134" s="116">
        <v>1340525</v>
      </c>
      <c r="L134" s="116">
        <v>1350205</v>
      </c>
      <c r="M134" s="116">
        <v>1400962</v>
      </c>
      <c r="N134" s="116">
        <v>1633024</v>
      </c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</row>
    <row r="135" spans="1:40" x14ac:dyDescent="0.15">
      <c r="A135" s="6" t="s">
        <v>114</v>
      </c>
      <c r="B135" s="116"/>
      <c r="C135" s="116"/>
      <c r="D135" s="116"/>
      <c r="E135" s="116"/>
      <c r="F135" s="116">
        <v>0</v>
      </c>
      <c r="G135" s="116">
        <v>12374</v>
      </c>
      <c r="H135" s="116"/>
      <c r="I135" s="116">
        <v>49499</v>
      </c>
      <c r="J135" s="116">
        <v>280499</v>
      </c>
      <c r="K135" s="116">
        <v>283999</v>
      </c>
      <c r="L135" s="116">
        <v>292281</v>
      </c>
      <c r="M135" s="116">
        <v>294970</v>
      </c>
      <c r="N135" s="116">
        <v>294970</v>
      </c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</row>
    <row r="136" spans="1:40" x14ac:dyDescent="0.15">
      <c r="A136" s="53" t="s">
        <v>115</v>
      </c>
      <c r="B136" s="116"/>
      <c r="C136" s="116"/>
      <c r="D136" s="116"/>
      <c r="E136" s="116"/>
      <c r="F136" s="116">
        <v>1862699</v>
      </c>
      <c r="G136" s="116">
        <v>2292578</v>
      </c>
      <c r="H136" s="116"/>
      <c r="I136" s="116">
        <v>3076195</v>
      </c>
      <c r="J136" s="116">
        <v>3609323</v>
      </c>
      <c r="K136" s="116">
        <v>3986009</v>
      </c>
      <c r="L136" s="116">
        <v>4374623</v>
      </c>
      <c r="M136" s="116">
        <v>4718484</v>
      </c>
      <c r="N136" s="116">
        <v>5396578</v>
      </c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</row>
    <row r="137" spans="1:40" x14ac:dyDescent="0.15">
      <c r="A137" s="6" t="s">
        <v>46</v>
      </c>
      <c r="B137" s="116"/>
      <c r="C137" s="116"/>
      <c r="D137" s="116"/>
      <c r="E137" s="116"/>
      <c r="F137" s="116">
        <v>0</v>
      </c>
      <c r="G137" s="116">
        <v>2378535</v>
      </c>
      <c r="H137" s="116"/>
      <c r="I137" s="116">
        <v>2378535</v>
      </c>
      <c r="J137" s="116">
        <v>2378535</v>
      </c>
      <c r="K137" s="116">
        <v>2378535</v>
      </c>
      <c r="L137" s="116">
        <v>2378535</v>
      </c>
      <c r="M137" s="116">
        <v>2378535</v>
      </c>
      <c r="N137" s="116">
        <v>4798874</v>
      </c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</row>
    <row r="139" spans="1:40" x14ac:dyDescent="0.15">
      <c r="A139" s="6" t="s">
        <v>380</v>
      </c>
      <c r="F139" s="116">
        <v>0</v>
      </c>
      <c r="G139" s="116">
        <v>0</v>
      </c>
      <c r="I139" s="116">
        <v>0</v>
      </c>
      <c r="J139" s="116">
        <v>0</v>
      </c>
      <c r="K139" s="116">
        <v>0</v>
      </c>
      <c r="L139" s="116">
        <v>0</v>
      </c>
      <c r="M139" s="116">
        <v>0</v>
      </c>
      <c r="N139" s="116">
        <v>0</v>
      </c>
    </row>
    <row r="140" spans="1:40" x14ac:dyDescent="0.15">
      <c r="A140" s="6" t="s">
        <v>381</v>
      </c>
      <c r="F140" s="116">
        <v>53318</v>
      </c>
      <c r="G140" s="116">
        <v>63204</v>
      </c>
      <c r="I140" s="116">
        <v>72425</v>
      </c>
      <c r="J140" s="116">
        <v>81301</v>
      </c>
      <c r="K140" s="116">
        <v>90116</v>
      </c>
      <c r="L140" s="116">
        <v>98575</v>
      </c>
      <c r="M140" s="116">
        <v>105893</v>
      </c>
      <c r="N140" s="116">
        <v>113888</v>
      </c>
    </row>
    <row r="141" spans="1:40" x14ac:dyDescent="0.15">
      <c r="A141" s="6" t="s">
        <v>382</v>
      </c>
      <c r="F141" s="116">
        <v>5500</v>
      </c>
      <c r="G141" s="116">
        <v>5500</v>
      </c>
      <c r="I141" s="116">
        <v>328538</v>
      </c>
      <c r="J141" s="116">
        <v>328538</v>
      </c>
      <c r="K141" s="116">
        <v>444864</v>
      </c>
      <c r="L141" s="116">
        <v>444865</v>
      </c>
      <c r="M141" s="116">
        <v>445365</v>
      </c>
      <c r="N141" s="116">
        <v>501570</v>
      </c>
    </row>
  </sheetData>
  <mergeCells count="4">
    <mergeCell ref="Q72:R72"/>
    <mergeCell ref="Q73:R73"/>
    <mergeCell ref="Q74:R74"/>
    <mergeCell ref="Q75:R75"/>
  </mergeCells>
  <phoneticPr fontId="3"/>
  <pageMargins left="0.51181102362204722" right="0.19685039370078741" top="0" bottom="0" header="0.23622047244094491" footer="0.27559055118110237"/>
  <pageSetup paperSize="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998A-AFB7-41D1-BFB1-60611E09A29D}">
  <dimension ref="A1:AN141"/>
  <sheetViews>
    <sheetView topLeftCell="A34" zoomScale="70" zoomScaleNormal="70" workbookViewId="0">
      <pane xSplit="1" topLeftCell="B1" activePane="topRight" state="frozen"/>
      <selection activeCell="A10" sqref="A10"/>
      <selection pane="topRight" activeCell="G112" sqref="G112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12" t="s">
        <v>391</v>
      </c>
      <c r="D1" s="112"/>
      <c r="E1" s="112"/>
      <c r="F1" s="112"/>
      <c r="G1" s="112"/>
      <c r="H1" s="112"/>
    </row>
    <row r="2" spans="1:16" ht="12" customHeight="1" x14ac:dyDescent="0.15">
      <c r="A2" s="26" t="s">
        <v>43</v>
      </c>
      <c r="B2" s="45" t="s">
        <v>392</v>
      </c>
      <c r="C2" s="26" t="s">
        <v>393</v>
      </c>
      <c r="D2" s="45" t="s">
        <v>394</v>
      </c>
      <c r="E2" s="26" t="s">
        <v>395</v>
      </c>
      <c r="F2" s="45" t="s">
        <v>396</v>
      </c>
      <c r="G2" s="26" t="s">
        <v>397</v>
      </c>
      <c r="H2" s="26" t="s">
        <v>39</v>
      </c>
      <c r="I2" s="26" t="s">
        <v>398</v>
      </c>
      <c r="J2" s="26" t="s">
        <v>399</v>
      </c>
      <c r="K2" s="26" t="s">
        <v>400</v>
      </c>
      <c r="L2" s="26" t="s">
        <v>401</v>
      </c>
      <c r="M2" s="26" t="s">
        <v>402</v>
      </c>
      <c r="N2" s="26" t="s">
        <v>403</v>
      </c>
      <c r="O2" s="26" t="s">
        <v>41</v>
      </c>
      <c r="P2" s="26" t="s">
        <v>42</v>
      </c>
    </row>
    <row r="3" spans="1:16" ht="12" customHeight="1" x14ac:dyDescent="0.15">
      <c r="A3" s="24" t="s">
        <v>259</v>
      </c>
      <c r="B3" s="113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12" customHeight="1" x14ac:dyDescent="0.15">
      <c r="A4" s="24" t="s">
        <v>0</v>
      </c>
      <c r="B4" s="114">
        <f>SUM(B5:B7)</f>
        <v>85000</v>
      </c>
      <c r="C4" s="114">
        <f t="shared" ref="C4:N4" si="0">SUM(C5:C7)</f>
        <v>33000</v>
      </c>
      <c r="D4" s="114">
        <f t="shared" si="0"/>
        <v>8000</v>
      </c>
      <c r="E4" s="114">
        <f t="shared" si="0"/>
        <v>1000</v>
      </c>
      <c r="F4" s="114">
        <f t="shared" si="0"/>
        <v>2000</v>
      </c>
      <c r="G4" s="114">
        <f t="shared" si="0"/>
        <v>4000</v>
      </c>
      <c r="H4" s="114">
        <f t="shared" ref="H4:H34" si="1">SUM(B4:G4)</f>
        <v>133000</v>
      </c>
      <c r="I4" s="114">
        <f>SUM(I5:I7)</f>
        <v>1000</v>
      </c>
      <c r="J4" s="114">
        <f t="shared" si="0"/>
        <v>6000</v>
      </c>
      <c r="K4" s="114">
        <f t="shared" si="0"/>
        <v>3000</v>
      </c>
      <c r="L4" s="114">
        <f>SUM(L5:L7)</f>
        <v>2000</v>
      </c>
      <c r="M4" s="114">
        <f>SUM(M5:M7)</f>
        <v>0</v>
      </c>
      <c r="N4" s="114">
        <f t="shared" si="0"/>
        <v>1000</v>
      </c>
      <c r="O4" s="114">
        <f>SUM(I4:N4)</f>
        <v>13000</v>
      </c>
      <c r="P4" s="114">
        <f>H4+O4</f>
        <v>146000</v>
      </c>
    </row>
    <row r="5" spans="1:16" ht="12" customHeight="1" x14ac:dyDescent="0.15">
      <c r="A5" s="21" t="s">
        <v>1</v>
      </c>
      <c r="B5" s="111">
        <f>75000</f>
        <v>75000</v>
      </c>
      <c r="C5" s="111">
        <f t="shared" ref="C5:G7" si="2">C76-B76</f>
        <v>0</v>
      </c>
      <c r="D5" s="111">
        <f t="shared" si="2"/>
        <v>1000</v>
      </c>
      <c r="E5" s="111">
        <f t="shared" si="2"/>
        <v>0</v>
      </c>
      <c r="F5" s="111">
        <f t="shared" si="2"/>
        <v>2000</v>
      </c>
      <c r="G5" s="111">
        <f t="shared" si="2"/>
        <v>1000</v>
      </c>
      <c r="H5" s="111">
        <f t="shared" si="1"/>
        <v>79000</v>
      </c>
      <c r="I5" s="111">
        <f>I76-G76</f>
        <v>0</v>
      </c>
      <c r="J5" s="111">
        <f t="shared" ref="J5:N7" si="3">J76-I76</f>
        <v>1000</v>
      </c>
      <c r="K5" s="111">
        <f t="shared" si="3"/>
        <v>0</v>
      </c>
      <c r="L5" s="111">
        <f t="shared" si="3"/>
        <v>0</v>
      </c>
      <c r="M5" s="111">
        <f t="shared" si="3"/>
        <v>0</v>
      </c>
      <c r="N5" s="111">
        <f t="shared" si="3"/>
        <v>1000</v>
      </c>
      <c r="O5" s="111">
        <f t="shared" ref="O5:O74" si="4">SUM(I5:N5)</f>
        <v>2000</v>
      </c>
      <c r="P5" s="111">
        <f t="shared" ref="P5:P74" si="5">H5+O5</f>
        <v>81000</v>
      </c>
    </row>
    <row r="6" spans="1:16" ht="12" customHeight="1" x14ac:dyDescent="0.15">
      <c r="A6" s="21" t="s">
        <v>2</v>
      </c>
      <c r="B6" s="111">
        <f>7000</f>
        <v>7000</v>
      </c>
      <c r="C6" s="111">
        <f t="shared" si="2"/>
        <v>32000</v>
      </c>
      <c r="D6" s="111">
        <f t="shared" si="2"/>
        <v>5000</v>
      </c>
      <c r="E6" s="111">
        <f t="shared" si="2"/>
        <v>1000</v>
      </c>
      <c r="F6" s="111">
        <f t="shared" si="2"/>
        <v>0</v>
      </c>
      <c r="G6" s="111">
        <f t="shared" si="2"/>
        <v>2000</v>
      </c>
      <c r="H6" s="111">
        <f t="shared" si="1"/>
        <v>47000</v>
      </c>
      <c r="I6" s="111">
        <f>I77-G77</f>
        <v>1000</v>
      </c>
      <c r="J6" s="111">
        <f t="shared" si="3"/>
        <v>3000</v>
      </c>
      <c r="K6" s="111">
        <f t="shared" si="3"/>
        <v>2000</v>
      </c>
      <c r="L6" s="111">
        <f t="shared" si="3"/>
        <v>2000</v>
      </c>
      <c r="M6" s="111">
        <f t="shared" si="3"/>
        <v>0</v>
      </c>
      <c r="N6" s="111">
        <f t="shared" si="3"/>
        <v>0</v>
      </c>
      <c r="O6" s="111">
        <f t="shared" si="4"/>
        <v>8000</v>
      </c>
      <c r="P6" s="111">
        <f t="shared" si="5"/>
        <v>55000</v>
      </c>
    </row>
    <row r="7" spans="1:16" ht="12" customHeight="1" x14ac:dyDescent="0.15">
      <c r="A7" s="21" t="s">
        <v>3</v>
      </c>
      <c r="B7" s="111">
        <f>3000</f>
        <v>3000</v>
      </c>
      <c r="C7" s="111">
        <f t="shared" si="2"/>
        <v>1000</v>
      </c>
      <c r="D7" s="111">
        <f t="shared" si="2"/>
        <v>2000</v>
      </c>
      <c r="E7" s="111">
        <f t="shared" si="2"/>
        <v>0</v>
      </c>
      <c r="F7" s="111">
        <f t="shared" si="2"/>
        <v>0</v>
      </c>
      <c r="G7" s="111">
        <f t="shared" si="2"/>
        <v>1000</v>
      </c>
      <c r="H7" s="111">
        <f t="shared" si="1"/>
        <v>7000</v>
      </c>
      <c r="I7" s="111">
        <f>I78-G78</f>
        <v>0</v>
      </c>
      <c r="J7" s="111">
        <f t="shared" si="3"/>
        <v>2000</v>
      </c>
      <c r="K7" s="111">
        <f t="shared" si="3"/>
        <v>1000</v>
      </c>
      <c r="L7" s="111">
        <f t="shared" si="3"/>
        <v>0</v>
      </c>
      <c r="M7" s="111">
        <f t="shared" si="3"/>
        <v>0</v>
      </c>
      <c r="N7" s="111">
        <f t="shared" si="3"/>
        <v>0</v>
      </c>
      <c r="O7" s="111">
        <f t="shared" si="4"/>
        <v>3000</v>
      </c>
      <c r="P7" s="111">
        <f t="shared" si="5"/>
        <v>10000</v>
      </c>
    </row>
    <row r="8" spans="1:16" ht="12" customHeight="1" x14ac:dyDescent="0.15">
      <c r="A8" s="24" t="s">
        <v>4</v>
      </c>
      <c r="B8" s="114">
        <f t="shared" ref="B8:G8" si="6">SUM(B9:B29)</f>
        <v>17008310</v>
      </c>
      <c r="C8" s="114">
        <f t="shared" si="6"/>
        <v>16903830</v>
      </c>
      <c r="D8" s="114">
        <f t="shared" si="6"/>
        <v>16800010</v>
      </c>
      <c r="E8" s="114">
        <f t="shared" si="6"/>
        <v>19114370</v>
      </c>
      <c r="F8" s="114">
        <f t="shared" si="6"/>
        <v>17349090</v>
      </c>
      <c r="G8" s="114">
        <f t="shared" si="6"/>
        <v>17327650</v>
      </c>
      <c r="H8" s="114">
        <f t="shared" si="1"/>
        <v>104503260</v>
      </c>
      <c r="I8" s="114">
        <f t="shared" ref="I8:N8" si="7">SUM(I9:I29)</f>
        <v>18652540</v>
      </c>
      <c r="J8" s="114">
        <f t="shared" si="7"/>
        <v>17946620</v>
      </c>
      <c r="K8" s="114">
        <f t="shared" si="7"/>
        <v>16236900</v>
      </c>
      <c r="L8" s="114">
        <f t="shared" si="7"/>
        <v>15773770</v>
      </c>
      <c r="M8" s="114">
        <f t="shared" si="7"/>
        <v>15359990</v>
      </c>
      <c r="N8" s="114">
        <f t="shared" si="7"/>
        <v>18505310</v>
      </c>
      <c r="O8" s="114">
        <f t="shared" si="4"/>
        <v>102475130</v>
      </c>
      <c r="P8" s="114">
        <f t="shared" si="5"/>
        <v>206978390</v>
      </c>
    </row>
    <row r="9" spans="1:16" ht="12" customHeight="1" x14ac:dyDescent="0.15">
      <c r="A9" s="47" t="s">
        <v>94</v>
      </c>
      <c r="B9" s="111">
        <v>2958650</v>
      </c>
      <c r="C9" s="111">
        <f>C80-B80</f>
        <v>2910860</v>
      </c>
      <c r="D9" s="111">
        <f>D80-C80</f>
        <v>2833780</v>
      </c>
      <c r="E9" s="111">
        <f>E80-D80</f>
        <v>2708240</v>
      </c>
      <c r="F9" s="111">
        <f>F80-E80</f>
        <v>2635040</v>
      </c>
      <c r="G9" s="111">
        <f>G80-F80</f>
        <v>2761620</v>
      </c>
      <c r="H9" s="111">
        <f t="shared" si="1"/>
        <v>16808190</v>
      </c>
      <c r="I9" s="111">
        <f>I80-G80</f>
        <v>2678590</v>
      </c>
      <c r="J9" s="111">
        <f>J80-I80</f>
        <v>2600910</v>
      </c>
      <c r="K9" s="111">
        <f>K80-J80</f>
        <v>2586510</v>
      </c>
      <c r="L9" s="111">
        <f>L80-K80</f>
        <v>2633280</v>
      </c>
      <c r="M9" s="111">
        <f>M80-L80</f>
        <v>2562690</v>
      </c>
      <c r="N9" s="111">
        <f>N80-M80</f>
        <v>2597960</v>
      </c>
      <c r="O9" s="111">
        <f t="shared" si="4"/>
        <v>15659940</v>
      </c>
      <c r="P9" s="111">
        <f t="shared" si="5"/>
        <v>32468130</v>
      </c>
    </row>
    <row r="10" spans="1:16" ht="12" customHeight="1" x14ac:dyDescent="0.15">
      <c r="A10" s="48" t="s">
        <v>247</v>
      </c>
      <c r="B10" s="123">
        <f>17240</f>
        <v>17240</v>
      </c>
      <c r="C10" s="123">
        <f>55340-26480</f>
        <v>28860</v>
      </c>
      <c r="D10" s="123">
        <f>24950</f>
        <v>24950</v>
      </c>
      <c r="E10" s="123">
        <f>33730</f>
        <v>33730</v>
      </c>
      <c r="F10" s="123">
        <f>26340</f>
        <v>26340</v>
      </c>
      <c r="G10" s="123">
        <f>24950</f>
        <v>24950</v>
      </c>
      <c r="H10" s="111">
        <f t="shared" si="1"/>
        <v>156070</v>
      </c>
      <c r="I10" s="123">
        <f>21950</f>
        <v>21950</v>
      </c>
      <c r="J10" s="123">
        <f>21950</f>
        <v>21950</v>
      </c>
      <c r="K10" s="123">
        <f>21900</f>
        <v>21900</v>
      </c>
      <c r="L10" s="123">
        <f>21900</f>
        <v>21900</v>
      </c>
      <c r="M10" s="123">
        <f>21900</f>
        <v>21900</v>
      </c>
      <c r="N10" s="123">
        <f>21900</f>
        <v>21900</v>
      </c>
      <c r="O10" s="111">
        <f t="shared" si="4"/>
        <v>131500</v>
      </c>
      <c r="P10" s="111">
        <f t="shared" si="5"/>
        <v>287570</v>
      </c>
    </row>
    <row r="11" spans="1:16" ht="12" customHeight="1" x14ac:dyDescent="0.15">
      <c r="A11" s="48" t="s">
        <v>319</v>
      </c>
      <c r="B11" s="123">
        <v>9240</v>
      </c>
      <c r="C11" s="123">
        <f>21560</f>
        <v>21560</v>
      </c>
      <c r="D11" s="123">
        <f>24640</f>
        <v>24640</v>
      </c>
      <c r="E11" s="123">
        <f>27720</f>
        <v>27720</v>
      </c>
      <c r="F11" s="123">
        <f>9240</f>
        <v>9240</v>
      </c>
      <c r="G11" s="123">
        <f>30800</f>
        <v>30800</v>
      </c>
      <c r="H11" s="111">
        <f t="shared" si="1"/>
        <v>123200</v>
      </c>
      <c r="I11" s="123">
        <f>15400</f>
        <v>15400</v>
      </c>
      <c r="J11" s="123">
        <f>27720</f>
        <v>27720</v>
      </c>
      <c r="K11" s="123">
        <f>24640</f>
        <v>24640</v>
      </c>
      <c r="L11" s="123">
        <f>21560</f>
        <v>21560</v>
      </c>
      <c r="M11" s="123">
        <f>9240</f>
        <v>9240</v>
      </c>
      <c r="N11" s="123">
        <f>27720</f>
        <v>27720</v>
      </c>
      <c r="O11" s="111">
        <f t="shared" si="4"/>
        <v>126280</v>
      </c>
      <c r="P11" s="111">
        <f t="shared" si="5"/>
        <v>249480</v>
      </c>
    </row>
    <row r="12" spans="1:16" ht="12" customHeight="1" x14ac:dyDescent="0.15">
      <c r="A12" s="47" t="s">
        <v>95</v>
      </c>
      <c r="B12" s="124">
        <f>5164930-345200+4325100-266300</f>
        <v>8878530</v>
      </c>
      <c r="C12" s="123">
        <f>10308740-5164930-341500+8566670-4325100-262000</f>
        <v>8781880</v>
      </c>
      <c r="D12" s="123">
        <f>15535900-10308740-339800-8400+12576230-8566670-247500</f>
        <v>8641020</v>
      </c>
      <c r="E12" s="123">
        <f>20329270-15535900-313100-5400+15999040-12576230-216700</f>
        <v>7680980</v>
      </c>
      <c r="F12" s="123">
        <f>25462070-20329270-315700-19800+19561330-15999040-219900-4700</f>
        <v>8134990</v>
      </c>
      <c r="G12" s="123">
        <f>30158950-25462070-295600-6600+23707340-19561330-254800-7200</f>
        <v>8278690</v>
      </c>
      <c r="H12" s="111">
        <f t="shared" si="1"/>
        <v>50396090</v>
      </c>
      <c r="I12" s="123">
        <f>35490900-30158950-315000-20400+27851720-23707340-259400</f>
        <v>8881530</v>
      </c>
      <c r="J12" s="123">
        <f>40012780-35490900-288000-2400-1200+32054730-27851720-262400-4800</f>
        <v>8166090</v>
      </c>
      <c r="K12" s="123">
        <f>44062220-40012780-261000+35661460-32054730-233400</f>
        <v>7161770</v>
      </c>
      <c r="L12" s="123">
        <f>47665850-44062220-235200+38609810-35661460-186700-5500</f>
        <v>6124580</v>
      </c>
      <c r="M12" s="123">
        <f>51116760-47665850-218400-9600+41902620-38609810-203700-7800</f>
        <v>6304220</v>
      </c>
      <c r="N12" s="123">
        <f>55317800-51116760-267000-13800+45565240-41902620-237500</f>
        <v>7345360</v>
      </c>
      <c r="O12" s="111">
        <f t="shared" si="4"/>
        <v>43983550</v>
      </c>
      <c r="P12" s="111">
        <f t="shared" si="5"/>
        <v>94379640</v>
      </c>
    </row>
    <row r="13" spans="1:16" ht="12" customHeight="1" x14ac:dyDescent="0.15">
      <c r="A13" s="21" t="s">
        <v>58</v>
      </c>
      <c r="B13" s="123">
        <f>345200+266300</f>
        <v>611500</v>
      </c>
      <c r="C13" s="123">
        <f>341500+262000</f>
        <v>603500</v>
      </c>
      <c r="D13" s="123">
        <f>339800+8400+247500</f>
        <v>595700</v>
      </c>
      <c r="E13" s="123">
        <f>313100+5400+216700</f>
        <v>535200</v>
      </c>
      <c r="F13" s="123">
        <f>315700+19800+219900+4700</f>
        <v>560100</v>
      </c>
      <c r="G13" s="123">
        <f>295600+6600+254800+7200</f>
        <v>564200</v>
      </c>
      <c r="H13" s="111">
        <f t="shared" si="1"/>
        <v>3470200</v>
      </c>
      <c r="I13" s="123">
        <f>315000+20400+259400</f>
        <v>594800</v>
      </c>
      <c r="J13" s="123">
        <f>288000+2400+1200+262400+4800</f>
        <v>558800</v>
      </c>
      <c r="K13" s="123">
        <f>261000+233400</f>
        <v>494400</v>
      </c>
      <c r="L13" s="123">
        <f>235200+186700+5500</f>
        <v>427400</v>
      </c>
      <c r="M13" s="123">
        <f>218400+9600+203700+7800</f>
        <v>439500</v>
      </c>
      <c r="N13" s="123">
        <f>267000+13800+237500</f>
        <v>518300</v>
      </c>
      <c r="O13" s="111">
        <f t="shared" si="4"/>
        <v>3033200</v>
      </c>
      <c r="P13" s="111">
        <f t="shared" si="5"/>
        <v>6503400</v>
      </c>
    </row>
    <row r="14" spans="1:16" ht="12" customHeight="1" x14ac:dyDescent="0.15">
      <c r="A14" s="47" t="s">
        <v>96</v>
      </c>
      <c r="B14" s="123">
        <f>710380-76200+234680-25200</f>
        <v>843660</v>
      </c>
      <c r="C14" s="123">
        <f>1489750-710380-83200+500630-234680-27000</f>
        <v>935120</v>
      </c>
      <c r="D14" s="123">
        <f>2261640-1489750-79900+774060-500630-27600</f>
        <v>937820</v>
      </c>
      <c r="E14" s="123">
        <f>2984630-2261640-72000+1067430-774060-27000</f>
        <v>917360</v>
      </c>
      <c r="F14" s="123">
        <f>3779700-2984630-81200+1377740-1067430-22800</f>
        <v>1001380</v>
      </c>
      <c r="G14" s="123">
        <f>4621750-3779700-91300+1676360-1377740-30000</f>
        <v>1019370</v>
      </c>
      <c r="H14" s="111">
        <f t="shared" si="1"/>
        <v>5654710</v>
      </c>
      <c r="I14" s="123">
        <f>5607410-4621750-104700+1972960-1676360-28800</f>
        <v>1148760</v>
      </c>
      <c r="J14" s="123">
        <f>6629120-5607410-108600+2227750-1972960-25800</f>
        <v>1142100</v>
      </c>
      <c r="K14" s="123">
        <f>7687340-6629120-104000+2519290-2227750-25700</f>
        <v>1220060</v>
      </c>
      <c r="L14" s="123">
        <f>8719160-7687340-100400+2791090-2519290-25200</f>
        <v>1178020</v>
      </c>
      <c r="M14" s="123">
        <f>9646020-8719160-87800+3033970-2791090-23400</f>
        <v>1058540</v>
      </c>
      <c r="N14" s="123">
        <f>10496510-9646020-93700+3398510-3033970-42600</f>
        <v>1078730</v>
      </c>
      <c r="O14" s="111">
        <f t="shared" si="4"/>
        <v>6826210</v>
      </c>
      <c r="P14" s="111">
        <f t="shared" si="5"/>
        <v>12480920</v>
      </c>
    </row>
    <row r="15" spans="1:16" ht="12" customHeight="1" x14ac:dyDescent="0.15">
      <c r="A15" s="21" t="s">
        <v>59</v>
      </c>
      <c r="B15" s="123">
        <f>76200+25200</f>
        <v>101400</v>
      </c>
      <c r="C15" s="123">
        <f>83200+27000</f>
        <v>110200</v>
      </c>
      <c r="D15" s="123">
        <f>79900+27600</f>
        <v>107500</v>
      </c>
      <c r="E15" s="123">
        <f>72000+27000</f>
        <v>99000</v>
      </c>
      <c r="F15" s="123">
        <f>81200+22800</f>
        <v>104000</v>
      </c>
      <c r="G15" s="123">
        <f>91300+30000</f>
        <v>121300</v>
      </c>
      <c r="H15" s="111">
        <f t="shared" si="1"/>
        <v>643400</v>
      </c>
      <c r="I15" s="123">
        <f>104700+28800</f>
        <v>133500</v>
      </c>
      <c r="J15" s="123">
        <f>108600+25800</f>
        <v>134400</v>
      </c>
      <c r="K15" s="123">
        <f>104000+25700</f>
        <v>129700</v>
      </c>
      <c r="L15" s="123">
        <f>100400+25200</f>
        <v>125600</v>
      </c>
      <c r="M15" s="123">
        <f>87800+23400</f>
        <v>111200</v>
      </c>
      <c r="N15" s="123">
        <f>93700+42600</f>
        <v>136300</v>
      </c>
      <c r="O15" s="111">
        <f t="shared" si="4"/>
        <v>770700</v>
      </c>
      <c r="P15" s="111">
        <f t="shared" si="5"/>
        <v>1414100</v>
      </c>
    </row>
    <row r="16" spans="1:16" ht="12" customHeight="1" x14ac:dyDescent="0.15">
      <c r="A16" s="50" t="s">
        <v>120</v>
      </c>
      <c r="B16" s="123">
        <f>2120370-91800</f>
        <v>2028570</v>
      </c>
      <c r="C16" s="123">
        <f>4212420-2120370-90600</f>
        <v>2001450</v>
      </c>
      <c r="D16" s="123">
        <f>6415800-4212420-96000</f>
        <v>2107380</v>
      </c>
      <c r="E16" s="123">
        <f>8957700-6415800-112400</f>
        <v>2429500</v>
      </c>
      <c r="F16" s="123">
        <f>11390500-8957700-108600</f>
        <v>2324200</v>
      </c>
      <c r="G16" s="123">
        <f>13477620-11390500-92400</f>
        <v>1994720</v>
      </c>
      <c r="H16" s="111">
        <f t="shared" si="1"/>
        <v>12885820</v>
      </c>
      <c r="I16" s="123">
        <f>15991220-13477620-103800-6600</f>
        <v>2403200</v>
      </c>
      <c r="J16" s="123">
        <f>18575700-15991220-113400</f>
        <v>2471080</v>
      </c>
      <c r="K16" s="123">
        <f>20627920-18575700-90000</f>
        <v>1962220</v>
      </c>
      <c r="L16" s="123">
        <f>23183780-20627920-102000-7800</f>
        <v>2446060</v>
      </c>
      <c r="M16" s="123">
        <f>25571420-23183780-104400</f>
        <v>2283240</v>
      </c>
      <c r="N16" s="123">
        <f>28316220-25571420-121200</f>
        <v>2623600</v>
      </c>
      <c r="O16" s="111">
        <f t="shared" si="4"/>
        <v>14189400</v>
      </c>
      <c r="P16" s="111">
        <f t="shared" si="5"/>
        <v>27075220</v>
      </c>
    </row>
    <row r="17" spans="1:16" ht="12" customHeight="1" x14ac:dyDescent="0.15">
      <c r="A17" s="21" t="s">
        <v>59</v>
      </c>
      <c r="B17" s="123">
        <f>91800</f>
        <v>91800</v>
      </c>
      <c r="C17" s="123">
        <f>90600</f>
        <v>90600</v>
      </c>
      <c r="D17" s="123">
        <f>96000</f>
        <v>96000</v>
      </c>
      <c r="E17" s="123">
        <f>112400</f>
        <v>112400</v>
      </c>
      <c r="F17" s="123">
        <f>108600</f>
        <v>108600</v>
      </c>
      <c r="G17" s="123">
        <f>92400</f>
        <v>92400</v>
      </c>
      <c r="H17" s="111">
        <f t="shared" si="1"/>
        <v>591800</v>
      </c>
      <c r="I17" s="123">
        <f>103800+6600</f>
        <v>110400</v>
      </c>
      <c r="J17" s="123">
        <f>113400</f>
        <v>113400</v>
      </c>
      <c r="K17" s="123">
        <f>90000</f>
        <v>90000</v>
      </c>
      <c r="L17" s="123">
        <f>102000+7800</f>
        <v>109800</v>
      </c>
      <c r="M17" s="123">
        <f>104400</f>
        <v>104400</v>
      </c>
      <c r="N17" s="123">
        <f>121200</f>
        <v>121200</v>
      </c>
      <c r="O17" s="111">
        <f t="shared" si="4"/>
        <v>649200</v>
      </c>
      <c r="P17" s="111">
        <f t="shared" si="5"/>
        <v>1241000</v>
      </c>
    </row>
    <row r="18" spans="1:16" ht="12" customHeight="1" x14ac:dyDescent="0.15">
      <c r="A18" s="51" t="s">
        <v>245</v>
      </c>
      <c r="B18" s="111">
        <v>778730</v>
      </c>
      <c r="C18" s="111">
        <f t="shared" ref="C18:G19" si="8">C89-B89</f>
        <v>775860</v>
      </c>
      <c r="D18" s="111">
        <f t="shared" si="8"/>
        <v>779160</v>
      </c>
      <c r="E18" s="111">
        <f t="shared" si="8"/>
        <v>755740</v>
      </c>
      <c r="F18" s="111">
        <f t="shared" si="8"/>
        <v>780040</v>
      </c>
      <c r="G18" s="111">
        <f t="shared" si="8"/>
        <v>769960</v>
      </c>
      <c r="H18" s="111">
        <f t="shared" si="1"/>
        <v>4639490</v>
      </c>
      <c r="I18" s="111">
        <f>I89-G89</f>
        <v>841010</v>
      </c>
      <c r="J18" s="111">
        <f t="shared" ref="J18:N19" si="9">J89-I89</f>
        <v>805210</v>
      </c>
      <c r="K18" s="111">
        <f t="shared" si="9"/>
        <v>697580</v>
      </c>
      <c r="L18" s="111">
        <f t="shared" si="9"/>
        <v>683800</v>
      </c>
      <c r="M18" s="111">
        <f t="shared" si="9"/>
        <v>670150</v>
      </c>
      <c r="N18" s="111">
        <f t="shared" si="9"/>
        <v>768700</v>
      </c>
      <c r="O18" s="111">
        <f>SUM(I18:N18)</f>
        <v>4466450</v>
      </c>
      <c r="P18" s="111">
        <f t="shared" si="5"/>
        <v>9105940</v>
      </c>
    </row>
    <row r="19" spans="1:16" ht="12" customHeight="1" x14ac:dyDescent="0.15">
      <c r="A19" s="51" t="s">
        <v>366</v>
      </c>
      <c r="B19" s="111">
        <v>177970</v>
      </c>
      <c r="C19" s="111">
        <f t="shared" si="8"/>
        <v>177170</v>
      </c>
      <c r="D19" s="111">
        <f t="shared" si="8"/>
        <v>178970</v>
      </c>
      <c r="E19" s="111">
        <f t="shared" si="8"/>
        <v>177440</v>
      </c>
      <c r="F19" s="111">
        <f t="shared" si="8"/>
        <v>181660</v>
      </c>
      <c r="G19" s="111">
        <f t="shared" si="8"/>
        <v>173050</v>
      </c>
      <c r="H19" s="111">
        <f t="shared" si="1"/>
        <v>1066260</v>
      </c>
      <c r="I19" s="111">
        <f>I90-G90</f>
        <v>194900</v>
      </c>
      <c r="J19" s="111">
        <f t="shared" si="9"/>
        <v>188240</v>
      </c>
      <c r="K19" s="111">
        <f t="shared" si="9"/>
        <v>161360</v>
      </c>
      <c r="L19" s="111">
        <f t="shared" si="9"/>
        <v>163330</v>
      </c>
      <c r="M19" s="111">
        <f t="shared" si="9"/>
        <v>158910</v>
      </c>
      <c r="N19" s="111">
        <f t="shared" si="9"/>
        <v>182310</v>
      </c>
      <c r="O19" s="111">
        <f>SUM(I19:N19)</f>
        <v>1049050</v>
      </c>
      <c r="P19" s="111">
        <f t="shared" si="5"/>
        <v>2115310</v>
      </c>
    </row>
    <row r="20" spans="1:16" ht="12" customHeight="1" x14ac:dyDescent="0.15">
      <c r="A20" s="51" t="s">
        <v>338</v>
      </c>
      <c r="B20" s="123">
        <f>192420-28200</f>
        <v>164220</v>
      </c>
      <c r="C20" s="123">
        <f>391990-192420-21000</f>
        <v>178570</v>
      </c>
      <c r="D20" s="123">
        <f>586930-391990-31200</f>
        <v>163740</v>
      </c>
      <c r="E20" s="123">
        <f>771990-586930-19800</f>
        <v>165260</v>
      </c>
      <c r="F20" s="123">
        <f>987140-771990-36600</f>
        <v>178550</v>
      </c>
      <c r="G20" s="123">
        <f>1185980-987140-27600</f>
        <v>171240</v>
      </c>
      <c r="H20" s="111">
        <f t="shared" si="1"/>
        <v>1021580</v>
      </c>
      <c r="I20" s="123">
        <f>1394880-1185980-29400</f>
        <v>179500</v>
      </c>
      <c r="J20" s="123">
        <f>1603000-1394880-30600</f>
        <v>177520</v>
      </c>
      <c r="K20" s="123">
        <f>1789560-1603000-21000</f>
        <v>165560</v>
      </c>
      <c r="L20" s="123">
        <f>1998000-1789560-29400</f>
        <v>179040</v>
      </c>
      <c r="M20" s="123">
        <f>2215400-1998000-30600</f>
        <v>186800</v>
      </c>
      <c r="N20" s="123">
        <f>2461580-2215400-42000</f>
        <v>204180</v>
      </c>
      <c r="O20" s="111">
        <f>SUM(I20:N20)</f>
        <v>1092600</v>
      </c>
      <c r="P20" s="111">
        <f>H20+O20</f>
        <v>2114180</v>
      </c>
    </row>
    <row r="21" spans="1:16" ht="12" customHeight="1" x14ac:dyDescent="0.15">
      <c r="A21" s="21" t="s">
        <v>59</v>
      </c>
      <c r="B21" s="123">
        <f>28200</f>
        <v>28200</v>
      </c>
      <c r="C21" s="123">
        <f>21000</f>
        <v>21000</v>
      </c>
      <c r="D21" s="123">
        <f>31200</f>
        <v>31200</v>
      </c>
      <c r="E21" s="123">
        <f>19800</f>
        <v>19800</v>
      </c>
      <c r="F21" s="123">
        <f>36600</f>
        <v>36600</v>
      </c>
      <c r="G21" s="123">
        <f>27600</f>
        <v>27600</v>
      </c>
      <c r="H21" s="111">
        <f t="shared" si="1"/>
        <v>164400</v>
      </c>
      <c r="I21" s="123">
        <f>29400</f>
        <v>29400</v>
      </c>
      <c r="J21" s="123">
        <f>30600</f>
        <v>30600</v>
      </c>
      <c r="K21" s="123">
        <f>21000</f>
        <v>21000</v>
      </c>
      <c r="L21" s="123">
        <f>29400</f>
        <v>29400</v>
      </c>
      <c r="M21" s="123">
        <f>30600</f>
        <v>30600</v>
      </c>
      <c r="N21" s="123">
        <f>42000</f>
        <v>42000</v>
      </c>
      <c r="O21" s="111">
        <f>SUM(I21:N21)</f>
        <v>183000</v>
      </c>
      <c r="P21" s="111">
        <f>H21+O21</f>
        <v>347400</v>
      </c>
    </row>
    <row r="22" spans="1:16" ht="12" customHeight="1" x14ac:dyDescent="0.15">
      <c r="A22" s="47" t="s">
        <v>119</v>
      </c>
      <c r="B22" s="111">
        <f>129000</f>
        <v>129000</v>
      </c>
      <c r="C22" s="111">
        <f t="shared" ref="C22:C29" si="10">C93-B93</f>
        <v>102600</v>
      </c>
      <c r="D22" s="111">
        <f>D93-C93</f>
        <v>98400</v>
      </c>
      <c r="E22" s="111">
        <f>E93-D93</f>
        <v>101400</v>
      </c>
      <c r="F22" s="111">
        <f>F93-E93</f>
        <v>46800</v>
      </c>
      <c r="G22" s="111">
        <f>G93-F93</f>
        <v>101400</v>
      </c>
      <c r="H22" s="111">
        <f t="shared" si="1"/>
        <v>579600</v>
      </c>
      <c r="I22" s="111">
        <f>I93-G93</f>
        <v>126600</v>
      </c>
      <c r="J22" s="111">
        <f>J93-I93</f>
        <v>103200</v>
      </c>
      <c r="K22" s="111">
        <f>K93-J93</f>
        <v>104400</v>
      </c>
      <c r="L22" s="111">
        <f>L93-K93</f>
        <v>101800</v>
      </c>
      <c r="M22" s="111">
        <f>M93-L93</f>
        <v>44100</v>
      </c>
      <c r="N22" s="111">
        <f>N93-M93</f>
        <v>98600</v>
      </c>
      <c r="O22" s="111">
        <f t="shared" si="4"/>
        <v>578700</v>
      </c>
      <c r="P22" s="111">
        <f t="shared" si="5"/>
        <v>1158300</v>
      </c>
    </row>
    <row r="23" spans="1:16" ht="12" customHeight="1" x14ac:dyDescent="0.15">
      <c r="A23" s="47" t="s">
        <v>97</v>
      </c>
      <c r="B23" s="111">
        <f>10200</f>
        <v>10200</v>
      </c>
      <c r="C23" s="111">
        <f t="shared" si="10"/>
        <v>8400</v>
      </c>
      <c r="D23" s="111">
        <f t="shared" ref="D23:G29" si="11">D94-C94</f>
        <v>15500</v>
      </c>
      <c r="E23" s="111">
        <f t="shared" si="11"/>
        <v>24600</v>
      </c>
      <c r="F23" s="111">
        <f t="shared" si="11"/>
        <v>9200</v>
      </c>
      <c r="G23" s="111">
        <f t="shared" si="11"/>
        <v>22900</v>
      </c>
      <c r="H23" s="111">
        <f t="shared" si="1"/>
        <v>90800</v>
      </c>
      <c r="I23" s="111">
        <f t="shared" ref="I23:I29" si="12">I94-G94</f>
        <v>11900</v>
      </c>
      <c r="J23" s="111">
        <f t="shared" ref="J23:N29" si="13">J94-I94</f>
        <v>12000</v>
      </c>
      <c r="K23" s="111">
        <f t="shared" si="13"/>
        <v>3000</v>
      </c>
      <c r="L23" s="111">
        <f t="shared" si="13"/>
        <v>19700</v>
      </c>
      <c r="M23" s="111">
        <f t="shared" si="13"/>
        <v>7000</v>
      </c>
      <c r="N23" s="111">
        <f t="shared" si="13"/>
        <v>9000</v>
      </c>
      <c r="O23" s="111">
        <f t="shared" si="4"/>
        <v>62600</v>
      </c>
      <c r="P23" s="111">
        <f t="shared" si="5"/>
        <v>153400</v>
      </c>
    </row>
    <row r="24" spans="1:16" ht="12" customHeight="1" x14ac:dyDescent="0.15">
      <c r="A24" s="51" t="s">
        <v>407</v>
      </c>
      <c r="B24" s="111">
        <f>44500</f>
        <v>44500</v>
      </c>
      <c r="C24" s="111">
        <f t="shared" si="10"/>
        <v>49200</v>
      </c>
      <c r="D24" s="111">
        <f t="shared" si="11"/>
        <v>46650</v>
      </c>
      <c r="E24" s="111">
        <f t="shared" si="11"/>
        <v>49900</v>
      </c>
      <c r="F24" s="111">
        <f t="shared" si="11"/>
        <v>44250</v>
      </c>
      <c r="G24" s="111">
        <f t="shared" si="11"/>
        <v>67150</v>
      </c>
      <c r="H24" s="111">
        <f t="shared" si="1"/>
        <v>301650</v>
      </c>
      <c r="I24" s="111">
        <f t="shared" si="12"/>
        <v>41100</v>
      </c>
      <c r="J24" s="111">
        <f t="shared" si="13"/>
        <v>47700</v>
      </c>
      <c r="K24" s="111">
        <f t="shared" si="13"/>
        <v>35200</v>
      </c>
      <c r="L24" s="111">
        <f t="shared" si="13"/>
        <v>41500</v>
      </c>
      <c r="M24" s="111">
        <f t="shared" si="13"/>
        <v>29100</v>
      </c>
      <c r="N24" s="111">
        <f t="shared" si="13"/>
        <v>41150</v>
      </c>
      <c r="O24" s="111">
        <f t="shared" si="4"/>
        <v>235750</v>
      </c>
      <c r="P24" s="111">
        <f t="shared" si="5"/>
        <v>537400</v>
      </c>
    </row>
    <row r="25" spans="1:16" ht="12" customHeight="1" x14ac:dyDescent="0.15">
      <c r="A25" s="47" t="s">
        <v>249</v>
      </c>
      <c r="B25" s="111">
        <v>73100</v>
      </c>
      <c r="C25" s="111">
        <f t="shared" si="10"/>
        <v>71700</v>
      </c>
      <c r="D25" s="111">
        <f t="shared" si="11"/>
        <v>88100</v>
      </c>
      <c r="E25" s="111">
        <f t="shared" si="11"/>
        <v>64200</v>
      </c>
      <c r="F25" s="111">
        <f t="shared" si="11"/>
        <v>60000</v>
      </c>
      <c r="G25" s="111">
        <f t="shared" si="11"/>
        <v>77000</v>
      </c>
      <c r="H25" s="111">
        <f t="shared" si="1"/>
        <v>434100</v>
      </c>
      <c r="I25" s="111">
        <f t="shared" si="12"/>
        <v>78700</v>
      </c>
      <c r="J25" s="111">
        <f t="shared" si="13"/>
        <v>70900</v>
      </c>
      <c r="K25" s="111">
        <f t="shared" si="13"/>
        <v>69900</v>
      </c>
      <c r="L25" s="111">
        <f t="shared" si="13"/>
        <v>64700</v>
      </c>
      <c r="M25" s="111">
        <f t="shared" si="13"/>
        <v>65500</v>
      </c>
      <c r="N25" s="111">
        <f t="shared" si="13"/>
        <v>50000</v>
      </c>
      <c r="O25" s="111">
        <f t="shared" si="4"/>
        <v>399700</v>
      </c>
      <c r="P25" s="111">
        <f t="shared" si="5"/>
        <v>833800</v>
      </c>
    </row>
    <row r="26" spans="1:16" ht="12" customHeight="1" x14ac:dyDescent="0.15">
      <c r="A26" s="47" t="s">
        <v>406</v>
      </c>
      <c r="B26" s="111">
        <v>57500</v>
      </c>
      <c r="C26" s="111">
        <f t="shared" si="10"/>
        <v>29300</v>
      </c>
      <c r="D26" s="111">
        <f t="shared" si="11"/>
        <v>26900</v>
      </c>
      <c r="E26" s="111">
        <f t="shared" si="11"/>
        <v>58500</v>
      </c>
      <c r="F26" s="111">
        <f t="shared" si="11"/>
        <v>89000</v>
      </c>
      <c r="G26" s="111">
        <f t="shared" si="11"/>
        <v>15900</v>
      </c>
      <c r="H26" s="111">
        <f t="shared" si="1"/>
        <v>277100</v>
      </c>
      <c r="I26" s="111">
        <f t="shared" si="12"/>
        <v>24900</v>
      </c>
      <c r="J26" s="111">
        <f t="shared" si="13"/>
        <v>18800</v>
      </c>
      <c r="K26" s="111">
        <f t="shared" si="13"/>
        <v>32400</v>
      </c>
      <c r="L26" s="111">
        <f t="shared" si="13"/>
        <v>25400</v>
      </c>
      <c r="M26" s="111">
        <f t="shared" si="13"/>
        <v>15600</v>
      </c>
      <c r="N26" s="111">
        <f t="shared" si="13"/>
        <v>15000</v>
      </c>
      <c r="O26" s="111">
        <f t="shared" si="4"/>
        <v>132100</v>
      </c>
      <c r="P26" s="111">
        <f t="shared" si="5"/>
        <v>409200</v>
      </c>
    </row>
    <row r="27" spans="1:16" ht="12" customHeight="1" x14ac:dyDescent="0.15">
      <c r="A27" s="47" t="s">
        <v>303</v>
      </c>
      <c r="B27" s="111">
        <v>2200</v>
      </c>
      <c r="C27" s="111">
        <f t="shared" si="10"/>
        <v>0</v>
      </c>
      <c r="D27" s="111">
        <f t="shared" si="11"/>
        <v>0</v>
      </c>
      <c r="E27" s="111">
        <f t="shared" si="11"/>
        <v>3800</v>
      </c>
      <c r="F27" s="111">
        <f t="shared" si="11"/>
        <v>8500</v>
      </c>
      <c r="G27" s="111">
        <f t="shared" si="11"/>
        <v>0</v>
      </c>
      <c r="H27" s="111">
        <f t="shared" si="1"/>
        <v>14500</v>
      </c>
      <c r="I27" s="111">
        <f t="shared" si="12"/>
        <v>0</v>
      </c>
      <c r="J27" s="111">
        <f t="shared" si="13"/>
        <v>0</v>
      </c>
      <c r="K27" s="111">
        <f t="shared" si="13"/>
        <v>600</v>
      </c>
      <c r="L27" s="111">
        <f t="shared" si="13"/>
        <v>1200</v>
      </c>
      <c r="M27" s="111">
        <f t="shared" si="13"/>
        <v>0</v>
      </c>
      <c r="N27" s="111">
        <f t="shared" si="13"/>
        <v>0</v>
      </c>
      <c r="O27" s="111">
        <f t="shared" si="4"/>
        <v>1800</v>
      </c>
      <c r="P27" s="111">
        <f t="shared" si="5"/>
        <v>16300</v>
      </c>
    </row>
    <row r="28" spans="1:16" ht="12" customHeight="1" x14ac:dyDescent="0.15">
      <c r="A28" s="47" t="s">
        <v>251</v>
      </c>
      <c r="B28" s="111">
        <v>2100</v>
      </c>
      <c r="C28" s="111">
        <f t="shared" si="10"/>
        <v>6000</v>
      </c>
      <c r="D28" s="111">
        <f t="shared" si="11"/>
        <v>2600</v>
      </c>
      <c r="E28" s="111">
        <f t="shared" si="11"/>
        <v>600</v>
      </c>
      <c r="F28" s="111">
        <f t="shared" si="11"/>
        <v>600</v>
      </c>
      <c r="G28" s="111">
        <f t="shared" si="11"/>
        <v>3400</v>
      </c>
      <c r="H28" s="111">
        <f t="shared" si="1"/>
        <v>15300</v>
      </c>
      <c r="I28" s="111">
        <f t="shared" si="12"/>
        <v>7400</v>
      </c>
      <c r="J28" s="111">
        <f t="shared" si="13"/>
        <v>5000</v>
      </c>
      <c r="K28" s="111">
        <f t="shared" si="13"/>
        <v>3700</v>
      </c>
      <c r="L28" s="111">
        <f t="shared" si="13"/>
        <v>5700</v>
      </c>
      <c r="M28" s="111">
        <f t="shared" si="13"/>
        <v>6300</v>
      </c>
      <c r="N28" s="111">
        <f t="shared" si="13"/>
        <v>3300</v>
      </c>
      <c r="O28" s="111">
        <f>SUM(I28:N28)</f>
        <v>31400</v>
      </c>
      <c r="P28" s="111">
        <f>H28+O28</f>
        <v>46700</v>
      </c>
    </row>
    <row r="29" spans="1:16" ht="12" customHeight="1" x14ac:dyDescent="0.15">
      <c r="A29" s="21" t="s">
        <v>99</v>
      </c>
      <c r="B29" s="111">
        <f>0</f>
        <v>0</v>
      </c>
      <c r="C29" s="111">
        <f t="shared" si="10"/>
        <v>0</v>
      </c>
      <c r="D29" s="111">
        <f t="shared" si="11"/>
        <v>0</v>
      </c>
      <c r="E29" s="111">
        <f t="shared" si="11"/>
        <v>3149000</v>
      </c>
      <c r="F29" s="111">
        <f t="shared" si="11"/>
        <v>1010000</v>
      </c>
      <c r="G29" s="111">
        <f t="shared" si="11"/>
        <v>1010000</v>
      </c>
      <c r="H29" s="111">
        <f t="shared" si="1"/>
        <v>5169000</v>
      </c>
      <c r="I29" s="111">
        <f t="shared" si="12"/>
        <v>1129000</v>
      </c>
      <c r="J29" s="111">
        <f t="shared" si="13"/>
        <v>1251000</v>
      </c>
      <c r="K29" s="111">
        <f t="shared" si="13"/>
        <v>1251000</v>
      </c>
      <c r="L29" s="111">
        <f t="shared" si="13"/>
        <v>1370000</v>
      </c>
      <c r="M29" s="111">
        <f t="shared" si="13"/>
        <v>1251000</v>
      </c>
      <c r="N29" s="111">
        <f t="shared" si="13"/>
        <v>2620000</v>
      </c>
      <c r="O29" s="111">
        <f t="shared" si="4"/>
        <v>8872000</v>
      </c>
      <c r="P29" s="111">
        <f t="shared" si="5"/>
        <v>14041000</v>
      </c>
    </row>
    <row r="30" spans="1:16" ht="12" customHeight="1" x14ac:dyDescent="0.15">
      <c r="A30" s="24" t="s">
        <v>11</v>
      </c>
      <c r="B30" s="114">
        <f>0</f>
        <v>0</v>
      </c>
      <c r="C30" s="114">
        <f t="shared" ref="C30:G32" si="14">C102-B102</f>
        <v>10000</v>
      </c>
      <c r="D30" s="111">
        <f t="shared" si="14"/>
        <v>0</v>
      </c>
      <c r="E30" s="111">
        <f t="shared" si="14"/>
        <v>0</v>
      </c>
      <c r="F30" s="111">
        <f t="shared" si="14"/>
        <v>0</v>
      </c>
      <c r="G30" s="111">
        <f t="shared" si="14"/>
        <v>10000</v>
      </c>
      <c r="H30" s="114">
        <f t="shared" si="1"/>
        <v>20000</v>
      </c>
      <c r="I30" s="111">
        <f>I102-G102</f>
        <v>0</v>
      </c>
      <c r="J30" s="111">
        <f t="shared" ref="J30:N32" si="15">J102-I102</f>
        <v>0</v>
      </c>
      <c r="K30" s="111">
        <f t="shared" si="15"/>
        <v>0</v>
      </c>
      <c r="L30" s="111">
        <f t="shared" si="15"/>
        <v>6000</v>
      </c>
      <c r="M30" s="111">
        <f t="shared" si="15"/>
        <v>0</v>
      </c>
      <c r="N30" s="111">
        <f t="shared" si="15"/>
        <v>60000</v>
      </c>
      <c r="O30" s="114">
        <f t="shared" si="4"/>
        <v>66000</v>
      </c>
      <c r="P30" s="114">
        <f t="shared" si="5"/>
        <v>86000</v>
      </c>
    </row>
    <row r="31" spans="1:16" ht="12" customHeight="1" x14ac:dyDescent="0.15">
      <c r="A31" s="24" t="s">
        <v>246</v>
      </c>
      <c r="B31" s="114">
        <f>0</f>
        <v>0</v>
      </c>
      <c r="C31" s="114">
        <f t="shared" si="14"/>
        <v>0</v>
      </c>
      <c r="D31" s="111">
        <f t="shared" si="14"/>
        <v>0</v>
      </c>
      <c r="E31" s="111">
        <f t="shared" si="14"/>
        <v>0</v>
      </c>
      <c r="F31" s="111">
        <f t="shared" si="14"/>
        <v>0</v>
      </c>
      <c r="G31" s="111">
        <f t="shared" si="14"/>
        <v>0</v>
      </c>
      <c r="H31" s="114">
        <f t="shared" si="1"/>
        <v>0</v>
      </c>
      <c r="I31" s="111">
        <f>I103-G103</f>
        <v>670000</v>
      </c>
      <c r="J31" s="111">
        <f t="shared" si="15"/>
        <v>485000</v>
      </c>
      <c r="K31" s="111">
        <f t="shared" si="15"/>
        <v>0</v>
      </c>
      <c r="L31" s="111">
        <f t="shared" si="15"/>
        <v>0</v>
      </c>
      <c r="M31" s="111">
        <f t="shared" si="15"/>
        <v>2227000</v>
      </c>
      <c r="N31" s="111">
        <f t="shared" si="15"/>
        <v>300000</v>
      </c>
      <c r="O31" s="114">
        <f t="shared" si="4"/>
        <v>3682000</v>
      </c>
      <c r="P31" s="114">
        <f t="shared" si="5"/>
        <v>3682000</v>
      </c>
    </row>
    <row r="32" spans="1:16" ht="12" customHeight="1" x14ac:dyDescent="0.15">
      <c r="A32" s="24" t="s">
        <v>12</v>
      </c>
      <c r="B32" s="114">
        <f>61027</f>
        <v>61027</v>
      </c>
      <c r="C32" s="114">
        <f t="shared" si="14"/>
        <v>124421</v>
      </c>
      <c r="D32" s="111">
        <f t="shared" si="14"/>
        <v>57283</v>
      </c>
      <c r="E32" s="111">
        <f t="shared" si="14"/>
        <v>47945</v>
      </c>
      <c r="F32" s="111">
        <f t="shared" si="14"/>
        <v>165306</v>
      </c>
      <c r="G32" s="111">
        <f t="shared" si="14"/>
        <v>49250</v>
      </c>
      <c r="H32" s="114">
        <f t="shared" si="1"/>
        <v>505232</v>
      </c>
      <c r="I32" s="111">
        <f>I104-G104</f>
        <v>53275</v>
      </c>
      <c r="J32" s="111">
        <f t="shared" si="15"/>
        <v>52750</v>
      </c>
      <c r="K32" s="111">
        <f t="shared" si="15"/>
        <v>215132</v>
      </c>
      <c r="L32" s="111">
        <f t="shared" si="15"/>
        <v>40985</v>
      </c>
      <c r="M32" s="111">
        <f t="shared" si="15"/>
        <v>47665</v>
      </c>
      <c r="N32" s="111">
        <f t="shared" si="15"/>
        <v>53969</v>
      </c>
      <c r="O32" s="114">
        <f t="shared" si="4"/>
        <v>463776</v>
      </c>
      <c r="P32" s="114">
        <f t="shared" si="5"/>
        <v>969008</v>
      </c>
    </row>
    <row r="33" spans="1:18" ht="12" customHeight="1" x14ac:dyDescent="0.15">
      <c r="A33" s="2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>
        <f t="shared" si="4"/>
        <v>0</v>
      </c>
      <c r="P33" s="114">
        <f t="shared" si="5"/>
        <v>0</v>
      </c>
    </row>
    <row r="34" spans="1:18" ht="12" customHeight="1" x14ac:dyDescent="0.15">
      <c r="A34" s="52" t="s">
        <v>13</v>
      </c>
      <c r="B34" s="114">
        <f t="shared" ref="B34:N34" si="16">B4+B8+B30+B31+B32</f>
        <v>17154337</v>
      </c>
      <c r="C34" s="114">
        <f t="shared" si="16"/>
        <v>17071251</v>
      </c>
      <c r="D34" s="114">
        <f t="shared" si="16"/>
        <v>16865293</v>
      </c>
      <c r="E34" s="114">
        <f t="shared" si="16"/>
        <v>19163315</v>
      </c>
      <c r="F34" s="114">
        <f t="shared" si="16"/>
        <v>17516396</v>
      </c>
      <c r="G34" s="114">
        <f t="shared" si="16"/>
        <v>17390900</v>
      </c>
      <c r="H34" s="114">
        <f t="shared" si="1"/>
        <v>105161492</v>
      </c>
      <c r="I34" s="114">
        <f>I4+I8+I30+I31+I32</f>
        <v>19376815</v>
      </c>
      <c r="J34" s="114">
        <f t="shared" si="16"/>
        <v>18490370</v>
      </c>
      <c r="K34" s="114">
        <f t="shared" si="16"/>
        <v>16455032</v>
      </c>
      <c r="L34" s="114">
        <f t="shared" si="16"/>
        <v>15822755</v>
      </c>
      <c r="M34" s="114">
        <f t="shared" si="16"/>
        <v>17634655</v>
      </c>
      <c r="N34" s="114">
        <f t="shared" si="16"/>
        <v>18920279</v>
      </c>
      <c r="O34" s="114">
        <f t="shared" si="4"/>
        <v>106699906</v>
      </c>
      <c r="P34" s="114">
        <f t="shared" si="5"/>
        <v>211861398</v>
      </c>
    </row>
    <row r="35" spans="1:18" ht="12" customHeight="1" x14ac:dyDescent="0.15">
      <c r="A35" s="23" t="s">
        <v>124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18" ht="12" customHeight="1" x14ac:dyDescent="0.15">
      <c r="A36" s="6" t="s">
        <v>15</v>
      </c>
      <c r="B36" s="111"/>
      <c r="C36" s="111"/>
      <c r="D36" s="111"/>
      <c r="E36" s="111"/>
      <c r="F36" s="111" t="s">
        <v>304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  <row r="37" spans="1:18" ht="12" customHeight="1" x14ac:dyDescent="0.15">
      <c r="A37" s="23" t="s">
        <v>16</v>
      </c>
      <c r="B37" s="114">
        <f t="shared" ref="B37:N37" si="17">SUM(B38:B42)</f>
        <v>12251047</v>
      </c>
      <c r="C37" s="114">
        <f t="shared" si="17"/>
        <v>11587990</v>
      </c>
      <c r="D37" s="114">
        <f t="shared" si="17"/>
        <v>12004809</v>
      </c>
      <c r="E37" s="114">
        <f t="shared" si="17"/>
        <v>20509153</v>
      </c>
      <c r="F37" s="114">
        <f t="shared" si="17"/>
        <v>12319016</v>
      </c>
      <c r="G37" s="114">
        <f t="shared" si="17"/>
        <v>12735343</v>
      </c>
      <c r="H37" s="114">
        <f t="shared" ref="H37:H74" si="18">SUM(B37:G37)</f>
        <v>81407358</v>
      </c>
      <c r="I37" s="114">
        <f>SUM(I38:I42)</f>
        <v>12152045</v>
      </c>
      <c r="J37" s="114">
        <f t="shared" si="17"/>
        <v>20493395</v>
      </c>
      <c r="K37" s="114">
        <f t="shared" si="17"/>
        <v>11806432</v>
      </c>
      <c r="L37" s="114">
        <f t="shared" si="17"/>
        <v>12917799</v>
      </c>
      <c r="M37" s="114">
        <f t="shared" si="17"/>
        <v>12380466</v>
      </c>
      <c r="N37" s="114">
        <f t="shared" si="17"/>
        <v>12768060</v>
      </c>
      <c r="O37" s="114">
        <f t="shared" si="4"/>
        <v>82518197</v>
      </c>
      <c r="P37" s="114">
        <f t="shared" si="5"/>
        <v>163925555</v>
      </c>
    </row>
    <row r="38" spans="1:18" ht="12" customHeight="1" x14ac:dyDescent="0.15">
      <c r="A38" s="6" t="s">
        <v>100</v>
      </c>
      <c r="B38" s="111">
        <f>370000</f>
        <v>370000</v>
      </c>
      <c r="C38" s="111">
        <f t="shared" ref="C38:G42" si="19">C107-B107</f>
        <v>370000</v>
      </c>
      <c r="D38" s="111">
        <f t="shared" si="19"/>
        <v>370000</v>
      </c>
      <c r="E38" s="111">
        <f t="shared" si="19"/>
        <v>370000</v>
      </c>
      <c r="F38" s="111">
        <f t="shared" si="19"/>
        <v>370000</v>
      </c>
      <c r="G38" s="111">
        <f t="shared" si="19"/>
        <v>370000</v>
      </c>
      <c r="H38" s="111">
        <f t="shared" si="18"/>
        <v>2220000</v>
      </c>
      <c r="I38" s="111">
        <f>I107-G107</f>
        <v>370000</v>
      </c>
      <c r="J38" s="111">
        <f t="shared" ref="J38:N42" si="20">J107-I107</f>
        <v>370000</v>
      </c>
      <c r="K38" s="111">
        <f t="shared" si="20"/>
        <v>370000</v>
      </c>
      <c r="L38" s="111">
        <f t="shared" si="20"/>
        <v>370000</v>
      </c>
      <c r="M38" s="111">
        <f t="shared" si="20"/>
        <v>370000</v>
      </c>
      <c r="N38" s="111">
        <f t="shared" si="20"/>
        <v>370000</v>
      </c>
      <c r="O38" s="111">
        <f t="shared" si="4"/>
        <v>2220000</v>
      </c>
      <c r="P38" s="111">
        <f t="shared" si="5"/>
        <v>4440000</v>
      </c>
    </row>
    <row r="39" spans="1:18" ht="12" customHeight="1" x14ac:dyDescent="0.15">
      <c r="A39" s="6" t="s">
        <v>101</v>
      </c>
      <c r="B39" s="111">
        <f>9375053</f>
        <v>9375053</v>
      </c>
      <c r="C39" s="111">
        <f t="shared" si="19"/>
        <v>8840900</v>
      </c>
      <c r="D39" s="111">
        <f t="shared" si="19"/>
        <v>8977678</v>
      </c>
      <c r="E39" s="111">
        <f t="shared" si="19"/>
        <v>8865646</v>
      </c>
      <c r="F39" s="111">
        <f t="shared" si="19"/>
        <v>9282144</v>
      </c>
      <c r="G39" s="111">
        <f t="shared" si="19"/>
        <v>8905222</v>
      </c>
      <c r="H39" s="111">
        <f t="shared" si="18"/>
        <v>54246643</v>
      </c>
      <c r="I39" s="111">
        <f>I108-G108</f>
        <v>8856770</v>
      </c>
      <c r="J39" s="111">
        <f t="shared" si="20"/>
        <v>9038983</v>
      </c>
      <c r="K39" s="111">
        <f t="shared" si="20"/>
        <v>8902078</v>
      </c>
      <c r="L39" s="111">
        <f t="shared" si="20"/>
        <v>8972839</v>
      </c>
      <c r="M39" s="111">
        <f t="shared" si="20"/>
        <v>9338371</v>
      </c>
      <c r="N39" s="111">
        <f t="shared" si="20"/>
        <v>9709473</v>
      </c>
      <c r="O39" s="111">
        <f t="shared" si="4"/>
        <v>54818514</v>
      </c>
      <c r="P39" s="111">
        <f t="shared" si="5"/>
        <v>109065157</v>
      </c>
    </row>
    <row r="40" spans="1:18" ht="12" customHeight="1" x14ac:dyDescent="0.15">
      <c r="A40" s="6" t="s">
        <v>102</v>
      </c>
      <c r="B40" s="111">
        <f>1454050</f>
        <v>1454050</v>
      </c>
      <c r="C40" s="111">
        <f t="shared" si="19"/>
        <v>1326050</v>
      </c>
      <c r="D40" s="111">
        <f t="shared" si="19"/>
        <v>1447950</v>
      </c>
      <c r="E40" s="111">
        <f t="shared" si="19"/>
        <v>1383650</v>
      </c>
      <c r="F40" s="111">
        <f t="shared" si="19"/>
        <v>1615550</v>
      </c>
      <c r="G40" s="111">
        <f t="shared" si="19"/>
        <v>1502700</v>
      </c>
      <c r="H40" s="111">
        <f t="shared" si="18"/>
        <v>8729950</v>
      </c>
      <c r="I40" s="111">
        <f>I109-G109</f>
        <v>1699150</v>
      </c>
      <c r="J40" s="111">
        <f t="shared" si="20"/>
        <v>1646860</v>
      </c>
      <c r="K40" s="111">
        <f t="shared" si="20"/>
        <v>1414510</v>
      </c>
      <c r="L40" s="111">
        <f t="shared" si="20"/>
        <v>1369615</v>
      </c>
      <c r="M40" s="111">
        <f t="shared" si="20"/>
        <v>1478980</v>
      </c>
      <c r="N40" s="111">
        <f t="shared" si="20"/>
        <v>1497995</v>
      </c>
      <c r="O40" s="111">
        <f t="shared" si="4"/>
        <v>9107110</v>
      </c>
      <c r="P40" s="111">
        <f t="shared" si="5"/>
        <v>17837060</v>
      </c>
    </row>
    <row r="41" spans="1:18" ht="12" customHeight="1" x14ac:dyDescent="0.15">
      <c r="A41" s="6" t="s">
        <v>19</v>
      </c>
      <c r="B41" s="111">
        <f>1051944</f>
        <v>1051944</v>
      </c>
      <c r="C41" s="111">
        <f t="shared" si="19"/>
        <v>1051040</v>
      </c>
      <c r="D41" s="111">
        <f t="shared" si="19"/>
        <v>1209181</v>
      </c>
      <c r="E41" s="111">
        <f t="shared" si="19"/>
        <v>1098357</v>
      </c>
      <c r="F41" s="111">
        <f t="shared" si="19"/>
        <v>1051322</v>
      </c>
      <c r="G41" s="111">
        <f t="shared" si="19"/>
        <v>1957421</v>
      </c>
      <c r="H41" s="111">
        <f t="shared" si="18"/>
        <v>7419265</v>
      </c>
      <c r="I41" s="111">
        <f>I110-G110</f>
        <v>1226125</v>
      </c>
      <c r="J41" s="111">
        <f t="shared" si="20"/>
        <v>1168552</v>
      </c>
      <c r="K41" s="111">
        <f t="shared" si="20"/>
        <v>1119844</v>
      </c>
      <c r="L41" s="111">
        <f t="shared" si="20"/>
        <v>2205345</v>
      </c>
      <c r="M41" s="111">
        <f t="shared" si="20"/>
        <v>1193115</v>
      </c>
      <c r="N41" s="111">
        <f t="shared" si="20"/>
        <v>1190592</v>
      </c>
      <c r="O41" s="111">
        <f t="shared" si="4"/>
        <v>8103573</v>
      </c>
      <c r="P41" s="111">
        <f t="shared" si="5"/>
        <v>15522838</v>
      </c>
    </row>
    <row r="42" spans="1:18" ht="12" customHeight="1" x14ac:dyDescent="0.15">
      <c r="A42" s="6" t="s">
        <v>117</v>
      </c>
      <c r="B42" s="111">
        <f>0</f>
        <v>0</v>
      </c>
      <c r="C42" s="111">
        <f t="shared" si="19"/>
        <v>0</v>
      </c>
      <c r="D42" s="111">
        <f t="shared" si="19"/>
        <v>0</v>
      </c>
      <c r="E42" s="111">
        <f t="shared" si="19"/>
        <v>8791500</v>
      </c>
      <c r="F42" s="111">
        <f t="shared" si="19"/>
        <v>0</v>
      </c>
      <c r="G42" s="111">
        <f t="shared" si="19"/>
        <v>0</v>
      </c>
      <c r="H42" s="111">
        <f t="shared" si="18"/>
        <v>8791500</v>
      </c>
      <c r="I42" s="111">
        <f>I111-G111</f>
        <v>0</v>
      </c>
      <c r="J42" s="111">
        <f t="shared" si="20"/>
        <v>8269000</v>
      </c>
      <c r="K42" s="111">
        <f t="shared" si="20"/>
        <v>0</v>
      </c>
      <c r="L42" s="111">
        <f t="shared" si="20"/>
        <v>0</v>
      </c>
      <c r="M42" s="111">
        <f t="shared" si="20"/>
        <v>0</v>
      </c>
      <c r="N42" s="111">
        <f t="shared" si="20"/>
        <v>0</v>
      </c>
      <c r="O42" s="111">
        <f t="shared" si="4"/>
        <v>8269000</v>
      </c>
      <c r="P42" s="111">
        <f t="shared" si="5"/>
        <v>17060500</v>
      </c>
    </row>
    <row r="43" spans="1:18" ht="12" customHeight="1" x14ac:dyDescent="0.15">
      <c r="A43" s="23" t="s">
        <v>20</v>
      </c>
      <c r="B43" s="114">
        <f>SUM(B44:B68)</f>
        <v>3467237</v>
      </c>
      <c r="C43" s="114">
        <f t="shared" ref="C43:N43" si="21">SUM(C44:C68)</f>
        <v>4229439</v>
      </c>
      <c r="D43" s="114">
        <f t="shared" si="21"/>
        <v>3409843</v>
      </c>
      <c r="E43" s="114">
        <f t="shared" si="21"/>
        <v>3320860</v>
      </c>
      <c r="F43" s="114">
        <f t="shared" si="21"/>
        <v>3219357</v>
      </c>
      <c r="G43" s="114">
        <f t="shared" si="21"/>
        <v>6326747</v>
      </c>
      <c r="H43" s="114">
        <f t="shared" si="18"/>
        <v>23973483</v>
      </c>
      <c r="I43" s="114">
        <f>SUM(I44:I68)</f>
        <v>3068524</v>
      </c>
      <c r="J43" s="114">
        <f t="shared" si="21"/>
        <v>3765670</v>
      </c>
      <c r="K43" s="114">
        <f t="shared" si="21"/>
        <v>3167476</v>
      </c>
      <c r="L43" s="114">
        <f t="shared" si="21"/>
        <v>3879160</v>
      </c>
      <c r="M43" s="114">
        <f t="shared" si="21"/>
        <v>3777803</v>
      </c>
      <c r="N43" s="114">
        <f t="shared" si="21"/>
        <v>5895733</v>
      </c>
      <c r="O43" s="114">
        <f t="shared" si="4"/>
        <v>23554366</v>
      </c>
      <c r="P43" s="114">
        <f t="shared" si="5"/>
        <v>47527849</v>
      </c>
    </row>
    <row r="44" spans="1:18" ht="12" customHeight="1" x14ac:dyDescent="0.15">
      <c r="A44" s="6" t="s">
        <v>21</v>
      </c>
      <c r="B44" s="111">
        <v>298469</v>
      </c>
      <c r="C44" s="111">
        <f t="shared" ref="C44:C59" si="22">C113-B113</f>
        <v>284000</v>
      </c>
      <c r="D44" s="111">
        <f>D113-C113</f>
        <v>414800</v>
      </c>
      <c r="E44" s="111">
        <f>E113-D113</f>
        <v>346100</v>
      </c>
      <c r="F44" s="111">
        <f>F113-E113</f>
        <v>323500</v>
      </c>
      <c r="G44" s="111">
        <f>G113-F113</f>
        <v>294000</v>
      </c>
      <c r="H44" s="111">
        <f t="shared" si="18"/>
        <v>1960869</v>
      </c>
      <c r="I44" s="111">
        <f>I113-G113</f>
        <v>294500</v>
      </c>
      <c r="J44" s="111">
        <f>J113-I113</f>
        <v>337345</v>
      </c>
      <c r="K44" s="111">
        <f>K113-J113</f>
        <v>317700</v>
      </c>
      <c r="L44" s="111">
        <f>L113-K113</f>
        <v>324500</v>
      </c>
      <c r="M44" s="111">
        <f>M113-L113</f>
        <v>490755</v>
      </c>
      <c r="N44" s="111">
        <f>N113-M113</f>
        <v>516267</v>
      </c>
      <c r="O44" s="111">
        <f t="shared" si="4"/>
        <v>2281067</v>
      </c>
      <c r="P44" s="111">
        <f t="shared" si="5"/>
        <v>4241936</v>
      </c>
    </row>
    <row r="45" spans="1:18" ht="12" customHeight="1" x14ac:dyDescent="0.15">
      <c r="A45" s="6" t="s">
        <v>22</v>
      </c>
      <c r="B45" s="111">
        <f>0</f>
        <v>0</v>
      </c>
      <c r="C45" s="111">
        <f t="shared" si="22"/>
        <v>0</v>
      </c>
      <c r="D45" s="111">
        <f t="shared" ref="D45:G68" si="23">D114-C114</f>
        <v>0</v>
      </c>
      <c r="E45" s="111">
        <f t="shared" si="23"/>
        <v>0</v>
      </c>
      <c r="F45" s="111">
        <f t="shared" si="23"/>
        <v>0</v>
      </c>
      <c r="G45" s="111">
        <f t="shared" si="23"/>
        <v>0</v>
      </c>
      <c r="H45" s="111">
        <f t="shared" si="18"/>
        <v>0</v>
      </c>
      <c r="I45" s="111">
        <f t="shared" ref="I45:I68" si="24">I114-G114</f>
        <v>0</v>
      </c>
      <c r="J45" s="111">
        <f t="shared" ref="J45:N68" si="25">J114-I114</f>
        <v>0</v>
      </c>
      <c r="K45" s="111">
        <f t="shared" si="25"/>
        <v>0</v>
      </c>
      <c r="L45" s="111">
        <f t="shared" si="25"/>
        <v>0</v>
      </c>
      <c r="M45" s="111">
        <f t="shared" si="25"/>
        <v>0</v>
      </c>
      <c r="N45" s="111">
        <f t="shared" si="25"/>
        <v>0</v>
      </c>
      <c r="O45" s="111">
        <f t="shared" si="4"/>
        <v>0</v>
      </c>
      <c r="P45" s="111">
        <f t="shared" si="5"/>
        <v>0</v>
      </c>
      <c r="R45" t="s">
        <v>304</v>
      </c>
    </row>
    <row r="46" spans="1:18" ht="12" customHeight="1" x14ac:dyDescent="0.15">
      <c r="A46" s="6" t="s">
        <v>103</v>
      </c>
      <c r="B46" s="111">
        <f>71629</f>
        <v>71629</v>
      </c>
      <c r="C46" s="111">
        <f t="shared" si="22"/>
        <v>86378</v>
      </c>
      <c r="D46" s="111">
        <f t="shared" si="23"/>
        <v>64221</v>
      </c>
      <c r="E46" s="111">
        <f t="shared" si="23"/>
        <v>90202</v>
      </c>
      <c r="F46" s="111">
        <f t="shared" si="23"/>
        <v>184155</v>
      </c>
      <c r="G46" s="111">
        <f t="shared" si="23"/>
        <v>110930</v>
      </c>
      <c r="H46" s="111">
        <f t="shared" si="18"/>
        <v>607515</v>
      </c>
      <c r="I46" s="111">
        <f t="shared" si="24"/>
        <v>11150</v>
      </c>
      <c r="J46" s="111">
        <f t="shared" si="25"/>
        <v>216494</v>
      </c>
      <c r="K46" s="111">
        <f t="shared" si="25"/>
        <v>3295</v>
      </c>
      <c r="L46" s="111">
        <f t="shared" si="25"/>
        <v>203077</v>
      </c>
      <c r="M46" s="111">
        <f t="shared" si="25"/>
        <v>107026</v>
      </c>
      <c r="N46" s="111">
        <f t="shared" si="25"/>
        <v>113119</v>
      </c>
      <c r="O46" s="111">
        <f t="shared" si="4"/>
        <v>654161</v>
      </c>
      <c r="P46" s="111">
        <f t="shared" si="5"/>
        <v>1261676</v>
      </c>
    </row>
    <row r="47" spans="1:18" ht="12" customHeight="1" x14ac:dyDescent="0.15">
      <c r="A47" s="6" t="s">
        <v>24</v>
      </c>
      <c r="B47" s="111">
        <v>24325</v>
      </c>
      <c r="C47" s="111">
        <f t="shared" si="22"/>
        <v>41152</v>
      </c>
      <c r="D47" s="111">
        <f t="shared" si="23"/>
        <v>34200</v>
      </c>
      <c r="E47" s="111">
        <f t="shared" si="23"/>
        <v>19558</v>
      </c>
      <c r="F47" s="111">
        <f t="shared" si="23"/>
        <v>15059</v>
      </c>
      <c r="G47" s="111">
        <f t="shared" si="23"/>
        <v>12800</v>
      </c>
      <c r="H47" s="111">
        <f t="shared" si="18"/>
        <v>147094</v>
      </c>
      <c r="I47" s="111">
        <f t="shared" si="24"/>
        <v>13139</v>
      </c>
      <c r="J47" s="111">
        <f t="shared" si="25"/>
        <v>12993</v>
      </c>
      <c r="K47" s="111">
        <f t="shared" si="25"/>
        <v>12004</v>
      </c>
      <c r="L47" s="111">
        <f t="shared" si="25"/>
        <v>25160</v>
      </c>
      <c r="M47" s="111">
        <f t="shared" si="25"/>
        <v>13151</v>
      </c>
      <c r="N47" s="111">
        <f t="shared" si="25"/>
        <v>30750</v>
      </c>
      <c r="O47" s="111">
        <f t="shared" si="4"/>
        <v>107197</v>
      </c>
      <c r="P47" s="111">
        <f t="shared" si="5"/>
        <v>254291</v>
      </c>
    </row>
    <row r="48" spans="1:18" ht="12" customHeight="1" x14ac:dyDescent="0.15">
      <c r="A48" s="26" t="s">
        <v>404</v>
      </c>
      <c r="B48" s="111">
        <v>178880</v>
      </c>
      <c r="C48" s="111">
        <f t="shared" si="22"/>
        <v>0</v>
      </c>
      <c r="D48" s="111">
        <f t="shared" si="23"/>
        <v>33000</v>
      </c>
      <c r="E48" s="111">
        <f t="shared" si="23"/>
        <v>0</v>
      </c>
      <c r="F48" s="111">
        <f t="shared" si="23"/>
        <v>0</v>
      </c>
      <c r="G48" s="111">
        <f t="shared" si="23"/>
        <v>99400</v>
      </c>
      <c r="H48" s="111">
        <f t="shared" si="18"/>
        <v>311280</v>
      </c>
      <c r="I48" s="111">
        <f t="shared" si="24"/>
        <v>0</v>
      </c>
      <c r="J48" s="111">
        <f t="shared" si="25"/>
        <v>135080</v>
      </c>
      <c r="K48" s="111">
        <f t="shared" si="25"/>
        <v>0</v>
      </c>
      <c r="L48" s="111">
        <f t="shared" si="25"/>
        <v>0</v>
      </c>
      <c r="M48" s="111">
        <f t="shared" si="25"/>
        <v>299980</v>
      </c>
      <c r="N48" s="111">
        <f t="shared" si="25"/>
        <v>301701</v>
      </c>
      <c r="O48" s="111">
        <f t="shared" si="4"/>
        <v>736761</v>
      </c>
      <c r="P48" s="111">
        <f t="shared" si="5"/>
        <v>1048041</v>
      </c>
    </row>
    <row r="49" spans="1:16" ht="12" customHeight="1" x14ac:dyDescent="0.15">
      <c r="A49" s="6" t="s">
        <v>105</v>
      </c>
      <c r="B49" s="111">
        <f>0</f>
        <v>0</v>
      </c>
      <c r="C49" s="111">
        <f t="shared" si="22"/>
        <v>0</v>
      </c>
      <c r="D49" s="111">
        <f t="shared" si="23"/>
        <v>0</v>
      </c>
      <c r="E49" s="111">
        <f t="shared" si="23"/>
        <v>0</v>
      </c>
      <c r="F49" s="111">
        <f t="shared" si="23"/>
        <v>0</v>
      </c>
      <c r="G49" s="111">
        <f t="shared" si="23"/>
        <v>0</v>
      </c>
      <c r="H49" s="111">
        <f t="shared" si="18"/>
        <v>0</v>
      </c>
      <c r="I49" s="111">
        <f t="shared" si="24"/>
        <v>0</v>
      </c>
      <c r="J49" s="111">
        <f t="shared" si="25"/>
        <v>0</v>
      </c>
      <c r="K49" s="111">
        <f t="shared" si="25"/>
        <v>0</v>
      </c>
      <c r="L49" s="111">
        <f t="shared" si="25"/>
        <v>36000</v>
      </c>
      <c r="M49" s="111">
        <f t="shared" si="25"/>
        <v>0</v>
      </c>
      <c r="N49" s="111">
        <f t="shared" si="25"/>
        <v>0</v>
      </c>
      <c r="O49" s="111">
        <f t="shared" si="4"/>
        <v>36000</v>
      </c>
      <c r="P49" s="111">
        <f t="shared" si="5"/>
        <v>36000</v>
      </c>
    </row>
    <row r="50" spans="1:16" ht="12" customHeight="1" x14ac:dyDescent="0.15">
      <c r="A50" s="6" t="s">
        <v>106</v>
      </c>
      <c r="B50" s="111">
        <v>116410</v>
      </c>
      <c r="C50" s="111">
        <f t="shared" si="22"/>
        <v>97766</v>
      </c>
      <c r="D50" s="111">
        <f t="shared" si="23"/>
        <v>104401</v>
      </c>
      <c r="E50" s="111">
        <f t="shared" si="23"/>
        <v>87560</v>
      </c>
      <c r="F50" s="111">
        <f t="shared" si="23"/>
        <v>82869</v>
      </c>
      <c r="G50" s="111">
        <f t="shared" si="23"/>
        <v>136482</v>
      </c>
      <c r="H50" s="111">
        <f t="shared" si="18"/>
        <v>625488</v>
      </c>
      <c r="I50" s="111">
        <f t="shared" si="24"/>
        <v>94958</v>
      </c>
      <c r="J50" s="111">
        <f t="shared" si="25"/>
        <v>103169</v>
      </c>
      <c r="K50" s="111">
        <f t="shared" si="25"/>
        <v>94082</v>
      </c>
      <c r="L50" s="111">
        <f t="shared" si="25"/>
        <v>138078</v>
      </c>
      <c r="M50" s="111">
        <f t="shared" si="25"/>
        <v>102218</v>
      </c>
      <c r="N50" s="111">
        <f t="shared" si="25"/>
        <v>91113</v>
      </c>
      <c r="O50" s="111">
        <f t="shared" si="4"/>
        <v>623618</v>
      </c>
      <c r="P50" s="111">
        <f t="shared" si="5"/>
        <v>1249106</v>
      </c>
    </row>
    <row r="51" spans="1:16" ht="12" customHeight="1" x14ac:dyDescent="0.15">
      <c r="A51" s="6" t="s">
        <v>28</v>
      </c>
      <c r="B51" s="111">
        <v>33846</v>
      </c>
      <c r="C51" s="111">
        <f t="shared" si="22"/>
        <v>12146</v>
      </c>
      <c r="D51" s="111">
        <f t="shared" si="23"/>
        <v>35296</v>
      </c>
      <c r="E51" s="111">
        <f t="shared" si="23"/>
        <v>34894</v>
      </c>
      <c r="F51" s="111">
        <f t="shared" si="23"/>
        <v>24246</v>
      </c>
      <c r="G51" s="111">
        <f t="shared" si="23"/>
        <v>15006</v>
      </c>
      <c r="H51" s="111">
        <f t="shared" si="18"/>
        <v>155434</v>
      </c>
      <c r="I51" s="111">
        <f t="shared" si="24"/>
        <v>12146</v>
      </c>
      <c r="J51" s="111">
        <f t="shared" si="25"/>
        <v>34894</v>
      </c>
      <c r="K51" s="111">
        <f t="shared" si="25"/>
        <v>26496</v>
      </c>
      <c r="L51" s="111">
        <f t="shared" si="25"/>
        <v>12146</v>
      </c>
      <c r="M51" s="111">
        <f t="shared" si="25"/>
        <v>12146</v>
      </c>
      <c r="N51" s="111">
        <f t="shared" si="25"/>
        <v>12146</v>
      </c>
      <c r="O51" s="111">
        <f t="shared" si="4"/>
        <v>109974</v>
      </c>
      <c r="P51" s="111">
        <f t="shared" si="5"/>
        <v>265408</v>
      </c>
    </row>
    <row r="52" spans="1:16" ht="12" customHeight="1" x14ac:dyDescent="0.15">
      <c r="A52" s="6" t="s">
        <v>107</v>
      </c>
      <c r="B52" s="111">
        <f>18000</f>
        <v>18000</v>
      </c>
      <c r="C52" s="111">
        <f t="shared" si="22"/>
        <v>10000</v>
      </c>
      <c r="D52" s="111">
        <f t="shared" si="23"/>
        <v>6000</v>
      </c>
      <c r="E52" s="111">
        <f t="shared" si="23"/>
        <v>4700</v>
      </c>
      <c r="F52" s="111">
        <f t="shared" si="23"/>
        <v>800</v>
      </c>
      <c r="G52" s="111">
        <f t="shared" si="23"/>
        <v>26600</v>
      </c>
      <c r="H52" s="111">
        <f t="shared" si="18"/>
        <v>66100</v>
      </c>
      <c r="I52" s="111">
        <f t="shared" si="24"/>
        <v>18500</v>
      </c>
      <c r="J52" s="111">
        <f t="shared" si="25"/>
        <v>2800</v>
      </c>
      <c r="K52" s="111">
        <f t="shared" si="25"/>
        <v>35600</v>
      </c>
      <c r="L52" s="111">
        <f t="shared" si="25"/>
        <v>0</v>
      </c>
      <c r="M52" s="111">
        <f t="shared" si="25"/>
        <v>3000</v>
      </c>
      <c r="N52" s="111">
        <f t="shared" si="25"/>
        <v>28880</v>
      </c>
      <c r="O52" s="111">
        <f t="shared" si="4"/>
        <v>88780</v>
      </c>
      <c r="P52" s="111">
        <f t="shared" si="5"/>
        <v>154880</v>
      </c>
    </row>
    <row r="53" spans="1:16" ht="12" customHeight="1" x14ac:dyDescent="0.15">
      <c r="A53" s="6" t="s">
        <v>27</v>
      </c>
      <c r="B53" s="111">
        <f>0</f>
        <v>0</v>
      </c>
      <c r="C53" s="111">
        <f t="shared" si="22"/>
        <v>0</v>
      </c>
      <c r="D53" s="111">
        <f t="shared" si="23"/>
        <v>0</v>
      </c>
      <c r="E53" s="111">
        <f t="shared" si="23"/>
        <v>21560</v>
      </c>
      <c r="F53" s="111">
        <f t="shared" si="23"/>
        <v>0</v>
      </c>
      <c r="G53" s="111">
        <f t="shared" si="23"/>
        <v>0</v>
      </c>
      <c r="H53" s="111">
        <f t="shared" si="18"/>
        <v>21560</v>
      </c>
      <c r="I53" s="111">
        <f t="shared" si="24"/>
        <v>0</v>
      </c>
      <c r="J53" s="111">
        <f t="shared" si="25"/>
        <v>49500</v>
      </c>
      <c r="K53" s="111">
        <f t="shared" si="25"/>
        <v>0</v>
      </c>
      <c r="L53" s="111">
        <f t="shared" si="25"/>
        <v>11000</v>
      </c>
      <c r="M53" s="111">
        <f t="shared" si="25"/>
        <v>11000</v>
      </c>
      <c r="N53" s="111">
        <f t="shared" si="25"/>
        <v>0</v>
      </c>
      <c r="O53" s="111">
        <f t="shared" si="4"/>
        <v>71500</v>
      </c>
      <c r="P53" s="111">
        <f t="shared" si="5"/>
        <v>93060</v>
      </c>
    </row>
    <row r="54" spans="1:16" ht="12" customHeight="1" x14ac:dyDescent="0.15">
      <c r="A54" s="6" t="s">
        <v>32</v>
      </c>
      <c r="B54" s="111">
        <f>514619</f>
        <v>514619</v>
      </c>
      <c r="C54" s="111">
        <f t="shared" si="22"/>
        <v>512213</v>
      </c>
      <c r="D54" s="111">
        <f t="shared" si="23"/>
        <v>472819</v>
      </c>
      <c r="E54" s="111">
        <f t="shared" si="23"/>
        <v>327322</v>
      </c>
      <c r="F54" s="111">
        <f t="shared" si="23"/>
        <v>504828</v>
      </c>
      <c r="G54" s="111">
        <f t="shared" si="23"/>
        <v>476046</v>
      </c>
      <c r="H54" s="111">
        <f t="shared" si="18"/>
        <v>2807847</v>
      </c>
      <c r="I54" s="111">
        <f t="shared" si="24"/>
        <v>359976</v>
      </c>
      <c r="J54" s="111">
        <f t="shared" si="25"/>
        <v>513025</v>
      </c>
      <c r="K54" s="111">
        <f t="shared" si="25"/>
        <v>474137</v>
      </c>
      <c r="L54" s="111">
        <f t="shared" si="25"/>
        <v>572935</v>
      </c>
      <c r="M54" s="111">
        <f t="shared" si="25"/>
        <v>683199</v>
      </c>
      <c r="N54" s="111">
        <f t="shared" si="25"/>
        <v>703609</v>
      </c>
      <c r="O54" s="111">
        <f t="shared" si="4"/>
        <v>3306881</v>
      </c>
      <c r="P54" s="111">
        <f t="shared" si="5"/>
        <v>6114728</v>
      </c>
    </row>
    <row r="55" spans="1:16" ht="12" customHeight="1" x14ac:dyDescent="0.15">
      <c r="A55" s="6" t="s">
        <v>405</v>
      </c>
      <c r="B55" s="111">
        <v>4000</v>
      </c>
      <c r="C55" s="111">
        <f t="shared" si="22"/>
        <v>12000</v>
      </c>
      <c r="D55" s="111">
        <f t="shared" si="23"/>
        <v>12000</v>
      </c>
      <c r="E55" s="111">
        <f t="shared" si="23"/>
        <v>15939</v>
      </c>
      <c r="F55" s="111">
        <f t="shared" si="23"/>
        <v>3000</v>
      </c>
      <c r="G55" s="111">
        <f t="shared" si="23"/>
        <v>15760</v>
      </c>
      <c r="H55" s="111">
        <f t="shared" si="18"/>
        <v>62699</v>
      </c>
      <c r="I55" s="111">
        <f t="shared" si="24"/>
        <v>0</v>
      </c>
      <c r="J55" s="111">
        <f t="shared" si="25"/>
        <v>4000</v>
      </c>
      <c r="K55" s="111">
        <f t="shared" si="25"/>
        <v>3000</v>
      </c>
      <c r="L55" s="111">
        <f t="shared" si="25"/>
        <v>18720</v>
      </c>
      <c r="M55" s="111">
        <f t="shared" si="25"/>
        <v>12000</v>
      </c>
      <c r="N55" s="111">
        <f t="shared" si="25"/>
        <v>5000</v>
      </c>
      <c r="O55" s="111">
        <f t="shared" si="4"/>
        <v>42720</v>
      </c>
      <c r="P55" s="111">
        <f t="shared" si="5"/>
        <v>105419</v>
      </c>
    </row>
    <row r="56" spans="1:16" ht="12" customHeight="1" x14ac:dyDescent="0.15">
      <c r="A56" s="6" t="s">
        <v>34</v>
      </c>
      <c r="B56" s="111">
        <v>30000</v>
      </c>
      <c r="C56" s="111">
        <f t="shared" si="22"/>
        <v>0</v>
      </c>
      <c r="D56" s="111">
        <f t="shared" si="23"/>
        <v>3000</v>
      </c>
      <c r="E56" s="111">
        <f t="shared" si="23"/>
        <v>25100</v>
      </c>
      <c r="F56" s="111">
        <f t="shared" si="23"/>
        <v>32950</v>
      </c>
      <c r="G56" s="111">
        <f t="shared" si="23"/>
        <v>18000</v>
      </c>
      <c r="H56" s="111">
        <f t="shared" si="18"/>
        <v>109050</v>
      </c>
      <c r="I56" s="111">
        <f t="shared" si="24"/>
        <v>7000</v>
      </c>
      <c r="J56" s="111">
        <f t="shared" si="25"/>
        <v>0</v>
      </c>
      <c r="K56" s="111">
        <f t="shared" si="25"/>
        <v>0</v>
      </c>
      <c r="L56" s="111">
        <f t="shared" si="25"/>
        <v>0</v>
      </c>
      <c r="M56" s="111">
        <f t="shared" si="25"/>
        <v>0</v>
      </c>
      <c r="N56" s="111">
        <f t="shared" si="25"/>
        <v>0</v>
      </c>
      <c r="O56" s="111">
        <f t="shared" si="4"/>
        <v>7000</v>
      </c>
      <c r="P56" s="111">
        <f t="shared" si="5"/>
        <v>116050</v>
      </c>
    </row>
    <row r="57" spans="1:16" ht="12" customHeight="1" x14ac:dyDescent="0.15">
      <c r="A57" s="6" t="s">
        <v>109</v>
      </c>
      <c r="B57" s="111">
        <v>418648</v>
      </c>
      <c r="C57" s="111">
        <f t="shared" si="22"/>
        <v>412458</v>
      </c>
      <c r="D57" s="111">
        <f t="shared" si="23"/>
        <v>445518</v>
      </c>
      <c r="E57" s="111">
        <f t="shared" si="23"/>
        <v>431588</v>
      </c>
      <c r="F57" s="111">
        <f t="shared" si="23"/>
        <v>451771</v>
      </c>
      <c r="G57" s="111">
        <f t="shared" si="23"/>
        <v>803588</v>
      </c>
      <c r="H57" s="111">
        <f t="shared" si="18"/>
        <v>2963571</v>
      </c>
      <c r="I57" s="111">
        <f t="shared" si="24"/>
        <v>414397</v>
      </c>
      <c r="J57" s="111">
        <f t="shared" si="25"/>
        <v>446789</v>
      </c>
      <c r="K57" s="111">
        <f t="shared" si="25"/>
        <v>421504</v>
      </c>
      <c r="L57" s="111">
        <f t="shared" si="25"/>
        <v>408415</v>
      </c>
      <c r="M57" s="111">
        <f t="shared" si="25"/>
        <v>393241</v>
      </c>
      <c r="N57" s="111">
        <f t="shared" si="25"/>
        <v>433807</v>
      </c>
      <c r="O57" s="111">
        <f t="shared" si="4"/>
        <v>2518153</v>
      </c>
      <c r="P57" s="111">
        <f t="shared" si="5"/>
        <v>5481724</v>
      </c>
    </row>
    <row r="58" spans="1:16" ht="12" customHeight="1" x14ac:dyDescent="0.15">
      <c r="A58" s="6" t="s">
        <v>35</v>
      </c>
      <c r="B58" s="111">
        <v>21197</v>
      </c>
      <c r="C58" s="111">
        <f t="shared" si="22"/>
        <v>2587</v>
      </c>
      <c r="D58" s="111">
        <f t="shared" si="23"/>
        <v>19497</v>
      </c>
      <c r="E58" s="111">
        <f t="shared" si="23"/>
        <v>15191</v>
      </c>
      <c r="F58" s="111">
        <f t="shared" si="23"/>
        <v>15052</v>
      </c>
      <c r="G58" s="111">
        <f t="shared" si="23"/>
        <v>5698</v>
      </c>
      <c r="H58" s="111">
        <f t="shared" si="18"/>
        <v>79222</v>
      </c>
      <c r="I58" s="111">
        <f t="shared" si="24"/>
        <v>6820</v>
      </c>
      <c r="J58" s="111">
        <f t="shared" si="25"/>
        <v>14078</v>
      </c>
      <c r="K58" s="111">
        <f t="shared" si="25"/>
        <v>38584</v>
      </c>
      <c r="L58" s="111">
        <f t="shared" si="25"/>
        <v>6947</v>
      </c>
      <c r="M58" s="111">
        <f t="shared" si="25"/>
        <v>11442</v>
      </c>
      <c r="N58" s="111">
        <f t="shared" si="25"/>
        <v>35284</v>
      </c>
      <c r="O58" s="111">
        <f t="shared" si="4"/>
        <v>113155</v>
      </c>
      <c r="P58" s="111">
        <f t="shared" si="5"/>
        <v>192377</v>
      </c>
    </row>
    <row r="59" spans="1:16" ht="12" customHeight="1" x14ac:dyDescent="0.15">
      <c r="A59" s="6" t="s">
        <v>110</v>
      </c>
      <c r="B59" s="111">
        <v>64230</v>
      </c>
      <c r="C59" s="111">
        <f t="shared" si="22"/>
        <v>163130</v>
      </c>
      <c r="D59" s="111">
        <f t="shared" si="23"/>
        <v>0</v>
      </c>
      <c r="E59" s="111">
        <f t="shared" si="23"/>
        <v>0</v>
      </c>
      <c r="F59" s="111">
        <f t="shared" si="23"/>
        <v>0</v>
      </c>
      <c r="G59" s="111">
        <f t="shared" si="23"/>
        <v>23280</v>
      </c>
      <c r="H59" s="111">
        <f t="shared" si="18"/>
        <v>250640</v>
      </c>
      <c r="I59" s="111">
        <f t="shared" si="24"/>
        <v>45820</v>
      </c>
      <c r="J59" s="111">
        <f t="shared" si="25"/>
        <v>0</v>
      </c>
      <c r="K59" s="111">
        <f t="shared" si="25"/>
        <v>990</v>
      </c>
      <c r="L59" s="111">
        <f t="shared" si="25"/>
        <v>539120</v>
      </c>
      <c r="M59" s="111">
        <f t="shared" si="25"/>
        <v>0</v>
      </c>
      <c r="N59" s="111">
        <f t="shared" si="25"/>
        <v>0</v>
      </c>
      <c r="O59" s="111">
        <f t="shared" si="4"/>
        <v>585930</v>
      </c>
      <c r="P59" s="111">
        <f t="shared" si="5"/>
        <v>836570</v>
      </c>
    </row>
    <row r="60" spans="1:16" ht="12" customHeight="1" x14ac:dyDescent="0.15">
      <c r="A60" s="6" t="s">
        <v>111</v>
      </c>
      <c r="B60" s="111">
        <v>613653</v>
      </c>
      <c r="C60" s="111">
        <f t="shared" ref="C60:C68" si="26">C129-B129</f>
        <v>839695</v>
      </c>
      <c r="D60" s="111">
        <f t="shared" si="23"/>
        <v>473941</v>
      </c>
      <c r="E60" s="111">
        <f t="shared" si="23"/>
        <v>581585</v>
      </c>
      <c r="F60" s="111">
        <f t="shared" si="23"/>
        <v>355269</v>
      </c>
      <c r="G60" s="111">
        <f t="shared" si="23"/>
        <v>366984</v>
      </c>
      <c r="H60" s="111">
        <f t="shared" si="18"/>
        <v>3231127</v>
      </c>
      <c r="I60" s="111">
        <f t="shared" si="24"/>
        <v>463719</v>
      </c>
      <c r="J60" s="111">
        <f t="shared" si="25"/>
        <v>542275</v>
      </c>
      <c r="K60" s="111">
        <f t="shared" si="25"/>
        <v>389561</v>
      </c>
      <c r="L60" s="111">
        <f t="shared" si="25"/>
        <v>442619</v>
      </c>
      <c r="M60" s="111">
        <f t="shared" si="25"/>
        <v>571682</v>
      </c>
      <c r="N60" s="111">
        <f t="shared" si="25"/>
        <v>356428</v>
      </c>
      <c r="O60" s="111">
        <f t="shared" si="4"/>
        <v>2766284</v>
      </c>
      <c r="P60" s="111">
        <f t="shared" si="5"/>
        <v>5997411</v>
      </c>
    </row>
    <row r="61" spans="1:16" ht="12" customHeight="1" x14ac:dyDescent="0.15">
      <c r="A61" s="6" t="s">
        <v>112</v>
      </c>
      <c r="B61" s="111">
        <f>0</f>
        <v>0</v>
      </c>
      <c r="C61" s="111">
        <f t="shared" si="26"/>
        <v>119306</v>
      </c>
      <c r="D61" s="111">
        <f t="shared" si="23"/>
        <v>119306</v>
      </c>
      <c r="E61" s="111">
        <f t="shared" si="23"/>
        <v>146000</v>
      </c>
      <c r="F61" s="111">
        <f t="shared" si="23"/>
        <v>0</v>
      </c>
      <c r="G61" s="111">
        <f t="shared" si="23"/>
        <v>0</v>
      </c>
      <c r="H61" s="111">
        <f t="shared" si="18"/>
        <v>384612</v>
      </c>
      <c r="I61" s="111">
        <f t="shared" si="24"/>
        <v>0</v>
      </c>
      <c r="J61" s="111">
        <f t="shared" si="25"/>
        <v>0</v>
      </c>
      <c r="K61" s="111">
        <f t="shared" si="25"/>
        <v>0</v>
      </c>
      <c r="L61" s="111">
        <f t="shared" si="25"/>
        <v>0</v>
      </c>
      <c r="M61" s="111">
        <f t="shared" si="25"/>
        <v>0</v>
      </c>
      <c r="N61" s="111">
        <f t="shared" si="25"/>
        <v>0</v>
      </c>
      <c r="O61" s="111">
        <f t="shared" si="4"/>
        <v>0</v>
      </c>
      <c r="P61" s="111">
        <f t="shared" si="5"/>
        <v>384612</v>
      </c>
    </row>
    <row r="62" spans="1:16" ht="12" customHeight="1" x14ac:dyDescent="0.15">
      <c r="A62" s="6" t="s">
        <v>113</v>
      </c>
      <c r="B62" s="111">
        <v>307211</v>
      </c>
      <c r="C62" s="111">
        <f t="shared" si="26"/>
        <v>309313</v>
      </c>
      <c r="D62" s="111">
        <f t="shared" si="23"/>
        <v>330531</v>
      </c>
      <c r="E62" s="111">
        <f t="shared" si="23"/>
        <v>307211</v>
      </c>
      <c r="F62" s="111">
        <f t="shared" si="23"/>
        <v>327011</v>
      </c>
      <c r="G62" s="111">
        <f t="shared" si="23"/>
        <v>425571</v>
      </c>
      <c r="H62" s="111">
        <f t="shared" si="18"/>
        <v>2006848</v>
      </c>
      <c r="I62" s="111">
        <f t="shared" si="24"/>
        <v>390117</v>
      </c>
      <c r="J62" s="111">
        <f t="shared" si="25"/>
        <v>355226</v>
      </c>
      <c r="K62" s="111">
        <f t="shared" si="25"/>
        <v>332056</v>
      </c>
      <c r="L62" s="111">
        <f t="shared" si="25"/>
        <v>320436</v>
      </c>
      <c r="M62" s="111">
        <f t="shared" si="25"/>
        <v>305208</v>
      </c>
      <c r="N62" s="111">
        <f t="shared" si="25"/>
        <v>323908</v>
      </c>
      <c r="O62" s="111">
        <f t="shared" si="4"/>
        <v>2026951</v>
      </c>
      <c r="P62" s="111">
        <f t="shared" si="5"/>
        <v>4033799</v>
      </c>
    </row>
    <row r="63" spans="1:16" ht="12" customHeight="1" x14ac:dyDescent="0.15">
      <c r="A63" s="6" t="s">
        <v>121</v>
      </c>
      <c r="B63" s="111">
        <f>295000</f>
        <v>295000</v>
      </c>
      <c r="C63" s="111">
        <f t="shared" si="26"/>
        <v>415000</v>
      </c>
      <c r="D63" s="111">
        <f t="shared" si="23"/>
        <v>295000</v>
      </c>
      <c r="E63" s="111">
        <f t="shared" si="23"/>
        <v>295000</v>
      </c>
      <c r="F63" s="111">
        <f t="shared" si="23"/>
        <v>295000</v>
      </c>
      <c r="G63" s="111">
        <f t="shared" si="23"/>
        <v>295000</v>
      </c>
      <c r="H63" s="111">
        <f t="shared" si="18"/>
        <v>1890000</v>
      </c>
      <c r="I63" s="111">
        <f t="shared" si="24"/>
        <v>295000</v>
      </c>
      <c r="J63" s="111">
        <f t="shared" si="25"/>
        <v>295000</v>
      </c>
      <c r="K63" s="111">
        <f t="shared" si="25"/>
        <v>295000</v>
      </c>
      <c r="L63" s="111">
        <f t="shared" si="25"/>
        <v>295000</v>
      </c>
      <c r="M63" s="111">
        <f t="shared" si="25"/>
        <v>295000</v>
      </c>
      <c r="N63" s="111">
        <f t="shared" si="25"/>
        <v>295000</v>
      </c>
      <c r="O63" s="111">
        <f t="shared" si="4"/>
        <v>1770000</v>
      </c>
      <c r="P63" s="111">
        <f t="shared" si="5"/>
        <v>3660000</v>
      </c>
    </row>
    <row r="64" spans="1:16" ht="12" customHeight="1" x14ac:dyDescent="0.15">
      <c r="A64" s="6" t="s">
        <v>122</v>
      </c>
      <c r="B64" s="111">
        <f>0</f>
        <v>0</v>
      </c>
      <c r="C64" s="111">
        <f t="shared" si="26"/>
        <v>526300</v>
      </c>
      <c r="D64" s="111">
        <f t="shared" si="23"/>
        <v>0</v>
      </c>
      <c r="E64" s="111">
        <f t="shared" si="23"/>
        <v>600</v>
      </c>
      <c r="F64" s="111">
        <f t="shared" si="23"/>
        <v>51009</v>
      </c>
      <c r="G64" s="111">
        <f t="shared" si="23"/>
        <v>0</v>
      </c>
      <c r="H64" s="111">
        <v>577910</v>
      </c>
      <c r="I64" s="111">
        <f t="shared" si="24"/>
        <v>1</v>
      </c>
      <c r="J64" s="111">
        <f t="shared" si="25"/>
        <v>450</v>
      </c>
      <c r="K64" s="111">
        <f t="shared" si="25"/>
        <v>51000</v>
      </c>
      <c r="L64" s="111">
        <f t="shared" si="25"/>
        <v>2400</v>
      </c>
      <c r="M64" s="111">
        <f t="shared" si="25"/>
        <v>51008</v>
      </c>
      <c r="N64" s="111">
        <f t="shared" si="25"/>
        <v>0</v>
      </c>
      <c r="O64" s="111">
        <f t="shared" si="4"/>
        <v>104859</v>
      </c>
      <c r="P64" s="111">
        <f t="shared" si="5"/>
        <v>682769</v>
      </c>
    </row>
    <row r="65" spans="1:18" ht="12" customHeight="1" x14ac:dyDescent="0.15">
      <c r="A65" s="6" t="s">
        <v>37</v>
      </c>
      <c r="B65" s="111">
        <f>107594</f>
        <v>107594</v>
      </c>
      <c r="C65" s="111">
        <f t="shared" si="26"/>
        <v>56323</v>
      </c>
      <c r="D65" s="111">
        <f t="shared" si="23"/>
        <v>277709</v>
      </c>
      <c r="E65" s="111">
        <f t="shared" si="23"/>
        <v>59400</v>
      </c>
      <c r="F65" s="111">
        <f t="shared" si="23"/>
        <v>112833</v>
      </c>
      <c r="G65" s="111">
        <f t="shared" si="23"/>
        <v>573455</v>
      </c>
      <c r="H65" s="111">
        <f t="shared" si="18"/>
        <v>1187314</v>
      </c>
      <c r="I65" s="111">
        <f t="shared" si="24"/>
        <v>10120</v>
      </c>
      <c r="J65" s="111">
        <f t="shared" si="25"/>
        <v>122601</v>
      </c>
      <c r="K65" s="111">
        <f t="shared" si="25"/>
        <v>208739</v>
      </c>
      <c r="L65" s="111">
        <f t="shared" si="25"/>
        <v>62802</v>
      </c>
      <c r="M65" s="111">
        <f t="shared" si="25"/>
        <v>66454</v>
      </c>
      <c r="N65" s="111">
        <f t="shared" si="25"/>
        <v>194824</v>
      </c>
      <c r="O65" s="111">
        <f t="shared" si="4"/>
        <v>665540</v>
      </c>
      <c r="P65" s="111">
        <f t="shared" si="5"/>
        <v>1852854</v>
      </c>
    </row>
    <row r="66" spans="1:18" ht="12" customHeight="1" x14ac:dyDescent="0.15">
      <c r="A66" s="6" t="s">
        <v>114</v>
      </c>
      <c r="B66" s="111">
        <f>0</f>
        <v>0</v>
      </c>
      <c r="C66" s="111">
        <f t="shared" si="26"/>
        <v>0</v>
      </c>
      <c r="D66" s="111">
        <f t="shared" si="23"/>
        <v>0</v>
      </c>
      <c r="E66" s="111">
        <f t="shared" si="23"/>
        <v>0</v>
      </c>
      <c r="F66" s="111">
        <f t="shared" si="23"/>
        <v>4629</v>
      </c>
      <c r="G66" s="111">
        <f t="shared" si="23"/>
        <v>23442</v>
      </c>
      <c r="H66" s="111">
        <f t="shared" si="18"/>
        <v>28071</v>
      </c>
      <c r="I66" s="111">
        <f t="shared" si="24"/>
        <v>0</v>
      </c>
      <c r="J66" s="111">
        <f t="shared" si="25"/>
        <v>0</v>
      </c>
      <c r="K66" s="111">
        <f t="shared" si="25"/>
        <v>34694</v>
      </c>
      <c r="L66" s="111">
        <f t="shared" si="25"/>
        <v>9895</v>
      </c>
      <c r="M66" s="111">
        <f t="shared" si="25"/>
        <v>0</v>
      </c>
      <c r="N66" s="111">
        <f t="shared" si="25"/>
        <v>0</v>
      </c>
      <c r="O66" s="111">
        <f t="shared" si="4"/>
        <v>44589</v>
      </c>
      <c r="P66" s="111">
        <f t="shared" si="5"/>
        <v>72660</v>
      </c>
    </row>
    <row r="67" spans="1:18" ht="12" customHeight="1" x14ac:dyDescent="0.15">
      <c r="A67" s="53" t="s">
        <v>115</v>
      </c>
      <c r="B67" s="111">
        <f>349526</f>
        <v>349526</v>
      </c>
      <c r="C67" s="111">
        <f t="shared" si="26"/>
        <v>329672</v>
      </c>
      <c r="D67" s="111">
        <f t="shared" si="23"/>
        <v>268604</v>
      </c>
      <c r="E67" s="111">
        <f t="shared" si="23"/>
        <v>511350</v>
      </c>
      <c r="F67" s="111">
        <f t="shared" si="23"/>
        <v>435376</v>
      </c>
      <c r="G67" s="111">
        <f t="shared" si="23"/>
        <v>367531</v>
      </c>
      <c r="H67" s="111">
        <f t="shared" si="18"/>
        <v>2262059</v>
      </c>
      <c r="I67" s="111">
        <f t="shared" si="24"/>
        <v>631161</v>
      </c>
      <c r="J67" s="111">
        <f t="shared" si="25"/>
        <v>579951</v>
      </c>
      <c r="K67" s="111">
        <f t="shared" si="25"/>
        <v>429034</v>
      </c>
      <c r="L67" s="111">
        <f t="shared" si="25"/>
        <v>449910</v>
      </c>
      <c r="M67" s="111">
        <f t="shared" si="25"/>
        <v>349293</v>
      </c>
      <c r="N67" s="111">
        <f t="shared" si="25"/>
        <v>721346</v>
      </c>
      <c r="O67" s="111">
        <f t="shared" si="4"/>
        <v>3160695</v>
      </c>
      <c r="P67" s="111">
        <f t="shared" si="5"/>
        <v>5422754</v>
      </c>
    </row>
    <row r="68" spans="1:18" ht="12" customHeight="1" x14ac:dyDescent="0.15">
      <c r="A68" s="6" t="s">
        <v>46</v>
      </c>
      <c r="B68" s="111">
        <f>0</f>
        <v>0</v>
      </c>
      <c r="C68" s="111">
        <f t="shared" si="26"/>
        <v>0</v>
      </c>
      <c r="D68" s="111">
        <f t="shared" si="23"/>
        <v>0</v>
      </c>
      <c r="E68" s="111">
        <f t="shared" si="23"/>
        <v>0</v>
      </c>
      <c r="F68" s="111">
        <f t="shared" si="23"/>
        <v>0</v>
      </c>
      <c r="G68" s="111">
        <f t="shared" si="23"/>
        <v>2237174</v>
      </c>
      <c r="H68" s="111">
        <f t="shared" si="18"/>
        <v>2237174</v>
      </c>
      <c r="I68" s="111">
        <f t="shared" si="24"/>
        <v>0</v>
      </c>
      <c r="J68" s="111">
        <f t="shared" si="25"/>
        <v>0</v>
      </c>
      <c r="K68" s="111">
        <f t="shared" si="25"/>
        <v>0</v>
      </c>
      <c r="L68" s="111">
        <f t="shared" si="25"/>
        <v>0</v>
      </c>
      <c r="M68" s="111">
        <f t="shared" si="25"/>
        <v>0</v>
      </c>
      <c r="N68" s="111">
        <f t="shared" si="25"/>
        <v>1732551</v>
      </c>
      <c r="O68" s="111">
        <f t="shared" si="4"/>
        <v>1732551</v>
      </c>
      <c r="P68" s="111">
        <f t="shared" si="5"/>
        <v>3969725</v>
      </c>
    </row>
    <row r="69" spans="1:18" ht="12" customHeight="1" x14ac:dyDescent="0.15">
      <c r="A69" s="54" t="s">
        <v>29</v>
      </c>
      <c r="B69" s="114">
        <f t="shared" ref="B69:N69" si="27">B37+B43</f>
        <v>15718284</v>
      </c>
      <c r="C69" s="114">
        <f t="shared" si="27"/>
        <v>15817429</v>
      </c>
      <c r="D69" s="114">
        <f t="shared" si="27"/>
        <v>15414652</v>
      </c>
      <c r="E69" s="114">
        <f t="shared" si="27"/>
        <v>23830013</v>
      </c>
      <c r="F69" s="114">
        <f t="shared" si="27"/>
        <v>15538373</v>
      </c>
      <c r="G69" s="114">
        <f t="shared" si="27"/>
        <v>19062090</v>
      </c>
      <c r="H69" s="114">
        <f t="shared" si="18"/>
        <v>105380841</v>
      </c>
      <c r="I69" s="114">
        <f>I37+I43</f>
        <v>15220569</v>
      </c>
      <c r="J69" s="114">
        <f t="shared" si="27"/>
        <v>24259065</v>
      </c>
      <c r="K69" s="114">
        <f t="shared" si="27"/>
        <v>14973908</v>
      </c>
      <c r="L69" s="114">
        <f t="shared" si="27"/>
        <v>16796959</v>
      </c>
      <c r="M69" s="114">
        <f t="shared" si="27"/>
        <v>16158269</v>
      </c>
      <c r="N69" s="114">
        <f t="shared" si="27"/>
        <v>18663793</v>
      </c>
      <c r="O69" s="114">
        <f t="shared" si="4"/>
        <v>106072563</v>
      </c>
      <c r="P69" s="114">
        <f t="shared" si="5"/>
        <v>211453404</v>
      </c>
    </row>
    <row r="70" spans="1:18" ht="12" customHeight="1" x14ac:dyDescent="0.15">
      <c r="A70" s="54" t="s">
        <v>61</v>
      </c>
      <c r="B70" s="114">
        <f t="shared" ref="B70:G70" si="28">B34-B69</f>
        <v>1436053</v>
      </c>
      <c r="C70" s="114">
        <f t="shared" si="28"/>
        <v>1253822</v>
      </c>
      <c r="D70" s="114">
        <f t="shared" si="28"/>
        <v>1450641</v>
      </c>
      <c r="E70" s="114">
        <f t="shared" si="28"/>
        <v>-4666698</v>
      </c>
      <c r="F70" s="114">
        <f t="shared" si="28"/>
        <v>1978023</v>
      </c>
      <c r="G70" s="114">
        <f t="shared" si="28"/>
        <v>-1671190</v>
      </c>
      <c r="H70" s="114">
        <f t="shared" si="18"/>
        <v>-219349</v>
      </c>
      <c r="I70" s="114">
        <f t="shared" ref="I70:N70" si="29">I34-I69</f>
        <v>4156246</v>
      </c>
      <c r="J70" s="114">
        <f t="shared" si="29"/>
        <v>-5768695</v>
      </c>
      <c r="K70" s="114">
        <f t="shared" si="29"/>
        <v>1481124</v>
      </c>
      <c r="L70" s="114">
        <f t="shared" si="29"/>
        <v>-974204</v>
      </c>
      <c r="M70" s="114">
        <f t="shared" si="29"/>
        <v>1476386</v>
      </c>
      <c r="N70" s="114">
        <f t="shared" si="29"/>
        <v>256486</v>
      </c>
      <c r="O70" s="114">
        <f t="shared" si="4"/>
        <v>627343</v>
      </c>
      <c r="P70" s="114">
        <f t="shared" si="5"/>
        <v>407994</v>
      </c>
    </row>
    <row r="71" spans="1:18" ht="12" customHeight="1" x14ac:dyDescent="0.15">
      <c r="A71" s="23" t="s">
        <v>126</v>
      </c>
      <c r="B71" s="111">
        <f>5</f>
        <v>5</v>
      </c>
      <c r="C71" s="111">
        <f>C105-B105</f>
        <v>0</v>
      </c>
      <c r="D71" s="111">
        <f>D105-C105</f>
        <v>0</v>
      </c>
      <c r="E71" s="111">
        <f>E105-D105</f>
        <v>0</v>
      </c>
      <c r="F71" s="111">
        <f>F105-E105</f>
        <v>74</v>
      </c>
      <c r="G71" s="111">
        <f>G105-F105</f>
        <v>2</v>
      </c>
      <c r="H71" s="114">
        <f t="shared" si="18"/>
        <v>81</v>
      </c>
      <c r="I71" s="111">
        <f>I105-G105</f>
        <v>8</v>
      </c>
      <c r="J71" s="111">
        <f>J105-I105</f>
        <v>0</v>
      </c>
      <c r="K71" s="111">
        <f>K105-J105</f>
        <v>0</v>
      </c>
      <c r="L71" s="111">
        <f>L105-K105</f>
        <v>0</v>
      </c>
      <c r="M71" s="111">
        <f>M105-L105</f>
        <v>78</v>
      </c>
      <c r="N71" s="111">
        <f>N105-M105</f>
        <v>1</v>
      </c>
      <c r="O71" s="114">
        <f t="shared" si="4"/>
        <v>87</v>
      </c>
      <c r="P71" s="114">
        <f t="shared" si="5"/>
        <v>168</v>
      </c>
    </row>
    <row r="72" spans="1:18" ht="12" customHeight="1" x14ac:dyDescent="0.15">
      <c r="A72" s="23" t="s">
        <v>127</v>
      </c>
      <c r="B72" s="111">
        <f>6912+73440</f>
        <v>80352</v>
      </c>
      <c r="C72" s="111">
        <f>C139+C140+C141-B139-B140-B141</f>
        <v>7032</v>
      </c>
      <c r="D72" s="111">
        <f>D139+D140+D141-C139-C140-C141</f>
        <v>6675</v>
      </c>
      <c r="E72" s="111">
        <f>E139+E140+E141-D139-D140-D141</f>
        <v>53855</v>
      </c>
      <c r="F72" s="111">
        <f>F139+F140+F141-E139-E140-E141</f>
        <v>6346</v>
      </c>
      <c r="G72" s="111">
        <f>G139+G140+G141-F139-F140-F141</f>
        <v>5063</v>
      </c>
      <c r="H72" s="114">
        <f t="shared" si="18"/>
        <v>159323</v>
      </c>
      <c r="I72" s="111">
        <f>I139+I140+I141-G139-G140-G141</f>
        <v>5748</v>
      </c>
      <c r="J72" s="111">
        <f>J139+J140+J141-I139-I140-I141</f>
        <v>171791</v>
      </c>
      <c r="K72" s="111">
        <f>K139+K140+K141-J139-J140-J141</f>
        <v>4242</v>
      </c>
      <c r="L72" s="111">
        <f>L139+L140+L141-K139-K140-K141</f>
        <v>4178</v>
      </c>
      <c r="M72" s="111">
        <f>M139+M140+M141-L139-L140-L141</f>
        <v>3452</v>
      </c>
      <c r="N72" s="111">
        <f>N139+N140+N141-M139-M140-M141</f>
        <v>36001</v>
      </c>
      <c r="O72" s="114">
        <f t="shared" si="4"/>
        <v>225412</v>
      </c>
      <c r="P72" s="114">
        <f t="shared" si="5"/>
        <v>384735</v>
      </c>
      <c r="Q72" s="173" t="s">
        <v>386</v>
      </c>
      <c r="R72" s="174"/>
    </row>
    <row r="73" spans="1:18" ht="12" customHeight="1" x14ac:dyDescent="0.15">
      <c r="A73" s="54" t="s">
        <v>60</v>
      </c>
      <c r="B73" s="33">
        <f t="shared" ref="B73:G73" si="30">B70+B71-B72</f>
        <v>1355706</v>
      </c>
      <c r="C73" s="33">
        <f t="shared" si="30"/>
        <v>1246790</v>
      </c>
      <c r="D73" s="33">
        <f t="shared" si="30"/>
        <v>1443966</v>
      </c>
      <c r="E73" s="33">
        <f t="shared" si="30"/>
        <v>-4720553</v>
      </c>
      <c r="F73" s="33">
        <f t="shared" si="30"/>
        <v>1971751</v>
      </c>
      <c r="G73" s="33">
        <f t="shared" si="30"/>
        <v>-1676251</v>
      </c>
      <c r="H73" s="114">
        <f t="shared" si="18"/>
        <v>-378591</v>
      </c>
      <c r="I73" s="33">
        <f t="shared" ref="I73:N73" si="31">I70+I71-I72</f>
        <v>4150506</v>
      </c>
      <c r="J73" s="33">
        <f t="shared" si="31"/>
        <v>-5940486</v>
      </c>
      <c r="K73" s="33">
        <f t="shared" si="31"/>
        <v>1476882</v>
      </c>
      <c r="L73" s="33">
        <f t="shared" si="31"/>
        <v>-978382</v>
      </c>
      <c r="M73" s="33">
        <f t="shared" si="31"/>
        <v>1473012</v>
      </c>
      <c r="N73" s="33">
        <f t="shared" si="31"/>
        <v>220486</v>
      </c>
      <c r="O73" s="114">
        <f t="shared" si="4"/>
        <v>402018</v>
      </c>
      <c r="P73" s="110">
        <f t="shared" si="5"/>
        <v>23427</v>
      </c>
      <c r="Q73" s="175">
        <f>P73-'[1]4.3月'!$D$62</f>
        <v>0</v>
      </c>
      <c r="R73" s="176"/>
    </row>
    <row r="74" spans="1:18" ht="12" customHeight="1" x14ac:dyDescent="0.15">
      <c r="A74" s="26" t="s">
        <v>116</v>
      </c>
      <c r="B74" s="122">
        <f>280000</f>
        <v>280000</v>
      </c>
      <c r="C74" s="122">
        <v>280000</v>
      </c>
      <c r="D74" s="122">
        <v>280000</v>
      </c>
      <c r="E74" s="122">
        <v>280000</v>
      </c>
      <c r="F74" s="122">
        <v>280000</v>
      </c>
      <c r="G74" s="122">
        <v>280000</v>
      </c>
      <c r="H74" s="114">
        <f t="shared" si="18"/>
        <v>1680000</v>
      </c>
      <c r="I74" s="122">
        <v>280000</v>
      </c>
      <c r="J74" s="122">
        <v>280000</v>
      </c>
      <c r="K74" s="122">
        <v>280000</v>
      </c>
      <c r="L74" s="122">
        <v>280000</v>
      </c>
      <c r="M74" s="122">
        <v>280000</v>
      </c>
      <c r="N74" s="122">
        <v>280000</v>
      </c>
      <c r="O74" s="111">
        <f t="shared" si="4"/>
        <v>1680000</v>
      </c>
      <c r="P74" s="111">
        <f t="shared" si="5"/>
        <v>3360000</v>
      </c>
      <c r="Q74" s="177"/>
      <c r="R74" s="178"/>
    </row>
    <row r="75" spans="1:18" x14ac:dyDescent="0.15">
      <c r="Q75" s="179"/>
      <c r="R75" s="179"/>
    </row>
    <row r="76" spans="1:18" x14ac:dyDescent="0.15">
      <c r="A76" s="21" t="s">
        <v>1</v>
      </c>
      <c r="B76" s="116">
        <v>75000</v>
      </c>
      <c r="C76" s="116">
        <v>75000</v>
      </c>
      <c r="D76" s="116">
        <v>76000</v>
      </c>
      <c r="E76" s="116">
        <v>76000</v>
      </c>
      <c r="F76" s="116">
        <v>78000</v>
      </c>
      <c r="G76" s="116">
        <v>79000</v>
      </c>
      <c r="H76" s="116"/>
      <c r="I76" s="116">
        <v>79000</v>
      </c>
      <c r="J76" s="116">
        <v>80000</v>
      </c>
      <c r="K76" s="116">
        <v>80000</v>
      </c>
      <c r="L76" s="116">
        <v>80000</v>
      </c>
      <c r="M76" s="116">
        <v>80000</v>
      </c>
      <c r="N76" s="116">
        <v>81000</v>
      </c>
      <c r="O76" s="116"/>
      <c r="P76" s="116"/>
    </row>
    <row r="77" spans="1:18" x14ac:dyDescent="0.15">
      <c r="A77" s="21" t="s">
        <v>2</v>
      </c>
      <c r="B77" s="116">
        <v>7000</v>
      </c>
      <c r="C77" s="116">
        <v>39000</v>
      </c>
      <c r="D77" s="116">
        <v>44000</v>
      </c>
      <c r="E77" s="116">
        <v>45000</v>
      </c>
      <c r="F77" s="116">
        <v>45000</v>
      </c>
      <c r="G77" s="116">
        <v>47000</v>
      </c>
      <c r="H77" s="116"/>
      <c r="I77" s="116">
        <v>48000</v>
      </c>
      <c r="J77" s="116">
        <v>51000</v>
      </c>
      <c r="K77" s="116">
        <v>53000</v>
      </c>
      <c r="L77" s="116">
        <v>55000</v>
      </c>
      <c r="M77" s="116">
        <v>55000</v>
      </c>
      <c r="N77" s="116">
        <v>55000</v>
      </c>
      <c r="O77" s="116"/>
      <c r="P77" s="116"/>
    </row>
    <row r="78" spans="1:18" x14ac:dyDescent="0.15">
      <c r="A78" s="21" t="s">
        <v>3</v>
      </c>
      <c r="B78" s="116">
        <v>3000</v>
      </c>
      <c r="C78" s="116">
        <v>4000</v>
      </c>
      <c r="D78" s="116">
        <v>6000</v>
      </c>
      <c r="E78" s="116">
        <v>6000</v>
      </c>
      <c r="F78" s="116">
        <v>6000</v>
      </c>
      <c r="G78" s="116">
        <v>7000</v>
      </c>
      <c r="H78" s="116"/>
      <c r="I78" s="116">
        <v>7000</v>
      </c>
      <c r="J78" s="116">
        <v>9000</v>
      </c>
      <c r="K78" s="116">
        <v>10000</v>
      </c>
      <c r="L78" s="116">
        <v>10000</v>
      </c>
      <c r="M78" s="116">
        <v>10000</v>
      </c>
      <c r="N78" s="116">
        <v>10000</v>
      </c>
      <c r="O78" s="116"/>
      <c r="P78" s="116"/>
    </row>
    <row r="79" spans="1:18" x14ac:dyDescent="0.15">
      <c r="A79" s="118" t="s">
        <v>387</v>
      </c>
      <c r="B79" s="116"/>
      <c r="C79" s="120"/>
      <c r="D79" s="120"/>
      <c r="E79" s="120"/>
      <c r="F79" s="120"/>
      <c r="G79" s="117"/>
      <c r="H79" s="120"/>
      <c r="I79" s="117"/>
      <c r="J79" s="120"/>
      <c r="K79" s="120"/>
      <c r="L79" s="120"/>
      <c r="M79" s="120"/>
      <c r="N79" s="120"/>
      <c r="O79" s="120"/>
      <c r="P79" s="120"/>
    </row>
    <row r="80" spans="1:18" x14ac:dyDescent="0.15">
      <c r="A80" s="47" t="s">
        <v>94</v>
      </c>
      <c r="B80" s="116">
        <v>2958650</v>
      </c>
      <c r="C80" s="116">
        <v>5869510</v>
      </c>
      <c r="D80" s="116">
        <v>8703290</v>
      </c>
      <c r="E80" s="116">
        <v>11411530</v>
      </c>
      <c r="F80" s="116">
        <v>14046570</v>
      </c>
      <c r="G80" s="116">
        <v>16808190</v>
      </c>
      <c r="H80" s="116"/>
      <c r="I80" s="116">
        <v>19486780</v>
      </c>
      <c r="J80" s="116">
        <v>22087690</v>
      </c>
      <c r="K80" s="116">
        <v>24674200</v>
      </c>
      <c r="L80" s="116">
        <v>27307480</v>
      </c>
      <c r="M80" s="116">
        <v>29870170</v>
      </c>
      <c r="N80" s="116">
        <v>32468130</v>
      </c>
      <c r="O80" s="116"/>
      <c r="P80" s="116"/>
    </row>
    <row r="81" spans="1:17" x14ac:dyDescent="0.15">
      <c r="A81" s="48" t="s">
        <v>247</v>
      </c>
      <c r="B81" s="116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</row>
    <row r="82" spans="1:17" x14ac:dyDescent="0.15">
      <c r="A82" s="48" t="s">
        <v>319</v>
      </c>
      <c r="B82" s="116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</row>
    <row r="83" spans="1:17" x14ac:dyDescent="0.15">
      <c r="A83" s="47" t="s">
        <v>95</v>
      </c>
      <c r="B83" s="116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</row>
    <row r="84" spans="1:17" x14ac:dyDescent="0.15">
      <c r="A84" s="21" t="s">
        <v>58</v>
      </c>
      <c r="B84" s="116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</row>
    <row r="85" spans="1:17" x14ac:dyDescent="0.15">
      <c r="A85" s="47" t="s">
        <v>96</v>
      </c>
      <c r="B85" s="116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</row>
    <row r="86" spans="1:17" x14ac:dyDescent="0.15">
      <c r="A86" s="21" t="s">
        <v>59</v>
      </c>
      <c r="B86" s="116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</row>
    <row r="87" spans="1:17" x14ac:dyDescent="0.15">
      <c r="A87" s="50" t="s">
        <v>120</v>
      </c>
      <c r="B87" s="116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</row>
    <row r="88" spans="1:17" x14ac:dyDescent="0.15">
      <c r="A88" s="21" t="s">
        <v>59</v>
      </c>
      <c r="B88" s="116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</row>
    <row r="89" spans="1:17" x14ac:dyDescent="0.15">
      <c r="A89" s="51" t="s">
        <v>245</v>
      </c>
      <c r="B89" s="116">
        <v>778730</v>
      </c>
      <c r="C89" s="116">
        <v>1554590</v>
      </c>
      <c r="D89" s="116">
        <v>2333750</v>
      </c>
      <c r="E89" s="116">
        <v>3089490</v>
      </c>
      <c r="F89" s="116">
        <v>3869530</v>
      </c>
      <c r="G89" s="116">
        <v>4639490</v>
      </c>
      <c r="H89" s="116"/>
      <c r="I89" s="116">
        <v>5480500</v>
      </c>
      <c r="J89" s="116">
        <v>6285710</v>
      </c>
      <c r="K89" s="116">
        <v>6983290</v>
      </c>
      <c r="L89" s="116">
        <v>7667090</v>
      </c>
      <c r="M89" s="116">
        <v>8337240</v>
      </c>
      <c r="N89" s="116">
        <v>9105940</v>
      </c>
      <c r="O89" s="116"/>
      <c r="P89" s="116"/>
    </row>
    <row r="90" spans="1:17" x14ac:dyDescent="0.15">
      <c r="A90" s="51" t="s">
        <v>366</v>
      </c>
      <c r="B90" s="116">
        <v>177970</v>
      </c>
      <c r="C90" s="116">
        <v>355140</v>
      </c>
      <c r="D90" s="116">
        <v>534110</v>
      </c>
      <c r="E90" s="116">
        <v>711550</v>
      </c>
      <c r="F90" s="116">
        <v>893210</v>
      </c>
      <c r="G90" s="116">
        <v>1066260</v>
      </c>
      <c r="H90" s="116"/>
      <c r="I90" s="116">
        <v>1261160</v>
      </c>
      <c r="J90" s="116">
        <v>1449400</v>
      </c>
      <c r="K90" s="116">
        <v>1610760</v>
      </c>
      <c r="L90" s="116">
        <v>1774090</v>
      </c>
      <c r="M90" s="116">
        <v>1933000</v>
      </c>
      <c r="N90" s="116">
        <v>2115310</v>
      </c>
      <c r="O90" s="116"/>
      <c r="P90" s="116"/>
    </row>
    <row r="91" spans="1:17" x14ac:dyDescent="0.15">
      <c r="A91" s="51" t="s">
        <v>338</v>
      </c>
      <c r="B91" s="116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 t="s">
        <v>390</v>
      </c>
      <c r="O91" s="120"/>
      <c r="P91" s="120"/>
    </row>
    <row r="92" spans="1:17" x14ac:dyDescent="0.15">
      <c r="A92" s="21" t="s">
        <v>59</v>
      </c>
      <c r="B92" s="116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</row>
    <row r="93" spans="1:17" x14ac:dyDescent="0.15">
      <c r="A93" s="47" t="s">
        <v>119</v>
      </c>
      <c r="B93" s="116">
        <v>129000</v>
      </c>
      <c r="C93" s="116">
        <v>231600</v>
      </c>
      <c r="D93" s="116">
        <v>330000</v>
      </c>
      <c r="E93" s="116">
        <v>431400</v>
      </c>
      <c r="F93" s="116">
        <v>478200</v>
      </c>
      <c r="G93" s="116">
        <v>579600</v>
      </c>
      <c r="H93" s="116"/>
      <c r="I93" s="116">
        <v>706200</v>
      </c>
      <c r="J93" s="116">
        <v>809400</v>
      </c>
      <c r="K93" s="116">
        <v>913800</v>
      </c>
      <c r="L93" s="116">
        <v>1015600</v>
      </c>
      <c r="M93" s="116">
        <v>1059700</v>
      </c>
      <c r="N93" s="116">
        <v>1158300</v>
      </c>
      <c r="O93" s="116"/>
      <c r="P93" s="116"/>
      <c r="Q93" s="116"/>
    </row>
    <row r="94" spans="1:17" x14ac:dyDescent="0.15">
      <c r="A94" s="47" t="s">
        <v>97</v>
      </c>
      <c r="B94" s="116">
        <v>10200</v>
      </c>
      <c r="C94" s="116">
        <v>18600</v>
      </c>
      <c r="D94" s="116">
        <v>34100</v>
      </c>
      <c r="E94" s="116">
        <v>58700</v>
      </c>
      <c r="F94" s="116">
        <v>67900</v>
      </c>
      <c r="G94" s="116">
        <v>90800</v>
      </c>
      <c r="H94" s="116"/>
      <c r="I94" s="116">
        <v>102700</v>
      </c>
      <c r="J94" s="116">
        <v>114700</v>
      </c>
      <c r="K94" s="116">
        <v>117700</v>
      </c>
      <c r="L94" s="116">
        <v>137400</v>
      </c>
      <c r="M94" s="116">
        <v>144400</v>
      </c>
      <c r="N94" s="116">
        <v>153400</v>
      </c>
      <c r="O94" s="116"/>
    </row>
    <row r="95" spans="1:17" x14ac:dyDescent="0.15">
      <c r="A95" s="51" t="s">
        <v>407</v>
      </c>
      <c r="B95" s="116">
        <v>44500</v>
      </c>
      <c r="C95" s="116">
        <v>93700</v>
      </c>
      <c r="D95" s="116">
        <v>140350</v>
      </c>
      <c r="E95" s="116">
        <v>190250</v>
      </c>
      <c r="F95" s="116">
        <v>234500</v>
      </c>
      <c r="G95" s="116">
        <v>301650</v>
      </c>
      <c r="H95" s="116"/>
      <c r="I95" s="116">
        <v>342750</v>
      </c>
      <c r="J95" s="116">
        <v>390450</v>
      </c>
      <c r="K95" s="116">
        <v>425650</v>
      </c>
      <c r="L95" s="116">
        <v>467150</v>
      </c>
      <c r="M95" s="116">
        <v>496250</v>
      </c>
      <c r="N95" s="116">
        <v>537400</v>
      </c>
      <c r="O95" s="116"/>
      <c r="P95" s="116"/>
    </row>
    <row r="96" spans="1:17" x14ac:dyDescent="0.15">
      <c r="A96" s="47" t="s">
        <v>249</v>
      </c>
      <c r="B96" s="116">
        <v>73100</v>
      </c>
      <c r="C96" s="116">
        <v>144800</v>
      </c>
      <c r="D96" s="116">
        <v>232900</v>
      </c>
      <c r="E96" s="116">
        <v>297100</v>
      </c>
      <c r="F96" s="116">
        <v>357100</v>
      </c>
      <c r="G96" s="116">
        <v>434100</v>
      </c>
      <c r="H96" s="116"/>
      <c r="I96" s="116">
        <v>512800</v>
      </c>
      <c r="J96" s="116">
        <v>583700</v>
      </c>
      <c r="K96" s="116">
        <v>653600</v>
      </c>
      <c r="L96" s="116">
        <v>718300</v>
      </c>
      <c r="M96" s="116">
        <v>783800</v>
      </c>
      <c r="N96" s="116">
        <v>833800</v>
      </c>
      <c r="O96" s="116"/>
      <c r="P96" s="116"/>
    </row>
    <row r="97" spans="1:40" x14ac:dyDescent="0.15">
      <c r="A97" s="47" t="s">
        <v>406</v>
      </c>
      <c r="B97" s="116">
        <v>57500</v>
      </c>
      <c r="C97" s="116">
        <v>86800</v>
      </c>
      <c r="D97" s="116">
        <v>113700</v>
      </c>
      <c r="E97" s="116">
        <v>172200</v>
      </c>
      <c r="F97" s="116">
        <v>261200</v>
      </c>
      <c r="G97" s="116">
        <v>277100</v>
      </c>
      <c r="H97" s="116"/>
      <c r="I97" s="116">
        <v>302000</v>
      </c>
      <c r="J97" s="116">
        <v>320800</v>
      </c>
      <c r="K97" s="116">
        <v>353200</v>
      </c>
      <c r="L97" s="116">
        <v>378600</v>
      </c>
      <c r="M97" s="116">
        <v>394200</v>
      </c>
      <c r="N97" s="116">
        <v>409200</v>
      </c>
      <c r="O97" s="116"/>
      <c r="P97" s="116"/>
    </row>
    <row r="98" spans="1:40" x14ac:dyDescent="0.15">
      <c r="A98" s="47" t="s">
        <v>303</v>
      </c>
      <c r="B98" s="116">
        <v>2200</v>
      </c>
      <c r="C98" s="116">
        <v>2200</v>
      </c>
      <c r="D98" s="116">
        <v>2200</v>
      </c>
      <c r="E98" s="116">
        <v>6000</v>
      </c>
      <c r="F98" s="116">
        <v>14500</v>
      </c>
      <c r="G98" s="116">
        <v>14500</v>
      </c>
      <c r="H98" s="116"/>
      <c r="I98" s="116">
        <v>14500</v>
      </c>
      <c r="J98" s="116">
        <v>14500</v>
      </c>
      <c r="K98" s="116">
        <v>15100</v>
      </c>
      <c r="L98" s="116">
        <v>16300</v>
      </c>
      <c r="M98" s="116">
        <v>16300</v>
      </c>
      <c r="N98" s="116">
        <v>16300</v>
      </c>
      <c r="O98" s="116"/>
      <c r="P98" s="116"/>
    </row>
    <row r="99" spans="1:40" x14ac:dyDescent="0.15">
      <c r="A99" s="47" t="s">
        <v>251</v>
      </c>
      <c r="B99" s="116">
        <v>2100</v>
      </c>
      <c r="C99" s="116">
        <v>8100</v>
      </c>
      <c r="D99" s="116">
        <v>10700</v>
      </c>
      <c r="E99" s="116">
        <v>11300</v>
      </c>
      <c r="F99" s="116">
        <v>11900</v>
      </c>
      <c r="G99" s="116">
        <v>15300</v>
      </c>
      <c r="H99" s="116"/>
      <c r="I99" s="116">
        <v>22700</v>
      </c>
      <c r="J99" s="116">
        <v>27700</v>
      </c>
      <c r="K99" s="116">
        <v>31400</v>
      </c>
      <c r="L99" s="116">
        <v>37100</v>
      </c>
      <c r="M99" s="116">
        <v>43400</v>
      </c>
      <c r="N99" s="116">
        <v>46700</v>
      </c>
      <c r="O99" s="116"/>
      <c r="P99" s="116"/>
    </row>
    <row r="100" spans="1:40" x14ac:dyDescent="0.15">
      <c r="A100" s="21" t="s">
        <v>99</v>
      </c>
      <c r="B100" s="116">
        <v>0</v>
      </c>
      <c r="C100" s="116">
        <v>0</v>
      </c>
      <c r="D100" s="116">
        <v>0</v>
      </c>
      <c r="E100" s="116">
        <v>3149000</v>
      </c>
      <c r="F100" s="116">
        <v>4159000</v>
      </c>
      <c r="G100" s="116">
        <v>5169000</v>
      </c>
      <c r="H100" s="116"/>
      <c r="I100" s="116">
        <v>6298000</v>
      </c>
      <c r="J100" s="116">
        <v>7549000</v>
      </c>
      <c r="K100" s="116">
        <v>8800000</v>
      </c>
      <c r="L100" s="116">
        <v>10170000</v>
      </c>
      <c r="M100" s="116">
        <v>11421000</v>
      </c>
      <c r="N100" s="116">
        <v>14041000</v>
      </c>
      <c r="O100" s="116"/>
      <c r="P100" s="116"/>
    </row>
    <row r="101" spans="1:40" x14ac:dyDescent="0.15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40" x14ac:dyDescent="0.15">
      <c r="A102" s="21" t="s">
        <v>383</v>
      </c>
      <c r="B102" s="116">
        <v>0</v>
      </c>
      <c r="C102" s="116">
        <v>10000</v>
      </c>
      <c r="D102" s="116">
        <v>10000</v>
      </c>
      <c r="E102" s="116">
        <v>10000</v>
      </c>
      <c r="F102" s="116">
        <v>10000</v>
      </c>
      <c r="G102" s="116">
        <v>20000</v>
      </c>
      <c r="H102" s="116"/>
      <c r="I102" s="116">
        <v>20000</v>
      </c>
      <c r="J102" s="116">
        <v>20000</v>
      </c>
      <c r="K102" s="116">
        <v>20000</v>
      </c>
      <c r="L102" s="116">
        <v>26000</v>
      </c>
      <c r="M102" s="116">
        <v>26000</v>
      </c>
      <c r="N102" s="116">
        <v>86000</v>
      </c>
      <c r="O102" s="116"/>
      <c r="P102" s="116"/>
    </row>
    <row r="103" spans="1:40" x14ac:dyDescent="0.15">
      <c r="A103" s="21" t="s">
        <v>384</v>
      </c>
      <c r="B103" s="116">
        <v>0</v>
      </c>
      <c r="C103" s="116">
        <v>0</v>
      </c>
      <c r="D103" s="116">
        <v>0</v>
      </c>
      <c r="E103" s="116">
        <v>0</v>
      </c>
      <c r="F103" s="116">
        <v>0</v>
      </c>
      <c r="G103" s="116">
        <v>0</v>
      </c>
      <c r="H103" s="116"/>
      <c r="I103" s="116">
        <v>670000</v>
      </c>
      <c r="J103" s="116">
        <v>1155000</v>
      </c>
      <c r="K103" s="116">
        <v>1155000</v>
      </c>
      <c r="L103" s="116">
        <v>1155000</v>
      </c>
      <c r="M103" s="116">
        <v>3382000</v>
      </c>
      <c r="N103" s="116">
        <v>3682000</v>
      </c>
      <c r="O103" s="116"/>
      <c r="P103" s="116"/>
    </row>
    <row r="104" spans="1:40" x14ac:dyDescent="0.15">
      <c r="A104" s="21" t="s">
        <v>385</v>
      </c>
      <c r="B104" s="116">
        <v>61027</v>
      </c>
      <c r="C104" s="116">
        <v>185448</v>
      </c>
      <c r="D104" s="116">
        <v>242731</v>
      </c>
      <c r="E104" s="116">
        <v>290676</v>
      </c>
      <c r="F104" s="116">
        <v>455982</v>
      </c>
      <c r="G104" s="116">
        <v>505232</v>
      </c>
      <c r="H104" s="116"/>
      <c r="I104" s="116">
        <v>558507</v>
      </c>
      <c r="J104" s="116">
        <v>611257</v>
      </c>
      <c r="K104" s="116">
        <v>826389</v>
      </c>
      <c r="L104" s="116">
        <v>867374</v>
      </c>
      <c r="M104" s="116">
        <v>915039</v>
      </c>
      <c r="N104" s="120">
        <v>969008</v>
      </c>
      <c r="O104" s="116"/>
      <c r="P104" s="116"/>
    </row>
    <row r="105" spans="1:40" x14ac:dyDescent="0.15">
      <c r="A105" s="21" t="s">
        <v>388</v>
      </c>
      <c r="B105" s="125">
        <v>5</v>
      </c>
      <c r="C105" s="116">
        <v>5</v>
      </c>
      <c r="D105" s="116">
        <v>5</v>
      </c>
      <c r="E105" s="116">
        <v>5</v>
      </c>
      <c r="F105" s="116">
        <v>79</v>
      </c>
      <c r="G105" s="116">
        <v>81</v>
      </c>
      <c r="I105" s="116">
        <v>89</v>
      </c>
      <c r="J105" s="116">
        <v>89</v>
      </c>
      <c r="K105" s="116">
        <v>89</v>
      </c>
      <c r="L105" s="116">
        <v>89</v>
      </c>
      <c r="M105" s="116">
        <v>167</v>
      </c>
      <c r="N105" s="116">
        <v>168</v>
      </c>
    </row>
    <row r="107" spans="1:40" x14ac:dyDescent="0.15">
      <c r="A107" s="6" t="s">
        <v>100</v>
      </c>
      <c r="B107" s="116">
        <v>370000</v>
      </c>
      <c r="C107" s="116">
        <v>740000</v>
      </c>
      <c r="D107" s="116">
        <v>1110000</v>
      </c>
      <c r="E107" s="116">
        <v>1480000</v>
      </c>
      <c r="F107" s="116">
        <v>1850000</v>
      </c>
      <c r="G107" s="116">
        <v>2220000</v>
      </c>
      <c r="H107" s="116"/>
      <c r="I107" s="116">
        <v>2590000</v>
      </c>
      <c r="J107" s="116">
        <v>2960000</v>
      </c>
      <c r="K107" s="116">
        <v>3330000</v>
      </c>
      <c r="L107" s="116">
        <v>3700000</v>
      </c>
      <c r="M107" s="116">
        <v>4070000</v>
      </c>
      <c r="N107" s="116">
        <v>4440000</v>
      </c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</row>
    <row r="108" spans="1:40" x14ac:dyDescent="0.15">
      <c r="A108" s="6" t="s">
        <v>101</v>
      </c>
      <c r="B108" s="116">
        <v>9375053</v>
      </c>
      <c r="C108" s="116">
        <v>18215953</v>
      </c>
      <c r="D108" s="116">
        <v>27193631</v>
      </c>
      <c r="E108" s="116">
        <v>36059277</v>
      </c>
      <c r="F108" s="116">
        <f>54132921-8791500</f>
        <v>45341421</v>
      </c>
      <c r="G108" s="116">
        <f>63038143-8791500</f>
        <v>54246643</v>
      </c>
      <c r="H108" s="116"/>
      <c r="I108" s="116">
        <f>71894913-8791500</f>
        <v>63103413</v>
      </c>
      <c r="J108" s="116">
        <f>89202896-17060500</f>
        <v>72142396</v>
      </c>
      <c r="K108" s="116">
        <f>98104974-17060500</f>
        <v>81044474</v>
      </c>
      <c r="L108" s="116">
        <f>107077813-17060500</f>
        <v>90017313</v>
      </c>
      <c r="M108" s="116">
        <f>116416184-17060500</f>
        <v>99355684</v>
      </c>
      <c r="N108" s="116">
        <f>126125657-17060500</f>
        <v>109065157</v>
      </c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</row>
    <row r="109" spans="1:40" x14ac:dyDescent="0.15">
      <c r="A109" s="6" t="s">
        <v>102</v>
      </c>
      <c r="B109" s="116">
        <v>1454050</v>
      </c>
      <c r="C109" s="116">
        <v>2780100</v>
      </c>
      <c r="D109" s="116">
        <v>4228050</v>
      </c>
      <c r="E109" s="116">
        <v>5611700</v>
      </c>
      <c r="F109" s="116">
        <v>7227250</v>
      </c>
      <c r="G109" s="116">
        <v>8729950</v>
      </c>
      <c r="H109" s="116"/>
      <c r="I109" s="116">
        <v>10429100</v>
      </c>
      <c r="J109" s="116">
        <v>12075960</v>
      </c>
      <c r="K109" s="116">
        <v>13490470</v>
      </c>
      <c r="L109" s="116">
        <v>14860085</v>
      </c>
      <c r="M109" s="116">
        <v>16339065</v>
      </c>
      <c r="N109" s="116">
        <v>17837060</v>
      </c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</row>
    <row r="110" spans="1:40" x14ac:dyDescent="0.15">
      <c r="A110" s="6" t="s">
        <v>19</v>
      </c>
      <c r="B110" s="116">
        <v>1051944</v>
      </c>
      <c r="C110" s="116">
        <v>2102984</v>
      </c>
      <c r="D110" s="116">
        <v>3312165</v>
      </c>
      <c r="E110" s="116">
        <v>4410522</v>
      </c>
      <c r="F110" s="116">
        <v>5461844</v>
      </c>
      <c r="G110" s="116">
        <v>7419265</v>
      </c>
      <c r="H110" s="116"/>
      <c r="I110" s="116">
        <v>8645390</v>
      </c>
      <c r="J110" s="116">
        <v>9813942</v>
      </c>
      <c r="K110" s="116">
        <v>10933786</v>
      </c>
      <c r="L110" s="116">
        <v>13139131</v>
      </c>
      <c r="M110" s="116">
        <v>14332246</v>
      </c>
      <c r="N110" s="116">
        <v>15522838</v>
      </c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</row>
    <row r="111" spans="1:40" x14ac:dyDescent="0.15">
      <c r="A111" s="26" t="s">
        <v>408</v>
      </c>
      <c r="B111" s="116">
        <v>0</v>
      </c>
      <c r="C111" s="121">
        <v>0</v>
      </c>
      <c r="D111" s="121">
        <v>0</v>
      </c>
      <c r="E111" s="121">
        <v>8791500</v>
      </c>
      <c r="F111" s="121">
        <v>8791500</v>
      </c>
      <c r="G111" s="121">
        <v>8791500</v>
      </c>
      <c r="H111" s="121"/>
      <c r="I111" s="121">
        <v>8791500</v>
      </c>
      <c r="J111" s="121">
        <f>8791500+8269000</f>
        <v>17060500</v>
      </c>
      <c r="K111" s="121">
        <f>8791500+8269000</f>
        <v>17060500</v>
      </c>
      <c r="L111" s="121">
        <f>8791500+8269000</f>
        <v>17060500</v>
      </c>
      <c r="M111" s="121">
        <f>8791500+8269000</f>
        <v>17060500</v>
      </c>
      <c r="N111" s="121">
        <f>8791500+8269000</f>
        <v>17060500</v>
      </c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</row>
    <row r="112" spans="1:40" x14ac:dyDescent="0.15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</row>
    <row r="113" spans="1:40" x14ac:dyDescent="0.15">
      <c r="A113" s="6" t="s">
        <v>21</v>
      </c>
      <c r="B113" s="116">
        <v>298469</v>
      </c>
      <c r="C113" s="116">
        <v>582469</v>
      </c>
      <c r="D113" s="116">
        <v>997269</v>
      </c>
      <c r="E113" s="116">
        <v>1343369</v>
      </c>
      <c r="F113" s="116">
        <v>1666869</v>
      </c>
      <c r="G113" s="116">
        <v>1960869</v>
      </c>
      <c r="H113" s="116"/>
      <c r="I113" s="116">
        <v>2255369</v>
      </c>
      <c r="J113" s="116">
        <v>2592714</v>
      </c>
      <c r="K113" s="116">
        <v>2910414</v>
      </c>
      <c r="L113" s="116">
        <v>3234914</v>
      </c>
      <c r="M113" s="116">
        <v>3725669</v>
      </c>
      <c r="N113" s="116">
        <v>4241936</v>
      </c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</row>
    <row r="114" spans="1:40" x14ac:dyDescent="0.15">
      <c r="A114" s="6" t="s">
        <v>22</v>
      </c>
      <c r="B114" s="116">
        <v>0</v>
      </c>
      <c r="C114" s="116">
        <v>0</v>
      </c>
      <c r="D114" s="116">
        <v>0</v>
      </c>
      <c r="E114" s="116">
        <v>0</v>
      </c>
      <c r="F114" s="116">
        <v>0</v>
      </c>
      <c r="G114" s="116">
        <v>0</v>
      </c>
      <c r="H114" s="116"/>
      <c r="I114" s="116">
        <v>0</v>
      </c>
      <c r="J114" s="116">
        <v>0</v>
      </c>
      <c r="K114" s="116">
        <v>0</v>
      </c>
      <c r="L114" s="116">
        <v>0</v>
      </c>
      <c r="M114" s="116">
        <v>0</v>
      </c>
      <c r="N114" s="116">
        <v>0</v>
      </c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</row>
    <row r="115" spans="1:40" x14ac:dyDescent="0.15">
      <c r="A115" s="6" t="s">
        <v>103</v>
      </c>
      <c r="B115" s="116">
        <v>71629</v>
      </c>
      <c r="C115" s="116">
        <v>158007</v>
      </c>
      <c r="D115" s="116">
        <v>222228</v>
      </c>
      <c r="E115" s="116">
        <v>312430</v>
      </c>
      <c r="F115" s="116">
        <v>496585</v>
      </c>
      <c r="G115" s="116">
        <v>607515</v>
      </c>
      <c r="H115" s="116"/>
      <c r="I115" s="116">
        <v>618665</v>
      </c>
      <c r="J115" s="116">
        <v>835159</v>
      </c>
      <c r="K115" s="116">
        <v>838454</v>
      </c>
      <c r="L115" s="116">
        <v>1041531</v>
      </c>
      <c r="M115" s="116">
        <v>1148557</v>
      </c>
      <c r="N115" s="116">
        <v>1261676</v>
      </c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</row>
    <row r="116" spans="1:40" x14ac:dyDescent="0.15">
      <c r="A116" s="6" t="s">
        <v>24</v>
      </c>
      <c r="B116" s="116">
        <v>24325</v>
      </c>
      <c r="C116" s="116">
        <v>65477</v>
      </c>
      <c r="D116" s="116">
        <v>99677</v>
      </c>
      <c r="E116" s="116">
        <v>119235</v>
      </c>
      <c r="F116" s="116">
        <v>134294</v>
      </c>
      <c r="G116" s="116">
        <v>147094</v>
      </c>
      <c r="H116" s="116"/>
      <c r="I116" s="116">
        <v>160233</v>
      </c>
      <c r="J116" s="116">
        <v>173226</v>
      </c>
      <c r="K116" s="116">
        <v>185230</v>
      </c>
      <c r="L116" s="116">
        <v>210390</v>
      </c>
      <c r="M116" s="116">
        <v>223541</v>
      </c>
      <c r="N116" s="116">
        <v>254291</v>
      </c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</row>
    <row r="117" spans="1:40" x14ac:dyDescent="0.15">
      <c r="A117" s="6" t="s">
        <v>104</v>
      </c>
      <c r="B117" s="116">
        <v>178880</v>
      </c>
      <c r="C117" s="116">
        <v>178880</v>
      </c>
      <c r="D117" s="116">
        <v>211880</v>
      </c>
      <c r="E117" s="116">
        <v>211880</v>
      </c>
      <c r="F117" s="116">
        <v>211880</v>
      </c>
      <c r="G117" s="116">
        <v>311280</v>
      </c>
      <c r="H117" s="116"/>
      <c r="I117" s="116">
        <v>311280</v>
      </c>
      <c r="J117" s="116">
        <v>446360</v>
      </c>
      <c r="K117" s="116">
        <v>446360</v>
      </c>
      <c r="L117" s="116">
        <v>446360</v>
      </c>
      <c r="M117" s="116">
        <v>746340</v>
      </c>
      <c r="N117" s="116">
        <v>1048041</v>
      </c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</row>
    <row r="118" spans="1:40" x14ac:dyDescent="0.15">
      <c r="A118" s="6" t="s">
        <v>105</v>
      </c>
      <c r="B118" s="116">
        <v>0</v>
      </c>
      <c r="C118" s="116">
        <v>0</v>
      </c>
      <c r="D118" s="116">
        <v>0</v>
      </c>
      <c r="E118" s="116">
        <v>0</v>
      </c>
      <c r="F118" s="116">
        <v>0</v>
      </c>
      <c r="G118" s="116">
        <v>0</v>
      </c>
      <c r="H118" s="116"/>
      <c r="I118" s="116">
        <v>0</v>
      </c>
      <c r="J118" s="116">
        <v>0</v>
      </c>
      <c r="K118" s="116">
        <v>0</v>
      </c>
      <c r="L118" s="116">
        <v>36000</v>
      </c>
      <c r="M118" s="116">
        <v>36000</v>
      </c>
      <c r="N118" s="116">
        <v>36000</v>
      </c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</row>
    <row r="119" spans="1:40" x14ac:dyDescent="0.15">
      <c r="A119" s="6" t="s">
        <v>106</v>
      </c>
      <c r="B119" s="116">
        <v>116410</v>
      </c>
      <c r="C119" s="116">
        <v>214176</v>
      </c>
      <c r="D119" s="116">
        <v>318577</v>
      </c>
      <c r="E119" s="116">
        <v>406137</v>
      </c>
      <c r="F119" s="116">
        <v>489006</v>
      </c>
      <c r="G119" s="116">
        <v>625488</v>
      </c>
      <c r="H119" s="116"/>
      <c r="I119" s="116">
        <v>720446</v>
      </c>
      <c r="J119" s="116">
        <v>823615</v>
      </c>
      <c r="K119" s="116">
        <v>917697</v>
      </c>
      <c r="L119" s="116">
        <v>1055775</v>
      </c>
      <c r="M119" s="116">
        <v>1157993</v>
      </c>
      <c r="N119" s="116">
        <v>1249106</v>
      </c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</row>
    <row r="120" spans="1:40" x14ac:dyDescent="0.15">
      <c r="A120" s="6" t="s">
        <v>28</v>
      </c>
      <c r="B120" s="116">
        <v>33846</v>
      </c>
      <c r="C120" s="116">
        <v>45992</v>
      </c>
      <c r="D120" s="116">
        <v>81288</v>
      </c>
      <c r="E120" s="116">
        <v>116182</v>
      </c>
      <c r="F120" s="116">
        <v>140428</v>
      </c>
      <c r="G120" s="116">
        <v>155434</v>
      </c>
      <c r="H120" s="116"/>
      <c r="I120" s="116">
        <v>167580</v>
      </c>
      <c r="J120" s="116">
        <v>202474</v>
      </c>
      <c r="K120" s="116">
        <v>228970</v>
      </c>
      <c r="L120" s="116">
        <v>241116</v>
      </c>
      <c r="M120" s="116">
        <v>253262</v>
      </c>
      <c r="N120" s="116">
        <v>265408</v>
      </c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</row>
    <row r="121" spans="1:40" x14ac:dyDescent="0.15">
      <c r="A121" s="6" t="s">
        <v>107</v>
      </c>
      <c r="B121" s="116">
        <v>18000</v>
      </c>
      <c r="C121" s="116">
        <v>28000</v>
      </c>
      <c r="D121" s="116">
        <v>34000</v>
      </c>
      <c r="E121" s="116">
        <v>38700</v>
      </c>
      <c r="F121" s="116">
        <v>39500</v>
      </c>
      <c r="G121" s="116">
        <v>66100</v>
      </c>
      <c r="H121" s="116"/>
      <c r="I121" s="116">
        <v>84600</v>
      </c>
      <c r="J121" s="116">
        <v>87400</v>
      </c>
      <c r="K121" s="116">
        <v>123000</v>
      </c>
      <c r="L121" s="116">
        <v>123000</v>
      </c>
      <c r="M121" s="116">
        <v>126000</v>
      </c>
      <c r="N121" s="116">
        <v>154880</v>
      </c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</row>
    <row r="122" spans="1:40" x14ac:dyDescent="0.15">
      <c r="A122" s="6" t="s">
        <v>27</v>
      </c>
      <c r="B122" s="116">
        <v>0</v>
      </c>
      <c r="C122" s="116">
        <v>0</v>
      </c>
      <c r="D122" s="116">
        <v>0</v>
      </c>
      <c r="E122" s="116">
        <v>21560</v>
      </c>
      <c r="F122" s="116">
        <v>21560</v>
      </c>
      <c r="G122" s="116">
        <v>21560</v>
      </c>
      <c r="H122" s="116"/>
      <c r="I122" s="116">
        <v>21560</v>
      </c>
      <c r="J122" s="116">
        <v>71060</v>
      </c>
      <c r="K122" s="116">
        <v>71060</v>
      </c>
      <c r="L122" s="116">
        <v>82060</v>
      </c>
      <c r="M122" s="116">
        <v>93060</v>
      </c>
      <c r="N122" s="116">
        <v>93060</v>
      </c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</row>
    <row r="123" spans="1:40" x14ac:dyDescent="0.15">
      <c r="A123" s="6" t="s">
        <v>32</v>
      </c>
      <c r="B123" s="116">
        <v>514619</v>
      </c>
      <c r="C123" s="116">
        <v>1026832</v>
      </c>
      <c r="D123" s="116">
        <v>1499651</v>
      </c>
      <c r="E123" s="116">
        <v>1826973</v>
      </c>
      <c r="F123" s="116">
        <v>2331801</v>
      </c>
      <c r="G123" s="116">
        <v>2807847</v>
      </c>
      <c r="H123" s="116"/>
      <c r="I123" s="116">
        <v>3167823</v>
      </c>
      <c r="J123" s="116">
        <v>3680848</v>
      </c>
      <c r="K123" s="116">
        <v>4154985</v>
      </c>
      <c r="L123" s="116">
        <v>4727920</v>
      </c>
      <c r="M123" s="116">
        <v>5411119</v>
      </c>
      <c r="N123" s="116">
        <v>6114728</v>
      </c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</row>
    <row r="124" spans="1:40" x14ac:dyDescent="0.15">
      <c r="A124" s="6" t="s">
        <v>405</v>
      </c>
      <c r="B124" s="116">
        <v>4000</v>
      </c>
      <c r="C124" s="116">
        <v>16000</v>
      </c>
      <c r="D124" s="116">
        <v>28000</v>
      </c>
      <c r="E124" s="116">
        <v>43939</v>
      </c>
      <c r="F124" s="116">
        <v>46939</v>
      </c>
      <c r="G124" s="116">
        <v>62699</v>
      </c>
      <c r="H124" s="116"/>
      <c r="I124" s="116">
        <v>62699</v>
      </c>
      <c r="J124" s="116">
        <v>66699</v>
      </c>
      <c r="K124" s="116">
        <v>69699</v>
      </c>
      <c r="L124" s="116">
        <v>88419</v>
      </c>
      <c r="M124" s="116">
        <v>100419</v>
      </c>
      <c r="N124" s="116">
        <v>105419</v>
      </c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</row>
    <row r="125" spans="1:40" x14ac:dyDescent="0.15">
      <c r="A125" s="26" t="s">
        <v>409</v>
      </c>
      <c r="B125" s="116">
        <v>30000</v>
      </c>
      <c r="C125" s="116">
        <v>30000</v>
      </c>
      <c r="D125" s="116">
        <v>33000</v>
      </c>
      <c r="E125" s="116">
        <v>58100</v>
      </c>
      <c r="F125" s="116">
        <v>91050</v>
      </c>
      <c r="G125" s="116">
        <v>109050</v>
      </c>
      <c r="H125" s="116"/>
      <c r="I125" s="116">
        <v>116050</v>
      </c>
      <c r="J125" s="116">
        <v>116050</v>
      </c>
      <c r="K125" s="116">
        <v>116050</v>
      </c>
      <c r="L125" s="116">
        <v>116050</v>
      </c>
      <c r="M125" s="116">
        <v>116050</v>
      </c>
      <c r="N125" s="116">
        <v>116050</v>
      </c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</row>
    <row r="126" spans="1:40" x14ac:dyDescent="0.15">
      <c r="A126" s="6" t="s">
        <v>109</v>
      </c>
      <c r="B126" s="116">
        <v>418648</v>
      </c>
      <c r="C126" s="116">
        <v>831106</v>
      </c>
      <c r="D126" s="116">
        <v>1276624</v>
      </c>
      <c r="E126" s="116">
        <v>1708212</v>
      </c>
      <c r="F126" s="116">
        <v>2159983</v>
      </c>
      <c r="G126" s="116">
        <v>2963571</v>
      </c>
      <c r="H126" s="116"/>
      <c r="I126" s="116">
        <v>3377968</v>
      </c>
      <c r="J126" s="116">
        <v>3824757</v>
      </c>
      <c r="K126" s="116">
        <v>4246261</v>
      </c>
      <c r="L126" s="116">
        <v>4654676</v>
      </c>
      <c r="M126" s="116">
        <v>5047917</v>
      </c>
      <c r="N126" s="116">
        <v>5481724</v>
      </c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</row>
    <row r="127" spans="1:40" x14ac:dyDescent="0.15">
      <c r="A127" s="6" t="s">
        <v>35</v>
      </c>
      <c r="B127" s="116">
        <v>21197</v>
      </c>
      <c r="C127" s="116">
        <v>23784</v>
      </c>
      <c r="D127" s="116">
        <v>43281</v>
      </c>
      <c r="E127" s="116">
        <v>58472</v>
      </c>
      <c r="F127" s="116">
        <v>73524</v>
      </c>
      <c r="G127" s="116">
        <v>79222</v>
      </c>
      <c r="H127" s="116"/>
      <c r="I127" s="116">
        <v>86042</v>
      </c>
      <c r="J127" s="116">
        <v>100120</v>
      </c>
      <c r="K127" s="116">
        <v>138704</v>
      </c>
      <c r="L127" s="116">
        <v>145651</v>
      </c>
      <c r="M127" s="116">
        <v>157093</v>
      </c>
      <c r="N127" s="116">
        <v>192377</v>
      </c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</row>
    <row r="128" spans="1:40" x14ac:dyDescent="0.15">
      <c r="A128" s="6" t="s">
        <v>110</v>
      </c>
      <c r="B128" s="116">
        <v>64230</v>
      </c>
      <c r="C128" s="116">
        <v>227360</v>
      </c>
      <c r="D128" s="116">
        <v>227360</v>
      </c>
      <c r="E128" s="116">
        <v>227360</v>
      </c>
      <c r="F128" s="116">
        <v>227360</v>
      </c>
      <c r="G128" s="116">
        <v>250640</v>
      </c>
      <c r="H128" s="116"/>
      <c r="I128" s="116">
        <v>296460</v>
      </c>
      <c r="J128" s="116">
        <v>296460</v>
      </c>
      <c r="K128" s="116">
        <v>297450</v>
      </c>
      <c r="L128" s="116">
        <v>836570</v>
      </c>
      <c r="M128" s="116">
        <v>836570</v>
      </c>
      <c r="N128" s="116">
        <v>836570</v>
      </c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</row>
    <row r="129" spans="1:40" x14ac:dyDescent="0.15">
      <c r="A129" s="6" t="s">
        <v>111</v>
      </c>
      <c r="B129" s="116">
        <v>613653</v>
      </c>
      <c r="C129" s="116">
        <v>1453348</v>
      </c>
      <c r="D129" s="116">
        <v>1927289</v>
      </c>
      <c r="E129" s="116">
        <v>2508874</v>
      </c>
      <c r="F129" s="116">
        <v>2864143</v>
      </c>
      <c r="G129" s="116">
        <v>3231127</v>
      </c>
      <c r="H129" s="116"/>
      <c r="I129" s="116">
        <v>3694846</v>
      </c>
      <c r="J129" s="116">
        <v>4237121</v>
      </c>
      <c r="K129" s="116">
        <v>4626682</v>
      </c>
      <c r="L129" s="116">
        <v>5069301</v>
      </c>
      <c r="M129" s="116">
        <v>5640983</v>
      </c>
      <c r="N129" s="116">
        <v>5997411</v>
      </c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</row>
    <row r="130" spans="1:40" x14ac:dyDescent="0.15">
      <c r="A130" s="6" t="s">
        <v>112</v>
      </c>
      <c r="B130" s="116">
        <v>0</v>
      </c>
      <c r="C130" s="116">
        <v>119306</v>
      </c>
      <c r="D130" s="116">
        <v>238612</v>
      </c>
      <c r="E130" s="116">
        <v>384612</v>
      </c>
      <c r="F130" s="116">
        <v>384612</v>
      </c>
      <c r="G130" s="116">
        <v>384612</v>
      </c>
      <c r="H130" s="116"/>
      <c r="I130" s="116">
        <v>384612</v>
      </c>
      <c r="J130" s="116">
        <v>384612</v>
      </c>
      <c r="K130" s="116">
        <v>384612</v>
      </c>
      <c r="L130" s="116">
        <v>384612</v>
      </c>
      <c r="M130" s="116">
        <v>384612</v>
      </c>
      <c r="N130" s="116">
        <v>384612</v>
      </c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</row>
    <row r="131" spans="1:40" x14ac:dyDescent="0.15">
      <c r="A131" s="6" t="s">
        <v>113</v>
      </c>
      <c r="B131" s="116">
        <v>307211</v>
      </c>
      <c r="C131" s="116">
        <v>616524</v>
      </c>
      <c r="D131" s="116">
        <v>947055</v>
      </c>
      <c r="E131" s="116">
        <v>1254266</v>
      </c>
      <c r="F131" s="116">
        <v>1581277</v>
      </c>
      <c r="G131" s="116">
        <v>2006848</v>
      </c>
      <c r="H131" s="116"/>
      <c r="I131" s="116">
        <v>2396965</v>
      </c>
      <c r="J131" s="116">
        <v>2752191</v>
      </c>
      <c r="K131" s="116">
        <v>3084247</v>
      </c>
      <c r="L131" s="116">
        <v>3404683</v>
      </c>
      <c r="M131" s="116">
        <v>3709891</v>
      </c>
      <c r="N131" s="116">
        <v>4033799</v>
      </c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</row>
    <row r="132" spans="1:40" x14ac:dyDescent="0.15">
      <c r="A132" s="6" t="s">
        <v>121</v>
      </c>
      <c r="B132" s="116">
        <v>295000</v>
      </c>
      <c r="C132" s="116">
        <v>710000</v>
      </c>
      <c r="D132" s="116">
        <v>1005000</v>
      </c>
      <c r="E132" s="116">
        <v>1300000</v>
      </c>
      <c r="F132" s="116">
        <v>1595000</v>
      </c>
      <c r="G132" s="116">
        <v>1890000</v>
      </c>
      <c r="H132" s="116"/>
      <c r="I132" s="116">
        <v>2185000</v>
      </c>
      <c r="J132" s="116">
        <v>2480000</v>
      </c>
      <c r="K132" s="116">
        <v>2775000</v>
      </c>
      <c r="L132" s="116">
        <v>3070000</v>
      </c>
      <c r="M132" s="116">
        <v>3365000</v>
      </c>
      <c r="N132" s="116">
        <v>3660000</v>
      </c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</row>
    <row r="133" spans="1:40" x14ac:dyDescent="0.15">
      <c r="A133" s="6" t="s">
        <v>122</v>
      </c>
      <c r="B133" s="116">
        <v>0</v>
      </c>
      <c r="C133" s="116">
        <v>526300</v>
      </c>
      <c r="D133" s="116">
        <v>526300</v>
      </c>
      <c r="E133" s="116">
        <v>526900</v>
      </c>
      <c r="F133" s="116">
        <v>577909</v>
      </c>
      <c r="G133" s="116">
        <v>577909</v>
      </c>
      <c r="H133" s="116"/>
      <c r="I133" s="116">
        <v>577910</v>
      </c>
      <c r="J133" s="116">
        <v>578360</v>
      </c>
      <c r="K133" s="116">
        <v>629360</v>
      </c>
      <c r="L133" s="116">
        <v>631760</v>
      </c>
      <c r="M133" s="116">
        <v>682768</v>
      </c>
      <c r="N133" s="116">
        <v>682768</v>
      </c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</row>
    <row r="134" spans="1:40" x14ac:dyDescent="0.15">
      <c r="A134" s="6" t="s">
        <v>37</v>
      </c>
      <c r="B134" s="116">
        <v>107594</v>
      </c>
      <c r="C134" s="116">
        <v>163917</v>
      </c>
      <c r="D134" s="116">
        <v>441626</v>
      </c>
      <c r="E134" s="116">
        <v>501026</v>
      </c>
      <c r="F134" s="116">
        <v>613859</v>
      </c>
      <c r="G134" s="116">
        <v>1187314</v>
      </c>
      <c r="H134" s="116"/>
      <c r="I134" s="116">
        <v>1197434</v>
      </c>
      <c r="J134" s="116">
        <v>1320035</v>
      </c>
      <c r="K134" s="116">
        <v>1528774</v>
      </c>
      <c r="L134" s="116">
        <v>1591576</v>
      </c>
      <c r="M134" s="116">
        <v>1658030</v>
      </c>
      <c r="N134" s="116">
        <v>1852854</v>
      </c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</row>
    <row r="135" spans="1:40" x14ac:dyDescent="0.15">
      <c r="A135" s="6" t="s">
        <v>114</v>
      </c>
      <c r="B135" s="116">
        <v>0</v>
      </c>
      <c r="C135" s="116">
        <v>0</v>
      </c>
      <c r="D135" s="116">
        <v>0</v>
      </c>
      <c r="E135" s="116">
        <v>0</v>
      </c>
      <c r="F135" s="116">
        <v>4629</v>
      </c>
      <c r="G135" s="116">
        <v>28071</v>
      </c>
      <c r="H135" s="116"/>
      <c r="I135" s="116">
        <v>28071</v>
      </c>
      <c r="J135" s="116">
        <v>28071</v>
      </c>
      <c r="K135" s="116">
        <v>62765</v>
      </c>
      <c r="L135" s="116">
        <v>72660</v>
      </c>
      <c r="M135" s="116">
        <v>72660</v>
      </c>
      <c r="N135" s="116">
        <v>72660</v>
      </c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</row>
    <row r="136" spans="1:40" x14ac:dyDescent="0.15">
      <c r="A136" s="53" t="s">
        <v>115</v>
      </c>
      <c r="B136" s="116">
        <v>349526</v>
      </c>
      <c r="C136" s="116">
        <v>679198</v>
      </c>
      <c r="D136" s="116">
        <v>947802</v>
      </c>
      <c r="E136" s="116">
        <v>1459152</v>
      </c>
      <c r="F136" s="116">
        <v>1894528</v>
      </c>
      <c r="G136" s="116">
        <v>2262059</v>
      </c>
      <c r="H136" s="116"/>
      <c r="I136" s="116">
        <v>2893220</v>
      </c>
      <c r="J136" s="116">
        <v>3473171</v>
      </c>
      <c r="K136" s="116">
        <v>3902205</v>
      </c>
      <c r="L136" s="116">
        <v>4352115</v>
      </c>
      <c r="M136" s="116">
        <v>4701408</v>
      </c>
      <c r="N136" s="116">
        <v>5422754</v>
      </c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</row>
    <row r="137" spans="1:40" x14ac:dyDescent="0.15">
      <c r="A137" s="6" t="s">
        <v>46</v>
      </c>
      <c r="B137" s="116">
        <v>0</v>
      </c>
      <c r="C137" s="116">
        <v>0</v>
      </c>
      <c r="D137" s="116">
        <v>0</v>
      </c>
      <c r="E137" s="116">
        <v>0</v>
      </c>
      <c r="F137" s="116">
        <v>0</v>
      </c>
      <c r="G137" s="116">
        <v>2237174</v>
      </c>
      <c r="H137" s="116"/>
      <c r="I137" s="116">
        <v>2237174</v>
      </c>
      <c r="J137" s="116">
        <v>2237174</v>
      </c>
      <c r="K137" s="116">
        <v>2237174</v>
      </c>
      <c r="L137" s="116">
        <v>2237174</v>
      </c>
      <c r="M137" s="116">
        <v>2237174</v>
      </c>
      <c r="N137" s="116">
        <v>3969725</v>
      </c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</row>
    <row r="139" spans="1:40" x14ac:dyDescent="0.15">
      <c r="A139" s="6" t="s">
        <v>380</v>
      </c>
      <c r="B139" s="125">
        <v>0</v>
      </c>
      <c r="C139" s="116">
        <v>0</v>
      </c>
      <c r="D139" s="116">
        <v>0</v>
      </c>
      <c r="E139" s="116">
        <v>0</v>
      </c>
      <c r="F139" s="116">
        <v>0</v>
      </c>
      <c r="G139" s="116">
        <v>0</v>
      </c>
      <c r="I139" s="116">
        <v>0</v>
      </c>
      <c r="J139" s="116">
        <v>0</v>
      </c>
      <c r="K139" s="116">
        <v>0</v>
      </c>
      <c r="L139" s="116">
        <v>0</v>
      </c>
      <c r="M139" s="116">
        <v>0</v>
      </c>
      <c r="N139" s="116">
        <v>0</v>
      </c>
    </row>
    <row r="140" spans="1:40" x14ac:dyDescent="0.15">
      <c r="A140" s="6" t="s">
        <v>381</v>
      </c>
      <c r="B140" s="125">
        <v>6912</v>
      </c>
      <c r="C140" s="116">
        <v>13944</v>
      </c>
      <c r="D140" s="116">
        <v>20619</v>
      </c>
      <c r="E140" s="116">
        <v>26734</v>
      </c>
      <c r="F140" s="116">
        <v>33080</v>
      </c>
      <c r="G140" s="116">
        <v>38143</v>
      </c>
      <c r="I140" s="116">
        <v>43391</v>
      </c>
      <c r="J140" s="116">
        <v>48440</v>
      </c>
      <c r="K140" s="116">
        <v>52682</v>
      </c>
      <c r="L140" s="116">
        <v>56860</v>
      </c>
      <c r="M140" s="116">
        <v>60312</v>
      </c>
      <c r="N140" s="116">
        <v>63777</v>
      </c>
    </row>
    <row r="141" spans="1:40" x14ac:dyDescent="0.15">
      <c r="A141" s="6" t="s">
        <v>382</v>
      </c>
      <c r="B141" s="125">
        <v>73440</v>
      </c>
      <c r="C141" s="116">
        <v>73440</v>
      </c>
      <c r="D141" s="116">
        <v>73440</v>
      </c>
      <c r="E141" s="116">
        <v>121180</v>
      </c>
      <c r="F141" s="116">
        <v>121180</v>
      </c>
      <c r="G141" s="116">
        <v>121180</v>
      </c>
      <c r="I141" s="116">
        <v>121680</v>
      </c>
      <c r="J141" s="116">
        <v>288422</v>
      </c>
      <c r="K141" s="116">
        <v>288422</v>
      </c>
      <c r="L141" s="116">
        <v>288422</v>
      </c>
      <c r="M141" s="116">
        <v>288422</v>
      </c>
      <c r="N141" s="116">
        <v>320958</v>
      </c>
    </row>
  </sheetData>
  <mergeCells count="4">
    <mergeCell ref="Q72:R72"/>
    <mergeCell ref="Q73:R73"/>
    <mergeCell ref="Q74:R74"/>
    <mergeCell ref="Q75:R75"/>
  </mergeCells>
  <phoneticPr fontId="3"/>
  <pageMargins left="0.70866141732283472" right="0" top="0" bottom="0" header="0.23622047244094491" footer="0.27559055118110237"/>
  <pageSetup paperSize="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2628-9F14-4550-B2F3-90925A0B42E7}">
  <dimension ref="A1:AN142"/>
  <sheetViews>
    <sheetView topLeftCell="A28" zoomScale="70" zoomScaleNormal="70" workbookViewId="0">
      <pane xSplit="1" topLeftCell="B1" activePane="topRight" state="frozen"/>
      <selection activeCell="A10" sqref="A10"/>
      <selection pane="topRight" activeCell="A127" sqref="A127:IV127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A1" s="180" t="s">
        <v>410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ht="12" customHeight="1" x14ac:dyDescent="0.15">
      <c r="A2" s="26" t="s">
        <v>43</v>
      </c>
      <c r="B2" s="45" t="s">
        <v>411</v>
      </c>
      <c r="C2" s="26" t="s">
        <v>412</v>
      </c>
      <c r="D2" s="45" t="s">
        <v>413</v>
      </c>
      <c r="E2" s="26" t="s">
        <v>414</v>
      </c>
      <c r="F2" s="45" t="s">
        <v>415</v>
      </c>
      <c r="G2" s="26" t="s">
        <v>416</v>
      </c>
      <c r="H2" s="26" t="s">
        <v>39</v>
      </c>
      <c r="I2" s="26" t="s">
        <v>417</v>
      </c>
      <c r="J2" s="26" t="s">
        <v>418</v>
      </c>
      <c r="K2" s="26" t="s">
        <v>419</v>
      </c>
      <c r="L2" s="26" t="s">
        <v>420</v>
      </c>
      <c r="M2" s="26" t="s">
        <v>421</v>
      </c>
      <c r="N2" s="26" t="s">
        <v>422</v>
      </c>
      <c r="O2" s="26" t="s">
        <v>41</v>
      </c>
      <c r="P2" s="26" t="s">
        <v>42</v>
      </c>
    </row>
    <row r="3" spans="1:16" ht="12" customHeight="1" x14ac:dyDescent="0.15">
      <c r="A3" s="24" t="s">
        <v>259</v>
      </c>
      <c r="B3" s="113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12" customHeight="1" x14ac:dyDescent="0.15">
      <c r="A4" s="24" t="s">
        <v>0</v>
      </c>
      <c r="B4" s="114">
        <f>SUM(B5:B7)</f>
        <v>81000</v>
      </c>
      <c r="C4" s="114">
        <f t="shared" ref="C4:K4" si="0">SUM(C5:C7)</f>
        <v>29000</v>
      </c>
      <c r="D4" s="114">
        <f t="shared" si="0"/>
        <v>8000</v>
      </c>
      <c r="E4" s="114">
        <f>SUM(E5:E7)</f>
        <v>2000</v>
      </c>
      <c r="F4" s="114">
        <f t="shared" si="0"/>
        <v>1000</v>
      </c>
      <c r="G4" s="114">
        <f t="shared" si="0"/>
        <v>2000</v>
      </c>
      <c r="H4" s="114">
        <f t="shared" ref="H4:H35" si="1">SUM(B4:G4)</f>
        <v>123000</v>
      </c>
      <c r="I4" s="114">
        <f>SUM(I5:I7)</f>
        <v>1000</v>
      </c>
      <c r="J4" s="114">
        <f>SUM(J5:J7)</f>
        <v>2000</v>
      </c>
      <c r="K4" s="114">
        <f t="shared" si="0"/>
        <v>3000</v>
      </c>
      <c r="L4" s="114">
        <f>SUM(L5:L7)</f>
        <v>3000</v>
      </c>
      <c r="M4" s="114">
        <f>SUM(M5:M7)</f>
        <v>0</v>
      </c>
      <c r="N4" s="114">
        <f>SUM(N5:N7)</f>
        <v>2000</v>
      </c>
      <c r="O4" s="114">
        <f>SUM(I4:N4)</f>
        <v>11000</v>
      </c>
      <c r="P4" s="114">
        <f>H4+O4</f>
        <v>134000</v>
      </c>
    </row>
    <row r="5" spans="1:16" ht="12" customHeight="1" x14ac:dyDescent="0.15">
      <c r="A5" s="21" t="s">
        <v>1</v>
      </c>
      <c r="B5" s="111">
        <v>76000</v>
      </c>
      <c r="C5" s="111">
        <f t="shared" ref="C5:G7" si="2">C77-B77</f>
        <v>2000</v>
      </c>
      <c r="D5" s="111">
        <f t="shared" si="2"/>
        <v>0</v>
      </c>
      <c r="E5" s="111">
        <f t="shared" si="2"/>
        <v>2000</v>
      </c>
      <c r="F5" s="111">
        <f t="shared" si="2"/>
        <v>1000</v>
      </c>
      <c r="G5" s="111">
        <f t="shared" si="2"/>
        <v>1000</v>
      </c>
      <c r="H5" s="111">
        <f t="shared" si="1"/>
        <v>82000</v>
      </c>
      <c r="I5" s="111">
        <f>I77-G77</f>
        <v>0</v>
      </c>
      <c r="J5" s="111">
        <f t="shared" ref="J5:N7" si="3">J77-I77</f>
        <v>2000</v>
      </c>
      <c r="K5" s="111">
        <f t="shared" si="3"/>
        <v>3000</v>
      </c>
      <c r="L5" s="111">
        <f t="shared" si="3"/>
        <v>2000</v>
      </c>
      <c r="M5" s="111">
        <f t="shared" si="3"/>
        <v>0</v>
      </c>
      <c r="N5" s="111">
        <f t="shared" si="3"/>
        <v>0</v>
      </c>
      <c r="O5" s="111">
        <f t="shared" ref="O5:O75" si="4">SUM(I5:N5)</f>
        <v>7000</v>
      </c>
      <c r="P5" s="111">
        <f t="shared" ref="P5:P75" si="5">H5+O5</f>
        <v>89000</v>
      </c>
    </row>
    <row r="6" spans="1:16" ht="12" customHeight="1" x14ac:dyDescent="0.15">
      <c r="A6" s="21" t="s">
        <v>2</v>
      </c>
      <c r="B6" s="111">
        <v>3000</v>
      </c>
      <c r="C6" s="111">
        <f t="shared" si="2"/>
        <v>26000</v>
      </c>
      <c r="D6" s="111">
        <f t="shared" si="2"/>
        <v>7000</v>
      </c>
      <c r="E6" s="111">
        <f t="shared" si="2"/>
        <v>0</v>
      </c>
      <c r="F6" s="111">
        <f t="shared" si="2"/>
        <v>0</v>
      </c>
      <c r="G6" s="111">
        <f t="shared" si="2"/>
        <v>0</v>
      </c>
      <c r="H6" s="111">
        <f t="shared" si="1"/>
        <v>36000</v>
      </c>
      <c r="I6" s="111">
        <f>I78-G78</f>
        <v>1000</v>
      </c>
      <c r="J6" s="111">
        <f t="shared" si="3"/>
        <v>0</v>
      </c>
      <c r="K6" s="111">
        <f t="shared" si="3"/>
        <v>0</v>
      </c>
      <c r="L6" s="111">
        <f t="shared" si="3"/>
        <v>1000</v>
      </c>
      <c r="M6" s="111">
        <f t="shared" si="3"/>
        <v>0</v>
      </c>
      <c r="N6" s="111">
        <f t="shared" si="3"/>
        <v>1000</v>
      </c>
      <c r="O6" s="111">
        <f t="shared" si="4"/>
        <v>3000</v>
      </c>
      <c r="P6" s="111">
        <f t="shared" si="5"/>
        <v>39000</v>
      </c>
    </row>
    <row r="7" spans="1:16" ht="12" customHeight="1" x14ac:dyDescent="0.15">
      <c r="A7" s="21" t="s">
        <v>3</v>
      </c>
      <c r="B7" s="111">
        <v>2000</v>
      </c>
      <c r="C7" s="111">
        <f t="shared" si="2"/>
        <v>1000</v>
      </c>
      <c r="D7" s="111">
        <f t="shared" si="2"/>
        <v>1000</v>
      </c>
      <c r="E7" s="111">
        <f t="shared" si="2"/>
        <v>0</v>
      </c>
      <c r="F7" s="111">
        <f t="shared" si="2"/>
        <v>0</v>
      </c>
      <c r="G7" s="111">
        <f t="shared" si="2"/>
        <v>1000</v>
      </c>
      <c r="H7" s="111">
        <f t="shared" si="1"/>
        <v>5000</v>
      </c>
      <c r="I7" s="111">
        <f>I79-G79</f>
        <v>0</v>
      </c>
      <c r="J7" s="111">
        <f t="shared" si="3"/>
        <v>0</v>
      </c>
      <c r="K7" s="111">
        <f t="shared" si="3"/>
        <v>0</v>
      </c>
      <c r="L7" s="111">
        <f t="shared" si="3"/>
        <v>0</v>
      </c>
      <c r="M7" s="111">
        <f t="shared" si="3"/>
        <v>0</v>
      </c>
      <c r="N7" s="111">
        <f t="shared" si="3"/>
        <v>1000</v>
      </c>
      <c r="O7" s="111">
        <f t="shared" si="4"/>
        <v>1000</v>
      </c>
      <c r="P7" s="111">
        <f t="shared" si="5"/>
        <v>6000</v>
      </c>
    </row>
    <row r="8" spans="1:16" ht="12" customHeight="1" x14ac:dyDescent="0.15">
      <c r="A8" s="24" t="s">
        <v>4</v>
      </c>
      <c r="B8" s="114">
        <f t="shared" ref="B8:G8" si="6">SUM(B9:B30)</f>
        <v>16058310</v>
      </c>
      <c r="C8" s="114">
        <f t="shared" si="6"/>
        <v>18764100</v>
      </c>
      <c r="D8" s="114">
        <f t="shared" si="6"/>
        <v>17107950</v>
      </c>
      <c r="E8" s="114">
        <f t="shared" si="6"/>
        <v>17658420</v>
      </c>
      <c r="F8" s="114">
        <f t="shared" si="6"/>
        <v>17527790</v>
      </c>
      <c r="G8" s="114">
        <f t="shared" si="6"/>
        <v>17894740</v>
      </c>
      <c r="H8" s="114">
        <f t="shared" si="1"/>
        <v>105011310</v>
      </c>
      <c r="I8" s="114">
        <f t="shared" ref="I8:N8" si="7">SUM(I9:I30)</f>
        <v>18403440</v>
      </c>
      <c r="J8" s="114">
        <f t="shared" si="7"/>
        <v>17306430</v>
      </c>
      <c r="K8" s="114">
        <f t="shared" si="7"/>
        <v>15624010</v>
      </c>
      <c r="L8" s="114">
        <f t="shared" si="7"/>
        <v>15447120</v>
      </c>
      <c r="M8" s="114">
        <f t="shared" si="7"/>
        <v>14807850</v>
      </c>
      <c r="N8" s="114">
        <f t="shared" si="7"/>
        <v>16613970</v>
      </c>
      <c r="O8" s="114">
        <f t="shared" si="4"/>
        <v>98202820</v>
      </c>
      <c r="P8" s="114">
        <f t="shared" si="5"/>
        <v>203214130</v>
      </c>
    </row>
    <row r="9" spans="1:16" ht="12" customHeight="1" x14ac:dyDescent="0.15">
      <c r="A9" s="47" t="s">
        <v>94</v>
      </c>
      <c r="B9" s="111">
        <v>2650890</v>
      </c>
      <c r="C9" s="111">
        <f>C81-B81</f>
        <v>2698490</v>
      </c>
      <c r="D9" s="111">
        <f>D81-C81</f>
        <v>2612230</v>
      </c>
      <c r="E9" s="111">
        <f>E81-D81</f>
        <v>2620610</v>
      </c>
      <c r="F9" s="111">
        <f>F81-E81</f>
        <v>2698100</v>
      </c>
      <c r="G9" s="111">
        <f>G81-F81</f>
        <v>2730370</v>
      </c>
      <c r="H9" s="111">
        <f t="shared" si="1"/>
        <v>16010690</v>
      </c>
      <c r="I9" s="111">
        <f>I81-G81</f>
        <v>2788410</v>
      </c>
      <c r="J9" s="111">
        <f>J81-I81</f>
        <v>2826020</v>
      </c>
      <c r="K9" s="111">
        <f>K81-J81</f>
        <v>2612790</v>
      </c>
      <c r="L9" s="111">
        <f>L81-K81</f>
        <v>2675000</v>
      </c>
      <c r="M9" s="111">
        <f>M81-L81</f>
        <v>2524380</v>
      </c>
      <c r="N9" s="111">
        <f>N81-M81</f>
        <v>2503210</v>
      </c>
      <c r="O9" s="111">
        <f t="shared" si="4"/>
        <v>15929810</v>
      </c>
      <c r="P9" s="111">
        <f t="shared" si="5"/>
        <v>31940500</v>
      </c>
    </row>
    <row r="10" spans="1:16" ht="12" customHeight="1" x14ac:dyDescent="0.15">
      <c r="A10" s="48" t="s">
        <v>247</v>
      </c>
      <c r="B10" s="123">
        <f>21900</f>
        <v>21900</v>
      </c>
      <c r="C10" s="123">
        <f>21900</f>
        <v>21900</v>
      </c>
      <c r="D10" s="123">
        <f>29280</f>
        <v>29280</v>
      </c>
      <c r="E10" s="123">
        <f>33660</f>
        <v>33660</v>
      </c>
      <c r="F10" s="123">
        <f>30660</f>
        <v>30660</v>
      </c>
      <c r="G10" s="123">
        <f>33660</f>
        <v>33660</v>
      </c>
      <c r="H10" s="111">
        <f t="shared" si="1"/>
        <v>171060</v>
      </c>
      <c r="I10" s="123">
        <f>30660</f>
        <v>30660</v>
      </c>
      <c r="J10" s="123">
        <f>30660</f>
        <v>30660</v>
      </c>
      <c r="K10" s="123">
        <f>30660</f>
        <v>30660</v>
      </c>
      <c r="L10" s="123">
        <f>52800</f>
        <v>52800</v>
      </c>
      <c r="M10" s="123">
        <f>35040</f>
        <v>35040</v>
      </c>
      <c r="N10" s="123">
        <f>39420</f>
        <v>39420</v>
      </c>
      <c r="O10" s="111">
        <f t="shared" si="4"/>
        <v>219240</v>
      </c>
      <c r="P10" s="111">
        <f t="shared" si="5"/>
        <v>390300</v>
      </c>
    </row>
    <row r="11" spans="1:16" ht="12" customHeight="1" x14ac:dyDescent="0.15">
      <c r="A11" s="48" t="s">
        <v>319</v>
      </c>
      <c r="B11" s="123">
        <v>27720</v>
      </c>
      <c r="C11" s="123">
        <f>18480</f>
        <v>18480</v>
      </c>
      <c r="D11" s="123">
        <f>18480</f>
        <v>18480</v>
      </c>
      <c r="E11" s="123">
        <f>24640</f>
        <v>24640</v>
      </c>
      <c r="F11" s="123">
        <f>18480</f>
        <v>18480</v>
      </c>
      <c r="G11" s="123">
        <f>24640</f>
        <v>24640</v>
      </c>
      <c r="H11" s="111">
        <f t="shared" si="1"/>
        <v>132440</v>
      </c>
      <c r="I11" s="123">
        <f>36960</f>
        <v>36960</v>
      </c>
      <c r="J11" s="123">
        <f>24640</f>
        <v>24640</v>
      </c>
      <c r="K11" s="123">
        <f>21560</f>
        <v>21560</v>
      </c>
      <c r="L11" s="123">
        <f>27720</f>
        <v>27720</v>
      </c>
      <c r="M11" s="123">
        <f>36960</f>
        <v>36960</v>
      </c>
      <c r="N11" s="123">
        <f>15400</f>
        <v>15400</v>
      </c>
      <c r="O11" s="111">
        <f t="shared" si="4"/>
        <v>163240</v>
      </c>
      <c r="P11" s="111">
        <f t="shared" si="5"/>
        <v>295680</v>
      </c>
    </row>
    <row r="12" spans="1:16" ht="12" customHeight="1" x14ac:dyDescent="0.15">
      <c r="A12" s="47" t="s">
        <v>95</v>
      </c>
      <c r="B12" s="124">
        <f>3861000-247200+4278780-261600</f>
        <v>7630980</v>
      </c>
      <c r="C12" s="123">
        <f>8040370-3861000-263400-3000-600+8615880-4278780-264600-2400</f>
        <v>7982470</v>
      </c>
      <c r="D12" s="123">
        <f>12478840-8040370-271200-6000+12138150-8615880-220800</f>
        <v>7462740</v>
      </c>
      <c r="E12" s="123">
        <f>17378620-12478840-301800-6000+15711960-12138150-208200-10200</f>
        <v>7947390</v>
      </c>
      <c r="F12" s="123">
        <f>21737430-17378620-272400-5400+19435040-15711960-219900-5400</f>
        <v>7578790</v>
      </c>
      <c r="G12" s="123">
        <f>26520430-21737430-291000-9000+23154200-19435040-226900</f>
        <v>7975260</v>
      </c>
      <c r="H12" s="111">
        <f t="shared" si="1"/>
        <v>46577630</v>
      </c>
      <c r="I12" s="123">
        <f>31549620-26520430-307200-2400+27027500-23154200-232100</f>
        <v>8360790</v>
      </c>
      <c r="J12" s="123">
        <f>35457440-31549620-240000+31045010-27027500-232700-13200</f>
        <v>7439430</v>
      </c>
      <c r="K12" s="123">
        <f>38546550-35457440-196200+34284330-31045010-193100</f>
        <v>5939130</v>
      </c>
      <c r="L12" s="123">
        <f>41924900-38546550-207600+37648190-34284330-202100</f>
        <v>6332510</v>
      </c>
      <c r="M12" s="123">
        <f>45019550-41924900-188400+41330460-37648190-222000</f>
        <v>6366520</v>
      </c>
      <c r="N12" s="123">
        <f>48665090-45019550-225600+45312180-41330460-243000</f>
        <v>7158660</v>
      </c>
      <c r="O12" s="111">
        <f t="shared" si="4"/>
        <v>41597040</v>
      </c>
      <c r="P12" s="111">
        <f t="shared" si="5"/>
        <v>88174670</v>
      </c>
    </row>
    <row r="13" spans="1:16" ht="12" customHeight="1" x14ac:dyDescent="0.15">
      <c r="A13" s="21" t="s">
        <v>58</v>
      </c>
      <c r="B13" s="123">
        <f>247200+261600</f>
        <v>508800</v>
      </c>
      <c r="C13" s="123">
        <f>263400+3000+600+264600+2400</f>
        <v>534000</v>
      </c>
      <c r="D13" s="123">
        <f>271200+6000+220800</f>
        <v>498000</v>
      </c>
      <c r="E13" s="123">
        <f>301800+6000+208200+10200</f>
        <v>526200</v>
      </c>
      <c r="F13" s="123">
        <f>272400+5400+219900+5400</f>
        <v>503100</v>
      </c>
      <c r="G13" s="123">
        <f>291000+9000+226900</f>
        <v>526900</v>
      </c>
      <c r="H13" s="111">
        <f t="shared" si="1"/>
        <v>3097000</v>
      </c>
      <c r="I13" s="123">
        <f>307200+2400+232100</f>
        <v>541700</v>
      </c>
      <c r="J13" s="123">
        <f>240000+232700+13200</f>
        <v>485900</v>
      </c>
      <c r="K13" s="123">
        <f>196200+193100</f>
        <v>389300</v>
      </c>
      <c r="L13" s="123">
        <f>207600+202100</f>
        <v>409700</v>
      </c>
      <c r="M13" s="123">
        <f>188400+222000</f>
        <v>410400</v>
      </c>
      <c r="N13" s="123">
        <f>225600+243000</f>
        <v>468600</v>
      </c>
      <c r="O13" s="111">
        <f t="shared" si="4"/>
        <v>2705600</v>
      </c>
      <c r="P13" s="111">
        <f t="shared" si="5"/>
        <v>5802600</v>
      </c>
    </row>
    <row r="14" spans="1:16" ht="12" customHeight="1" x14ac:dyDescent="0.15">
      <c r="A14" s="47" t="s">
        <v>96</v>
      </c>
      <c r="B14" s="123">
        <f>814630-87200+321840-38400</f>
        <v>1010870</v>
      </c>
      <c r="C14" s="123">
        <f>1587530-814630-83800+638350-321840-33600</f>
        <v>972010</v>
      </c>
      <c r="D14" s="123">
        <f>2396350-1587530-83400+957860-638350-37800</f>
        <v>1007130</v>
      </c>
      <c r="E14" s="123">
        <f>3123230-2396350-76800+1280230-957860-37200</f>
        <v>935250</v>
      </c>
      <c r="F14" s="123">
        <f>3900450-3123230-78000+1600270-1280230-37200</f>
        <v>982060</v>
      </c>
      <c r="G14" s="123">
        <f>4637720-3900450-71000+1911100-1600270-34100</f>
        <v>943000</v>
      </c>
      <c r="H14" s="111">
        <f t="shared" si="1"/>
        <v>5850320</v>
      </c>
      <c r="I14" s="123">
        <f>5354090-4637720-69000+2226690-1911100-37200</f>
        <v>925760</v>
      </c>
      <c r="J14" s="123">
        <f>6026200-5354090-59400+2563840-2226690-39600</f>
        <v>910260</v>
      </c>
      <c r="K14" s="123">
        <f>6703750-6026200-48600+2874950-2563840-27000</f>
        <v>913060</v>
      </c>
      <c r="L14" s="123">
        <f>7462290-6703750-64800+3268740-2874950-34200-2400</f>
        <v>1050930</v>
      </c>
      <c r="M14" s="123">
        <f>8174920-7462290-64200+3598480-3268740-34200</f>
        <v>943970</v>
      </c>
      <c r="N14" s="123">
        <f>8945480-8174920-73800-4800+4016690-3598480-43200-2400</f>
        <v>1064570</v>
      </c>
      <c r="O14" s="111">
        <f t="shared" si="4"/>
        <v>5808550</v>
      </c>
      <c r="P14" s="111">
        <f t="shared" si="5"/>
        <v>11658870</v>
      </c>
    </row>
    <row r="15" spans="1:16" ht="12" customHeight="1" x14ac:dyDescent="0.15">
      <c r="A15" s="21" t="s">
        <v>59</v>
      </c>
      <c r="B15" s="123">
        <f>87200+38400</f>
        <v>125600</v>
      </c>
      <c r="C15" s="123">
        <f>83800+33600</f>
        <v>117400</v>
      </c>
      <c r="D15" s="123">
        <f>83400+37800</f>
        <v>121200</v>
      </c>
      <c r="E15" s="123">
        <f>76800+37200</f>
        <v>114000</v>
      </c>
      <c r="F15" s="123">
        <f>78000+37200</f>
        <v>115200</v>
      </c>
      <c r="G15" s="123">
        <f>71000+34100</f>
        <v>105100</v>
      </c>
      <c r="H15" s="111">
        <f t="shared" si="1"/>
        <v>698500</v>
      </c>
      <c r="I15" s="123">
        <f>69000+37200</f>
        <v>106200</v>
      </c>
      <c r="J15" s="123">
        <f>59400+39600</f>
        <v>99000</v>
      </c>
      <c r="K15" s="123">
        <f>48600+27000</f>
        <v>75600</v>
      </c>
      <c r="L15" s="123">
        <f>64800+34200+2400</f>
        <v>101400</v>
      </c>
      <c r="M15" s="123">
        <f>64200+34200</f>
        <v>98400</v>
      </c>
      <c r="N15" s="123">
        <f>73800+4800+43200+2400</f>
        <v>124200</v>
      </c>
      <c r="O15" s="111">
        <f t="shared" si="4"/>
        <v>604800</v>
      </c>
      <c r="P15" s="111">
        <f t="shared" si="5"/>
        <v>1303300</v>
      </c>
    </row>
    <row r="16" spans="1:16" ht="12" customHeight="1" x14ac:dyDescent="0.15">
      <c r="A16" s="50" t="s">
        <v>120</v>
      </c>
      <c r="B16" s="123">
        <f>2700140-117600</f>
        <v>2582540</v>
      </c>
      <c r="C16" s="123">
        <f>5421510-2700140-118200</f>
        <v>2603170</v>
      </c>
      <c r="D16" s="123">
        <f>8124070-5421510-117600</f>
        <v>2584960</v>
      </c>
      <c r="E16" s="123">
        <f>11025780-8124070-126000</f>
        <v>2775710</v>
      </c>
      <c r="F16" s="123">
        <f>14088490-11025780-133800</f>
        <v>2928910</v>
      </c>
      <c r="G16" s="123">
        <f>17002050-14088490-128700</f>
        <v>2784860</v>
      </c>
      <c r="H16" s="111">
        <f t="shared" si="1"/>
        <v>16260150</v>
      </c>
      <c r="I16" s="123">
        <f>19899600-17002050-126600</f>
        <v>2770950</v>
      </c>
      <c r="J16" s="123">
        <f>22774090-19899600-126000</f>
        <v>2748490</v>
      </c>
      <c r="K16" s="123">
        <f>25603350-22774090-123600</f>
        <v>2705660</v>
      </c>
      <c r="L16" s="123">
        <f>27916680-25603350-100800</f>
        <v>2212530</v>
      </c>
      <c r="M16" s="123">
        <f>29856990-27916680-85800</f>
        <v>1854510</v>
      </c>
      <c r="N16" s="123">
        <f>32351760-29856990-91800-8400-7200</f>
        <v>2387370</v>
      </c>
      <c r="O16" s="111">
        <f t="shared" si="4"/>
        <v>14679510</v>
      </c>
      <c r="P16" s="111">
        <f t="shared" si="5"/>
        <v>30939660</v>
      </c>
    </row>
    <row r="17" spans="1:16" ht="12" customHeight="1" x14ac:dyDescent="0.15">
      <c r="A17" s="21" t="s">
        <v>59</v>
      </c>
      <c r="B17" s="123">
        <f>117600</f>
        <v>117600</v>
      </c>
      <c r="C17" s="123">
        <f>118200</f>
        <v>118200</v>
      </c>
      <c r="D17" s="123">
        <f>117600</f>
        <v>117600</v>
      </c>
      <c r="E17" s="123">
        <f>126000</f>
        <v>126000</v>
      </c>
      <c r="F17" s="123">
        <f>133800</f>
        <v>133800</v>
      </c>
      <c r="G17" s="123">
        <f>128700</f>
        <v>128700</v>
      </c>
      <c r="H17" s="111">
        <f t="shared" si="1"/>
        <v>741900</v>
      </c>
      <c r="I17" s="123">
        <f>126600</f>
        <v>126600</v>
      </c>
      <c r="J17" s="123">
        <f>126000</f>
        <v>126000</v>
      </c>
      <c r="K17" s="123">
        <f>123600</f>
        <v>123600</v>
      </c>
      <c r="L17" s="123">
        <f>100800</f>
        <v>100800</v>
      </c>
      <c r="M17" s="123">
        <f>85800</f>
        <v>85800</v>
      </c>
      <c r="N17" s="123">
        <f>91800+8400+7200</f>
        <v>107400</v>
      </c>
      <c r="O17" s="111">
        <f t="shared" si="4"/>
        <v>670200</v>
      </c>
      <c r="P17" s="111">
        <f t="shared" si="5"/>
        <v>1412100</v>
      </c>
    </row>
    <row r="18" spans="1:16" ht="12" customHeight="1" x14ac:dyDescent="0.15">
      <c r="A18" s="51" t="s">
        <v>245</v>
      </c>
      <c r="B18" s="111">
        <v>777480</v>
      </c>
      <c r="C18" s="111">
        <f t="shared" ref="C18:G19" si="8">C90-B90</f>
        <v>798130</v>
      </c>
      <c r="D18" s="111">
        <f t="shared" si="8"/>
        <v>767880</v>
      </c>
      <c r="E18" s="111">
        <f t="shared" si="8"/>
        <v>811790</v>
      </c>
      <c r="F18" s="111">
        <f t="shared" si="8"/>
        <v>808540</v>
      </c>
      <c r="G18" s="111">
        <f t="shared" si="8"/>
        <v>813270</v>
      </c>
      <c r="H18" s="111">
        <f t="shared" si="1"/>
        <v>4777090</v>
      </c>
      <c r="I18" s="111">
        <f>I90-G90</f>
        <v>834650</v>
      </c>
      <c r="J18" s="111">
        <f t="shared" ref="J18:N20" si="9">J90-I90</f>
        <v>777410</v>
      </c>
      <c r="K18" s="111">
        <f t="shared" si="9"/>
        <v>684540</v>
      </c>
      <c r="L18" s="111">
        <f t="shared" si="9"/>
        <v>664690</v>
      </c>
      <c r="M18" s="111">
        <f t="shared" si="9"/>
        <v>623150</v>
      </c>
      <c r="N18" s="111">
        <f t="shared" si="9"/>
        <v>732580</v>
      </c>
      <c r="O18" s="111">
        <f>SUM(I18:N18)</f>
        <v>4317020</v>
      </c>
      <c r="P18" s="111">
        <f t="shared" si="5"/>
        <v>9094110</v>
      </c>
    </row>
    <row r="19" spans="1:16" ht="12" customHeight="1" x14ac:dyDescent="0.15">
      <c r="A19" s="51" t="s">
        <v>366</v>
      </c>
      <c r="B19" s="111">
        <v>183690</v>
      </c>
      <c r="C19" s="111">
        <f t="shared" si="8"/>
        <v>188030</v>
      </c>
      <c r="D19" s="111">
        <f t="shared" si="8"/>
        <v>181790</v>
      </c>
      <c r="E19" s="111">
        <f t="shared" si="8"/>
        <v>192600</v>
      </c>
      <c r="F19" s="111">
        <f t="shared" si="8"/>
        <v>193410</v>
      </c>
      <c r="G19" s="111">
        <f t="shared" si="8"/>
        <v>192820</v>
      </c>
      <c r="H19" s="111">
        <f t="shared" si="1"/>
        <v>1132340</v>
      </c>
      <c r="I19" s="111">
        <f>I91-G91</f>
        <v>197150</v>
      </c>
      <c r="J19" s="111">
        <f t="shared" si="9"/>
        <v>185280</v>
      </c>
      <c r="K19" s="111">
        <f t="shared" si="9"/>
        <v>165960</v>
      </c>
      <c r="L19" s="111">
        <f t="shared" si="9"/>
        <v>157120</v>
      </c>
      <c r="M19" s="111">
        <f t="shared" si="9"/>
        <v>145070</v>
      </c>
      <c r="N19" s="111">
        <f t="shared" si="9"/>
        <v>172650</v>
      </c>
      <c r="O19" s="111">
        <f>SUM(I19:N19)</f>
        <v>1023230</v>
      </c>
      <c r="P19" s="111">
        <f t="shared" si="5"/>
        <v>2155570</v>
      </c>
    </row>
    <row r="20" spans="1:16" ht="12" customHeight="1" x14ac:dyDescent="0.15">
      <c r="A20" s="51" t="s">
        <v>423</v>
      </c>
      <c r="B20" s="111">
        <v>0</v>
      </c>
      <c r="C20" s="111">
        <f>C92-B92</f>
        <v>0</v>
      </c>
      <c r="D20" s="111">
        <f>D92-C92</f>
        <v>0</v>
      </c>
      <c r="E20" s="111">
        <f>E92-D92</f>
        <v>0</v>
      </c>
      <c r="F20" s="111">
        <f>F92-E92</f>
        <v>0</v>
      </c>
      <c r="G20" s="111">
        <f>G92-F92</f>
        <v>0</v>
      </c>
      <c r="H20" s="111">
        <f t="shared" si="1"/>
        <v>0</v>
      </c>
      <c r="I20" s="111">
        <f>I92-G92</f>
        <v>165400</v>
      </c>
      <c r="J20" s="111">
        <f t="shared" si="9"/>
        <v>154990</v>
      </c>
      <c r="K20" s="111">
        <f t="shared" si="9"/>
        <v>137460</v>
      </c>
      <c r="L20" s="111">
        <f t="shared" si="9"/>
        <v>132010</v>
      </c>
      <c r="M20" s="111">
        <f t="shared" si="9"/>
        <v>122930</v>
      </c>
      <c r="N20" s="111">
        <f t="shared" si="9"/>
        <v>145320</v>
      </c>
      <c r="O20" s="111">
        <f>SUM(I20:N20)</f>
        <v>858110</v>
      </c>
      <c r="P20" s="111">
        <f t="shared" si="5"/>
        <v>858110</v>
      </c>
    </row>
    <row r="21" spans="1:16" ht="12" customHeight="1" x14ac:dyDescent="0.15">
      <c r="A21" s="51" t="s">
        <v>338</v>
      </c>
      <c r="B21" s="123">
        <f>240340-33600</f>
        <v>206740</v>
      </c>
      <c r="C21" s="123">
        <f>470160-240340-33600</f>
        <v>196220</v>
      </c>
      <c r="D21" s="123">
        <f>715520-470160-35400</f>
        <v>209960</v>
      </c>
      <c r="E21" s="123">
        <f>932840-715520-21600</f>
        <v>195720</v>
      </c>
      <c r="F21" s="123">
        <f>1151880-932840-36600</f>
        <v>182440</v>
      </c>
      <c r="G21" s="123">
        <f>1373540-1151880-28800</f>
        <v>192860</v>
      </c>
      <c r="H21" s="111">
        <f t="shared" si="1"/>
        <v>1183940</v>
      </c>
      <c r="I21" s="123">
        <f>1566100-1373540-27000</f>
        <v>165560</v>
      </c>
      <c r="J21" s="123">
        <f>1766000-1566100-34200</f>
        <v>165700</v>
      </c>
      <c r="K21" s="123">
        <f>1969240-1766000-29400</f>
        <v>173840</v>
      </c>
      <c r="L21" s="123">
        <f>2163000-1969240-27000</f>
        <v>166760</v>
      </c>
      <c r="M21" s="123">
        <f>2366520-2163000-30600</f>
        <v>172920</v>
      </c>
      <c r="N21" s="123">
        <f>2568760-2366520-22200</f>
        <v>180040</v>
      </c>
      <c r="O21" s="111">
        <f>SUM(I21:N21)</f>
        <v>1024820</v>
      </c>
      <c r="P21" s="111">
        <f>H21+O21</f>
        <v>2208760</v>
      </c>
    </row>
    <row r="22" spans="1:16" ht="12" customHeight="1" x14ac:dyDescent="0.15">
      <c r="A22" s="21" t="s">
        <v>59</v>
      </c>
      <c r="B22" s="123">
        <f>33600</f>
        <v>33600</v>
      </c>
      <c r="C22" s="123">
        <f>33600</f>
        <v>33600</v>
      </c>
      <c r="D22" s="123">
        <f>35400</f>
        <v>35400</v>
      </c>
      <c r="E22" s="123">
        <f>21600</f>
        <v>21600</v>
      </c>
      <c r="F22" s="123">
        <f>36600</f>
        <v>36600</v>
      </c>
      <c r="G22" s="123">
        <f>28800</f>
        <v>28800</v>
      </c>
      <c r="H22" s="111">
        <f t="shared" si="1"/>
        <v>189600</v>
      </c>
      <c r="I22" s="123">
        <f>27000</f>
        <v>27000</v>
      </c>
      <c r="J22" s="123">
        <f>34200</f>
        <v>34200</v>
      </c>
      <c r="K22" s="123">
        <f>29400</f>
        <v>29400</v>
      </c>
      <c r="L22" s="123">
        <f>27000</f>
        <v>27000</v>
      </c>
      <c r="M22" s="123">
        <f>30600</f>
        <v>30600</v>
      </c>
      <c r="N22" s="123">
        <f>22200</f>
        <v>22200</v>
      </c>
      <c r="O22" s="111">
        <f>SUM(I22:N22)</f>
        <v>170400</v>
      </c>
      <c r="P22" s="111">
        <f>H22+O22</f>
        <v>360000</v>
      </c>
    </row>
    <row r="23" spans="1:16" ht="12" customHeight="1" x14ac:dyDescent="0.15">
      <c r="A23" s="47" t="s">
        <v>119</v>
      </c>
      <c r="B23" s="111">
        <v>92900</v>
      </c>
      <c r="C23" s="111">
        <f t="shared" ref="C23:G33" si="10">C95-B95</f>
        <v>92300</v>
      </c>
      <c r="D23" s="111">
        <f t="shared" si="10"/>
        <v>92300</v>
      </c>
      <c r="E23" s="111">
        <f t="shared" si="10"/>
        <v>70100</v>
      </c>
      <c r="F23" s="111">
        <f t="shared" si="10"/>
        <v>62400</v>
      </c>
      <c r="G23" s="111">
        <f t="shared" si="10"/>
        <v>83800</v>
      </c>
      <c r="H23" s="111">
        <f t="shared" si="1"/>
        <v>493800</v>
      </c>
      <c r="I23" s="111">
        <f>I95-G95</f>
        <v>76700</v>
      </c>
      <c r="J23" s="111">
        <f>J95-I95</f>
        <v>54600</v>
      </c>
      <c r="K23" s="111">
        <f>K95-J95</f>
        <v>53900</v>
      </c>
      <c r="L23" s="111">
        <f>L95-K95</f>
        <v>63500</v>
      </c>
      <c r="M23" s="111">
        <f>M95-L95</f>
        <v>61600</v>
      </c>
      <c r="N23" s="111">
        <f>N95-M95</f>
        <v>83800</v>
      </c>
      <c r="O23" s="111">
        <f t="shared" si="4"/>
        <v>394100</v>
      </c>
      <c r="P23" s="111">
        <f t="shared" si="5"/>
        <v>887900</v>
      </c>
    </row>
    <row r="24" spans="1:16" ht="12" customHeight="1" x14ac:dyDescent="0.15">
      <c r="A24" s="47" t="s">
        <v>97</v>
      </c>
      <c r="B24" s="111">
        <v>7000</v>
      </c>
      <c r="C24" s="111">
        <f t="shared" si="10"/>
        <v>14400</v>
      </c>
      <c r="D24" s="111">
        <f t="shared" si="10"/>
        <v>28500</v>
      </c>
      <c r="E24" s="111">
        <f t="shared" si="10"/>
        <v>14000</v>
      </c>
      <c r="F24" s="111">
        <f t="shared" si="10"/>
        <v>8000</v>
      </c>
      <c r="G24" s="111">
        <f t="shared" si="10"/>
        <v>8500</v>
      </c>
      <c r="H24" s="111">
        <f t="shared" si="1"/>
        <v>80400</v>
      </c>
      <c r="I24" s="111">
        <f t="shared" ref="I24:I33" si="11">I96-G96</f>
        <v>13000</v>
      </c>
      <c r="J24" s="111">
        <f t="shared" ref="J24:N33" si="12">J96-I96</f>
        <v>8000</v>
      </c>
      <c r="K24" s="111">
        <f t="shared" si="12"/>
        <v>10000</v>
      </c>
      <c r="L24" s="111">
        <f t="shared" si="12"/>
        <v>10700</v>
      </c>
      <c r="M24" s="111">
        <f t="shared" si="12"/>
        <v>7500</v>
      </c>
      <c r="N24" s="111">
        <f t="shared" si="12"/>
        <v>10000</v>
      </c>
      <c r="O24" s="111">
        <f t="shared" si="4"/>
        <v>59200</v>
      </c>
      <c r="P24" s="111">
        <f t="shared" si="5"/>
        <v>139600</v>
      </c>
    </row>
    <row r="25" spans="1:16" ht="12" customHeight="1" x14ac:dyDescent="0.15">
      <c r="A25" s="51" t="s">
        <v>407</v>
      </c>
      <c r="B25" s="111">
        <v>16200</v>
      </c>
      <c r="C25" s="111">
        <f t="shared" si="10"/>
        <v>20700</v>
      </c>
      <c r="D25" s="111">
        <f t="shared" si="10"/>
        <v>25100</v>
      </c>
      <c r="E25" s="111">
        <f t="shared" si="10"/>
        <v>17500</v>
      </c>
      <c r="F25" s="111">
        <f t="shared" si="10"/>
        <v>7200</v>
      </c>
      <c r="G25" s="111">
        <f t="shared" si="10"/>
        <v>16800</v>
      </c>
      <c r="H25" s="111">
        <f t="shared" si="1"/>
        <v>103500</v>
      </c>
      <c r="I25" s="111">
        <f t="shared" si="11"/>
        <v>10150</v>
      </c>
      <c r="J25" s="111">
        <f t="shared" si="12"/>
        <v>9200</v>
      </c>
      <c r="K25" s="111">
        <f t="shared" si="12"/>
        <v>12550</v>
      </c>
      <c r="L25" s="111">
        <f t="shared" si="12"/>
        <v>9550</v>
      </c>
      <c r="M25" s="111">
        <f t="shared" si="12"/>
        <v>26100</v>
      </c>
      <c r="N25" s="111">
        <f t="shared" si="12"/>
        <v>16450</v>
      </c>
      <c r="O25" s="111">
        <f t="shared" si="4"/>
        <v>84000</v>
      </c>
      <c r="P25" s="111">
        <f t="shared" si="5"/>
        <v>187500</v>
      </c>
    </row>
    <row r="26" spans="1:16" ht="12" customHeight="1" x14ac:dyDescent="0.15">
      <c r="A26" s="47" t="s">
        <v>249</v>
      </c>
      <c r="B26" s="111">
        <v>51200</v>
      </c>
      <c r="C26" s="111">
        <f t="shared" si="10"/>
        <v>81500</v>
      </c>
      <c r="D26" s="111">
        <f t="shared" si="10"/>
        <v>87100</v>
      </c>
      <c r="E26" s="111">
        <f t="shared" si="10"/>
        <v>71500</v>
      </c>
      <c r="F26" s="111">
        <f t="shared" si="10"/>
        <v>64300</v>
      </c>
      <c r="G26" s="111">
        <f t="shared" si="10"/>
        <v>77900</v>
      </c>
      <c r="H26" s="111">
        <f t="shared" si="1"/>
        <v>433500</v>
      </c>
      <c r="I26" s="111">
        <f t="shared" si="11"/>
        <v>77800</v>
      </c>
      <c r="J26" s="111">
        <f t="shared" si="12"/>
        <v>77900</v>
      </c>
      <c r="K26" s="111">
        <f t="shared" si="12"/>
        <v>64600</v>
      </c>
      <c r="L26" s="111">
        <f t="shared" si="12"/>
        <v>59100</v>
      </c>
      <c r="M26" s="111">
        <f t="shared" si="12"/>
        <v>72200</v>
      </c>
      <c r="N26" s="111">
        <f t="shared" si="12"/>
        <v>80500</v>
      </c>
      <c r="O26" s="111">
        <f t="shared" si="4"/>
        <v>432100</v>
      </c>
      <c r="P26" s="111">
        <f t="shared" si="5"/>
        <v>865600</v>
      </c>
    </row>
    <row r="27" spans="1:16" ht="12" customHeight="1" x14ac:dyDescent="0.15">
      <c r="A27" s="47" t="s">
        <v>406</v>
      </c>
      <c r="B27" s="111">
        <v>6500</v>
      </c>
      <c r="C27" s="111">
        <f t="shared" si="10"/>
        <v>6900</v>
      </c>
      <c r="D27" s="111">
        <f t="shared" si="10"/>
        <v>8000</v>
      </c>
      <c r="E27" s="111">
        <f t="shared" si="10"/>
        <v>18500</v>
      </c>
      <c r="F27" s="111">
        <f t="shared" si="10"/>
        <v>34500</v>
      </c>
      <c r="G27" s="111">
        <f t="shared" si="10"/>
        <v>8300</v>
      </c>
      <c r="H27" s="111">
        <f t="shared" si="1"/>
        <v>82700</v>
      </c>
      <c r="I27" s="111">
        <f t="shared" si="11"/>
        <v>14900</v>
      </c>
      <c r="J27" s="111">
        <f t="shared" si="12"/>
        <v>13600</v>
      </c>
      <c r="K27" s="111">
        <f t="shared" si="12"/>
        <v>9200</v>
      </c>
      <c r="L27" s="111">
        <f t="shared" si="12"/>
        <v>1800</v>
      </c>
      <c r="M27" s="111">
        <f t="shared" si="12"/>
        <v>2400</v>
      </c>
      <c r="N27" s="111">
        <f t="shared" si="12"/>
        <v>18400</v>
      </c>
      <c r="O27" s="111">
        <f t="shared" si="4"/>
        <v>60300</v>
      </c>
      <c r="P27" s="111">
        <f t="shared" si="5"/>
        <v>143000</v>
      </c>
    </row>
    <row r="28" spans="1:16" ht="12" customHeight="1" x14ac:dyDescent="0.15">
      <c r="A28" s="47" t="s">
        <v>303</v>
      </c>
      <c r="B28" s="111">
        <v>1600</v>
      </c>
      <c r="C28" s="111">
        <f t="shared" si="10"/>
        <v>0</v>
      </c>
      <c r="D28" s="111">
        <f t="shared" si="10"/>
        <v>0</v>
      </c>
      <c r="E28" s="111">
        <f t="shared" si="10"/>
        <v>3600</v>
      </c>
      <c r="F28" s="111">
        <f t="shared" si="10"/>
        <v>8500</v>
      </c>
      <c r="G28" s="111">
        <f t="shared" si="10"/>
        <v>0</v>
      </c>
      <c r="H28" s="111">
        <f t="shared" si="1"/>
        <v>13700</v>
      </c>
      <c r="I28" s="111">
        <f t="shared" si="11"/>
        <v>0</v>
      </c>
      <c r="J28" s="111">
        <f t="shared" si="12"/>
        <v>0</v>
      </c>
      <c r="K28" s="111">
        <f t="shared" si="12"/>
        <v>400</v>
      </c>
      <c r="L28" s="111">
        <f t="shared" si="12"/>
        <v>500</v>
      </c>
      <c r="M28" s="111">
        <f t="shared" si="12"/>
        <v>0</v>
      </c>
      <c r="N28" s="111">
        <f t="shared" si="12"/>
        <v>2200</v>
      </c>
      <c r="O28" s="111">
        <f t="shared" si="4"/>
        <v>3100</v>
      </c>
      <c r="P28" s="111">
        <f t="shared" si="5"/>
        <v>16800</v>
      </c>
    </row>
    <row r="29" spans="1:16" ht="12" customHeight="1" x14ac:dyDescent="0.15">
      <c r="A29" s="47" t="s">
        <v>251</v>
      </c>
      <c r="B29" s="111">
        <v>4500</v>
      </c>
      <c r="C29" s="111">
        <f t="shared" si="10"/>
        <v>6200</v>
      </c>
      <c r="D29" s="111">
        <f t="shared" si="10"/>
        <v>7300</v>
      </c>
      <c r="E29" s="111">
        <f t="shared" si="10"/>
        <v>8050</v>
      </c>
      <c r="F29" s="111">
        <f t="shared" si="10"/>
        <v>2800</v>
      </c>
      <c r="G29" s="111">
        <f t="shared" si="10"/>
        <v>6200</v>
      </c>
      <c r="H29" s="111">
        <f t="shared" si="1"/>
        <v>35050</v>
      </c>
      <c r="I29" s="111">
        <f t="shared" si="11"/>
        <v>3100</v>
      </c>
      <c r="J29" s="111">
        <f t="shared" si="12"/>
        <v>5150</v>
      </c>
      <c r="K29" s="111">
        <f t="shared" si="12"/>
        <v>2800</v>
      </c>
      <c r="L29" s="111">
        <f t="shared" si="12"/>
        <v>5000</v>
      </c>
      <c r="M29" s="111">
        <f t="shared" si="12"/>
        <v>1400</v>
      </c>
      <c r="N29" s="111">
        <f t="shared" si="12"/>
        <v>2300</v>
      </c>
      <c r="O29" s="111">
        <f>SUM(I29:N29)</f>
        <v>19750</v>
      </c>
      <c r="P29" s="111">
        <f>H29+O29</f>
        <v>54800</v>
      </c>
    </row>
    <row r="30" spans="1:16" ht="12" customHeight="1" x14ac:dyDescent="0.15">
      <c r="A30" s="21" t="s">
        <v>99</v>
      </c>
      <c r="B30" s="111">
        <v>0</v>
      </c>
      <c r="C30" s="111">
        <f t="shared" si="10"/>
        <v>2260000</v>
      </c>
      <c r="D30" s="111">
        <f t="shared" si="10"/>
        <v>1213000</v>
      </c>
      <c r="E30" s="111">
        <f t="shared" si="10"/>
        <v>1130000</v>
      </c>
      <c r="F30" s="111">
        <f t="shared" si="10"/>
        <v>1130000</v>
      </c>
      <c r="G30" s="111">
        <f t="shared" si="10"/>
        <v>1213000</v>
      </c>
      <c r="H30" s="111">
        <f t="shared" si="1"/>
        <v>6946000</v>
      </c>
      <c r="I30" s="111">
        <f t="shared" si="11"/>
        <v>1130000</v>
      </c>
      <c r="J30" s="111">
        <f t="shared" si="12"/>
        <v>1130000</v>
      </c>
      <c r="K30" s="111">
        <f t="shared" si="12"/>
        <v>1468000</v>
      </c>
      <c r="L30" s="111">
        <f t="shared" si="12"/>
        <v>1186000</v>
      </c>
      <c r="M30" s="111">
        <f t="shared" si="12"/>
        <v>1186000</v>
      </c>
      <c r="N30" s="111">
        <f t="shared" si="12"/>
        <v>1278700</v>
      </c>
      <c r="O30" s="111">
        <f t="shared" si="4"/>
        <v>7378700</v>
      </c>
      <c r="P30" s="111">
        <f t="shared" si="5"/>
        <v>14324700</v>
      </c>
    </row>
    <row r="31" spans="1:16" ht="12" customHeight="1" x14ac:dyDescent="0.15">
      <c r="A31" s="24" t="s">
        <v>11</v>
      </c>
      <c r="B31" s="114">
        <v>20000</v>
      </c>
      <c r="C31" s="114">
        <f t="shared" si="10"/>
        <v>10000</v>
      </c>
      <c r="D31" s="114">
        <f t="shared" si="10"/>
        <v>10000</v>
      </c>
      <c r="E31" s="114">
        <f t="shared" si="10"/>
        <v>0</v>
      </c>
      <c r="F31" s="114">
        <f t="shared" si="10"/>
        <v>0</v>
      </c>
      <c r="G31" s="114">
        <f t="shared" si="10"/>
        <v>30000</v>
      </c>
      <c r="H31" s="114">
        <f t="shared" si="1"/>
        <v>70000</v>
      </c>
      <c r="I31" s="111">
        <f t="shared" si="11"/>
        <v>2000</v>
      </c>
      <c r="J31" s="111">
        <f t="shared" si="12"/>
        <v>0</v>
      </c>
      <c r="K31" s="111">
        <f t="shared" si="12"/>
        <v>0</v>
      </c>
      <c r="L31" s="111">
        <f t="shared" si="12"/>
        <v>0</v>
      </c>
      <c r="M31" s="111">
        <f t="shared" si="12"/>
        <v>20000</v>
      </c>
      <c r="N31" s="111">
        <f t="shared" si="12"/>
        <v>20000</v>
      </c>
      <c r="O31" s="114">
        <f t="shared" si="4"/>
        <v>42000</v>
      </c>
      <c r="P31" s="114">
        <f t="shared" si="5"/>
        <v>112000</v>
      </c>
    </row>
    <row r="32" spans="1:16" ht="12" customHeight="1" x14ac:dyDescent="0.15">
      <c r="A32" s="24" t="s">
        <v>246</v>
      </c>
      <c r="B32" s="114">
        <v>0</v>
      </c>
      <c r="C32" s="114">
        <f t="shared" si="10"/>
        <v>171000</v>
      </c>
      <c r="D32" s="114">
        <f t="shared" si="10"/>
        <v>481980</v>
      </c>
      <c r="E32" s="114">
        <f t="shared" si="10"/>
        <v>251515</v>
      </c>
      <c r="F32" s="114">
        <f t="shared" si="10"/>
        <v>906822</v>
      </c>
      <c r="G32" s="114">
        <f t="shared" si="10"/>
        <v>155237</v>
      </c>
      <c r="H32" s="114">
        <f t="shared" si="1"/>
        <v>1966554</v>
      </c>
      <c r="I32" s="114">
        <f t="shared" si="11"/>
        <v>208698</v>
      </c>
      <c r="J32" s="114">
        <f t="shared" si="12"/>
        <v>155773</v>
      </c>
      <c r="K32" s="114">
        <f t="shared" si="12"/>
        <v>474050</v>
      </c>
      <c r="L32" s="114">
        <f t="shared" si="12"/>
        <v>0</v>
      </c>
      <c r="M32" s="114">
        <f t="shared" si="12"/>
        <v>676230</v>
      </c>
      <c r="N32" s="114">
        <f t="shared" si="12"/>
        <v>722072</v>
      </c>
      <c r="O32" s="114">
        <f t="shared" si="4"/>
        <v>2236823</v>
      </c>
      <c r="P32" s="114">
        <f t="shared" si="5"/>
        <v>4203377</v>
      </c>
    </row>
    <row r="33" spans="1:18" ht="12" customHeight="1" x14ac:dyDescent="0.15">
      <c r="A33" s="24" t="s">
        <v>12</v>
      </c>
      <c r="B33" s="114">
        <v>154990</v>
      </c>
      <c r="C33" s="114">
        <f t="shared" si="10"/>
        <v>45585</v>
      </c>
      <c r="D33" s="114">
        <f t="shared" si="10"/>
        <v>63732</v>
      </c>
      <c r="E33" s="114">
        <f t="shared" si="10"/>
        <v>58655</v>
      </c>
      <c r="F33" s="114">
        <f t="shared" si="10"/>
        <v>63220</v>
      </c>
      <c r="G33" s="114">
        <f t="shared" si="10"/>
        <v>59130</v>
      </c>
      <c r="H33" s="114">
        <f t="shared" si="1"/>
        <v>445312</v>
      </c>
      <c r="I33" s="114">
        <f t="shared" si="11"/>
        <v>59180</v>
      </c>
      <c r="J33" s="114">
        <f t="shared" si="12"/>
        <v>46755</v>
      </c>
      <c r="K33" s="114">
        <f t="shared" si="12"/>
        <v>47265</v>
      </c>
      <c r="L33" s="114">
        <f t="shared" si="12"/>
        <v>29820</v>
      </c>
      <c r="M33" s="114">
        <f t="shared" si="12"/>
        <v>37140</v>
      </c>
      <c r="N33" s="114">
        <f t="shared" si="12"/>
        <v>77221</v>
      </c>
      <c r="O33" s="114">
        <f t="shared" si="4"/>
        <v>297381</v>
      </c>
      <c r="P33" s="114">
        <f t="shared" si="5"/>
        <v>742693</v>
      </c>
    </row>
    <row r="34" spans="1:18" ht="12" customHeight="1" x14ac:dyDescent="0.15">
      <c r="A34" s="2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>
        <f t="shared" si="4"/>
        <v>0</v>
      </c>
      <c r="P34" s="114">
        <f t="shared" si="5"/>
        <v>0</v>
      </c>
    </row>
    <row r="35" spans="1:18" ht="12" customHeight="1" x14ac:dyDescent="0.15">
      <c r="A35" s="52" t="s">
        <v>13</v>
      </c>
      <c r="B35" s="114">
        <f t="shared" ref="B35:N35" si="13">B4+B8+B31+B32+B33</f>
        <v>16314300</v>
      </c>
      <c r="C35" s="114">
        <f t="shared" si="13"/>
        <v>19019685</v>
      </c>
      <c r="D35" s="114">
        <f t="shared" si="13"/>
        <v>17671662</v>
      </c>
      <c r="E35" s="114">
        <f t="shared" si="13"/>
        <v>17970590</v>
      </c>
      <c r="F35" s="114">
        <f t="shared" si="13"/>
        <v>18498832</v>
      </c>
      <c r="G35" s="114">
        <f t="shared" si="13"/>
        <v>18141107</v>
      </c>
      <c r="H35" s="114">
        <f t="shared" si="1"/>
        <v>107616176</v>
      </c>
      <c r="I35" s="114">
        <f>I4+I8+I31+I32+I33</f>
        <v>18674318</v>
      </c>
      <c r="J35" s="114">
        <f t="shared" si="13"/>
        <v>17510958</v>
      </c>
      <c r="K35" s="114">
        <f t="shared" si="13"/>
        <v>16148325</v>
      </c>
      <c r="L35" s="114">
        <f t="shared" si="13"/>
        <v>15479940</v>
      </c>
      <c r="M35" s="114">
        <f t="shared" si="13"/>
        <v>15541220</v>
      </c>
      <c r="N35" s="114">
        <f t="shared" si="13"/>
        <v>17435263</v>
      </c>
      <c r="O35" s="114">
        <f t="shared" si="4"/>
        <v>100790024</v>
      </c>
      <c r="P35" s="114">
        <f t="shared" si="5"/>
        <v>208406200</v>
      </c>
    </row>
    <row r="36" spans="1:18" ht="12" customHeight="1" x14ac:dyDescent="0.15">
      <c r="A36" s="23" t="s">
        <v>124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  <row r="37" spans="1:18" ht="12" customHeight="1" x14ac:dyDescent="0.15">
      <c r="A37" s="6" t="s">
        <v>15</v>
      </c>
      <c r="B37" s="111"/>
      <c r="C37" s="111"/>
      <c r="D37" s="111"/>
      <c r="E37" s="111"/>
      <c r="F37" s="111" t="s">
        <v>304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</row>
    <row r="38" spans="1:18" ht="12" customHeight="1" x14ac:dyDescent="0.15">
      <c r="A38" s="23" t="s">
        <v>16</v>
      </c>
      <c r="B38" s="114">
        <f t="shared" ref="B38:N38" si="14">SUM(B39:B43)</f>
        <v>13081115</v>
      </c>
      <c r="C38" s="114">
        <f t="shared" si="14"/>
        <v>12734217</v>
      </c>
      <c r="D38" s="114">
        <f t="shared" si="14"/>
        <v>12997063</v>
      </c>
      <c r="E38" s="114">
        <f t="shared" si="14"/>
        <v>21139123</v>
      </c>
      <c r="F38" s="114">
        <f t="shared" si="14"/>
        <v>14171839</v>
      </c>
      <c r="G38" s="114">
        <f t="shared" si="14"/>
        <v>12790658</v>
      </c>
      <c r="H38" s="114">
        <f t="shared" ref="H38:H75" si="15">SUM(B38:G38)</f>
        <v>86914015</v>
      </c>
      <c r="I38" s="114">
        <f>SUM(I39:I43)</f>
        <v>12411343</v>
      </c>
      <c r="J38" s="114">
        <f t="shared" si="14"/>
        <v>17490733</v>
      </c>
      <c r="K38" s="114">
        <f t="shared" si="14"/>
        <v>12300079</v>
      </c>
      <c r="L38" s="114">
        <f t="shared" si="14"/>
        <v>12785001</v>
      </c>
      <c r="M38" s="114">
        <f t="shared" si="14"/>
        <v>12306205</v>
      </c>
      <c r="N38" s="114">
        <f t="shared" si="14"/>
        <v>12357676</v>
      </c>
      <c r="O38" s="114">
        <f t="shared" si="4"/>
        <v>79651037</v>
      </c>
      <c r="P38" s="114">
        <f t="shared" si="5"/>
        <v>166565052</v>
      </c>
    </row>
    <row r="39" spans="1:18" ht="12" customHeight="1" x14ac:dyDescent="0.15">
      <c r="A39" s="6" t="s">
        <v>100</v>
      </c>
      <c r="B39" s="111">
        <v>200000</v>
      </c>
      <c r="C39" s="111">
        <f t="shared" ref="C39:G43" si="16">C108-B108</f>
        <v>200000</v>
      </c>
      <c r="D39" s="111">
        <f t="shared" si="16"/>
        <v>200000</v>
      </c>
      <c r="E39" s="111">
        <f t="shared" si="16"/>
        <v>420000</v>
      </c>
      <c r="F39" s="111">
        <f t="shared" si="16"/>
        <v>420000</v>
      </c>
      <c r="G39" s="111">
        <f>G108-F108</f>
        <v>420000</v>
      </c>
      <c r="H39" s="111">
        <f t="shared" si="15"/>
        <v>1860000</v>
      </c>
      <c r="I39" s="111">
        <f>I108-G108</f>
        <v>420000</v>
      </c>
      <c r="J39" s="111">
        <f t="shared" ref="J39:N43" si="17">J108-I108</f>
        <v>420000</v>
      </c>
      <c r="K39" s="111">
        <f t="shared" si="17"/>
        <v>420000</v>
      </c>
      <c r="L39" s="111">
        <f t="shared" si="17"/>
        <v>420000</v>
      </c>
      <c r="M39" s="111">
        <f t="shared" si="17"/>
        <v>420000</v>
      </c>
      <c r="N39" s="111">
        <f t="shared" si="17"/>
        <v>420000</v>
      </c>
      <c r="O39" s="111">
        <f t="shared" si="4"/>
        <v>2520000</v>
      </c>
      <c r="P39" s="111">
        <f t="shared" si="5"/>
        <v>4380000</v>
      </c>
    </row>
    <row r="40" spans="1:18" ht="12" customHeight="1" x14ac:dyDescent="0.15">
      <c r="A40" s="6" t="s">
        <v>101</v>
      </c>
      <c r="B40" s="111">
        <v>10082080</v>
      </c>
      <c r="C40" s="111">
        <f t="shared" si="16"/>
        <v>9908623</v>
      </c>
      <c r="D40" s="111">
        <f t="shared" si="16"/>
        <v>9835408</v>
      </c>
      <c r="E40" s="111">
        <f t="shared" si="16"/>
        <v>9649338</v>
      </c>
      <c r="F40" s="111">
        <f t="shared" si="16"/>
        <v>10100061</v>
      </c>
      <c r="G40" s="111">
        <f t="shared" si="16"/>
        <v>9716087</v>
      </c>
      <c r="H40" s="111">
        <f t="shared" si="15"/>
        <v>59291597</v>
      </c>
      <c r="I40" s="111">
        <f>I109-G109</f>
        <v>9186628</v>
      </c>
      <c r="J40" s="111">
        <f t="shared" si="17"/>
        <v>9318005</v>
      </c>
      <c r="K40" s="111">
        <f t="shared" si="17"/>
        <v>9240522</v>
      </c>
      <c r="L40" s="111">
        <f t="shared" si="17"/>
        <v>9040383</v>
      </c>
      <c r="M40" s="111">
        <f t="shared" si="17"/>
        <v>9232798</v>
      </c>
      <c r="N40" s="111">
        <f t="shared" si="17"/>
        <v>9384206</v>
      </c>
      <c r="O40" s="111">
        <f t="shared" si="4"/>
        <v>55402542</v>
      </c>
      <c r="P40" s="111">
        <f t="shared" si="5"/>
        <v>114694139</v>
      </c>
    </row>
    <row r="41" spans="1:18" ht="12" customHeight="1" x14ac:dyDescent="0.15">
      <c r="A41" s="6" t="s">
        <v>102</v>
      </c>
      <c r="B41" s="111">
        <v>1554250</v>
      </c>
      <c r="C41" s="111">
        <f t="shared" si="16"/>
        <v>1445850</v>
      </c>
      <c r="D41" s="111">
        <f t="shared" si="16"/>
        <v>1523225</v>
      </c>
      <c r="E41" s="111">
        <f t="shared" si="16"/>
        <v>1482050</v>
      </c>
      <c r="F41" s="111">
        <f t="shared" si="16"/>
        <v>1429510</v>
      </c>
      <c r="G41" s="111">
        <f t="shared" si="16"/>
        <v>1395385</v>
      </c>
      <c r="H41" s="111">
        <f t="shared" si="15"/>
        <v>8830270</v>
      </c>
      <c r="I41" s="111">
        <f>I110-G110</f>
        <v>1325695</v>
      </c>
      <c r="J41" s="111">
        <f t="shared" si="17"/>
        <v>1363080</v>
      </c>
      <c r="K41" s="111">
        <f t="shared" si="17"/>
        <v>1333250</v>
      </c>
      <c r="L41" s="111">
        <f t="shared" si="17"/>
        <v>1186450</v>
      </c>
      <c r="M41" s="111">
        <f t="shared" si="17"/>
        <v>1262230</v>
      </c>
      <c r="N41" s="111">
        <f t="shared" si="17"/>
        <v>1203850</v>
      </c>
      <c r="O41" s="111">
        <f t="shared" si="4"/>
        <v>7674555</v>
      </c>
      <c r="P41" s="111">
        <f t="shared" si="5"/>
        <v>16504825</v>
      </c>
    </row>
    <row r="42" spans="1:18" ht="12" customHeight="1" x14ac:dyDescent="0.15">
      <c r="A42" s="6" t="s">
        <v>19</v>
      </c>
      <c r="B42" s="111">
        <v>1244785</v>
      </c>
      <c r="C42" s="111">
        <f t="shared" si="16"/>
        <v>1179744</v>
      </c>
      <c r="D42" s="111">
        <f t="shared" si="16"/>
        <v>1438430</v>
      </c>
      <c r="E42" s="111">
        <f t="shared" si="16"/>
        <v>1241735</v>
      </c>
      <c r="F42" s="111">
        <f t="shared" si="16"/>
        <v>2222268</v>
      </c>
      <c r="G42" s="111">
        <f t="shared" si="16"/>
        <v>1259186</v>
      </c>
      <c r="H42" s="111">
        <f t="shared" si="15"/>
        <v>8586148</v>
      </c>
      <c r="I42" s="111">
        <f>I111-G111</f>
        <v>1479020</v>
      </c>
      <c r="J42" s="111">
        <f t="shared" si="17"/>
        <v>1349648</v>
      </c>
      <c r="K42" s="111">
        <f t="shared" si="17"/>
        <v>1306307</v>
      </c>
      <c r="L42" s="111">
        <f t="shared" si="17"/>
        <v>2138168</v>
      </c>
      <c r="M42" s="111">
        <f t="shared" si="17"/>
        <v>1391177</v>
      </c>
      <c r="N42" s="111">
        <f t="shared" si="17"/>
        <v>1349620</v>
      </c>
      <c r="O42" s="111">
        <f t="shared" si="4"/>
        <v>9013940</v>
      </c>
      <c r="P42" s="111">
        <f t="shared" si="5"/>
        <v>17600088</v>
      </c>
    </row>
    <row r="43" spans="1:18" ht="12" customHeight="1" x14ac:dyDescent="0.15">
      <c r="A43" s="6" t="s">
        <v>117</v>
      </c>
      <c r="B43" s="111"/>
      <c r="C43" s="111">
        <f t="shared" si="16"/>
        <v>0</v>
      </c>
      <c r="D43" s="111">
        <f t="shared" si="16"/>
        <v>0</v>
      </c>
      <c r="E43" s="111">
        <f t="shared" si="16"/>
        <v>8346000</v>
      </c>
      <c r="F43" s="111">
        <f t="shared" si="16"/>
        <v>0</v>
      </c>
      <c r="G43" s="111">
        <f t="shared" si="16"/>
        <v>0</v>
      </c>
      <c r="H43" s="111">
        <f t="shared" si="15"/>
        <v>8346000</v>
      </c>
      <c r="I43" s="111">
        <f>I112-G112</f>
        <v>0</v>
      </c>
      <c r="J43" s="111">
        <f t="shared" si="17"/>
        <v>5040000</v>
      </c>
      <c r="K43" s="111">
        <f t="shared" si="17"/>
        <v>0</v>
      </c>
      <c r="L43" s="111">
        <f t="shared" si="17"/>
        <v>0</v>
      </c>
      <c r="M43" s="111">
        <f t="shared" si="17"/>
        <v>0</v>
      </c>
      <c r="N43" s="111">
        <f t="shared" si="17"/>
        <v>0</v>
      </c>
      <c r="O43" s="111">
        <f t="shared" si="4"/>
        <v>5040000</v>
      </c>
      <c r="P43" s="111">
        <f t="shared" si="5"/>
        <v>13386000</v>
      </c>
    </row>
    <row r="44" spans="1:18" ht="12" customHeight="1" x14ac:dyDescent="0.15">
      <c r="A44" s="23" t="s">
        <v>20</v>
      </c>
      <c r="B44" s="114">
        <f>SUM(B45:B69)</f>
        <v>3871495</v>
      </c>
      <c r="C44" s="114">
        <f t="shared" ref="C44:N44" si="18">SUM(C45:C69)</f>
        <v>4870317</v>
      </c>
      <c r="D44" s="114">
        <f t="shared" si="18"/>
        <v>3413847</v>
      </c>
      <c r="E44" s="114">
        <f t="shared" si="18"/>
        <v>3334531</v>
      </c>
      <c r="F44" s="114">
        <f t="shared" si="18"/>
        <v>3826540</v>
      </c>
      <c r="G44" s="114">
        <f t="shared" si="18"/>
        <v>4518247</v>
      </c>
      <c r="H44" s="114">
        <f t="shared" si="15"/>
        <v>23834977</v>
      </c>
      <c r="I44" s="114">
        <f>SUM(I45:I69)</f>
        <v>3637332</v>
      </c>
      <c r="J44" s="114">
        <f t="shared" si="18"/>
        <v>3510403</v>
      </c>
      <c r="K44" s="114">
        <f t="shared" si="18"/>
        <v>3551298</v>
      </c>
      <c r="L44" s="114">
        <f t="shared" si="18"/>
        <v>3928914</v>
      </c>
      <c r="M44" s="114">
        <f t="shared" si="18"/>
        <v>3953323</v>
      </c>
      <c r="N44" s="114">
        <f t="shared" si="18"/>
        <v>4496079</v>
      </c>
      <c r="O44" s="114">
        <f t="shared" si="4"/>
        <v>23077349</v>
      </c>
      <c r="P44" s="114">
        <f t="shared" si="5"/>
        <v>46912326</v>
      </c>
    </row>
    <row r="45" spans="1:18" ht="12" customHeight="1" x14ac:dyDescent="0.15">
      <c r="A45" s="6" t="s">
        <v>21</v>
      </c>
      <c r="B45" s="111">
        <v>351529</v>
      </c>
      <c r="C45" s="111">
        <f t="shared" ref="C45:G69" si="19">C114-B114</f>
        <v>826000</v>
      </c>
      <c r="D45" s="111">
        <f t="shared" si="19"/>
        <v>313057</v>
      </c>
      <c r="E45" s="111">
        <f t="shared" si="19"/>
        <v>289000</v>
      </c>
      <c r="F45" s="111">
        <f t="shared" si="19"/>
        <v>319500</v>
      </c>
      <c r="G45" s="111">
        <f t="shared" si="19"/>
        <v>289500</v>
      </c>
      <c r="H45" s="111">
        <f t="shared" si="15"/>
        <v>2388586</v>
      </c>
      <c r="I45" s="111">
        <f>I114-G114</f>
        <v>325221</v>
      </c>
      <c r="J45" s="111">
        <f>J114-I114</f>
        <v>332000</v>
      </c>
      <c r="K45" s="111">
        <f>K114-J114</f>
        <v>358851</v>
      </c>
      <c r="L45" s="111">
        <f>L114-K114</f>
        <v>294000</v>
      </c>
      <c r="M45" s="111">
        <f>M114-L114</f>
        <v>492096</v>
      </c>
      <c r="N45" s="111">
        <f>N114-M114</f>
        <v>577915</v>
      </c>
      <c r="O45" s="111">
        <f t="shared" si="4"/>
        <v>2380083</v>
      </c>
      <c r="P45" s="111">
        <f t="shared" si="5"/>
        <v>4768669</v>
      </c>
    </row>
    <row r="46" spans="1:18" ht="12" customHeight="1" x14ac:dyDescent="0.15">
      <c r="A46" s="6" t="s">
        <v>22</v>
      </c>
      <c r="B46" s="111">
        <v>0</v>
      </c>
      <c r="C46" s="111">
        <f t="shared" si="19"/>
        <v>0</v>
      </c>
      <c r="D46" s="111">
        <f t="shared" si="19"/>
        <v>0</v>
      </c>
      <c r="E46" s="111">
        <f t="shared" si="19"/>
        <v>0</v>
      </c>
      <c r="F46" s="111">
        <f t="shared" si="19"/>
        <v>0</v>
      </c>
      <c r="G46" s="111">
        <f t="shared" si="19"/>
        <v>0</v>
      </c>
      <c r="H46" s="111">
        <f t="shared" si="15"/>
        <v>0</v>
      </c>
      <c r="I46" s="111">
        <f t="shared" ref="I46:I69" si="20">I115-G115</f>
        <v>0</v>
      </c>
      <c r="J46" s="111">
        <f t="shared" ref="J46:N69" si="21">J115-I115</f>
        <v>0</v>
      </c>
      <c r="K46" s="111">
        <f t="shared" si="21"/>
        <v>0</v>
      </c>
      <c r="L46" s="111">
        <f t="shared" si="21"/>
        <v>0</v>
      </c>
      <c r="M46" s="111">
        <f t="shared" si="21"/>
        <v>0</v>
      </c>
      <c r="N46" s="111">
        <f t="shared" si="21"/>
        <v>0</v>
      </c>
      <c r="O46" s="111">
        <f t="shared" si="4"/>
        <v>0</v>
      </c>
      <c r="P46" s="111">
        <f t="shared" si="5"/>
        <v>0</v>
      </c>
      <c r="R46" t="s">
        <v>304</v>
      </c>
    </row>
    <row r="47" spans="1:18" ht="12" customHeight="1" x14ac:dyDescent="0.15">
      <c r="A47" s="6" t="s">
        <v>103</v>
      </c>
      <c r="B47" s="111">
        <v>32062</v>
      </c>
      <c r="C47" s="111">
        <f t="shared" si="19"/>
        <v>229178</v>
      </c>
      <c r="D47" s="111">
        <f t="shared" si="19"/>
        <v>106230</v>
      </c>
      <c r="E47" s="111">
        <f t="shared" si="19"/>
        <v>62428</v>
      </c>
      <c r="F47" s="111">
        <f t="shared" si="19"/>
        <v>197757</v>
      </c>
      <c r="G47" s="111">
        <f t="shared" si="19"/>
        <v>115004</v>
      </c>
      <c r="H47" s="111">
        <f t="shared" si="15"/>
        <v>742659</v>
      </c>
      <c r="I47" s="111">
        <f t="shared" si="20"/>
        <v>116537</v>
      </c>
      <c r="J47" s="111">
        <f t="shared" si="21"/>
        <v>99312</v>
      </c>
      <c r="K47" s="111">
        <f t="shared" si="21"/>
        <v>25627</v>
      </c>
      <c r="L47" s="111">
        <f t="shared" si="21"/>
        <v>221325</v>
      </c>
      <c r="M47" s="111">
        <f t="shared" si="21"/>
        <v>104871</v>
      </c>
      <c r="N47" s="111">
        <f t="shared" si="21"/>
        <v>110926</v>
      </c>
      <c r="O47" s="111">
        <f t="shared" si="4"/>
        <v>678598</v>
      </c>
      <c r="P47" s="111">
        <f t="shared" si="5"/>
        <v>1421257</v>
      </c>
    </row>
    <row r="48" spans="1:18" ht="12" customHeight="1" x14ac:dyDescent="0.15">
      <c r="A48" s="6" t="s">
        <v>24</v>
      </c>
      <c r="B48" s="111">
        <v>23329</v>
      </c>
      <c r="C48" s="111">
        <f t="shared" si="19"/>
        <v>37088</v>
      </c>
      <c r="D48" s="111">
        <f t="shared" si="19"/>
        <v>17864</v>
      </c>
      <c r="E48" s="111">
        <f t="shared" si="19"/>
        <v>22224</v>
      </c>
      <c r="F48" s="111">
        <f t="shared" si="19"/>
        <v>12500</v>
      </c>
      <c r="G48" s="111">
        <f t="shared" si="19"/>
        <v>17024</v>
      </c>
      <c r="H48" s="111">
        <f t="shared" si="15"/>
        <v>130029</v>
      </c>
      <c r="I48" s="111">
        <f t="shared" si="20"/>
        <v>18318</v>
      </c>
      <c r="J48" s="111">
        <f t="shared" si="21"/>
        <v>39976</v>
      </c>
      <c r="K48" s="111">
        <f t="shared" si="21"/>
        <v>17808</v>
      </c>
      <c r="L48" s="111">
        <f t="shared" si="21"/>
        <v>22584</v>
      </c>
      <c r="M48" s="111">
        <f t="shared" si="21"/>
        <v>15067</v>
      </c>
      <c r="N48" s="111">
        <f t="shared" si="21"/>
        <v>23770</v>
      </c>
      <c r="O48" s="111">
        <f t="shared" si="4"/>
        <v>137523</v>
      </c>
      <c r="P48" s="111">
        <f t="shared" si="5"/>
        <v>267552</v>
      </c>
    </row>
    <row r="49" spans="1:16" ht="12" customHeight="1" x14ac:dyDescent="0.15">
      <c r="A49" s="26" t="s">
        <v>404</v>
      </c>
      <c r="B49" s="111">
        <v>73480</v>
      </c>
      <c r="C49" s="111">
        <f t="shared" si="19"/>
        <v>16400</v>
      </c>
      <c r="D49" s="111">
        <f t="shared" si="19"/>
        <v>68970</v>
      </c>
      <c r="E49" s="111">
        <f t="shared" si="19"/>
        <v>0</v>
      </c>
      <c r="F49" s="111">
        <f t="shared" si="19"/>
        <v>0</v>
      </c>
      <c r="G49" s="111">
        <f t="shared" si="19"/>
        <v>162449</v>
      </c>
      <c r="H49" s="111">
        <f t="shared" si="15"/>
        <v>321299</v>
      </c>
      <c r="I49" s="111">
        <f t="shared" si="20"/>
        <v>0</v>
      </c>
      <c r="J49" s="111">
        <f t="shared" si="21"/>
        <v>20350</v>
      </c>
      <c r="K49" s="111">
        <f t="shared" si="21"/>
        <v>0</v>
      </c>
      <c r="L49" s="111">
        <f t="shared" si="21"/>
        <v>8780</v>
      </c>
      <c r="M49" s="111">
        <f t="shared" si="21"/>
        <v>96602</v>
      </c>
      <c r="N49" s="111">
        <f t="shared" si="21"/>
        <v>58800</v>
      </c>
      <c r="O49" s="111">
        <f t="shared" si="4"/>
        <v>184532</v>
      </c>
      <c r="P49" s="111">
        <f t="shared" si="5"/>
        <v>505831</v>
      </c>
    </row>
    <row r="50" spans="1:16" ht="12" customHeight="1" x14ac:dyDescent="0.15">
      <c r="A50" s="6" t="s">
        <v>105</v>
      </c>
      <c r="B50" s="111"/>
      <c r="C50" s="111">
        <f t="shared" si="19"/>
        <v>36828</v>
      </c>
      <c r="D50" s="111">
        <f t="shared" si="19"/>
        <v>120510</v>
      </c>
      <c r="E50" s="111">
        <f t="shared" si="19"/>
        <v>0</v>
      </c>
      <c r="F50" s="111">
        <f t="shared" si="19"/>
        <v>0</v>
      </c>
      <c r="G50" s="111">
        <f t="shared" si="19"/>
        <v>0</v>
      </c>
      <c r="H50" s="111">
        <f t="shared" si="15"/>
        <v>157338</v>
      </c>
      <c r="I50" s="111">
        <f t="shared" si="20"/>
        <v>0</v>
      </c>
      <c r="J50" s="111">
        <f t="shared" si="21"/>
        <v>35000</v>
      </c>
      <c r="K50" s="111">
        <f t="shared" si="21"/>
        <v>0</v>
      </c>
      <c r="L50" s="111">
        <f t="shared" si="21"/>
        <v>0</v>
      </c>
      <c r="M50" s="111">
        <f t="shared" si="21"/>
        <v>0</v>
      </c>
      <c r="N50" s="111">
        <f t="shared" si="21"/>
        <v>0</v>
      </c>
      <c r="O50" s="111">
        <f t="shared" si="4"/>
        <v>35000</v>
      </c>
      <c r="P50" s="111">
        <f t="shared" si="5"/>
        <v>192338</v>
      </c>
    </row>
    <row r="51" spans="1:16" ht="12" customHeight="1" x14ac:dyDescent="0.15">
      <c r="A51" s="6" t="s">
        <v>106</v>
      </c>
      <c r="B51" s="111">
        <v>99141</v>
      </c>
      <c r="C51" s="111">
        <f t="shared" si="19"/>
        <v>112585</v>
      </c>
      <c r="D51" s="111">
        <f t="shared" si="19"/>
        <v>115061</v>
      </c>
      <c r="E51" s="111">
        <f t="shared" si="19"/>
        <v>119069</v>
      </c>
      <c r="F51" s="111">
        <f t="shared" si="19"/>
        <v>91004</v>
      </c>
      <c r="G51" s="111">
        <f t="shared" si="19"/>
        <v>112785</v>
      </c>
      <c r="H51" s="111">
        <f t="shared" si="15"/>
        <v>649645</v>
      </c>
      <c r="I51" s="111">
        <f t="shared" si="20"/>
        <v>84647</v>
      </c>
      <c r="J51" s="111">
        <f t="shared" si="21"/>
        <v>91668</v>
      </c>
      <c r="K51" s="111">
        <f t="shared" si="21"/>
        <v>118746</v>
      </c>
      <c r="L51" s="111">
        <f t="shared" si="21"/>
        <v>106358</v>
      </c>
      <c r="M51" s="111">
        <f t="shared" si="21"/>
        <v>94143</v>
      </c>
      <c r="N51" s="111">
        <f t="shared" si="21"/>
        <v>90677</v>
      </c>
      <c r="O51" s="111">
        <f t="shared" si="4"/>
        <v>586239</v>
      </c>
      <c r="P51" s="111">
        <f t="shared" si="5"/>
        <v>1235884</v>
      </c>
    </row>
    <row r="52" spans="1:16" ht="12" customHeight="1" x14ac:dyDescent="0.15">
      <c r="A52" s="6" t="s">
        <v>28</v>
      </c>
      <c r="B52" s="111">
        <v>40846</v>
      </c>
      <c r="C52" s="111">
        <f t="shared" si="19"/>
        <v>12146</v>
      </c>
      <c r="D52" s="111">
        <f t="shared" si="19"/>
        <v>27126</v>
      </c>
      <c r="E52" s="111">
        <f t="shared" si="19"/>
        <v>34894</v>
      </c>
      <c r="F52" s="111">
        <f t="shared" si="19"/>
        <v>24246</v>
      </c>
      <c r="G52" s="111">
        <f t="shared" si="19"/>
        <v>12146</v>
      </c>
      <c r="H52" s="111">
        <f t="shared" si="15"/>
        <v>151404</v>
      </c>
      <c r="I52" s="111">
        <f t="shared" si="20"/>
        <v>12146</v>
      </c>
      <c r="J52" s="111">
        <f t="shared" si="21"/>
        <v>34894</v>
      </c>
      <c r="K52" s="111">
        <f t="shared" si="21"/>
        <v>42106</v>
      </c>
      <c r="L52" s="111">
        <f t="shared" si="21"/>
        <v>11786</v>
      </c>
      <c r="M52" s="111">
        <f t="shared" si="21"/>
        <v>12146</v>
      </c>
      <c r="N52" s="111">
        <f t="shared" si="21"/>
        <v>12146</v>
      </c>
      <c r="O52" s="111">
        <f t="shared" si="4"/>
        <v>125224</v>
      </c>
      <c r="P52" s="111">
        <f t="shared" si="5"/>
        <v>276628</v>
      </c>
    </row>
    <row r="53" spans="1:16" ht="12" customHeight="1" x14ac:dyDescent="0.15">
      <c r="A53" s="6" t="s">
        <v>107</v>
      </c>
      <c r="B53" s="111">
        <v>0</v>
      </c>
      <c r="C53" s="111">
        <f t="shared" si="19"/>
        <v>59200</v>
      </c>
      <c r="D53" s="111">
        <f t="shared" si="19"/>
        <v>0</v>
      </c>
      <c r="E53" s="111">
        <f t="shared" si="19"/>
        <v>3000</v>
      </c>
      <c r="F53" s="111">
        <f t="shared" si="19"/>
        <v>26000</v>
      </c>
      <c r="G53" s="111">
        <f t="shared" si="19"/>
        <v>24450</v>
      </c>
      <c r="H53" s="111">
        <f t="shared" si="15"/>
        <v>112650</v>
      </c>
      <c r="I53" s="111">
        <f t="shared" si="20"/>
        <v>800</v>
      </c>
      <c r="J53" s="111">
        <f t="shared" si="21"/>
        <v>8350</v>
      </c>
      <c r="K53" s="111">
        <f t="shared" si="21"/>
        <v>400</v>
      </c>
      <c r="L53" s="111">
        <f t="shared" si="21"/>
        <v>0</v>
      </c>
      <c r="M53" s="111">
        <f t="shared" si="21"/>
        <v>0</v>
      </c>
      <c r="N53" s="111">
        <f t="shared" si="21"/>
        <v>15480</v>
      </c>
      <c r="O53" s="111">
        <f t="shared" si="4"/>
        <v>25030</v>
      </c>
      <c r="P53" s="111">
        <f t="shared" si="5"/>
        <v>137680</v>
      </c>
    </row>
    <row r="54" spans="1:16" ht="12" customHeight="1" x14ac:dyDescent="0.15">
      <c r="A54" s="6" t="s">
        <v>27</v>
      </c>
      <c r="B54" s="111">
        <v>0</v>
      </c>
      <c r="C54" s="111">
        <f t="shared" si="19"/>
        <v>0</v>
      </c>
      <c r="D54" s="111">
        <f t="shared" si="19"/>
        <v>17600</v>
      </c>
      <c r="E54" s="111">
        <f t="shared" si="19"/>
        <v>8800</v>
      </c>
      <c r="F54" s="111">
        <f t="shared" si="19"/>
        <v>0</v>
      </c>
      <c r="G54" s="111">
        <f t="shared" si="19"/>
        <v>0</v>
      </c>
      <c r="H54" s="111">
        <f t="shared" si="15"/>
        <v>26400</v>
      </c>
      <c r="I54" s="111">
        <f t="shared" si="20"/>
        <v>44000</v>
      </c>
      <c r="J54" s="111">
        <f t="shared" si="21"/>
        <v>3960</v>
      </c>
      <c r="K54" s="111">
        <f t="shared" si="21"/>
        <v>0</v>
      </c>
      <c r="L54" s="111">
        <f t="shared" si="21"/>
        <v>11000</v>
      </c>
      <c r="M54" s="111">
        <f t="shared" si="21"/>
        <v>11000</v>
      </c>
      <c r="N54" s="111">
        <f t="shared" si="21"/>
        <v>0</v>
      </c>
      <c r="O54" s="111">
        <f t="shared" si="4"/>
        <v>69960</v>
      </c>
      <c r="P54" s="111">
        <f t="shared" si="5"/>
        <v>96360</v>
      </c>
    </row>
    <row r="55" spans="1:16" ht="12" customHeight="1" x14ac:dyDescent="0.15">
      <c r="A55" s="6" t="s">
        <v>32</v>
      </c>
      <c r="B55" s="111">
        <v>657186</v>
      </c>
      <c r="C55" s="111">
        <f t="shared" si="19"/>
        <v>682543</v>
      </c>
      <c r="D55" s="111">
        <f t="shared" si="19"/>
        <v>514544</v>
      </c>
      <c r="E55" s="111">
        <f t="shared" si="19"/>
        <v>379360</v>
      </c>
      <c r="F55" s="111">
        <f t="shared" si="19"/>
        <v>603387</v>
      </c>
      <c r="G55" s="111">
        <f t="shared" si="19"/>
        <v>534238</v>
      </c>
      <c r="H55" s="111">
        <f t="shared" si="15"/>
        <v>3371258</v>
      </c>
      <c r="I55" s="111">
        <f t="shared" si="20"/>
        <v>570691</v>
      </c>
      <c r="J55" s="111">
        <f t="shared" si="21"/>
        <v>492563</v>
      </c>
      <c r="K55" s="111">
        <f t="shared" si="21"/>
        <v>623544</v>
      </c>
      <c r="L55" s="111">
        <f t="shared" si="21"/>
        <v>727603</v>
      </c>
      <c r="M55" s="111">
        <f t="shared" si="21"/>
        <v>930693</v>
      </c>
      <c r="N55" s="111">
        <f t="shared" si="21"/>
        <v>864536</v>
      </c>
      <c r="O55" s="111">
        <f t="shared" si="4"/>
        <v>4209630</v>
      </c>
      <c r="P55" s="111">
        <f t="shared" si="5"/>
        <v>7580888</v>
      </c>
    </row>
    <row r="56" spans="1:16" ht="12" customHeight="1" x14ac:dyDescent="0.15">
      <c r="A56" s="6" t="s">
        <v>405</v>
      </c>
      <c r="B56" s="111">
        <v>10000</v>
      </c>
      <c r="C56" s="111">
        <f t="shared" si="19"/>
        <v>2000</v>
      </c>
      <c r="D56" s="111">
        <f t="shared" si="19"/>
        <v>0</v>
      </c>
      <c r="E56" s="111">
        <f t="shared" si="19"/>
        <v>3000</v>
      </c>
      <c r="F56" s="111">
        <f t="shared" si="19"/>
        <v>9760</v>
      </c>
      <c r="G56" s="111">
        <f t="shared" si="19"/>
        <v>14000</v>
      </c>
      <c r="H56" s="111">
        <f t="shared" si="15"/>
        <v>38760</v>
      </c>
      <c r="I56" s="111">
        <f t="shared" si="20"/>
        <v>6000</v>
      </c>
      <c r="J56" s="111">
        <f t="shared" si="21"/>
        <v>7200</v>
      </c>
      <c r="K56" s="111">
        <f t="shared" si="21"/>
        <v>8000</v>
      </c>
      <c r="L56" s="111">
        <f t="shared" si="21"/>
        <v>19200</v>
      </c>
      <c r="M56" s="111">
        <f t="shared" si="21"/>
        <v>20000</v>
      </c>
      <c r="N56" s="111">
        <f t="shared" si="21"/>
        <v>8000</v>
      </c>
      <c r="O56" s="111">
        <f t="shared" si="4"/>
        <v>68400</v>
      </c>
      <c r="P56" s="111">
        <f t="shared" si="5"/>
        <v>107160</v>
      </c>
    </row>
    <row r="57" spans="1:16" ht="12" customHeight="1" x14ac:dyDescent="0.15">
      <c r="A57" s="6" t="s">
        <v>34</v>
      </c>
      <c r="B57" s="111">
        <v>8100</v>
      </c>
      <c r="C57" s="111">
        <f t="shared" si="19"/>
        <v>0</v>
      </c>
      <c r="D57" s="111">
        <f t="shared" si="19"/>
        <v>3000</v>
      </c>
      <c r="E57" s="111">
        <f t="shared" si="19"/>
        <v>44000</v>
      </c>
      <c r="F57" s="111">
        <f t="shared" si="19"/>
        <v>5350</v>
      </c>
      <c r="G57" s="111">
        <f t="shared" si="19"/>
        <v>4000</v>
      </c>
      <c r="H57" s="111">
        <f t="shared" si="15"/>
        <v>64450</v>
      </c>
      <c r="I57" s="111">
        <f t="shared" si="20"/>
        <v>0</v>
      </c>
      <c r="J57" s="111">
        <f t="shared" si="21"/>
        <v>3000</v>
      </c>
      <c r="K57" s="111">
        <f t="shared" si="21"/>
        <v>0</v>
      </c>
      <c r="L57" s="111">
        <f t="shared" si="21"/>
        <v>0</v>
      </c>
      <c r="M57" s="111">
        <f t="shared" si="21"/>
        <v>0</v>
      </c>
      <c r="N57" s="111">
        <f t="shared" si="21"/>
        <v>20000</v>
      </c>
      <c r="O57" s="111">
        <f t="shared" si="4"/>
        <v>23000</v>
      </c>
      <c r="P57" s="111">
        <f t="shared" si="5"/>
        <v>87450</v>
      </c>
    </row>
    <row r="58" spans="1:16" ht="12" customHeight="1" x14ac:dyDescent="0.15">
      <c r="A58" s="6" t="s">
        <v>109</v>
      </c>
      <c r="B58" s="111">
        <v>441618</v>
      </c>
      <c r="C58" s="111">
        <f t="shared" si="19"/>
        <v>483380</v>
      </c>
      <c r="D58" s="111">
        <f t="shared" si="19"/>
        <v>554461</v>
      </c>
      <c r="E58" s="111">
        <f t="shared" si="19"/>
        <v>528481</v>
      </c>
      <c r="F58" s="111">
        <f t="shared" si="19"/>
        <v>614841</v>
      </c>
      <c r="G58" s="111">
        <f t="shared" si="19"/>
        <v>953304</v>
      </c>
      <c r="H58" s="111">
        <f t="shared" si="15"/>
        <v>3576085</v>
      </c>
      <c r="I58" s="111">
        <f t="shared" si="20"/>
        <v>559242</v>
      </c>
      <c r="J58" s="111">
        <f t="shared" si="21"/>
        <v>587123</v>
      </c>
      <c r="K58" s="111">
        <f t="shared" si="21"/>
        <v>578898</v>
      </c>
      <c r="L58" s="111">
        <f t="shared" si="21"/>
        <v>498527</v>
      </c>
      <c r="M58" s="111">
        <f t="shared" si="21"/>
        <v>477907</v>
      </c>
      <c r="N58" s="111">
        <f t="shared" si="21"/>
        <v>539220</v>
      </c>
      <c r="O58" s="111">
        <f t="shared" si="4"/>
        <v>3240917</v>
      </c>
      <c r="P58" s="111">
        <f t="shared" si="5"/>
        <v>6817002</v>
      </c>
    </row>
    <row r="59" spans="1:16" ht="12" customHeight="1" x14ac:dyDescent="0.15">
      <c r="A59" s="6" t="s">
        <v>35</v>
      </c>
      <c r="B59" s="111">
        <v>12569</v>
      </c>
      <c r="C59" s="111">
        <f t="shared" si="19"/>
        <v>27794</v>
      </c>
      <c r="D59" s="111">
        <f t="shared" si="19"/>
        <v>5280</v>
      </c>
      <c r="E59" s="111">
        <f t="shared" si="19"/>
        <v>12232</v>
      </c>
      <c r="F59" s="111">
        <f t="shared" si="19"/>
        <v>5097</v>
      </c>
      <c r="G59" s="111">
        <f t="shared" si="19"/>
        <v>81747</v>
      </c>
      <c r="H59" s="111">
        <f t="shared" si="15"/>
        <v>144719</v>
      </c>
      <c r="I59" s="111">
        <f t="shared" si="20"/>
        <v>2500</v>
      </c>
      <c r="J59" s="111">
        <f t="shared" si="21"/>
        <v>12780</v>
      </c>
      <c r="K59" s="111">
        <f t="shared" si="21"/>
        <v>15973</v>
      </c>
      <c r="L59" s="111">
        <f t="shared" si="21"/>
        <v>4040</v>
      </c>
      <c r="M59" s="111">
        <f t="shared" si="21"/>
        <v>11520</v>
      </c>
      <c r="N59" s="111">
        <f t="shared" si="21"/>
        <v>10675</v>
      </c>
      <c r="O59" s="111">
        <f t="shared" si="4"/>
        <v>57488</v>
      </c>
      <c r="P59" s="111">
        <f t="shared" si="5"/>
        <v>202207</v>
      </c>
    </row>
    <row r="60" spans="1:16" ht="12" customHeight="1" x14ac:dyDescent="0.15">
      <c r="A60" s="6" t="s">
        <v>110</v>
      </c>
      <c r="B60" s="111">
        <v>84330</v>
      </c>
      <c r="C60" s="111">
        <f t="shared" si="19"/>
        <v>156840</v>
      </c>
      <c r="D60" s="111">
        <f t="shared" si="19"/>
        <v>0</v>
      </c>
      <c r="E60" s="111">
        <f t="shared" si="19"/>
        <v>0</v>
      </c>
      <c r="F60" s="111">
        <f t="shared" si="19"/>
        <v>0</v>
      </c>
      <c r="G60" s="111">
        <f t="shared" si="19"/>
        <v>23280</v>
      </c>
      <c r="H60" s="111">
        <f t="shared" si="15"/>
        <v>264450</v>
      </c>
      <c r="I60" s="111">
        <f t="shared" si="20"/>
        <v>52000</v>
      </c>
      <c r="J60" s="111">
        <f t="shared" si="21"/>
        <v>0</v>
      </c>
      <c r="K60" s="111">
        <f t="shared" si="21"/>
        <v>0</v>
      </c>
      <c r="L60" s="111">
        <f t="shared" si="21"/>
        <v>485520</v>
      </c>
      <c r="M60" s="111">
        <f t="shared" si="21"/>
        <v>0</v>
      </c>
      <c r="N60" s="111">
        <f t="shared" si="21"/>
        <v>36180</v>
      </c>
      <c r="O60" s="111">
        <f t="shared" si="4"/>
        <v>573700</v>
      </c>
      <c r="P60" s="111">
        <f t="shared" si="5"/>
        <v>838150</v>
      </c>
    </row>
    <row r="61" spans="1:16" ht="12" customHeight="1" x14ac:dyDescent="0.15">
      <c r="A61" s="6" t="s">
        <v>111</v>
      </c>
      <c r="B61" s="111">
        <v>457011</v>
      </c>
      <c r="C61" s="111">
        <f t="shared" si="19"/>
        <v>709652</v>
      </c>
      <c r="D61" s="111">
        <f t="shared" si="19"/>
        <v>309632</v>
      </c>
      <c r="E61" s="111">
        <f t="shared" si="19"/>
        <v>368125</v>
      </c>
      <c r="F61" s="111">
        <f t="shared" si="19"/>
        <v>563601</v>
      </c>
      <c r="G61" s="111">
        <f t="shared" si="19"/>
        <v>516660</v>
      </c>
      <c r="H61" s="111">
        <f t="shared" si="15"/>
        <v>2924681</v>
      </c>
      <c r="I61" s="111">
        <f t="shared" si="20"/>
        <v>398897</v>
      </c>
      <c r="J61" s="111">
        <f t="shared" si="21"/>
        <v>313463</v>
      </c>
      <c r="K61" s="111">
        <f t="shared" si="21"/>
        <v>348616</v>
      </c>
      <c r="L61" s="111">
        <f t="shared" si="21"/>
        <v>467609</v>
      </c>
      <c r="M61" s="111">
        <f t="shared" si="21"/>
        <v>247721</v>
      </c>
      <c r="N61" s="111">
        <f t="shared" si="21"/>
        <v>672681</v>
      </c>
      <c r="O61" s="111">
        <f t="shared" si="4"/>
        <v>2448987</v>
      </c>
      <c r="P61" s="111">
        <f t="shared" si="5"/>
        <v>5373668</v>
      </c>
    </row>
    <row r="62" spans="1:16" ht="12" customHeight="1" x14ac:dyDescent="0.15">
      <c r="A62" s="6" t="s">
        <v>112</v>
      </c>
      <c r="B62" s="111">
        <v>239624</v>
      </c>
      <c r="C62" s="111">
        <f t="shared" si="19"/>
        <v>0</v>
      </c>
      <c r="D62" s="111">
        <f t="shared" si="19"/>
        <v>0</v>
      </c>
      <c r="E62" s="111">
        <f t="shared" si="19"/>
        <v>11000</v>
      </c>
      <c r="F62" s="111">
        <f t="shared" si="19"/>
        <v>0</v>
      </c>
      <c r="G62" s="111">
        <f t="shared" si="19"/>
        <v>0</v>
      </c>
      <c r="H62" s="111">
        <f t="shared" si="15"/>
        <v>250624</v>
      </c>
      <c r="I62" s="111">
        <f t="shared" si="20"/>
        <v>13959</v>
      </c>
      <c r="J62" s="111">
        <f t="shared" si="21"/>
        <v>8030</v>
      </c>
      <c r="K62" s="111">
        <f t="shared" si="21"/>
        <v>0</v>
      </c>
      <c r="L62" s="111">
        <f t="shared" si="21"/>
        <v>0</v>
      </c>
      <c r="M62" s="111">
        <f t="shared" si="21"/>
        <v>0</v>
      </c>
      <c r="N62" s="111">
        <f t="shared" si="21"/>
        <v>0</v>
      </c>
      <c r="O62" s="111">
        <f t="shared" si="4"/>
        <v>21989</v>
      </c>
      <c r="P62" s="111">
        <f t="shared" si="5"/>
        <v>272613</v>
      </c>
    </row>
    <row r="63" spans="1:16" ht="12" customHeight="1" x14ac:dyDescent="0.15">
      <c r="A63" s="6" t="s">
        <v>113</v>
      </c>
      <c r="B63" s="111">
        <v>311418</v>
      </c>
      <c r="C63" s="111">
        <f t="shared" si="19"/>
        <v>274910</v>
      </c>
      <c r="D63" s="111">
        <f t="shared" si="19"/>
        <v>333528</v>
      </c>
      <c r="E63" s="111">
        <f t="shared" si="19"/>
        <v>310208</v>
      </c>
      <c r="F63" s="111">
        <f t="shared" si="19"/>
        <v>369508</v>
      </c>
      <c r="G63" s="111">
        <f t="shared" si="19"/>
        <v>468068</v>
      </c>
      <c r="H63" s="111">
        <f t="shared" si="15"/>
        <v>2067640</v>
      </c>
      <c r="I63" s="111">
        <f t="shared" si="20"/>
        <v>414299</v>
      </c>
      <c r="J63" s="111">
        <f t="shared" si="21"/>
        <v>355308</v>
      </c>
      <c r="K63" s="111">
        <f t="shared" si="21"/>
        <v>350908</v>
      </c>
      <c r="L63" s="111">
        <f t="shared" si="21"/>
        <v>344308</v>
      </c>
      <c r="M63" s="111">
        <f t="shared" si="21"/>
        <v>344308</v>
      </c>
      <c r="N63" s="111">
        <f t="shared" si="21"/>
        <v>363008</v>
      </c>
      <c r="O63" s="111">
        <f t="shared" si="4"/>
        <v>2172139</v>
      </c>
      <c r="P63" s="111">
        <f t="shared" si="5"/>
        <v>4239779</v>
      </c>
    </row>
    <row r="64" spans="1:16" ht="12" customHeight="1" x14ac:dyDescent="0.15">
      <c r="A64" s="6" t="s">
        <v>121</v>
      </c>
      <c r="B64" s="111">
        <v>295000</v>
      </c>
      <c r="C64" s="111">
        <f t="shared" si="19"/>
        <v>415000</v>
      </c>
      <c r="D64" s="111">
        <f t="shared" si="19"/>
        <v>295000</v>
      </c>
      <c r="E64" s="111">
        <f t="shared" si="19"/>
        <v>295000</v>
      </c>
      <c r="F64" s="111">
        <f t="shared" si="19"/>
        <v>345000</v>
      </c>
      <c r="G64" s="111">
        <f t="shared" si="19"/>
        <v>345000</v>
      </c>
      <c r="H64" s="111">
        <f t="shared" si="15"/>
        <v>1990000</v>
      </c>
      <c r="I64" s="111">
        <f t="shared" si="20"/>
        <v>345000</v>
      </c>
      <c r="J64" s="111">
        <f t="shared" si="21"/>
        <v>345000</v>
      </c>
      <c r="K64" s="111">
        <f t="shared" si="21"/>
        <v>345000</v>
      </c>
      <c r="L64" s="111">
        <f t="shared" si="21"/>
        <v>345000</v>
      </c>
      <c r="M64" s="111">
        <f t="shared" si="21"/>
        <v>345000</v>
      </c>
      <c r="N64" s="111">
        <f t="shared" si="21"/>
        <v>345000</v>
      </c>
      <c r="O64" s="111">
        <f t="shared" si="4"/>
        <v>2070000</v>
      </c>
      <c r="P64" s="111">
        <f t="shared" si="5"/>
        <v>4060000</v>
      </c>
    </row>
    <row r="65" spans="1:18" ht="12" customHeight="1" x14ac:dyDescent="0.15">
      <c r="A65" s="6" t="s">
        <v>122</v>
      </c>
      <c r="B65" s="111">
        <v>0</v>
      </c>
      <c r="C65" s="111">
        <f t="shared" si="19"/>
        <v>359400</v>
      </c>
      <c r="D65" s="111">
        <f t="shared" si="19"/>
        <v>12900</v>
      </c>
      <c r="E65" s="111">
        <f t="shared" si="19"/>
        <v>4500</v>
      </c>
      <c r="F65" s="111">
        <f t="shared" si="19"/>
        <v>55957</v>
      </c>
      <c r="G65" s="111">
        <f t="shared" si="19"/>
        <v>0</v>
      </c>
      <c r="H65" s="111">
        <f t="shared" si="15"/>
        <v>432757</v>
      </c>
      <c r="I65" s="111">
        <f t="shared" si="20"/>
        <v>0</v>
      </c>
      <c r="J65" s="111">
        <f t="shared" si="21"/>
        <v>450</v>
      </c>
      <c r="K65" s="111">
        <f t="shared" si="21"/>
        <v>51000</v>
      </c>
      <c r="L65" s="111">
        <f t="shared" si="21"/>
        <v>1200</v>
      </c>
      <c r="M65" s="111">
        <f t="shared" si="21"/>
        <v>51954</v>
      </c>
      <c r="N65" s="111">
        <f t="shared" si="21"/>
        <v>0</v>
      </c>
      <c r="O65" s="111">
        <f t="shared" si="4"/>
        <v>104604</v>
      </c>
      <c r="P65" s="111">
        <f t="shared" si="5"/>
        <v>537361</v>
      </c>
    </row>
    <row r="66" spans="1:18" ht="12" customHeight="1" x14ac:dyDescent="0.15">
      <c r="A66" s="6" t="s">
        <v>37</v>
      </c>
      <c r="B66" s="111">
        <v>62040</v>
      </c>
      <c r="C66" s="111">
        <f t="shared" si="19"/>
        <v>109530</v>
      </c>
      <c r="D66" s="111">
        <f t="shared" si="19"/>
        <v>208197</v>
      </c>
      <c r="E66" s="111">
        <f t="shared" si="19"/>
        <v>147180</v>
      </c>
      <c r="F66" s="111">
        <f t="shared" si="19"/>
        <v>122529</v>
      </c>
      <c r="G66" s="111">
        <f t="shared" si="19"/>
        <v>518617</v>
      </c>
      <c r="H66" s="111">
        <f t="shared" si="15"/>
        <v>1168093</v>
      </c>
      <c r="I66" s="111">
        <f t="shared" si="20"/>
        <v>64097</v>
      </c>
      <c r="J66" s="111">
        <f t="shared" si="21"/>
        <v>118272</v>
      </c>
      <c r="K66" s="111">
        <f t="shared" si="21"/>
        <v>204110</v>
      </c>
      <c r="L66" s="111">
        <f t="shared" si="21"/>
        <v>56689</v>
      </c>
      <c r="M66" s="111">
        <f t="shared" si="21"/>
        <v>64388</v>
      </c>
      <c r="N66" s="111">
        <f t="shared" si="21"/>
        <v>198863</v>
      </c>
      <c r="O66" s="111">
        <f t="shared" si="4"/>
        <v>706419</v>
      </c>
      <c r="P66" s="111">
        <f t="shared" si="5"/>
        <v>1874512</v>
      </c>
    </row>
    <row r="67" spans="1:18" ht="12" customHeight="1" x14ac:dyDescent="0.15">
      <c r="A67" s="6" t="s">
        <v>114</v>
      </c>
      <c r="B67" s="111">
        <v>0</v>
      </c>
      <c r="C67" s="111">
        <f t="shared" si="19"/>
        <v>0</v>
      </c>
      <c r="D67" s="111">
        <f t="shared" si="19"/>
        <v>0</v>
      </c>
      <c r="E67" s="111">
        <f t="shared" si="19"/>
        <v>5170</v>
      </c>
      <c r="F67" s="111">
        <f t="shared" si="19"/>
        <v>0</v>
      </c>
      <c r="G67" s="111">
        <f t="shared" si="19"/>
        <v>6891</v>
      </c>
      <c r="H67" s="111">
        <f t="shared" si="15"/>
        <v>12061</v>
      </c>
      <c r="I67" s="111">
        <f t="shared" si="20"/>
        <v>1100</v>
      </c>
      <c r="J67" s="111">
        <f t="shared" si="21"/>
        <v>0</v>
      </c>
      <c r="K67" s="111">
        <f t="shared" si="21"/>
        <v>0</v>
      </c>
      <c r="L67" s="111">
        <f t="shared" si="21"/>
        <v>8785</v>
      </c>
      <c r="M67" s="111">
        <f t="shared" si="21"/>
        <v>0</v>
      </c>
      <c r="N67" s="111">
        <f t="shared" si="21"/>
        <v>0</v>
      </c>
      <c r="O67" s="111">
        <f t="shared" si="4"/>
        <v>9885</v>
      </c>
      <c r="P67" s="111">
        <f t="shared" si="5"/>
        <v>21946</v>
      </c>
    </row>
    <row r="68" spans="1:18" ht="12" customHeight="1" x14ac:dyDescent="0.15">
      <c r="A68" s="53" t="s">
        <v>115</v>
      </c>
      <c r="B68" s="111">
        <v>672212</v>
      </c>
      <c r="C68" s="111">
        <f t="shared" si="19"/>
        <v>319843</v>
      </c>
      <c r="D68" s="111">
        <f t="shared" si="19"/>
        <v>390887</v>
      </c>
      <c r="E68" s="111">
        <f t="shared" si="19"/>
        <v>686860</v>
      </c>
      <c r="F68" s="111">
        <f t="shared" si="19"/>
        <v>460503</v>
      </c>
      <c r="G68" s="111">
        <f t="shared" si="19"/>
        <v>319084</v>
      </c>
      <c r="H68" s="111">
        <f t="shared" si="15"/>
        <v>2849389</v>
      </c>
      <c r="I68" s="111">
        <f t="shared" si="20"/>
        <v>607878</v>
      </c>
      <c r="J68" s="111">
        <f t="shared" si="21"/>
        <v>601704</v>
      </c>
      <c r="K68" s="111">
        <f t="shared" si="21"/>
        <v>461711</v>
      </c>
      <c r="L68" s="111">
        <f t="shared" si="21"/>
        <v>294600</v>
      </c>
      <c r="M68" s="111">
        <f t="shared" si="21"/>
        <v>633907</v>
      </c>
      <c r="N68" s="111">
        <f t="shared" si="21"/>
        <v>548202</v>
      </c>
      <c r="O68" s="111">
        <f t="shared" si="4"/>
        <v>3148002</v>
      </c>
      <c r="P68" s="111">
        <f t="shared" si="5"/>
        <v>5997391</v>
      </c>
    </row>
    <row r="69" spans="1:18" ht="12" customHeight="1" x14ac:dyDescent="0.15">
      <c r="A69" s="6" t="s">
        <v>46</v>
      </c>
      <c r="B69" s="111">
        <v>0</v>
      </c>
      <c r="C69" s="111">
        <f t="shared" si="19"/>
        <v>0</v>
      </c>
      <c r="D69" s="111">
        <f t="shared" si="19"/>
        <v>0</v>
      </c>
      <c r="E69" s="111">
        <f t="shared" si="19"/>
        <v>0</v>
      </c>
      <c r="F69" s="111">
        <f t="shared" si="19"/>
        <v>0</v>
      </c>
      <c r="G69" s="111">
        <f t="shared" si="19"/>
        <v>0</v>
      </c>
      <c r="H69" s="111">
        <f t="shared" si="15"/>
        <v>0</v>
      </c>
      <c r="I69" s="111">
        <f t="shared" si="20"/>
        <v>0</v>
      </c>
      <c r="J69" s="111">
        <f t="shared" si="21"/>
        <v>0</v>
      </c>
      <c r="K69" s="111">
        <f t="shared" si="21"/>
        <v>0</v>
      </c>
      <c r="L69" s="111">
        <f t="shared" si="21"/>
        <v>0</v>
      </c>
      <c r="M69" s="111">
        <f t="shared" si="21"/>
        <v>0</v>
      </c>
      <c r="N69" s="111">
        <f t="shared" si="21"/>
        <v>0</v>
      </c>
      <c r="O69" s="111">
        <f t="shared" si="4"/>
        <v>0</v>
      </c>
      <c r="P69" s="111">
        <f t="shared" si="5"/>
        <v>0</v>
      </c>
    </row>
    <row r="70" spans="1:18" ht="12" customHeight="1" x14ac:dyDescent="0.15">
      <c r="A70" s="54" t="s">
        <v>29</v>
      </c>
      <c r="B70" s="114">
        <f t="shared" ref="B70:N70" si="22">B38+B44</f>
        <v>16952610</v>
      </c>
      <c r="C70" s="114">
        <f t="shared" si="22"/>
        <v>17604534</v>
      </c>
      <c r="D70" s="114">
        <f t="shared" si="22"/>
        <v>16410910</v>
      </c>
      <c r="E70" s="114">
        <f t="shared" si="22"/>
        <v>24473654</v>
      </c>
      <c r="F70" s="114">
        <f t="shared" si="22"/>
        <v>17998379</v>
      </c>
      <c r="G70" s="114">
        <f t="shared" si="22"/>
        <v>17308905</v>
      </c>
      <c r="H70" s="114">
        <f t="shared" si="15"/>
        <v>110748992</v>
      </c>
      <c r="I70" s="114">
        <f>I38+I44</f>
        <v>16048675</v>
      </c>
      <c r="J70" s="114">
        <f t="shared" si="22"/>
        <v>21001136</v>
      </c>
      <c r="K70" s="114">
        <f t="shared" si="22"/>
        <v>15851377</v>
      </c>
      <c r="L70" s="114">
        <f t="shared" si="22"/>
        <v>16713915</v>
      </c>
      <c r="M70" s="114">
        <f t="shared" si="22"/>
        <v>16259528</v>
      </c>
      <c r="N70" s="114">
        <f t="shared" si="22"/>
        <v>16853755</v>
      </c>
      <c r="O70" s="114">
        <f t="shared" si="4"/>
        <v>102728386</v>
      </c>
      <c r="P70" s="114">
        <f t="shared" si="5"/>
        <v>213477378</v>
      </c>
    </row>
    <row r="71" spans="1:18" ht="12" customHeight="1" x14ac:dyDescent="0.15">
      <c r="A71" s="54" t="s">
        <v>61</v>
      </c>
      <c r="B71" s="114">
        <f t="shared" ref="B71:G71" si="23">B35-B70</f>
        <v>-638310</v>
      </c>
      <c r="C71" s="114">
        <f t="shared" si="23"/>
        <v>1415151</v>
      </c>
      <c r="D71" s="114">
        <f t="shared" si="23"/>
        <v>1260752</v>
      </c>
      <c r="E71" s="114">
        <f t="shared" si="23"/>
        <v>-6503064</v>
      </c>
      <c r="F71" s="114">
        <f t="shared" si="23"/>
        <v>500453</v>
      </c>
      <c r="G71" s="114">
        <f t="shared" si="23"/>
        <v>832202</v>
      </c>
      <c r="H71" s="114">
        <f t="shared" si="15"/>
        <v>-3132816</v>
      </c>
      <c r="I71" s="114">
        <f t="shared" ref="I71:N71" si="24">I35-I70</f>
        <v>2625643</v>
      </c>
      <c r="J71" s="114">
        <f t="shared" si="24"/>
        <v>-3490178</v>
      </c>
      <c r="K71" s="114">
        <f t="shared" si="24"/>
        <v>296948</v>
      </c>
      <c r="L71" s="114">
        <f t="shared" si="24"/>
        <v>-1233975</v>
      </c>
      <c r="M71" s="114">
        <f t="shared" si="24"/>
        <v>-718308</v>
      </c>
      <c r="N71" s="114">
        <f t="shared" si="24"/>
        <v>581508</v>
      </c>
      <c r="O71" s="114">
        <f t="shared" si="4"/>
        <v>-1938362</v>
      </c>
      <c r="P71" s="114">
        <f t="shared" si="5"/>
        <v>-5071178</v>
      </c>
    </row>
    <row r="72" spans="1:18" ht="12" customHeight="1" x14ac:dyDescent="0.15">
      <c r="A72" s="23" t="s">
        <v>126</v>
      </c>
      <c r="B72" s="111">
        <v>4</v>
      </c>
      <c r="C72" s="111">
        <f>C106-B106</f>
        <v>0</v>
      </c>
      <c r="D72" s="111">
        <f>D106-C106</f>
        <v>0</v>
      </c>
      <c r="E72" s="111">
        <f>E106-D106</f>
        <v>0</v>
      </c>
      <c r="F72" s="111">
        <f>F106-E106</f>
        <v>64</v>
      </c>
      <c r="G72" s="111">
        <f>G106-F106</f>
        <v>2</v>
      </c>
      <c r="H72" s="114">
        <f t="shared" si="15"/>
        <v>70</v>
      </c>
      <c r="I72" s="111">
        <f>I106-G106</f>
        <v>3</v>
      </c>
      <c r="J72" s="111">
        <f>J106-I106</f>
        <v>0</v>
      </c>
      <c r="K72" s="111">
        <f>K106-J106</f>
        <v>0</v>
      </c>
      <c r="L72" s="111">
        <f>L106-K106</f>
        <v>0</v>
      </c>
      <c r="M72" s="111">
        <f>M106-L106</f>
        <v>44</v>
      </c>
      <c r="N72" s="111">
        <f>N106-M106</f>
        <v>1</v>
      </c>
      <c r="O72" s="114">
        <f t="shared" si="4"/>
        <v>48</v>
      </c>
      <c r="P72" s="114">
        <f t="shared" si="5"/>
        <v>118</v>
      </c>
    </row>
    <row r="73" spans="1:18" ht="12" customHeight="1" x14ac:dyDescent="0.15">
      <c r="A73" s="23" t="s">
        <v>127</v>
      </c>
      <c r="B73" s="111">
        <v>3008</v>
      </c>
      <c r="C73" s="111">
        <f>C140+C141+C142-B140-B141-B142</f>
        <v>26719</v>
      </c>
      <c r="D73" s="111">
        <f>D140+D141+D142-C140-C141-C142</f>
        <v>4845</v>
      </c>
      <c r="E73" s="111">
        <f>E140+E141+E142-D140-D141-D142</f>
        <v>23088</v>
      </c>
      <c r="F73" s="111">
        <f>F140+F141+F142-E140-E141-E142</f>
        <v>16565</v>
      </c>
      <c r="G73" s="111">
        <f>G140+G141+G142-F140-F141-F142</f>
        <v>16069</v>
      </c>
      <c r="H73" s="114">
        <f t="shared" si="15"/>
        <v>90294</v>
      </c>
      <c r="I73" s="111">
        <f>I140+I141+I142-G140-G141-G142</f>
        <v>968</v>
      </c>
      <c r="J73" s="111">
        <f>J141-I141+I140-J140+I142-J142</f>
        <v>611</v>
      </c>
      <c r="K73" s="111">
        <f>K140-J140+K141-J141+K142-J142</f>
        <v>1</v>
      </c>
      <c r="L73" s="111">
        <f>L141-K141+K140-L140+K142-L142</f>
        <v>0</v>
      </c>
      <c r="M73" s="111">
        <f>M140-L140+M141-L141+M142-L142</f>
        <v>37029</v>
      </c>
      <c r="N73" s="111">
        <f>N140-M140+N141-M141+N142-M142</f>
        <v>6834</v>
      </c>
      <c r="O73" s="114">
        <f t="shared" si="4"/>
        <v>45443</v>
      </c>
      <c r="P73" s="114">
        <f t="shared" si="5"/>
        <v>135737</v>
      </c>
      <c r="Q73" s="173" t="s">
        <v>386</v>
      </c>
      <c r="R73" s="174"/>
    </row>
    <row r="74" spans="1:18" ht="12" customHeight="1" x14ac:dyDescent="0.15">
      <c r="A74" s="54" t="s">
        <v>60</v>
      </c>
      <c r="B74" s="33">
        <f t="shared" ref="B74:G74" si="25">B71+B72-B73</f>
        <v>-641314</v>
      </c>
      <c r="C74" s="33">
        <f t="shared" si="25"/>
        <v>1388432</v>
      </c>
      <c r="D74" s="33">
        <f t="shared" si="25"/>
        <v>1255907</v>
      </c>
      <c r="E74" s="33">
        <f t="shared" si="25"/>
        <v>-6526152</v>
      </c>
      <c r="F74" s="33">
        <f t="shared" si="25"/>
        <v>483952</v>
      </c>
      <c r="G74" s="33">
        <f t="shared" si="25"/>
        <v>816135</v>
      </c>
      <c r="H74" s="114">
        <f t="shared" si="15"/>
        <v>-3223040</v>
      </c>
      <c r="I74" s="33">
        <f t="shared" ref="I74:N74" si="26">I71+I72-I73</f>
        <v>2624678</v>
      </c>
      <c r="J74" s="33">
        <f t="shared" si="26"/>
        <v>-3490789</v>
      </c>
      <c r="K74" s="33">
        <f t="shared" si="26"/>
        <v>296947</v>
      </c>
      <c r="L74" s="33">
        <f t="shared" si="26"/>
        <v>-1233975</v>
      </c>
      <c r="M74" s="33">
        <f t="shared" si="26"/>
        <v>-755293</v>
      </c>
      <c r="N74" s="33">
        <f t="shared" si="26"/>
        <v>574675</v>
      </c>
      <c r="O74" s="114">
        <f t="shared" si="4"/>
        <v>-1983757</v>
      </c>
      <c r="P74" s="110">
        <f t="shared" si="5"/>
        <v>-5206797</v>
      </c>
      <c r="Q74" s="175">
        <f>P74-'[2]5.3月'!$D$63</f>
        <v>0</v>
      </c>
      <c r="R74" s="176"/>
    </row>
    <row r="75" spans="1:18" ht="12" customHeight="1" x14ac:dyDescent="0.15">
      <c r="A75" s="26" t="s">
        <v>116</v>
      </c>
      <c r="B75" s="122">
        <v>280000</v>
      </c>
      <c r="C75" s="122">
        <v>280000</v>
      </c>
      <c r="D75" s="122">
        <v>280000</v>
      </c>
      <c r="E75" s="122">
        <v>280000</v>
      </c>
      <c r="F75" s="122">
        <v>280000</v>
      </c>
      <c r="G75" s="122">
        <v>280000</v>
      </c>
      <c r="H75" s="114">
        <f t="shared" si="15"/>
        <v>1680000</v>
      </c>
      <c r="I75" s="122">
        <v>280000</v>
      </c>
      <c r="J75" s="122">
        <v>280000</v>
      </c>
      <c r="K75" s="122">
        <v>480000</v>
      </c>
      <c r="L75" s="122">
        <v>0</v>
      </c>
      <c r="M75" s="122">
        <v>0</v>
      </c>
      <c r="N75" s="122">
        <v>83000</v>
      </c>
      <c r="O75" s="111">
        <f t="shared" si="4"/>
        <v>1123000</v>
      </c>
      <c r="P75" s="111">
        <f t="shared" si="5"/>
        <v>2803000</v>
      </c>
      <c r="Q75" s="177"/>
      <c r="R75" s="178"/>
    </row>
    <row r="76" spans="1:18" x14ac:dyDescent="0.15">
      <c r="G76" s="126"/>
      <c r="Q76" s="179"/>
      <c r="R76" s="179"/>
    </row>
    <row r="77" spans="1:18" x14ac:dyDescent="0.15">
      <c r="A77" s="21" t="s">
        <v>1</v>
      </c>
      <c r="B77" s="116">
        <v>76000</v>
      </c>
      <c r="C77" s="116">
        <v>78000</v>
      </c>
      <c r="D77" s="116">
        <v>78000</v>
      </c>
      <c r="E77" s="116">
        <v>80000</v>
      </c>
      <c r="F77" s="116">
        <v>81000</v>
      </c>
      <c r="G77" s="116">
        <v>82000</v>
      </c>
      <c r="H77" s="116"/>
      <c r="I77" s="116">
        <v>82000</v>
      </c>
      <c r="J77" s="116">
        <v>84000</v>
      </c>
      <c r="K77" s="116">
        <v>87000</v>
      </c>
      <c r="L77" s="116">
        <v>89000</v>
      </c>
      <c r="M77" s="116">
        <v>89000</v>
      </c>
      <c r="N77" s="116">
        <v>89000</v>
      </c>
      <c r="O77" s="116"/>
      <c r="P77" s="116"/>
    </row>
    <row r="78" spans="1:18" x14ac:dyDescent="0.15">
      <c r="A78" s="21" t="s">
        <v>2</v>
      </c>
      <c r="B78" s="116">
        <v>3000</v>
      </c>
      <c r="C78" s="116">
        <v>29000</v>
      </c>
      <c r="D78" s="116">
        <v>36000</v>
      </c>
      <c r="E78" s="116">
        <v>36000</v>
      </c>
      <c r="F78" s="116">
        <v>36000</v>
      </c>
      <c r="G78" s="116">
        <v>36000</v>
      </c>
      <c r="H78" s="116"/>
      <c r="I78" s="116">
        <v>37000</v>
      </c>
      <c r="J78" s="116">
        <v>37000</v>
      </c>
      <c r="K78" s="116">
        <v>37000</v>
      </c>
      <c r="L78" s="116">
        <v>38000</v>
      </c>
      <c r="M78" s="116">
        <v>38000</v>
      </c>
      <c r="N78" s="116">
        <v>39000</v>
      </c>
      <c r="O78" s="116"/>
      <c r="P78" s="116"/>
    </row>
    <row r="79" spans="1:18" x14ac:dyDescent="0.15">
      <c r="A79" s="21" t="s">
        <v>3</v>
      </c>
      <c r="B79" s="116">
        <v>2000</v>
      </c>
      <c r="C79" s="116">
        <v>3000</v>
      </c>
      <c r="D79" s="116">
        <v>4000</v>
      </c>
      <c r="E79" s="116">
        <v>4000</v>
      </c>
      <c r="F79" s="116">
        <v>4000</v>
      </c>
      <c r="G79" s="116">
        <v>5000</v>
      </c>
      <c r="H79" s="116"/>
      <c r="I79" s="116">
        <v>5000</v>
      </c>
      <c r="J79" s="116">
        <v>5000</v>
      </c>
      <c r="K79" s="116">
        <v>5000</v>
      </c>
      <c r="L79" s="116">
        <v>5000</v>
      </c>
      <c r="M79" s="116">
        <v>5000</v>
      </c>
      <c r="N79" s="116">
        <v>6000</v>
      </c>
      <c r="O79" s="116"/>
      <c r="P79" s="116"/>
    </row>
    <row r="80" spans="1:18" x14ac:dyDescent="0.15">
      <c r="A80" s="118" t="s">
        <v>387</v>
      </c>
      <c r="B80" s="116"/>
      <c r="C80" s="120"/>
      <c r="D80" s="120"/>
      <c r="E80" s="120"/>
      <c r="F80" s="120"/>
      <c r="G80" s="117"/>
      <c r="H80" s="120"/>
      <c r="I80" s="117"/>
      <c r="J80" s="120"/>
      <c r="K80" s="120"/>
      <c r="L80" s="120"/>
      <c r="M80" s="120"/>
      <c r="N80" s="120"/>
      <c r="O80" s="120"/>
      <c r="P80" s="120"/>
    </row>
    <row r="81" spans="1:17" x14ac:dyDescent="0.15">
      <c r="A81" s="47" t="s">
        <v>94</v>
      </c>
      <c r="B81" s="116">
        <v>2650890</v>
      </c>
      <c r="C81" s="116">
        <v>5349380</v>
      </c>
      <c r="D81" s="116">
        <v>7961610</v>
      </c>
      <c r="E81" s="116">
        <v>10582220</v>
      </c>
      <c r="F81" s="116">
        <v>13280320</v>
      </c>
      <c r="G81" s="116">
        <v>16010690</v>
      </c>
      <c r="H81" s="116"/>
      <c r="I81" s="116">
        <v>18799100</v>
      </c>
      <c r="J81" s="116">
        <v>21625120</v>
      </c>
      <c r="K81" s="116">
        <v>24237910</v>
      </c>
      <c r="L81" s="116">
        <v>26912910</v>
      </c>
      <c r="M81" s="116">
        <v>29437290</v>
      </c>
      <c r="N81" s="116">
        <v>31940500</v>
      </c>
      <c r="O81" s="116"/>
      <c r="P81" s="116"/>
    </row>
    <row r="82" spans="1:17" x14ac:dyDescent="0.15">
      <c r="A82" s="48" t="s">
        <v>247</v>
      </c>
      <c r="B82" s="116">
        <v>21900</v>
      </c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</row>
    <row r="83" spans="1:17" x14ac:dyDescent="0.15">
      <c r="A83" s="48" t="s">
        <v>319</v>
      </c>
      <c r="B83" s="116">
        <v>27720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</row>
    <row r="84" spans="1:17" x14ac:dyDescent="0.15">
      <c r="A84" s="47" t="s">
        <v>95</v>
      </c>
      <c r="B84" s="116">
        <v>7630980</v>
      </c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</row>
    <row r="85" spans="1:17" x14ac:dyDescent="0.15">
      <c r="A85" s="21" t="s">
        <v>58</v>
      </c>
      <c r="B85" s="116">
        <v>508800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</row>
    <row r="86" spans="1:17" x14ac:dyDescent="0.15">
      <c r="A86" s="47" t="s">
        <v>96</v>
      </c>
      <c r="B86" s="116">
        <v>1010870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</row>
    <row r="87" spans="1:17" x14ac:dyDescent="0.15">
      <c r="A87" s="21" t="s">
        <v>59</v>
      </c>
      <c r="B87" s="116">
        <v>125600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</row>
    <row r="88" spans="1:17" x14ac:dyDescent="0.15">
      <c r="A88" s="50" t="s">
        <v>120</v>
      </c>
      <c r="B88" s="116">
        <v>2582540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</row>
    <row r="89" spans="1:17" x14ac:dyDescent="0.15">
      <c r="A89" s="21" t="s">
        <v>59</v>
      </c>
      <c r="B89" s="116">
        <v>117600</v>
      </c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</row>
    <row r="90" spans="1:17" x14ac:dyDescent="0.15">
      <c r="A90" s="51" t="s">
        <v>245</v>
      </c>
      <c r="B90" s="116">
        <v>777480</v>
      </c>
      <c r="C90" s="116">
        <v>1575610</v>
      </c>
      <c r="D90" s="116">
        <v>2343490</v>
      </c>
      <c r="E90" s="116">
        <v>3155280</v>
      </c>
      <c r="F90" s="116">
        <v>3963820</v>
      </c>
      <c r="G90" s="116">
        <v>4777090</v>
      </c>
      <c r="H90" s="116"/>
      <c r="I90" s="116">
        <v>5611740</v>
      </c>
      <c r="J90" s="116">
        <v>6389150</v>
      </c>
      <c r="K90" s="116">
        <v>7073690</v>
      </c>
      <c r="L90" s="116">
        <v>7738380</v>
      </c>
      <c r="M90" s="116">
        <v>8361530</v>
      </c>
      <c r="N90" s="116">
        <v>9094110</v>
      </c>
      <c r="O90" s="116"/>
      <c r="P90" s="116"/>
    </row>
    <row r="91" spans="1:17" x14ac:dyDescent="0.15">
      <c r="A91" s="51" t="s">
        <v>366</v>
      </c>
      <c r="B91" s="116">
        <v>183690</v>
      </c>
      <c r="C91" s="116">
        <v>371720</v>
      </c>
      <c r="D91" s="116">
        <v>553510</v>
      </c>
      <c r="E91" s="116">
        <v>746110</v>
      </c>
      <c r="F91" s="116">
        <v>939520</v>
      </c>
      <c r="G91" s="116">
        <v>1132340</v>
      </c>
      <c r="H91" s="116"/>
      <c r="I91" s="116">
        <v>1329490</v>
      </c>
      <c r="J91" s="116">
        <v>1514770</v>
      </c>
      <c r="K91" s="116">
        <v>1680730</v>
      </c>
      <c r="L91" s="116">
        <v>1837850</v>
      </c>
      <c r="M91" s="116">
        <v>1982920</v>
      </c>
      <c r="N91" s="116">
        <v>2155570</v>
      </c>
      <c r="O91" s="116"/>
      <c r="P91" s="116"/>
    </row>
    <row r="92" spans="1:17" x14ac:dyDescent="0.15">
      <c r="A92" s="51" t="s">
        <v>423</v>
      </c>
      <c r="B92" s="116"/>
      <c r="C92" s="116"/>
      <c r="D92" s="116"/>
      <c r="E92" s="116"/>
      <c r="F92" s="116"/>
      <c r="G92" s="116"/>
      <c r="H92" s="116"/>
      <c r="I92" s="116">
        <v>165400</v>
      </c>
      <c r="J92" s="116">
        <v>320390</v>
      </c>
      <c r="K92" s="116">
        <v>457850</v>
      </c>
      <c r="L92" s="116">
        <v>589860</v>
      </c>
      <c r="M92" s="116">
        <v>712790</v>
      </c>
      <c r="N92" s="116">
        <v>858110</v>
      </c>
      <c r="O92" s="116"/>
      <c r="P92" s="116"/>
    </row>
    <row r="93" spans="1:17" x14ac:dyDescent="0.15">
      <c r="A93" s="51" t="s">
        <v>338</v>
      </c>
      <c r="B93" s="116">
        <v>206740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 t="s">
        <v>390</v>
      </c>
      <c r="O93" s="120"/>
      <c r="P93" s="120"/>
    </row>
    <row r="94" spans="1:17" x14ac:dyDescent="0.15">
      <c r="A94" s="21" t="s">
        <v>59</v>
      </c>
      <c r="B94" s="116">
        <v>33600</v>
      </c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</row>
    <row r="95" spans="1:17" x14ac:dyDescent="0.15">
      <c r="A95" s="47" t="s">
        <v>119</v>
      </c>
      <c r="B95" s="116">
        <v>92900</v>
      </c>
      <c r="C95" s="116">
        <v>185200</v>
      </c>
      <c r="D95" s="116">
        <v>277500</v>
      </c>
      <c r="E95" s="116">
        <v>347600</v>
      </c>
      <c r="F95" s="116">
        <v>410000</v>
      </c>
      <c r="G95" s="116">
        <v>493800</v>
      </c>
      <c r="H95" s="116"/>
      <c r="I95" s="116">
        <v>570500</v>
      </c>
      <c r="J95" s="116">
        <v>625100</v>
      </c>
      <c r="K95" s="116">
        <v>679000</v>
      </c>
      <c r="L95" s="116">
        <v>742500</v>
      </c>
      <c r="M95" s="116">
        <v>804100</v>
      </c>
      <c r="N95" s="116">
        <v>887900</v>
      </c>
      <c r="O95" s="116"/>
      <c r="P95" s="116"/>
      <c r="Q95" s="116"/>
    </row>
    <row r="96" spans="1:17" x14ac:dyDescent="0.15">
      <c r="A96" s="47" t="s">
        <v>97</v>
      </c>
      <c r="B96" s="116">
        <v>7000</v>
      </c>
      <c r="C96" s="116">
        <v>21400</v>
      </c>
      <c r="D96" s="116">
        <v>49900</v>
      </c>
      <c r="E96" s="116">
        <v>63900</v>
      </c>
      <c r="F96" s="116">
        <v>71900</v>
      </c>
      <c r="G96" s="116">
        <v>80400</v>
      </c>
      <c r="H96" s="116"/>
      <c r="I96" s="116">
        <v>93400</v>
      </c>
      <c r="J96" s="116">
        <v>101400</v>
      </c>
      <c r="K96" s="116">
        <v>111400</v>
      </c>
      <c r="L96" s="116">
        <v>122100</v>
      </c>
      <c r="M96" s="116">
        <v>129600</v>
      </c>
      <c r="N96" s="116">
        <v>139600</v>
      </c>
      <c r="O96" s="116"/>
    </row>
    <row r="97" spans="1:40" x14ac:dyDescent="0.15">
      <c r="A97" s="51" t="s">
        <v>407</v>
      </c>
      <c r="B97" s="116">
        <v>16200</v>
      </c>
      <c r="C97" s="116">
        <v>36900</v>
      </c>
      <c r="D97" s="116">
        <v>62000</v>
      </c>
      <c r="E97" s="116">
        <v>79500</v>
      </c>
      <c r="F97" s="116">
        <v>86700</v>
      </c>
      <c r="G97" s="116">
        <v>103500</v>
      </c>
      <c r="H97" s="116"/>
      <c r="I97" s="116">
        <v>113650</v>
      </c>
      <c r="J97" s="116">
        <v>122850</v>
      </c>
      <c r="K97" s="116">
        <v>135400</v>
      </c>
      <c r="L97" s="116">
        <v>144950</v>
      </c>
      <c r="M97" s="116">
        <v>171050</v>
      </c>
      <c r="N97" s="116">
        <v>187500</v>
      </c>
      <c r="O97" s="116"/>
      <c r="P97" s="116"/>
    </row>
    <row r="98" spans="1:40" x14ac:dyDescent="0.15">
      <c r="A98" s="47" t="s">
        <v>249</v>
      </c>
      <c r="B98" s="116">
        <v>51200</v>
      </c>
      <c r="C98" s="116">
        <v>132700</v>
      </c>
      <c r="D98" s="116">
        <v>219800</v>
      </c>
      <c r="E98" s="116">
        <v>291300</v>
      </c>
      <c r="F98" s="116">
        <v>355600</v>
      </c>
      <c r="G98" s="116">
        <v>433500</v>
      </c>
      <c r="H98" s="116"/>
      <c r="I98" s="116">
        <v>511300</v>
      </c>
      <c r="J98" s="116">
        <v>589200</v>
      </c>
      <c r="K98" s="116">
        <v>653800</v>
      </c>
      <c r="L98" s="116">
        <v>712900</v>
      </c>
      <c r="M98" s="116">
        <v>785100</v>
      </c>
      <c r="N98" s="116">
        <v>865600</v>
      </c>
      <c r="O98" s="116"/>
      <c r="P98" s="116"/>
    </row>
    <row r="99" spans="1:40" x14ac:dyDescent="0.15">
      <c r="A99" s="47" t="s">
        <v>406</v>
      </c>
      <c r="B99" s="116">
        <v>6500</v>
      </c>
      <c r="C99" s="116">
        <v>13400</v>
      </c>
      <c r="D99" s="116">
        <v>21400</v>
      </c>
      <c r="E99" s="116">
        <v>39900</v>
      </c>
      <c r="F99" s="116">
        <v>74400</v>
      </c>
      <c r="G99" s="116">
        <v>82700</v>
      </c>
      <c r="H99" s="116"/>
      <c r="I99" s="116">
        <v>97600</v>
      </c>
      <c r="J99" s="116">
        <v>111200</v>
      </c>
      <c r="K99" s="116">
        <v>120400</v>
      </c>
      <c r="L99" s="116">
        <v>122200</v>
      </c>
      <c r="M99" s="116">
        <v>124600</v>
      </c>
      <c r="N99" s="116">
        <v>143000</v>
      </c>
      <c r="O99" s="116"/>
      <c r="P99" s="116"/>
    </row>
    <row r="100" spans="1:40" x14ac:dyDescent="0.15">
      <c r="A100" s="47" t="s">
        <v>303</v>
      </c>
      <c r="B100" s="116">
        <v>1600</v>
      </c>
      <c r="C100" s="116">
        <v>1600</v>
      </c>
      <c r="D100" s="116">
        <v>1600</v>
      </c>
      <c r="E100" s="116">
        <v>5200</v>
      </c>
      <c r="F100" s="116">
        <v>13700</v>
      </c>
      <c r="G100" s="116">
        <v>13700</v>
      </c>
      <c r="H100" s="116"/>
      <c r="I100" s="116">
        <v>13700</v>
      </c>
      <c r="J100" s="116">
        <v>13700</v>
      </c>
      <c r="K100" s="116">
        <v>14100</v>
      </c>
      <c r="L100" s="116">
        <v>14600</v>
      </c>
      <c r="M100" s="116">
        <v>14600</v>
      </c>
      <c r="N100" s="116">
        <v>16800</v>
      </c>
      <c r="O100" s="116"/>
      <c r="P100" s="116"/>
    </row>
    <row r="101" spans="1:40" x14ac:dyDescent="0.15">
      <c r="A101" s="47" t="s">
        <v>251</v>
      </c>
      <c r="B101" s="116">
        <v>4500</v>
      </c>
      <c r="C101" s="116">
        <v>10700</v>
      </c>
      <c r="D101" s="116">
        <v>18000</v>
      </c>
      <c r="E101" s="116">
        <v>26050</v>
      </c>
      <c r="F101" s="116">
        <v>28850</v>
      </c>
      <c r="G101" s="116">
        <v>35050</v>
      </c>
      <c r="H101" s="116"/>
      <c r="I101" s="116">
        <v>38150</v>
      </c>
      <c r="J101" s="116">
        <v>43300</v>
      </c>
      <c r="K101" s="116">
        <v>46100</v>
      </c>
      <c r="L101" s="116">
        <v>51100</v>
      </c>
      <c r="M101" s="116">
        <v>52500</v>
      </c>
      <c r="N101" s="116">
        <v>54800</v>
      </c>
      <c r="O101" s="116"/>
      <c r="P101" s="116"/>
    </row>
    <row r="102" spans="1:40" x14ac:dyDescent="0.15">
      <c r="A102" s="21" t="s">
        <v>99</v>
      </c>
      <c r="B102" s="116">
        <v>0</v>
      </c>
      <c r="C102" s="116">
        <v>2260000</v>
      </c>
      <c r="D102" s="116">
        <v>3473000</v>
      </c>
      <c r="E102" s="116">
        <v>4603000</v>
      </c>
      <c r="F102" s="116">
        <v>5733000</v>
      </c>
      <c r="G102" s="116">
        <v>6946000</v>
      </c>
      <c r="H102" s="116"/>
      <c r="I102" s="116">
        <v>8076000</v>
      </c>
      <c r="J102" s="116">
        <v>9206000</v>
      </c>
      <c r="K102" s="116">
        <v>10674000</v>
      </c>
      <c r="L102" s="116">
        <v>11860000</v>
      </c>
      <c r="M102" s="116">
        <v>13046000</v>
      </c>
      <c r="N102" s="116">
        <v>14324700</v>
      </c>
      <c r="O102" s="116"/>
      <c r="P102" s="116"/>
    </row>
    <row r="103" spans="1:40" x14ac:dyDescent="0.15">
      <c r="A103" s="21" t="s">
        <v>383</v>
      </c>
      <c r="B103" s="116">
        <v>20000</v>
      </c>
      <c r="C103" s="116">
        <v>30000</v>
      </c>
      <c r="D103" s="116">
        <v>40000</v>
      </c>
      <c r="E103" s="116">
        <v>40000</v>
      </c>
      <c r="F103" s="116">
        <v>40000</v>
      </c>
      <c r="G103" s="116">
        <v>70000</v>
      </c>
      <c r="H103" s="116"/>
      <c r="I103" s="116">
        <v>72000</v>
      </c>
      <c r="J103" s="116">
        <v>72000</v>
      </c>
      <c r="K103" s="116">
        <v>72000</v>
      </c>
      <c r="L103" s="116">
        <v>72000</v>
      </c>
      <c r="M103" s="116">
        <v>92000</v>
      </c>
      <c r="N103" s="116">
        <v>112000</v>
      </c>
      <c r="O103" s="116"/>
      <c r="P103" s="116"/>
    </row>
    <row r="104" spans="1:40" x14ac:dyDescent="0.15">
      <c r="A104" s="21" t="s">
        <v>384</v>
      </c>
      <c r="B104" s="116">
        <v>0</v>
      </c>
      <c r="C104" s="116">
        <v>171000</v>
      </c>
      <c r="D104" s="116">
        <v>652980</v>
      </c>
      <c r="E104" s="116">
        <v>904495</v>
      </c>
      <c r="F104" s="116">
        <v>1811317</v>
      </c>
      <c r="G104" s="116">
        <v>1966554</v>
      </c>
      <c r="H104" s="116"/>
      <c r="I104" s="116">
        <v>2175252</v>
      </c>
      <c r="J104" s="116">
        <v>2331025</v>
      </c>
      <c r="K104" s="116">
        <v>2805075</v>
      </c>
      <c r="L104" s="116">
        <v>2805075</v>
      </c>
      <c r="M104" s="116">
        <v>3481305</v>
      </c>
      <c r="N104" s="116">
        <v>4203377</v>
      </c>
      <c r="O104" s="116"/>
      <c r="P104" s="116"/>
    </row>
    <row r="105" spans="1:40" x14ac:dyDescent="0.15">
      <c r="A105" s="21" t="s">
        <v>385</v>
      </c>
      <c r="B105" s="116">
        <v>154990</v>
      </c>
      <c r="C105" s="116">
        <v>200575</v>
      </c>
      <c r="D105" s="116">
        <v>264307</v>
      </c>
      <c r="E105" s="116">
        <v>322962</v>
      </c>
      <c r="F105" s="116">
        <v>386182</v>
      </c>
      <c r="G105" s="116">
        <v>445312</v>
      </c>
      <c r="H105" s="116"/>
      <c r="I105" s="116">
        <v>504492</v>
      </c>
      <c r="J105" s="116">
        <v>551247</v>
      </c>
      <c r="K105" s="116">
        <v>598512</v>
      </c>
      <c r="L105" s="116">
        <v>628332</v>
      </c>
      <c r="M105" s="116">
        <v>665472</v>
      </c>
      <c r="N105" s="116">
        <v>742693</v>
      </c>
      <c r="O105" s="116"/>
      <c r="P105" s="116"/>
    </row>
    <row r="106" spans="1:40" x14ac:dyDescent="0.15">
      <c r="A106" s="21" t="s">
        <v>388</v>
      </c>
      <c r="B106" s="125"/>
      <c r="C106" s="125"/>
      <c r="D106" s="125"/>
      <c r="E106" s="125"/>
      <c r="F106" s="125">
        <f>56+5+2+1</f>
        <v>64</v>
      </c>
      <c r="G106" s="125">
        <f>56+5+2+1+2</f>
        <v>66</v>
      </c>
      <c r="I106" s="125">
        <v>69</v>
      </c>
      <c r="J106" s="125">
        <v>69</v>
      </c>
      <c r="K106" s="125">
        <v>69</v>
      </c>
      <c r="L106" s="125">
        <v>69</v>
      </c>
      <c r="M106" s="125">
        <v>113</v>
      </c>
      <c r="N106" s="125">
        <v>114</v>
      </c>
    </row>
    <row r="108" spans="1:40" x14ac:dyDescent="0.15">
      <c r="A108" s="6" t="s">
        <v>100</v>
      </c>
      <c r="B108" s="116">
        <v>200000</v>
      </c>
      <c r="C108" s="116">
        <v>400000</v>
      </c>
      <c r="D108" s="116">
        <v>600000</v>
      </c>
      <c r="E108" s="116">
        <v>1020000</v>
      </c>
      <c r="F108" s="116">
        <v>1440000</v>
      </c>
      <c r="G108" s="116">
        <v>1860000</v>
      </c>
      <c r="H108" s="116"/>
      <c r="I108" s="116">
        <v>2280000</v>
      </c>
      <c r="J108" s="116">
        <v>2700000</v>
      </c>
      <c r="K108" s="116">
        <v>3120000</v>
      </c>
      <c r="L108" s="116">
        <v>3540000</v>
      </c>
      <c r="M108" s="116">
        <v>3960000</v>
      </c>
      <c r="N108" s="116">
        <v>4380000</v>
      </c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</row>
    <row r="109" spans="1:40" x14ac:dyDescent="0.15">
      <c r="A109" s="6" t="s">
        <v>101</v>
      </c>
      <c r="B109" s="116">
        <v>10082080</v>
      </c>
      <c r="C109" s="116">
        <v>19990703</v>
      </c>
      <c r="D109" s="116">
        <v>29826111</v>
      </c>
      <c r="E109" s="116">
        <v>39475449</v>
      </c>
      <c r="F109" s="116">
        <f>57921510-F112</f>
        <v>49575510</v>
      </c>
      <c r="G109" s="116">
        <f>67637597-G112</f>
        <v>59291597</v>
      </c>
      <c r="H109" s="116"/>
      <c r="I109" s="116">
        <f>76824225-I112</f>
        <v>68478225</v>
      </c>
      <c r="J109" s="116">
        <f>91182230-J112</f>
        <v>77796230</v>
      </c>
      <c r="K109" s="116">
        <f>100422752-K112</f>
        <v>87036752</v>
      </c>
      <c r="L109" s="116">
        <f>109463135-L112</f>
        <v>96077135</v>
      </c>
      <c r="M109" s="116">
        <f>118695933-M112</f>
        <v>105309933</v>
      </c>
      <c r="N109" s="116">
        <f>128080139-N112</f>
        <v>114694139</v>
      </c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</row>
    <row r="110" spans="1:40" x14ac:dyDescent="0.15">
      <c r="A110" s="6" t="s">
        <v>102</v>
      </c>
      <c r="B110" s="116">
        <v>1554250</v>
      </c>
      <c r="C110" s="116">
        <v>3000100</v>
      </c>
      <c r="D110" s="116">
        <v>4523325</v>
      </c>
      <c r="E110" s="116">
        <v>6005375</v>
      </c>
      <c r="F110" s="116">
        <v>7434885</v>
      </c>
      <c r="G110" s="116">
        <v>8830270</v>
      </c>
      <c r="H110" s="116"/>
      <c r="I110" s="116">
        <v>10155965</v>
      </c>
      <c r="J110" s="116">
        <v>11519045</v>
      </c>
      <c r="K110" s="116">
        <v>12852295</v>
      </c>
      <c r="L110" s="116">
        <v>14038745</v>
      </c>
      <c r="M110" s="116">
        <v>15300975</v>
      </c>
      <c r="N110" s="116">
        <v>16504825</v>
      </c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</row>
    <row r="111" spans="1:40" x14ac:dyDescent="0.15">
      <c r="A111" s="6" t="s">
        <v>19</v>
      </c>
      <c r="B111" s="116">
        <v>1244785</v>
      </c>
      <c r="C111" s="116">
        <v>2424529</v>
      </c>
      <c r="D111" s="116">
        <v>3862959</v>
      </c>
      <c r="E111" s="116">
        <v>5104694</v>
      </c>
      <c r="F111" s="116">
        <v>7326962</v>
      </c>
      <c r="G111" s="116">
        <v>8586148</v>
      </c>
      <c r="H111" s="116"/>
      <c r="I111" s="116">
        <v>10065168</v>
      </c>
      <c r="J111" s="116">
        <v>11414816</v>
      </c>
      <c r="K111" s="116">
        <v>12721123</v>
      </c>
      <c r="L111" s="116">
        <v>14859291</v>
      </c>
      <c r="M111" s="116">
        <v>16250468</v>
      </c>
      <c r="N111" s="116">
        <v>17600088</v>
      </c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</row>
    <row r="112" spans="1:40" x14ac:dyDescent="0.15">
      <c r="A112" s="26" t="s">
        <v>408</v>
      </c>
      <c r="B112" s="116"/>
      <c r="C112" s="116"/>
      <c r="D112" s="116"/>
      <c r="E112" s="116">
        <v>8346000</v>
      </c>
      <c r="F112" s="116">
        <v>8346000</v>
      </c>
      <c r="G112" s="116">
        <v>8346000</v>
      </c>
      <c r="H112" s="121"/>
      <c r="I112" s="116">
        <v>8346000</v>
      </c>
      <c r="J112" s="116">
        <v>13386000</v>
      </c>
      <c r="K112" s="116">
        <v>13386000</v>
      </c>
      <c r="L112" s="116">
        <v>13386000</v>
      </c>
      <c r="M112" s="116">
        <v>13386000</v>
      </c>
      <c r="N112" s="116">
        <v>13386000</v>
      </c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</row>
    <row r="113" spans="1:40" x14ac:dyDescent="0.15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</row>
    <row r="114" spans="1:40" x14ac:dyDescent="0.15">
      <c r="A114" s="6" t="s">
        <v>21</v>
      </c>
      <c r="B114" s="116">
        <v>351529</v>
      </c>
      <c r="C114" s="116">
        <v>1177529</v>
      </c>
      <c r="D114" s="116">
        <v>1490586</v>
      </c>
      <c r="E114" s="116">
        <v>1779586</v>
      </c>
      <c r="F114" s="116">
        <v>2099086</v>
      </c>
      <c r="G114" s="116">
        <v>2388586</v>
      </c>
      <c r="H114" s="116"/>
      <c r="I114" s="116">
        <v>2713807</v>
      </c>
      <c r="J114" s="116">
        <v>3045807</v>
      </c>
      <c r="K114" s="116">
        <v>3404658</v>
      </c>
      <c r="L114" s="116">
        <v>3698658</v>
      </c>
      <c r="M114" s="116">
        <v>4190754</v>
      </c>
      <c r="N114" s="116">
        <v>4768669</v>
      </c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</row>
    <row r="115" spans="1:40" x14ac:dyDescent="0.15">
      <c r="A115" s="6" t="s">
        <v>22</v>
      </c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</row>
    <row r="116" spans="1:40" x14ac:dyDescent="0.15">
      <c r="A116" s="6" t="s">
        <v>103</v>
      </c>
      <c r="B116" s="116">
        <v>32062</v>
      </c>
      <c r="C116" s="116">
        <v>261240</v>
      </c>
      <c r="D116" s="116">
        <v>367470</v>
      </c>
      <c r="E116" s="116">
        <v>429898</v>
      </c>
      <c r="F116" s="116">
        <v>627655</v>
      </c>
      <c r="G116" s="116">
        <v>742659</v>
      </c>
      <c r="H116" s="116"/>
      <c r="I116" s="116">
        <v>859196</v>
      </c>
      <c r="J116" s="116">
        <v>958508</v>
      </c>
      <c r="K116" s="116">
        <v>984135</v>
      </c>
      <c r="L116" s="116">
        <v>1205460</v>
      </c>
      <c r="M116" s="116">
        <v>1310331</v>
      </c>
      <c r="N116" s="116">
        <v>1421257</v>
      </c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</row>
    <row r="117" spans="1:40" x14ac:dyDescent="0.15">
      <c r="A117" s="6" t="s">
        <v>24</v>
      </c>
      <c r="B117" s="116">
        <v>23329</v>
      </c>
      <c r="C117" s="116">
        <v>60417</v>
      </c>
      <c r="D117" s="116">
        <v>78281</v>
      </c>
      <c r="E117" s="116">
        <v>100505</v>
      </c>
      <c r="F117" s="116">
        <v>113005</v>
      </c>
      <c r="G117" s="116">
        <v>130029</v>
      </c>
      <c r="H117" s="116"/>
      <c r="I117" s="116">
        <v>148347</v>
      </c>
      <c r="J117" s="116">
        <v>188323</v>
      </c>
      <c r="K117" s="116">
        <v>206131</v>
      </c>
      <c r="L117" s="116">
        <v>228715</v>
      </c>
      <c r="M117" s="116">
        <v>243782</v>
      </c>
      <c r="N117" s="116">
        <v>267552</v>
      </c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</row>
    <row r="118" spans="1:40" x14ac:dyDescent="0.15">
      <c r="A118" s="6" t="s">
        <v>104</v>
      </c>
      <c r="B118" s="116">
        <v>73480</v>
      </c>
      <c r="C118" s="116">
        <v>89880</v>
      </c>
      <c r="D118" s="116">
        <v>158850</v>
      </c>
      <c r="E118" s="116">
        <v>158850</v>
      </c>
      <c r="F118" s="116">
        <v>158850</v>
      </c>
      <c r="G118" s="116">
        <v>321299</v>
      </c>
      <c r="H118" s="116"/>
      <c r="I118" s="116">
        <v>321299</v>
      </c>
      <c r="J118" s="116">
        <v>341649</v>
      </c>
      <c r="K118" s="116">
        <v>341649</v>
      </c>
      <c r="L118" s="116">
        <v>350429</v>
      </c>
      <c r="M118" s="116">
        <v>447031</v>
      </c>
      <c r="N118" s="116">
        <v>505831</v>
      </c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</row>
    <row r="119" spans="1:40" x14ac:dyDescent="0.15">
      <c r="A119" s="6" t="s">
        <v>105</v>
      </c>
      <c r="B119" s="116">
        <v>0</v>
      </c>
      <c r="C119" s="116">
        <v>36828</v>
      </c>
      <c r="D119" s="116">
        <v>157338</v>
      </c>
      <c r="E119" s="116">
        <v>157338</v>
      </c>
      <c r="F119" s="116">
        <v>157338</v>
      </c>
      <c r="G119" s="116">
        <v>157338</v>
      </c>
      <c r="H119" s="116"/>
      <c r="I119" s="116">
        <v>157338</v>
      </c>
      <c r="J119" s="116">
        <v>192338</v>
      </c>
      <c r="K119" s="116">
        <v>192338</v>
      </c>
      <c r="L119" s="116">
        <v>192338</v>
      </c>
      <c r="M119" s="116">
        <v>192338</v>
      </c>
      <c r="N119" s="116">
        <v>192338</v>
      </c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</row>
    <row r="120" spans="1:40" x14ac:dyDescent="0.15">
      <c r="A120" s="6" t="s">
        <v>106</v>
      </c>
      <c r="B120" s="116">
        <v>99141</v>
      </c>
      <c r="C120" s="116">
        <v>211726</v>
      </c>
      <c r="D120" s="116">
        <v>326787</v>
      </c>
      <c r="E120" s="116">
        <v>445856</v>
      </c>
      <c r="F120" s="116">
        <v>536860</v>
      </c>
      <c r="G120" s="116">
        <v>649645</v>
      </c>
      <c r="H120" s="116"/>
      <c r="I120" s="116">
        <v>734292</v>
      </c>
      <c r="J120" s="116">
        <v>825960</v>
      </c>
      <c r="K120" s="116">
        <v>944706</v>
      </c>
      <c r="L120" s="116">
        <v>1051064</v>
      </c>
      <c r="M120" s="116">
        <v>1145207</v>
      </c>
      <c r="N120" s="116">
        <v>1235884</v>
      </c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</row>
    <row r="121" spans="1:40" x14ac:dyDescent="0.15">
      <c r="A121" s="6" t="s">
        <v>28</v>
      </c>
      <c r="B121" s="116">
        <v>40846</v>
      </c>
      <c r="C121" s="116">
        <v>52992</v>
      </c>
      <c r="D121" s="116">
        <v>80118</v>
      </c>
      <c r="E121" s="116">
        <v>115012</v>
      </c>
      <c r="F121" s="116">
        <v>139258</v>
      </c>
      <c r="G121" s="116">
        <v>151404</v>
      </c>
      <c r="H121" s="116"/>
      <c r="I121" s="116">
        <v>163550</v>
      </c>
      <c r="J121" s="116">
        <v>198444</v>
      </c>
      <c r="K121" s="116">
        <v>240550</v>
      </c>
      <c r="L121" s="116">
        <v>252336</v>
      </c>
      <c r="M121" s="116">
        <v>264482</v>
      </c>
      <c r="N121" s="116">
        <v>276628</v>
      </c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</row>
    <row r="122" spans="1:40" x14ac:dyDescent="0.15">
      <c r="A122" s="6" t="s">
        <v>107</v>
      </c>
      <c r="B122" s="116">
        <v>0</v>
      </c>
      <c r="C122" s="116">
        <v>59200</v>
      </c>
      <c r="D122" s="116">
        <v>59200</v>
      </c>
      <c r="E122" s="116">
        <v>62200</v>
      </c>
      <c r="F122" s="116">
        <v>88200</v>
      </c>
      <c r="G122" s="116">
        <v>112650</v>
      </c>
      <c r="H122" s="116"/>
      <c r="I122" s="116">
        <v>113450</v>
      </c>
      <c r="J122" s="116">
        <v>121800</v>
      </c>
      <c r="K122" s="116">
        <v>122200</v>
      </c>
      <c r="L122" s="116">
        <v>122200</v>
      </c>
      <c r="M122" s="116">
        <v>122200</v>
      </c>
      <c r="N122" s="116">
        <v>137680</v>
      </c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</row>
    <row r="123" spans="1:40" x14ac:dyDescent="0.15">
      <c r="A123" s="6" t="s">
        <v>27</v>
      </c>
      <c r="B123" s="116"/>
      <c r="C123" s="116"/>
      <c r="D123" s="116">
        <v>17600</v>
      </c>
      <c r="E123" s="116">
        <v>26400</v>
      </c>
      <c r="F123" s="116">
        <v>26400</v>
      </c>
      <c r="G123" s="116">
        <v>26400</v>
      </c>
      <c r="H123" s="116"/>
      <c r="I123" s="116">
        <v>70400</v>
      </c>
      <c r="J123" s="116">
        <v>74360</v>
      </c>
      <c r="K123" s="116">
        <v>74360</v>
      </c>
      <c r="L123" s="116">
        <v>85360</v>
      </c>
      <c r="M123" s="116">
        <v>96360</v>
      </c>
      <c r="N123" s="116">
        <v>96360</v>
      </c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</row>
    <row r="124" spans="1:40" x14ac:dyDescent="0.15">
      <c r="A124" s="6" t="s">
        <v>32</v>
      </c>
      <c r="B124" s="116">
        <v>657186</v>
      </c>
      <c r="C124" s="116">
        <v>1339729</v>
      </c>
      <c r="D124" s="116">
        <v>1854273</v>
      </c>
      <c r="E124" s="116">
        <v>2233633</v>
      </c>
      <c r="F124" s="116">
        <v>2837020</v>
      </c>
      <c r="G124" s="116">
        <v>3371258</v>
      </c>
      <c r="H124" s="116"/>
      <c r="I124" s="116">
        <v>3941949</v>
      </c>
      <c r="J124" s="116">
        <v>4434512</v>
      </c>
      <c r="K124" s="116">
        <v>5058056</v>
      </c>
      <c r="L124" s="116">
        <v>5785659</v>
      </c>
      <c r="M124" s="116">
        <v>6716352</v>
      </c>
      <c r="N124" s="116">
        <v>7580888</v>
      </c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</row>
    <row r="125" spans="1:40" x14ac:dyDescent="0.15">
      <c r="A125" s="6" t="s">
        <v>405</v>
      </c>
      <c r="B125" s="116">
        <v>10000</v>
      </c>
      <c r="C125" s="116">
        <v>12000</v>
      </c>
      <c r="D125" s="116">
        <v>12000</v>
      </c>
      <c r="E125" s="116">
        <v>15000</v>
      </c>
      <c r="F125" s="116">
        <v>24760</v>
      </c>
      <c r="G125" s="116">
        <v>38760</v>
      </c>
      <c r="H125" s="116"/>
      <c r="I125" s="116">
        <v>44760</v>
      </c>
      <c r="J125" s="116">
        <v>51960</v>
      </c>
      <c r="K125" s="116">
        <v>59960</v>
      </c>
      <c r="L125" s="116">
        <v>79160</v>
      </c>
      <c r="M125" s="116">
        <v>99160</v>
      </c>
      <c r="N125" s="116">
        <v>107160</v>
      </c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</row>
    <row r="126" spans="1:40" x14ac:dyDescent="0.15">
      <c r="A126" s="26" t="s">
        <v>409</v>
      </c>
      <c r="B126" s="116">
        <v>8100</v>
      </c>
      <c r="C126" s="116">
        <v>8100</v>
      </c>
      <c r="D126" s="116">
        <v>11100</v>
      </c>
      <c r="E126" s="116">
        <v>55100</v>
      </c>
      <c r="F126" s="116">
        <v>60450</v>
      </c>
      <c r="G126" s="116">
        <v>64450</v>
      </c>
      <c r="H126" s="116"/>
      <c r="I126" s="116">
        <v>64450</v>
      </c>
      <c r="J126" s="116">
        <v>67450</v>
      </c>
      <c r="K126" s="116">
        <v>67450</v>
      </c>
      <c r="L126" s="116">
        <v>67450</v>
      </c>
      <c r="M126" s="116">
        <v>67450</v>
      </c>
      <c r="N126" s="116">
        <v>87450</v>
      </c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</row>
    <row r="127" spans="1:40" x14ac:dyDescent="0.15">
      <c r="A127" s="6" t="s">
        <v>109</v>
      </c>
      <c r="B127" s="116">
        <v>441618</v>
      </c>
      <c r="C127" s="116">
        <v>924998</v>
      </c>
      <c r="D127" s="116">
        <v>1479459</v>
      </c>
      <c r="E127" s="116">
        <v>2007940</v>
      </c>
      <c r="F127" s="116">
        <v>2622781</v>
      </c>
      <c r="G127" s="116">
        <v>3576085</v>
      </c>
      <c r="H127" s="116"/>
      <c r="I127" s="116">
        <v>4135327</v>
      </c>
      <c r="J127" s="116">
        <v>4722450</v>
      </c>
      <c r="K127" s="116">
        <v>5301348</v>
      </c>
      <c r="L127" s="116">
        <v>5799875</v>
      </c>
      <c r="M127" s="116">
        <v>6277782</v>
      </c>
      <c r="N127" s="116">
        <v>6817002</v>
      </c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</row>
    <row r="128" spans="1:40" x14ac:dyDescent="0.15">
      <c r="A128" s="6" t="s">
        <v>35</v>
      </c>
      <c r="B128" s="116">
        <v>12569</v>
      </c>
      <c r="C128" s="116">
        <v>40363</v>
      </c>
      <c r="D128" s="116">
        <v>45643</v>
      </c>
      <c r="E128" s="116">
        <v>57875</v>
      </c>
      <c r="F128" s="116">
        <v>62972</v>
      </c>
      <c r="G128" s="116">
        <v>144719</v>
      </c>
      <c r="H128" s="116"/>
      <c r="I128" s="116">
        <v>147219</v>
      </c>
      <c r="J128" s="116">
        <v>159999</v>
      </c>
      <c r="K128" s="116">
        <v>175972</v>
      </c>
      <c r="L128" s="116">
        <v>180012</v>
      </c>
      <c r="M128" s="116">
        <v>191532</v>
      </c>
      <c r="N128" s="116">
        <v>202207</v>
      </c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</row>
    <row r="129" spans="1:40" x14ac:dyDescent="0.15">
      <c r="A129" s="6" t="s">
        <v>110</v>
      </c>
      <c r="B129" s="116">
        <v>84330</v>
      </c>
      <c r="C129" s="116">
        <v>241170</v>
      </c>
      <c r="D129" s="116">
        <v>241170</v>
      </c>
      <c r="E129" s="116">
        <v>241170</v>
      </c>
      <c r="F129" s="116">
        <v>241170</v>
      </c>
      <c r="G129" s="116">
        <v>264450</v>
      </c>
      <c r="H129" s="116"/>
      <c r="I129" s="116">
        <v>316450</v>
      </c>
      <c r="J129" s="116">
        <v>316450</v>
      </c>
      <c r="K129" s="116">
        <v>316450</v>
      </c>
      <c r="L129" s="116">
        <v>801970</v>
      </c>
      <c r="M129" s="116">
        <v>801970</v>
      </c>
      <c r="N129" s="116">
        <v>838150</v>
      </c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</row>
    <row r="130" spans="1:40" x14ac:dyDescent="0.15">
      <c r="A130" s="6" t="s">
        <v>111</v>
      </c>
      <c r="B130" s="116">
        <v>457011</v>
      </c>
      <c r="C130" s="116">
        <v>1166663</v>
      </c>
      <c r="D130" s="116">
        <v>1476295</v>
      </c>
      <c r="E130" s="116">
        <v>1844420</v>
      </c>
      <c r="F130" s="116">
        <v>2408021</v>
      </c>
      <c r="G130" s="116">
        <v>2924681</v>
      </c>
      <c r="H130" s="116"/>
      <c r="I130" s="116">
        <v>3323578</v>
      </c>
      <c r="J130" s="116">
        <v>3637041</v>
      </c>
      <c r="K130" s="116">
        <v>3985657</v>
      </c>
      <c r="L130" s="116">
        <v>4453266</v>
      </c>
      <c r="M130" s="116">
        <v>4700987</v>
      </c>
      <c r="N130" s="116">
        <v>5373668</v>
      </c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</row>
    <row r="131" spans="1:40" x14ac:dyDescent="0.15">
      <c r="A131" s="6" t="s">
        <v>112</v>
      </c>
      <c r="B131" s="116">
        <v>239624</v>
      </c>
      <c r="C131" s="116">
        <v>239624</v>
      </c>
      <c r="D131" s="116">
        <v>239624</v>
      </c>
      <c r="E131" s="116">
        <v>250624</v>
      </c>
      <c r="F131" s="116">
        <v>250624</v>
      </c>
      <c r="G131" s="116">
        <v>250624</v>
      </c>
      <c r="H131" s="116"/>
      <c r="I131" s="116">
        <v>264583</v>
      </c>
      <c r="J131" s="116">
        <v>272613</v>
      </c>
      <c r="K131" s="116">
        <v>272613</v>
      </c>
      <c r="L131" s="116">
        <v>272613</v>
      </c>
      <c r="M131" s="116">
        <v>272613</v>
      </c>
      <c r="N131" s="116">
        <v>272613</v>
      </c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</row>
    <row r="132" spans="1:40" x14ac:dyDescent="0.15">
      <c r="A132" s="6" t="s">
        <v>113</v>
      </c>
      <c r="B132" s="116">
        <v>311418</v>
      </c>
      <c r="C132" s="116">
        <v>586328</v>
      </c>
      <c r="D132" s="116">
        <v>919856</v>
      </c>
      <c r="E132" s="116">
        <v>1230064</v>
      </c>
      <c r="F132" s="116">
        <v>1599572</v>
      </c>
      <c r="G132" s="116">
        <v>2067640</v>
      </c>
      <c r="H132" s="116"/>
      <c r="I132" s="116">
        <v>2481939</v>
      </c>
      <c r="J132" s="116">
        <v>2837247</v>
      </c>
      <c r="K132" s="116">
        <v>3188155</v>
      </c>
      <c r="L132" s="116">
        <v>3532463</v>
      </c>
      <c r="M132" s="116">
        <v>3876771</v>
      </c>
      <c r="N132" s="116">
        <v>4239779</v>
      </c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</row>
    <row r="133" spans="1:40" x14ac:dyDescent="0.15">
      <c r="A133" s="6" t="s">
        <v>121</v>
      </c>
      <c r="B133" s="116">
        <v>295000</v>
      </c>
      <c r="C133" s="116">
        <v>710000</v>
      </c>
      <c r="D133" s="116">
        <v>1005000</v>
      </c>
      <c r="E133" s="116">
        <v>1300000</v>
      </c>
      <c r="F133" s="116">
        <v>1645000</v>
      </c>
      <c r="G133" s="116">
        <v>1990000</v>
      </c>
      <c r="H133" s="116"/>
      <c r="I133" s="116">
        <v>2335000</v>
      </c>
      <c r="J133" s="116">
        <v>2680000</v>
      </c>
      <c r="K133" s="116">
        <v>3025000</v>
      </c>
      <c r="L133" s="116">
        <v>3370000</v>
      </c>
      <c r="M133" s="116">
        <v>3715000</v>
      </c>
      <c r="N133" s="116">
        <v>4060000</v>
      </c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</row>
    <row r="134" spans="1:40" x14ac:dyDescent="0.15">
      <c r="A134" s="6" t="s">
        <v>122</v>
      </c>
      <c r="B134" s="116">
        <v>0</v>
      </c>
      <c r="C134" s="116">
        <v>359400</v>
      </c>
      <c r="D134" s="116">
        <v>372300</v>
      </c>
      <c r="E134" s="116">
        <v>376800</v>
      </c>
      <c r="F134" s="116">
        <v>432757</v>
      </c>
      <c r="G134" s="116">
        <v>432757</v>
      </c>
      <c r="H134" s="116"/>
      <c r="I134" s="116">
        <v>432757</v>
      </c>
      <c r="J134" s="116">
        <v>433207</v>
      </c>
      <c r="K134" s="116">
        <v>484207</v>
      </c>
      <c r="L134" s="116">
        <v>485407</v>
      </c>
      <c r="M134" s="116">
        <v>537361</v>
      </c>
      <c r="N134" s="116">
        <v>537361</v>
      </c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</row>
    <row r="135" spans="1:40" x14ac:dyDescent="0.15">
      <c r="A135" s="6" t="s">
        <v>37</v>
      </c>
      <c r="B135" s="116">
        <v>62040</v>
      </c>
      <c r="C135" s="116">
        <v>171570</v>
      </c>
      <c r="D135" s="116">
        <v>379767</v>
      </c>
      <c r="E135" s="116">
        <v>526947</v>
      </c>
      <c r="F135" s="116">
        <v>649476</v>
      </c>
      <c r="G135" s="116">
        <v>1168093</v>
      </c>
      <c r="H135" s="116"/>
      <c r="I135" s="116">
        <v>1232190</v>
      </c>
      <c r="J135" s="116">
        <v>1350462</v>
      </c>
      <c r="K135" s="116">
        <v>1554572</v>
      </c>
      <c r="L135" s="116">
        <v>1611261</v>
      </c>
      <c r="M135" s="116">
        <v>1675649</v>
      </c>
      <c r="N135" s="116">
        <v>1874512</v>
      </c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</row>
    <row r="136" spans="1:40" x14ac:dyDescent="0.15">
      <c r="A136" s="6" t="s">
        <v>114</v>
      </c>
      <c r="B136" s="116"/>
      <c r="C136" s="116"/>
      <c r="D136" s="116"/>
      <c r="E136" s="116">
        <v>5170</v>
      </c>
      <c r="F136" s="116">
        <v>5170</v>
      </c>
      <c r="G136" s="116">
        <v>12061</v>
      </c>
      <c r="H136" s="116"/>
      <c r="I136" s="116">
        <v>13161</v>
      </c>
      <c r="J136" s="116">
        <v>13161</v>
      </c>
      <c r="K136" s="116">
        <v>13161</v>
      </c>
      <c r="L136" s="116">
        <v>21946</v>
      </c>
      <c r="M136" s="116">
        <v>21946</v>
      </c>
      <c r="N136" s="116">
        <v>21946</v>
      </c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</row>
    <row r="137" spans="1:40" x14ac:dyDescent="0.15">
      <c r="A137" s="53" t="s">
        <v>115</v>
      </c>
      <c r="B137" s="116">
        <v>672212</v>
      </c>
      <c r="C137" s="116">
        <v>992055</v>
      </c>
      <c r="D137" s="116">
        <v>1382942</v>
      </c>
      <c r="E137" s="116">
        <v>2069802</v>
      </c>
      <c r="F137" s="116">
        <v>2530305</v>
      </c>
      <c r="G137" s="116">
        <v>2849389</v>
      </c>
      <c r="H137" s="116"/>
      <c r="I137" s="116">
        <v>3457267</v>
      </c>
      <c r="J137" s="116">
        <v>4058971</v>
      </c>
      <c r="K137" s="116">
        <v>4520682</v>
      </c>
      <c r="L137" s="116">
        <v>4815282</v>
      </c>
      <c r="M137" s="116">
        <v>5449189</v>
      </c>
      <c r="N137" s="116">
        <v>5997391</v>
      </c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</row>
    <row r="138" spans="1:40" x14ac:dyDescent="0.15">
      <c r="A138" s="6" t="s">
        <v>46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</row>
    <row r="140" spans="1:40" x14ac:dyDescent="0.15">
      <c r="A140" s="6" t="s">
        <v>380</v>
      </c>
      <c r="B140" s="125"/>
      <c r="C140" s="125"/>
      <c r="D140" s="125"/>
      <c r="E140" s="116"/>
      <c r="F140" s="116"/>
      <c r="G140" s="116"/>
      <c r="I140" s="116"/>
      <c r="J140" s="116"/>
      <c r="K140" s="116"/>
      <c r="L140" s="116"/>
      <c r="M140" s="116"/>
      <c r="N140" s="116"/>
    </row>
    <row r="141" spans="1:40" x14ac:dyDescent="0.15">
      <c r="A141" s="6" t="s">
        <v>381</v>
      </c>
      <c r="B141" s="125">
        <v>3008</v>
      </c>
      <c r="C141" s="125">
        <v>5937</v>
      </c>
      <c r="D141" s="125">
        <v>8100</v>
      </c>
      <c r="E141" s="125">
        <v>10138</v>
      </c>
      <c r="F141" s="125">
        <v>11873</v>
      </c>
      <c r="G141" s="125">
        <v>13112</v>
      </c>
      <c r="I141" s="125">
        <v>14080</v>
      </c>
      <c r="J141" s="125">
        <v>14691</v>
      </c>
      <c r="K141" s="125">
        <v>14691</v>
      </c>
      <c r="L141" s="125">
        <v>14691</v>
      </c>
      <c r="M141" s="125">
        <v>19060</v>
      </c>
      <c r="N141" s="125">
        <v>23950</v>
      </c>
    </row>
    <row r="142" spans="1:40" x14ac:dyDescent="0.15">
      <c r="A142" s="6" t="s">
        <v>382</v>
      </c>
      <c r="B142" s="125">
        <v>0</v>
      </c>
      <c r="C142" s="125">
        <v>23790</v>
      </c>
      <c r="D142" s="125">
        <v>26472</v>
      </c>
      <c r="E142" s="125">
        <v>47522</v>
      </c>
      <c r="F142" s="125">
        <v>62352</v>
      </c>
      <c r="G142" s="125">
        <v>77182</v>
      </c>
      <c r="I142" s="125">
        <v>77182</v>
      </c>
      <c r="J142" s="125">
        <v>77182</v>
      </c>
      <c r="K142" s="125">
        <v>77183</v>
      </c>
      <c r="L142" s="125">
        <v>77183</v>
      </c>
      <c r="M142" s="125">
        <v>109843</v>
      </c>
      <c r="N142" s="125">
        <v>111787</v>
      </c>
    </row>
  </sheetData>
  <mergeCells count="5">
    <mergeCell ref="Q73:R73"/>
    <mergeCell ref="Q74:R74"/>
    <mergeCell ref="Q75:R75"/>
    <mergeCell ref="Q76:R76"/>
    <mergeCell ref="A1:P1"/>
  </mergeCells>
  <phoneticPr fontId="3"/>
  <pageMargins left="0.70866141732283472" right="0" top="0" bottom="0" header="0.23622047244094491" footer="0.27559055118110237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A1EF-F98D-49DB-BEB1-ECF900E6D6CC}">
  <dimension ref="A1:P67"/>
  <sheetViews>
    <sheetView topLeftCell="D1" workbookViewId="0">
      <selection activeCell="C5" sqref="C5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72" t="s">
        <v>81</v>
      </c>
      <c r="D1" s="172"/>
      <c r="E1" s="172"/>
      <c r="F1" s="172"/>
      <c r="G1" s="172"/>
      <c r="H1" s="172"/>
    </row>
    <row r="2" spans="1:16" ht="12" customHeight="1" x14ac:dyDescent="0.15">
      <c r="A2" s="1" t="s">
        <v>43</v>
      </c>
      <c r="B2" s="2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39</v>
      </c>
      <c r="I2" s="18" t="s">
        <v>88</v>
      </c>
      <c r="J2" s="1" t="s">
        <v>89</v>
      </c>
      <c r="K2" s="1" t="s">
        <v>90</v>
      </c>
      <c r="L2" s="1" t="s">
        <v>91</v>
      </c>
      <c r="M2" s="1" t="s">
        <v>92</v>
      </c>
      <c r="N2" s="1" t="s">
        <v>93</v>
      </c>
      <c r="O2" s="1" t="s">
        <v>41</v>
      </c>
      <c r="P2" s="1" t="s">
        <v>42</v>
      </c>
    </row>
    <row r="3" spans="1:16" x14ac:dyDescent="0.15">
      <c r="A3" s="24" t="s">
        <v>123</v>
      </c>
      <c r="B3" s="5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15">
      <c r="A4" s="19" t="s">
        <v>0</v>
      </c>
      <c r="B4" s="10">
        <f>SUM(B5:B7)</f>
        <v>120000</v>
      </c>
      <c r="C4" s="10">
        <f t="shared" ref="C4:N4" si="0">SUM(C5:C7)</f>
        <v>29000</v>
      </c>
      <c r="D4" s="10">
        <f t="shared" si="0"/>
        <v>19000</v>
      </c>
      <c r="E4" s="10">
        <f t="shared" si="0"/>
        <v>10000</v>
      </c>
      <c r="F4" s="10">
        <f t="shared" si="0"/>
        <v>4000</v>
      </c>
      <c r="G4" s="10">
        <f t="shared" si="0"/>
        <v>5000</v>
      </c>
      <c r="H4" s="10">
        <f t="shared" ref="H4:H15" si="1">SUM(B4:G4)</f>
        <v>187000</v>
      </c>
      <c r="I4" s="10">
        <f t="shared" si="0"/>
        <v>3000</v>
      </c>
      <c r="J4" s="10">
        <f t="shared" si="0"/>
        <v>1000</v>
      </c>
      <c r="K4" s="10">
        <f t="shared" si="0"/>
        <v>4000</v>
      </c>
      <c r="L4" s="10">
        <f t="shared" si="0"/>
        <v>1000</v>
      </c>
      <c r="M4" s="10">
        <f t="shared" si="0"/>
        <v>2000</v>
      </c>
      <c r="N4" s="10">
        <f t="shared" si="0"/>
        <v>1000</v>
      </c>
      <c r="O4" s="10">
        <f>SUM(I4:N4)</f>
        <v>12000</v>
      </c>
      <c r="P4" s="10">
        <f>H4+O4</f>
        <v>199000</v>
      </c>
    </row>
    <row r="5" spans="1:16" ht="12.95" customHeight="1" x14ac:dyDescent="0.15">
      <c r="A5" s="21" t="s">
        <v>1</v>
      </c>
      <c r="B5" s="14">
        <v>80000</v>
      </c>
      <c r="C5" s="14">
        <v>1000</v>
      </c>
      <c r="D5" s="14">
        <v>2000</v>
      </c>
      <c r="E5" s="14">
        <v>2000</v>
      </c>
      <c r="F5" s="14">
        <v>0</v>
      </c>
      <c r="G5" s="14">
        <v>1000</v>
      </c>
      <c r="H5" s="14">
        <f t="shared" si="1"/>
        <v>86000</v>
      </c>
      <c r="I5" s="9">
        <v>1000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f t="shared" ref="O5:O67" si="2">SUM(I5:N5)</f>
        <v>1000</v>
      </c>
      <c r="P5" s="9">
        <f t="shared" ref="P5:P67" si="3">H5+O5</f>
        <v>87000</v>
      </c>
    </row>
    <row r="6" spans="1:16" ht="12.95" customHeight="1" x14ac:dyDescent="0.15">
      <c r="A6" s="21" t="s">
        <v>2</v>
      </c>
      <c r="B6" s="14">
        <v>34000</v>
      </c>
      <c r="C6" s="14">
        <v>23000</v>
      </c>
      <c r="D6" s="14">
        <v>12000</v>
      </c>
      <c r="E6" s="14">
        <v>6000</v>
      </c>
      <c r="F6" s="14">
        <v>2000</v>
      </c>
      <c r="G6" s="14">
        <v>4000</v>
      </c>
      <c r="H6" s="14">
        <f t="shared" si="1"/>
        <v>81000</v>
      </c>
      <c r="I6" s="9">
        <v>2000</v>
      </c>
      <c r="J6" s="9">
        <v>1000</v>
      </c>
      <c r="K6" s="9">
        <v>3000</v>
      </c>
      <c r="L6" s="9">
        <v>1000</v>
      </c>
      <c r="M6" s="9">
        <v>2000</v>
      </c>
      <c r="N6" s="9">
        <v>1000</v>
      </c>
      <c r="O6" s="9">
        <f t="shared" si="2"/>
        <v>10000</v>
      </c>
      <c r="P6" s="9">
        <f t="shared" si="3"/>
        <v>91000</v>
      </c>
    </row>
    <row r="7" spans="1:16" ht="12.95" customHeight="1" x14ac:dyDescent="0.15">
      <c r="A7" s="21" t="s">
        <v>3</v>
      </c>
      <c r="B7" s="14">
        <v>6000</v>
      </c>
      <c r="C7" s="14">
        <v>5000</v>
      </c>
      <c r="D7" s="14">
        <v>5000</v>
      </c>
      <c r="E7" s="14">
        <v>2000</v>
      </c>
      <c r="F7" s="14">
        <v>2000</v>
      </c>
      <c r="G7" s="14">
        <v>0</v>
      </c>
      <c r="H7" s="14">
        <f t="shared" si="1"/>
        <v>20000</v>
      </c>
      <c r="I7" s="9">
        <v>0</v>
      </c>
      <c r="J7" s="9">
        <v>0</v>
      </c>
      <c r="K7" s="9">
        <v>1000</v>
      </c>
      <c r="L7" s="9">
        <v>0</v>
      </c>
      <c r="M7" s="9">
        <v>0</v>
      </c>
      <c r="N7" s="9">
        <v>0</v>
      </c>
      <c r="O7" s="9">
        <f t="shared" si="2"/>
        <v>1000</v>
      </c>
      <c r="P7" s="9">
        <f t="shared" si="3"/>
        <v>21000</v>
      </c>
    </row>
    <row r="8" spans="1:16" x14ac:dyDescent="0.15">
      <c r="A8" s="19" t="s">
        <v>4</v>
      </c>
      <c r="B8" s="10">
        <f t="shared" ref="B8:N8" si="4">SUM(B9:B23)</f>
        <v>15109790</v>
      </c>
      <c r="C8" s="10">
        <f t="shared" si="4"/>
        <v>15211470</v>
      </c>
      <c r="D8" s="10">
        <f t="shared" si="4"/>
        <v>14976940</v>
      </c>
      <c r="E8" s="10">
        <f t="shared" si="4"/>
        <v>16431670</v>
      </c>
      <c r="F8" s="10">
        <f t="shared" si="4"/>
        <v>16075640</v>
      </c>
      <c r="G8" s="10">
        <f t="shared" si="4"/>
        <v>15689700</v>
      </c>
      <c r="H8" s="10">
        <f t="shared" si="1"/>
        <v>93495210</v>
      </c>
      <c r="I8" s="10">
        <f t="shared" si="4"/>
        <v>16603990</v>
      </c>
      <c r="J8" s="10">
        <f t="shared" si="4"/>
        <v>17083770</v>
      </c>
      <c r="K8" s="10">
        <f t="shared" si="4"/>
        <v>16999260</v>
      </c>
      <c r="L8" s="10">
        <f t="shared" si="4"/>
        <v>15448870</v>
      </c>
      <c r="M8" s="10">
        <f t="shared" si="4"/>
        <v>16558020</v>
      </c>
      <c r="N8" s="10">
        <f t="shared" si="4"/>
        <v>18028820</v>
      </c>
      <c r="O8" s="10">
        <f t="shared" si="2"/>
        <v>100722730</v>
      </c>
      <c r="P8" s="10">
        <f t="shared" si="3"/>
        <v>194217940</v>
      </c>
    </row>
    <row r="9" spans="1:16" ht="12.95" customHeight="1" x14ac:dyDescent="0.15">
      <c r="A9" s="27" t="s">
        <v>94</v>
      </c>
      <c r="B9" s="14">
        <v>2222500</v>
      </c>
      <c r="C9" s="14">
        <v>2285500</v>
      </c>
      <c r="D9" s="14">
        <v>2372500</v>
      </c>
      <c r="E9" s="14">
        <v>2508500</v>
      </c>
      <c r="F9" s="14">
        <v>2481000</v>
      </c>
      <c r="G9" s="14">
        <v>2447500</v>
      </c>
      <c r="H9" s="14">
        <f t="shared" si="1"/>
        <v>14317500</v>
      </c>
      <c r="I9" s="9">
        <v>2610500</v>
      </c>
      <c r="J9" s="9">
        <v>2666500</v>
      </c>
      <c r="K9" s="9">
        <v>2700000</v>
      </c>
      <c r="L9" s="9">
        <v>2538500</v>
      </c>
      <c r="M9" s="9">
        <v>2601500</v>
      </c>
      <c r="N9" s="9">
        <v>2647000</v>
      </c>
      <c r="O9" s="9">
        <f t="shared" si="2"/>
        <v>15764000</v>
      </c>
      <c r="P9" s="9">
        <f t="shared" si="3"/>
        <v>30081500</v>
      </c>
    </row>
    <row r="10" spans="1:16" ht="12.95" customHeight="1" x14ac:dyDescent="0.15">
      <c r="A10" s="20" t="s">
        <v>128</v>
      </c>
      <c r="B10" s="14">
        <v>52500</v>
      </c>
      <c r="C10" s="14">
        <v>70500</v>
      </c>
      <c r="D10" s="14">
        <v>63000</v>
      </c>
      <c r="E10" s="14">
        <v>70000</v>
      </c>
      <c r="F10" s="14">
        <v>62500</v>
      </c>
      <c r="G10" s="14">
        <v>70000</v>
      </c>
      <c r="H10" s="14">
        <f t="shared" si="1"/>
        <v>388500</v>
      </c>
      <c r="I10" s="9">
        <v>70000</v>
      </c>
      <c r="J10" s="9">
        <v>70000</v>
      </c>
      <c r="K10" s="9">
        <v>67500</v>
      </c>
      <c r="L10" s="9">
        <v>52500</v>
      </c>
      <c r="M10" s="9" ph="1">
        <v>40000</v>
      </c>
      <c r="N10" s="9">
        <v>70000</v>
      </c>
      <c r="O10" s="9">
        <f t="shared" si="2"/>
        <v>370000</v>
      </c>
      <c r="P10" s="9">
        <f t="shared" si="3"/>
        <v>758500</v>
      </c>
    </row>
    <row r="11" spans="1:16" ht="12.95" customHeight="1" x14ac:dyDescent="0.15">
      <c r="A11" s="20" t="s">
        <v>129</v>
      </c>
      <c r="B11" s="14">
        <v>167800</v>
      </c>
      <c r="C11" s="14">
        <v>163680</v>
      </c>
      <c r="D11" s="14">
        <v>151320</v>
      </c>
      <c r="E11" s="14">
        <v>154320</v>
      </c>
      <c r="F11" s="14">
        <v>154320</v>
      </c>
      <c r="G11" s="14">
        <v>186920</v>
      </c>
      <c r="H11" s="14">
        <f t="shared" si="1"/>
        <v>978360</v>
      </c>
      <c r="I11" s="9">
        <v>187280</v>
      </c>
      <c r="J11" s="9">
        <v>197400</v>
      </c>
      <c r="K11" s="9">
        <v>191400</v>
      </c>
      <c r="L11" s="9">
        <v>176040</v>
      </c>
      <c r="M11" s="9">
        <v>177920</v>
      </c>
      <c r="N11" s="9">
        <v>155440</v>
      </c>
      <c r="O11" s="9">
        <f t="shared" si="2"/>
        <v>1085480</v>
      </c>
      <c r="P11" s="9">
        <f t="shared" si="3"/>
        <v>2063840</v>
      </c>
    </row>
    <row r="12" spans="1:16" ht="12.95" customHeight="1" x14ac:dyDescent="0.15">
      <c r="A12" s="27" t="s">
        <v>95</v>
      </c>
      <c r="B12" s="29">
        <v>9927570</v>
      </c>
      <c r="C12" s="14">
        <v>9902860</v>
      </c>
      <c r="D12" s="14">
        <v>9429200</v>
      </c>
      <c r="E12" s="14">
        <v>10450510</v>
      </c>
      <c r="F12" s="14">
        <v>9701160</v>
      </c>
      <c r="G12" s="14">
        <v>10066220</v>
      </c>
      <c r="H12" s="14">
        <f t="shared" si="1"/>
        <v>59477520</v>
      </c>
      <c r="I12" s="9">
        <v>9551150</v>
      </c>
      <c r="J12" s="14">
        <v>9317020</v>
      </c>
      <c r="K12" s="9">
        <v>9349020</v>
      </c>
      <c r="L12" s="9">
        <v>8294150</v>
      </c>
      <c r="M12" s="9">
        <v>8812860</v>
      </c>
      <c r="N12" s="9">
        <v>9642020</v>
      </c>
      <c r="O12" s="9">
        <f t="shared" si="2"/>
        <v>54966220</v>
      </c>
      <c r="P12" s="9">
        <f t="shared" si="3"/>
        <v>114443740</v>
      </c>
    </row>
    <row r="13" spans="1:16" ht="12.95" customHeight="1" x14ac:dyDescent="0.15">
      <c r="A13" s="20" t="s">
        <v>58</v>
      </c>
      <c r="B13" s="14">
        <v>548000</v>
      </c>
      <c r="C13" s="14">
        <v>548000</v>
      </c>
      <c r="D13" s="14">
        <v>529000</v>
      </c>
      <c r="E13" s="14">
        <v>589000</v>
      </c>
      <c r="F13" s="14">
        <v>547000</v>
      </c>
      <c r="G13" s="14">
        <v>560000</v>
      </c>
      <c r="H13" s="14">
        <f t="shared" si="1"/>
        <v>3321000</v>
      </c>
      <c r="I13" s="9">
        <v>535500</v>
      </c>
      <c r="J13" s="9">
        <v>521000</v>
      </c>
      <c r="K13" s="9">
        <v>519000</v>
      </c>
      <c r="L13" s="9">
        <v>459500</v>
      </c>
      <c r="M13" s="9">
        <v>486500</v>
      </c>
      <c r="N13" s="9">
        <v>540000</v>
      </c>
      <c r="O13" s="9">
        <f t="shared" si="2"/>
        <v>3061500</v>
      </c>
      <c r="P13" s="9">
        <f t="shared" si="3"/>
        <v>6382500</v>
      </c>
    </row>
    <row r="14" spans="1:16" ht="12.95" customHeight="1" x14ac:dyDescent="0.15">
      <c r="A14" s="27" t="s">
        <v>96</v>
      </c>
      <c r="B14" s="14">
        <v>1193770</v>
      </c>
      <c r="C14" s="14">
        <v>1301780</v>
      </c>
      <c r="D14" s="14">
        <v>1403070</v>
      </c>
      <c r="E14" s="14">
        <v>1343440</v>
      </c>
      <c r="F14" s="14">
        <v>1467260</v>
      </c>
      <c r="G14" s="14">
        <v>1441610</v>
      </c>
      <c r="H14" s="14">
        <f t="shared" si="1"/>
        <v>8150930</v>
      </c>
      <c r="I14" s="9">
        <v>1375560</v>
      </c>
      <c r="J14" s="9">
        <v>1355820</v>
      </c>
      <c r="K14" s="9">
        <v>1216700</v>
      </c>
      <c r="L14" s="9">
        <v>1078460</v>
      </c>
      <c r="M14" s="9">
        <v>1192290</v>
      </c>
      <c r="N14" s="9">
        <v>1371640</v>
      </c>
      <c r="O14" s="9">
        <f t="shared" si="2"/>
        <v>7590470</v>
      </c>
      <c r="P14" s="9">
        <f t="shared" si="3"/>
        <v>15741400</v>
      </c>
    </row>
    <row r="15" spans="1:16" ht="12.95" customHeight="1" x14ac:dyDescent="0.15">
      <c r="A15" s="20" t="s">
        <v>59</v>
      </c>
      <c r="B15" s="14">
        <v>82500</v>
      </c>
      <c r="C15" s="14">
        <v>91000</v>
      </c>
      <c r="D15" s="14">
        <v>98000</v>
      </c>
      <c r="E15" s="14">
        <v>103500</v>
      </c>
      <c r="F15" s="14">
        <v>101000</v>
      </c>
      <c r="G15" s="14">
        <v>105000</v>
      </c>
      <c r="H15" s="14">
        <f t="shared" si="1"/>
        <v>581000</v>
      </c>
      <c r="I15" s="9">
        <v>103500</v>
      </c>
      <c r="J15" s="9">
        <v>96500</v>
      </c>
      <c r="K15" s="9">
        <v>83500</v>
      </c>
      <c r="L15" s="9">
        <v>67000</v>
      </c>
      <c r="M15" s="9">
        <v>78500</v>
      </c>
      <c r="N15" s="9">
        <v>102500</v>
      </c>
      <c r="O15" s="9">
        <f t="shared" si="2"/>
        <v>531500</v>
      </c>
      <c r="P15" s="9">
        <f t="shared" si="3"/>
        <v>1112500</v>
      </c>
    </row>
    <row r="16" spans="1:16" ht="12.95" customHeight="1" x14ac:dyDescent="0.15">
      <c r="A16" s="28" t="s">
        <v>120</v>
      </c>
      <c r="B16" s="14"/>
      <c r="C16" s="14"/>
      <c r="D16" s="14"/>
      <c r="E16" s="14"/>
      <c r="F16" s="14"/>
      <c r="G16" s="14"/>
      <c r="H16" s="14"/>
      <c r="I16" s="9">
        <v>1289650</v>
      </c>
      <c r="J16" s="9">
        <v>1689280</v>
      </c>
      <c r="K16" s="9">
        <v>1736390</v>
      </c>
      <c r="L16" s="9">
        <v>1711370</v>
      </c>
      <c r="M16" s="9">
        <v>1797500</v>
      </c>
      <c r="N16" s="9">
        <v>1928020</v>
      </c>
      <c r="O16" s="9">
        <f t="shared" si="2"/>
        <v>10152210</v>
      </c>
      <c r="P16" s="9">
        <f t="shared" si="3"/>
        <v>10152210</v>
      </c>
    </row>
    <row r="17" spans="1:16" ht="12.95" customHeight="1" x14ac:dyDescent="0.15">
      <c r="A17" s="20" t="s">
        <v>59</v>
      </c>
      <c r="B17" s="14"/>
      <c r="C17" s="14"/>
      <c r="D17" s="14"/>
      <c r="E17" s="14"/>
      <c r="F17" s="14"/>
      <c r="G17" s="14"/>
      <c r="H17" s="14"/>
      <c r="I17" s="9">
        <v>49000</v>
      </c>
      <c r="J17" s="9">
        <v>67000</v>
      </c>
      <c r="K17" s="9">
        <v>69500</v>
      </c>
      <c r="L17" s="9">
        <v>70000</v>
      </c>
      <c r="M17" s="9">
        <v>72000</v>
      </c>
      <c r="N17" s="9">
        <v>78500</v>
      </c>
      <c r="O17" s="9">
        <f t="shared" si="2"/>
        <v>406000</v>
      </c>
      <c r="P17" s="9">
        <f t="shared" si="3"/>
        <v>406000</v>
      </c>
    </row>
    <row r="18" spans="1:16" ht="12.95" customHeight="1" x14ac:dyDescent="0.15">
      <c r="A18" s="27" t="s">
        <v>119</v>
      </c>
      <c r="B18" s="14">
        <v>61800</v>
      </c>
      <c r="C18" s="14">
        <v>46600</v>
      </c>
      <c r="D18" s="14">
        <v>83000</v>
      </c>
      <c r="E18" s="14">
        <v>61400</v>
      </c>
      <c r="F18" s="14">
        <v>55000</v>
      </c>
      <c r="G18" s="14">
        <v>68000</v>
      </c>
      <c r="H18" s="14">
        <f t="shared" ref="H18:H27" si="5">SUM(B18:G18)</f>
        <v>375800</v>
      </c>
      <c r="I18" s="9">
        <v>57000</v>
      </c>
      <c r="J18" s="9">
        <v>46000</v>
      </c>
      <c r="K18" s="9">
        <v>54000</v>
      </c>
      <c r="L18" s="9">
        <v>36000</v>
      </c>
      <c r="M18" s="9">
        <v>43000</v>
      </c>
      <c r="N18" s="9">
        <v>63000</v>
      </c>
      <c r="O18" s="9">
        <f t="shared" si="2"/>
        <v>299000</v>
      </c>
      <c r="P18" s="9">
        <f t="shared" si="3"/>
        <v>674800</v>
      </c>
    </row>
    <row r="19" spans="1:16" ht="12.95" customHeight="1" x14ac:dyDescent="0.15">
      <c r="A19" s="27" t="s">
        <v>97</v>
      </c>
      <c r="B19" s="14">
        <v>750</v>
      </c>
      <c r="C19" s="14">
        <v>0</v>
      </c>
      <c r="D19" s="14">
        <v>2500</v>
      </c>
      <c r="E19" s="14">
        <v>8800</v>
      </c>
      <c r="F19" s="14">
        <v>0</v>
      </c>
      <c r="G19" s="14">
        <v>0</v>
      </c>
      <c r="H19" s="14">
        <f t="shared" si="5"/>
        <v>12050</v>
      </c>
      <c r="I19" s="14">
        <v>3000</v>
      </c>
      <c r="J19" s="14">
        <v>76850</v>
      </c>
      <c r="K19" s="14">
        <v>6800</v>
      </c>
      <c r="L19" s="14">
        <v>12850</v>
      </c>
      <c r="M19" s="14">
        <v>12700</v>
      </c>
      <c r="N19" s="14">
        <v>8800</v>
      </c>
      <c r="O19" s="14">
        <f t="shared" si="2"/>
        <v>121000</v>
      </c>
      <c r="P19" s="14">
        <f t="shared" si="3"/>
        <v>133050</v>
      </c>
    </row>
    <row r="20" spans="1:16" ht="12.95" customHeight="1" x14ac:dyDescent="0.15">
      <c r="A20" s="27" t="s">
        <v>98</v>
      </c>
      <c r="B20" s="14">
        <v>140250</v>
      </c>
      <c r="C20" s="14">
        <v>123600</v>
      </c>
      <c r="D20" s="14">
        <v>124900</v>
      </c>
      <c r="E20" s="14">
        <v>123400</v>
      </c>
      <c r="F20" s="14">
        <v>128950</v>
      </c>
      <c r="G20" s="14">
        <v>107450</v>
      </c>
      <c r="H20" s="14">
        <f t="shared" si="5"/>
        <v>748550</v>
      </c>
      <c r="I20" s="14">
        <v>122950</v>
      </c>
      <c r="J20" s="14">
        <v>107900</v>
      </c>
      <c r="K20" s="14">
        <v>106800</v>
      </c>
      <c r="L20" s="14">
        <v>116150</v>
      </c>
      <c r="M20" s="14">
        <v>76000</v>
      </c>
      <c r="N20" s="14">
        <v>108400</v>
      </c>
      <c r="O20" s="9">
        <f t="shared" si="2"/>
        <v>638200</v>
      </c>
      <c r="P20" s="14">
        <f t="shared" si="3"/>
        <v>1386750</v>
      </c>
    </row>
    <row r="21" spans="1:16" ht="12.95" customHeight="1" x14ac:dyDescent="0.15">
      <c r="A21" s="27" t="s">
        <v>118</v>
      </c>
      <c r="B21" s="14">
        <v>159050</v>
      </c>
      <c r="C21" s="14">
        <v>134500</v>
      </c>
      <c r="D21" s="14">
        <v>150750</v>
      </c>
      <c r="E21" s="14">
        <v>219950</v>
      </c>
      <c r="F21" s="14">
        <v>273150</v>
      </c>
      <c r="G21" s="14">
        <v>134050</v>
      </c>
      <c r="H21" s="14">
        <f t="shared" si="5"/>
        <v>1071450</v>
      </c>
      <c r="I21" s="14">
        <v>151100</v>
      </c>
      <c r="J21" s="14">
        <v>132700</v>
      </c>
      <c r="K21" s="14">
        <v>127300</v>
      </c>
      <c r="L21" s="14">
        <v>122000</v>
      </c>
      <c r="M21" s="14">
        <v>113150</v>
      </c>
      <c r="N21" s="14">
        <v>173450</v>
      </c>
      <c r="O21" s="9">
        <f t="shared" si="2"/>
        <v>819700</v>
      </c>
      <c r="P21" s="14">
        <f t="shared" si="3"/>
        <v>1891150</v>
      </c>
    </row>
    <row r="22" spans="1:16" ht="12.95" customHeight="1" x14ac:dyDescent="0.15">
      <c r="A22" s="27" t="s">
        <v>130</v>
      </c>
      <c r="B22" s="14">
        <v>553300</v>
      </c>
      <c r="C22" s="14">
        <v>343450</v>
      </c>
      <c r="D22" s="14">
        <v>369700</v>
      </c>
      <c r="E22" s="14">
        <v>598850</v>
      </c>
      <c r="F22" s="14">
        <v>904300</v>
      </c>
      <c r="G22" s="14">
        <v>302950</v>
      </c>
      <c r="H22" s="14">
        <f t="shared" si="5"/>
        <v>3072550</v>
      </c>
      <c r="I22" s="14">
        <v>297800</v>
      </c>
      <c r="J22" s="14">
        <v>289800</v>
      </c>
      <c r="K22" s="14">
        <v>321350</v>
      </c>
      <c r="L22" s="14">
        <v>264350</v>
      </c>
      <c r="M22" s="14">
        <v>249100</v>
      </c>
      <c r="N22" s="14">
        <v>335050</v>
      </c>
      <c r="O22" s="9">
        <f t="shared" si="2"/>
        <v>1757450</v>
      </c>
      <c r="P22" s="14">
        <f t="shared" si="3"/>
        <v>4830000</v>
      </c>
    </row>
    <row r="23" spans="1:16" ht="12.95" customHeight="1" x14ac:dyDescent="0.15">
      <c r="A23" s="20" t="s">
        <v>99</v>
      </c>
      <c r="B23" s="14">
        <v>0</v>
      </c>
      <c r="C23" s="14">
        <v>200000</v>
      </c>
      <c r="D23" s="14">
        <v>200000</v>
      </c>
      <c r="E23" s="14">
        <v>200000</v>
      </c>
      <c r="F23" s="14">
        <v>200000</v>
      </c>
      <c r="G23" s="14">
        <v>200000</v>
      </c>
      <c r="H23" s="14">
        <f t="shared" si="5"/>
        <v>1000000</v>
      </c>
      <c r="I23" s="14">
        <v>200000</v>
      </c>
      <c r="J23" s="14">
        <v>450000</v>
      </c>
      <c r="K23" s="14">
        <v>450000</v>
      </c>
      <c r="L23" s="14">
        <v>450000</v>
      </c>
      <c r="M23" s="14">
        <v>805000</v>
      </c>
      <c r="N23" s="14">
        <v>805000</v>
      </c>
      <c r="O23" s="14">
        <f t="shared" si="2"/>
        <v>3160000</v>
      </c>
      <c r="P23" s="14">
        <f t="shared" si="3"/>
        <v>4160000</v>
      </c>
    </row>
    <row r="24" spans="1:16" x14ac:dyDescent="0.15">
      <c r="A24" s="19" t="s">
        <v>11</v>
      </c>
      <c r="B24" s="10">
        <v>1000000</v>
      </c>
      <c r="C24" s="10">
        <v>70000</v>
      </c>
      <c r="D24" s="10">
        <v>21000</v>
      </c>
      <c r="E24" s="10">
        <v>20000</v>
      </c>
      <c r="F24" s="10">
        <v>56000</v>
      </c>
      <c r="G24" s="10">
        <v>30000</v>
      </c>
      <c r="H24" s="10">
        <f t="shared" si="5"/>
        <v>1197000</v>
      </c>
      <c r="I24" s="10">
        <v>10000</v>
      </c>
      <c r="J24" s="10">
        <v>56000</v>
      </c>
      <c r="K24" s="10">
        <v>60000</v>
      </c>
      <c r="L24" s="10">
        <v>25000</v>
      </c>
      <c r="M24" s="10">
        <v>350000</v>
      </c>
      <c r="N24" s="10">
        <v>65000</v>
      </c>
      <c r="O24" s="10">
        <f t="shared" si="2"/>
        <v>566000</v>
      </c>
      <c r="P24" s="10">
        <f t="shared" si="3"/>
        <v>1763000</v>
      </c>
    </row>
    <row r="25" spans="1:16" x14ac:dyDescent="0.15">
      <c r="A25" s="19" t="s">
        <v>125</v>
      </c>
      <c r="B25" s="10">
        <v>205065</v>
      </c>
      <c r="C25" s="10">
        <v>220310</v>
      </c>
      <c r="D25" s="10">
        <v>210177</v>
      </c>
      <c r="E25" s="10">
        <v>212670</v>
      </c>
      <c r="F25" s="10">
        <v>205513</v>
      </c>
      <c r="G25" s="10">
        <v>523424</v>
      </c>
      <c r="H25" s="10">
        <f t="shared" si="5"/>
        <v>1577159</v>
      </c>
      <c r="I25" s="10">
        <v>10211706</v>
      </c>
      <c r="J25" s="10">
        <v>716865</v>
      </c>
      <c r="K25" s="10">
        <v>208049</v>
      </c>
      <c r="L25" s="10">
        <v>286774</v>
      </c>
      <c r="M25" s="10">
        <v>250322</v>
      </c>
      <c r="N25" s="10">
        <v>226352</v>
      </c>
      <c r="O25" s="10">
        <f t="shared" si="2"/>
        <v>11900068</v>
      </c>
      <c r="P25" s="10">
        <f t="shared" si="3"/>
        <v>13477227</v>
      </c>
    </row>
    <row r="26" spans="1:16" x14ac:dyDescent="0.15">
      <c r="A26" s="19" t="s">
        <v>12</v>
      </c>
      <c r="B26" s="10">
        <v>382350</v>
      </c>
      <c r="C26" s="10">
        <v>181665</v>
      </c>
      <c r="D26" s="10">
        <v>165915</v>
      </c>
      <c r="E26" s="10">
        <v>158200</v>
      </c>
      <c r="F26" s="10">
        <v>185285</v>
      </c>
      <c r="G26" s="10">
        <v>181105</v>
      </c>
      <c r="H26" s="10">
        <f t="shared" si="5"/>
        <v>1254520</v>
      </c>
      <c r="I26" s="10">
        <v>178793</v>
      </c>
      <c r="J26" s="10">
        <v>152300</v>
      </c>
      <c r="K26" s="10">
        <v>120915</v>
      </c>
      <c r="L26" s="10">
        <v>107675</v>
      </c>
      <c r="M26" s="10">
        <v>153680</v>
      </c>
      <c r="N26" s="10">
        <v>113580</v>
      </c>
      <c r="O26" s="10">
        <f t="shared" si="2"/>
        <v>826943</v>
      </c>
      <c r="P26" s="10">
        <f t="shared" si="3"/>
        <v>2081463</v>
      </c>
    </row>
    <row r="27" spans="1:16" x14ac:dyDescent="0.15">
      <c r="A27" s="22" t="s">
        <v>13</v>
      </c>
      <c r="B27" s="10">
        <f t="shared" ref="B27:G27" si="6">B4+B8+B24+B25+B26</f>
        <v>16817205</v>
      </c>
      <c r="C27" s="10">
        <f t="shared" si="6"/>
        <v>15712445</v>
      </c>
      <c r="D27" s="10">
        <f t="shared" si="6"/>
        <v>15393032</v>
      </c>
      <c r="E27" s="10">
        <f t="shared" si="6"/>
        <v>16832540</v>
      </c>
      <c r="F27" s="10">
        <f t="shared" si="6"/>
        <v>16526438</v>
      </c>
      <c r="G27" s="10">
        <f t="shared" si="6"/>
        <v>16429229</v>
      </c>
      <c r="H27" s="10">
        <f t="shared" si="5"/>
        <v>97710889</v>
      </c>
      <c r="I27" s="10">
        <f t="shared" ref="I27:N27" si="7">I4+I8+I24+I25+I26</f>
        <v>27007489</v>
      </c>
      <c r="J27" s="10">
        <f t="shared" si="7"/>
        <v>18009935</v>
      </c>
      <c r="K27" s="10">
        <f t="shared" si="7"/>
        <v>17392224</v>
      </c>
      <c r="L27" s="10">
        <f t="shared" si="7"/>
        <v>15869319</v>
      </c>
      <c r="M27" s="10">
        <f t="shared" si="7"/>
        <v>17314022</v>
      </c>
      <c r="N27" s="10">
        <f t="shared" si="7"/>
        <v>18434752</v>
      </c>
      <c r="O27" s="10">
        <f t="shared" si="2"/>
        <v>114027741</v>
      </c>
      <c r="P27" s="10">
        <f t="shared" si="3"/>
        <v>211738630</v>
      </c>
    </row>
    <row r="28" spans="1:16" x14ac:dyDescent="0.15">
      <c r="A28" s="7" t="s">
        <v>124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15">
      <c r="A29" s="4" t="s">
        <v>15</v>
      </c>
      <c r="B29" s="2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15">
      <c r="A30" s="7" t="s">
        <v>16</v>
      </c>
      <c r="B30" s="10">
        <f t="shared" ref="B30:N30" si="8">SUM(B31:B35)</f>
        <v>9590284</v>
      </c>
      <c r="C30" s="10">
        <f t="shared" si="8"/>
        <v>9630075</v>
      </c>
      <c r="D30" s="10">
        <f t="shared" si="8"/>
        <v>9499923</v>
      </c>
      <c r="E30" s="10">
        <f t="shared" si="8"/>
        <v>17441414</v>
      </c>
      <c r="F30" s="10">
        <f t="shared" si="8"/>
        <v>10573666</v>
      </c>
      <c r="G30" s="10">
        <f t="shared" si="8"/>
        <v>9712096</v>
      </c>
      <c r="H30" s="10">
        <f t="shared" ref="H30:H67" si="9">SUM(B30:G30)</f>
        <v>66447458</v>
      </c>
      <c r="I30" s="10">
        <f t="shared" si="8"/>
        <v>10945912</v>
      </c>
      <c r="J30" s="10">
        <f t="shared" si="8"/>
        <v>11040991</v>
      </c>
      <c r="K30" s="10">
        <f t="shared" si="8"/>
        <v>17914214</v>
      </c>
      <c r="L30" s="10">
        <f t="shared" si="8"/>
        <v>10687983</v>
      </c>
      <c r="M30" s="10">
        <f t="shared" si="8"/>
        <v>10637181</v>
      </c>
      <c r="N30" s="10">
        <f t="shared" si="8"/>
        <v>11154756</v>
      </c>
      <c r="O30" s="10">
        <f t="shared" si="2"/>
        <v>72381037</v>
      </c>
      <c r="P30" s="10">
        <f t="shared" si="3"/>
        <v>138828495</v>
      </c>
    </row>
    <row r="31" spans="1:16" ht="12.95" customHeight="1" x14ac:dyDescent="0.15">
      <c r="A31" s="4" t="s">
        <v>100</v>
      </c>
      <c r="B31" s="9">
        <v>30000</v>
      </c>
      <c r="C31" s="9">
        <v>30000</v>
      </c>
      <c r="D31" s="9">
        <v>30000</v>
      </c>
      <c r="E31" s="9">
        <v>30000</v>
      </c>
      <c r="F31" s="9">
        <v>30000</v>
      </c>
      <c r="G31" s="9">
        <v>30000</v>
      </c>
      <c r="H31" s="9">
        <f t="shared" si="9"/>
        <v>180000</v>
      </c>
      <c r="I31" s="9">
        <v>30000</v>
      </c>
      <c r="J31" s="9">
        <v>30000</v>
      </c>
      <c r="K31" s="9">
        <v>30000</v>
      </c>
      <c r="L31" s="9">
        <v>30000</v>
      </c>
      <c r="M31" s="9">
        <v>30000</v>
      </c>
      <c r="N31" s="9">
        <v>30000</v>
      </c>
      <c r="O31" s="9">
        <f t="shared" si="2"/>
        <v>180000</v>
      </c>
      <c r="P31" s="9">
        <f t="shared" si="3"/>
        <v>360000</v>
      </c>
    </row>
    <row r="32" spans="1:16" ht="12.95" customHeight="1" x14ac:dyDescent="0.15">
      <c r="A32" s="4" t="s">
        <v>101</v>
      </c>
      <c r="B32" s="9">
        <v>7588875</v>
      </c>
      <c r="C32" s="9">
        <v>7578925</v>
      </c>
      <c r="D32" s="9">
        <v>7516350</v>
      </c>
      <c r="E32" s="9">
        <v>14023086</v>
      </c>
      <c r="F32" s="9">
        <v>8265250</v>
      </c>
      <c r="G32" s="9">
        <v>7667785</v>
      </c>
      <c r="H32" s="9">
        <f t="shared" si="9"/>
        <v>52640271</v>
      </c>
      <c r="I32" s="9">
        <v>8190175</v>
      </c>
      <c r="J32" s="9">
        <v>8592205</v>
      </c>
      <c r="K32" s="9">
        <v>14563112</v>
      </c>
      <c r="L32" s="9">
        <v>8053736</v>
      </c>
      <c r="M32" s="9">
        <v>8321780</v>
      </c>
      <c r="N32" s="9">
        <v>8938450</v>
      </c>
      <c r="O32" s="9">
        <f t="shared" si="2"/>
        <v>56659458</v>
      </c>
      <c r="P32" s="9">
        <f t="shared" si="3"/>
        <v>109299729</v>
      </c>
    </row>
    <row r="33" spans="1:16" ht="12.95" customHeight="1" x14ac:dyDescent="0.15">
      <c r="A33" s="4" t="s">
        <v>102</v>
      </c>
      <c r="B33" s="14">
        <v>1337500</v>
      </c>
      <c r="C33" s="14">
        <v>1312875</v>
      </c>
      <c r="D33" s="14">
        <v>1245900</v>
      </c>
      <c r="E33" s="14">
        <v>2267445</v>
      </c>
      <c r="F33" s="14">
        <v>1570730</v>
      </c>
      <c r="G33" s="14">
        <v>1304930</v>
      </c>
      <c r="H33" s="14">
        <f t="shared" si="9"/>
        <v>9039380</v>
      </c>
      <c r="I33" s="14">
        <v>1456590</v>
      </c>
      <c r="J33" s="14">
        <v>1618540</v>
      </c>
      <c r="K33" s="14">
        <v>2520150</v>
      </c>
      <c r="L33" s="13">
        <v>1283940</v>
      </c>
      <c r="M33" s="14">
        <v>1461790</v>
      </c>
      <c r="N33" s="14">
        <v>1357790</v>
      </c>
      <c r="O33" s="14">
        <f t="shared" si="2"/>
        <v>9698800</v>
      </c>
      <c r="P33" s="14">
        <f t="shared" si="3"/>
        <v>18738180</v>
      </c>
    </row>
    <row r="34" spans="1:16" ht="12.95" customHeight="1" x14ac:dyDescent="0.15">
      <c r="A34" s="4" t="s">
        <v>19</v>
      </c>
      <c r="B34" s="9">
        <v>633909</v>
      </c>
      <c r="C34" s="9">
        <v>708275</v>
      </c>
      <c r="D34" s="9">
        <v>707673</v>
      </c>
      <c r="E34" s="9">
        <v>1120883</v>
      </c>
      <c r="F34" s="9">
        <v>707686</v>
      </c>
      <c r="G34" s="9">
        <v>709381</v>
      </c>
      <c r="H34" s="9">
        <f t="shared" si="9"/>
        <v>4587807</v>
      </c>
      <c r="I34" s="9">
        <v>1269147</v>
      </c>
      <c r="J34" s="9">
        <v>800246</v>
      </c>
      <c r="K34" s="9">
        <v>800952</v>
      </c>
      <c r="L34" s="9">
        <v>1320307</v>
      </c>
      <c r="M34" s="9">
        <v>823611</v>
      </c>
      <c r="N34" s="9">
        <v>828516</v>
      </c>
      <c r="O34" s="13">
        <f t="shared" si="2"/>
        <v>5842779</v>
      </c>
      <c r="P34" s="9">
        <f t="shared" si="3"/>
        <v>10430586</v>
      </c>
    </row>
    <row r="35" spans="1:16" ht="12.95" customHeight="1" x14ac:dyDescent="0.15">
      <c r="A35" s="4" t="s">
        <v>117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f t="shared" si="9"/>
        <v>0</v>
      </c>
      <c r="I35" s="9">
        <v>0</v>
      </c>
      <c r="J35" s="9">
        <v>0</v>
      </c>
      <c r="K35" s="9">
        <v>0</v>
      </c>
      <c r="L35" s="9">
        <v>0</v>
      </c>
      <c r="M35" s="9"/>
      <c r="N35" s="9"/>
      <c r="O35" s="13">
        <f t="shared" si="2"/>
        <v>0</v>
      </c>
      <c r="P35" s="9">
        <f t="shared" si="3"/>
        <v>0</v>
      </c>
    </row>
    <row r="36" spans="1:16" x14ac:dyDescent="0.15">
      <c r="A36" s="7" t="s">
        <v>20</v>
      </c>
      <c r="B36" s="10">
        <f t="shared" ref="B36:N36" si="10">SUM(B37:B61)</f>
        <v>2630241</v>
      </c>
      <c r="C36" s="10">
        <f t="shared" si="10"/>
        <v>6714761</v>
      </c>
      <c r="D36" s="10">
        <f t="shared" si="10"/>
        <v>2635168</v>
      </c>
      <c r="E36" s="10">
        <f t="shared" si="10"/>
        <v>2899338</v>
      </c>
      <c r="F36" s="10">
        <f t="shared" si="10"/>
        <v>3695110</v>
      </c>
      <c r="G36" s="10">
        <f t="shared" si="10"/>
        <v>6792025</v>
      </c>
      <c r="H36" s="10">
        <f t="shared" si="9"/>
        <v>25366643</v>
      </c>
      <c r="I36" s="10">
        <f t="shared" si="10"/>
        <v>4047737</v>
      </c>
      <c r="J36" s="10">
        <f t="shared" si="10"/>
        <v>3956253</v>
      </c>
      <c r="K36" s="10">
        <f t="shared" si="10"/>
        <v>6383421</v>
      </c>
      <c r="L36" s="10">
        <f t="shared" si="10"/>
        <v>3904113</v>
      </c>
      <c r="M36" s="10">
        <f t="shared" si="10"/>
        <v>3032978</v>
      </c>
      <c r="N36" s="10">
        <f t="shared" si="10"/>
        <v>8251251</v>
      </c>
      <c r="O36" s="10">
        <f t="shared" si="2"/>
        <v>29575753</v>
      </c>
      <c r="P36" s="10">
        <f t="shared" si="3"/>
        <v>54942396</v>
      </c>
    </row>
    <row r="37" spans="1:16" ht="12.95" customHeight="1" x14ac:dyDescent="0.15">
      <c r="A37" s="4" t="s">
        <v>21</v>
      </c>
      <c r="B37" s="9">
        <v>315416</v>
      </c>
      <c r="C37" s="9">
        <v>262500</v>
      </c>
      <c r="D37" s="9">
        <v>313978</v>
      </c>
      <c r="E37" s="9">
        <v>364000</v>
      </c>
      <c r="F37" s="9">
        <v>269000</v>
      </c>
      <c r="G37" s="9">
        <v>310956</v>
      </c>
      <c r="H37" s="9">
        <f t="shared" si="9"/>
        <v>1835850</v>
      </c>
      <c r="I37" s="9">
        <v>336600</v>
      </c>
      <c r="J37" s="9">
        <v>287239</v>
      </c>
      <c r="K37" s="9">
        <v>674584</v>
      </c>
      <c r="L37" s="9">
        <v>311500</v>
      </c>
      <c r="M37" s="9">
        <v>272500</v>
      </c>
      <c r="N37" s="9">
        <v>789571</v>
      </c>
      <c r="O37" s="13">
        <f t="shared" si="2"/>
        <v>2671994</v>
      </c>
      <c r="P37" s="9">
        <f t="shared" si="3"/>
        <v>4507844</v>
      </c>
    </row>
    <row r="38" spans="1:16" ht="12.95" customHeight="1" x14ac:dyDescent="0.15">
      <c r="A38" s="4" t="s">
        <v>22</v>
      </c>
      <c r="B38" s="9">
        <v>0</v>
      </c>
      <c r="C38" s="9">
        <v>4000</v>
      </c>
      <c r="D38" s="9">
        <v>8700</v>
      </c>
      <c r="E38" s="9">
        <v>1500</v>
      </c>
      <c r="F38" s="9">
        <v>12500</v>
      </c>
      <c r="G38" s="9">
        <v>840</v>
      </c>
      <c r="H38" s="9">
        <f t="shared" si="9"/>
        <v>27540</v>
      </c>
      <c r="I38" s="9">
        <v>8200</v>
      </c>
      <c r="J38" s="9">
        <v>0</v>
      </c>
      <c r="K38" s="9">
        <v>17300</v>
      </c>
      <c r="L38" s="9">
        <v>0</v>
      </c>
      <c r="M38" s="9">
        <v>0</v>
      </c>
      <c r="N38" s="9">
        <v>10100</v>
      </c>
      <c r="O38" s="13">
        <f t="shared" si="2"/>
        <v>35600</v>
      </c>
      <c r="P38" s="9">
        <f t="shared" si="3"/>
        <v>63140</v>
      </c>
    </row>
    <row r="39" spans="1:16" ht="12.95" customHeight="1" x14ac:dyDescent="0.15">
      <c r="A39" s="4" t="s">
        <v>103</v>
      </c>
      <c r="B39" s="9">
        <v>66727</v>
      </c>
      <c r="C39" s="9">
        <v>77207</v>
      </c>
      <c r="D39" s="9">
        <v>68551</v>
      </c>
      <c r="E39" s="9">
        <v>48336</v>
      </c>
      <c r="F39" s="9">
        <v>83401</v>
      </c>
      <c r="G39" s="9">
        <v>62158</v>
      </c>
      <c r="H39" s="9">
        <f t="shared" si="9"/>
        <v>406380</v>
      </c>
      <c r="I39" s="9">
        <v>57803</v>
      </c>
      <c r="J39" s="9">
        <v>95809</v>
      </c>
      <c r="K39" s="9">
        <v>68467</v>
      </c>
      <c r="L39" s="9">
        <v>88804</v>
      </c>
      <c r="M39" s="9">
        <v>86314</v>
      </c>
      <c r="N39" s="9">
        <v>101899</v>
      </c>
      <c r="O39" s="13">
        <f t="shared" si="2"/>
        <v>499096</v>
      </c>
      <c r="P39" s="9">
        <f t="shared" si="3"/>
        <v>905476</v>
      </c>
    </row>
    <row r="40" spans="1:16" ht="12.95" customHeight="1" x14ac:dyDescent="0.15">
      <c r="A40" s="4" t="s">
        <v>24</v>
      </c>
      <c r="B40" s="9">
        <v>10707</v>
      </c>
      <c r="C40" s="9">
        <v>13501</v>
      </c>
      <c r="D40" s="9">
        <v>16943</v>
      </c>
      <c r="E40" s="9">
        <v>16960</v>
      </c>
      <c r="F40" s="9">
        <v>9556</v>
      </c>
      <c r="G40" s="9">
        <v>28648</v>
      </c>
      <c r="H40" s="9">
        <f t="shared" si="9"/>
        <v>96315</v>
      </c>
      <c r="I40" s="9">
        <v>16395</v>
      </c>
      <c r="J40" s="9">
        <v>19471</v>
      </c>
      <c r="K40" s="9">
        <v>41527</v>
      </c>
      <c r="L40" s="9">
        <v>25445</v>
      </c>
      <c r="M40" s="9">
        <v>8424</v>
      </c>
      <c r="N40" s="9">
        <v>11140</v>
      </c>
      <c r="O40" s="13">
        <f t="shared" si="2"/>
        <v>122402</v>
      </c>
      <c r="P40" s="9">
        <f t="shared" si="3"/>
        <v>218717</v>
      </c>
    </row>
    <row r="41" spans="1:16" ht="12.95" customHeight="1" x14ac:dyDescent="0.15">
      <c r="A41" s="4" t="s">
        <v>104</v>
      </c>
      <c r="B41" s="9">
        <v>48580</v>
      </c>
      <c r="C41" s="9">
        <v>0</v>
      </c>
      <c r="D41" s="9">
        <v>0</v>
      </c>
      <c r="E41" s="9">
        <v>161980</v>
      </c>
      <c r="F41" s="9">
        <v>34800</v>
      </c>
      <c r="G41" s="9">
        <v>1162818</v>
      </c>
      <c r="H41" s="9">
        <f t="shared" si="9"/>
        <v>1408178</v>
      </c>
      <c r="I41" s="9">
        <v>122393</v>
      </c>
      <c r="J41" s="9">
        <v>382473</v>
      </c>
      <c r="K41" s="9">
        <v>385345</v>
      </c>
      <c r="L41" s="9">
        <v>76180</v>
      </c>
      <c r="M41" s="9">
        <v>5000</v>
      </c>
      <c r="N41" s="9">
        <v>19600</v>
      </c>
      <c r="O41" s="13">
        <f t="shared" si="2"/>
        <v>990991</v>
      </c>
      <c r="P41" s="9">
        <f t="shared" si="3"/>
        <v>2399169</v>
      </c>
    </row>
    <row r="42" spans="1:16" ht="12.95" customHeight="1" x14ac:dyDescent="0.15">
      <c r="A42" s="4" t="s">
        <v>105</v>
      </c>
      <c r="B42" s="9">
        <v>49370</v>
      </c>
      <c r="C42" s="9">
        <v>0</v>
      </c>
      <c r="D42" s="9">
        <v>85358</v>
      </c>
      <c r="E42" s="9">
        <v>25258</v>
      </c>
      <c r="F42" s="9">
        <v>0</v>
      </c>
      <c r="G42" s="9">
        <v>0</v>
      </c>
      <c r="H42" s="9">
        <f t="shared" si="9"/>
        <v>159986</v>
      </c>
      <c r="I42" s="9">
        <v>21000</v>
      </c>
      <c r="J42" s="9">
        <v>21630</v>
      </c>
      <c r="K42" s="9">
        <v>0</v>
      </c>
      <c r="L42" s="9">
        <v>0</v>
      </c>
      <c r="M42" s="9">
        <v>39627</v>
      </c>
      <c r="N42" s="9">
        <v>0</v>
      </c>
      <c r="O42" s="13">
        <f t="shared" si="2"/>
        <v>82257</v>
      </c>
      <c r="P42" s="9">
        <f t="shared" si="3"/>
        <v>242243</v>
      </c>
    </row>
    <row r="43" spans="1:16" ht="12.95" customHeight="1" x14ac:dyDescent="0.15">
      <c r="A43" s="4" t="s">
        <v>106</v>
      </c>
      <c r="B43" s="9">
        <v>0</v>
      </c>
      <c r="C43" s="9">
        <v>6300</v>
      </c>
      <c r="D43" s="9">
        <v>22050</v>
      </c>
      <c r="E43" s="9">
        <v>119595</v>
      </c>
      <c r="F43" s="9">
        <v>24150</v>
      </c>
      <c r="G43" s="9">
        <v>38400</v>
      </c>
      <c r="H43" s="9">
        <f t="shared" si="9"/>
        <v>210495</v>
      </c>
      <c r="I43" s="9">
        <v>90300</v>
      </c>
      <c r="J43" s="9">
        <v>44895</v>
      </c>
      <c r="K43" s="9">
        <v>91110</v>
      </c>
      <c r="L43" s="9">
        <v>139768</v>
      </c>
      <c r="M43" s="9">
        <v>66611</v>
      </c>
      <c r="N43" s="9">
        <v>42491</v>
      </c>
      <c r="O43" s="13">
        <f t="shared" si="2"/>
        <v>475175</v>
      </c>
      <c r="P43" s="9">
        <f t="shared" si="3"/>
        <v>685670</v>
      </c>
    </row>
    <row r="44" spans="1:16" ht="12.95" customHeight="1" x14ac:dyDescent="0.15">
      <c r="A44" s="4" t="s">
        <v>28</v>
      </c>
      <c r="B44" s="9">
        <v>36660</v>
      </c>
      <c r="C44" s="9">
        <v>23120</v>
      </c>
      <c r="D44" s="9">
        <v>12960</v>
      </c>
      <c r="E44" s="9">
        <v>48230</v>
      </c>
      <c r="F44" s="9">
        <v>19460</v>
      </c>
      <c r="G44" s="9">
        <v>12890</v>
      </c>
      <c r="H44" s="9">
        <f t="shared" si="9"/>
        <v>153320</v>
      </c>
      <c r="I44" s="9">
        <v>15060</v>
      </c>
      <c r="J44" s="9">
        <v>42325</v>
      </c>
      <c r="K44" s="9">
        <v>11050</v>
      </c>
      <c r="L44" s="9">
        <v>11210</v>
      </c>
      <c r="M44" s="9">
        <v>22360</v>
      </c>
      <c r="N44" s="9">
        <v>24260</v>
      </c>
      <c r="O44" s="13">
        <f t="shared" si="2"/>
        <v>126265</v>
      </c>
      <c r="P44" s="9">
        <f t="shared" si="3"/>
        <v>279585</v>
      </c>
    </row>
    <row r="45" spans="1:16" ht="12.95" customHeight="1" x14ac:dyDescent="0.15">
      <c r="A45" s="4" t="s">
        <v>107</v>
      </c>
      <c r="B45" s="9">
        <v>30000</v>
      </c>
      <c r="C45" s="9">
        <v>10515</v>
      </c>
      <c r="D45" s="9">
        <v>13000</v>
      </c>
      <c r="E45" s="9">
        <v>42000</v>
      </c>
      <c r="F45" s="9">
        <v>500</v>
      </c>
      <c r="G45" s="9">
        <v>21000</v>
      </c>
      <c r="H45" s="9">
        <f t="shared" si="9"/>
        <v>117015</v>
      </c>
      <c r="I45" s="9">
        <v>64500</v>
      </c>
      <c r="J45" s="9">
        <v>12500</v>
      </c>
      <c r="K45" s="9">
        <v>5060</v>
      </c>
      <c r="L45" s="9">
        <v>0</v>
      </c>
      <c r="M45" s="9">
        <v>0</v>
      </c>
      <c r="N45" s="9">
        <v>3800</v>
      </c>
      <c r="O45" s="13">
        <f t="shared" si="2"/>
        <v>85860</v>
      </c>
      <c r="P45" s="9">
        <f t="shared" si="3"/>
        <v>202875</v>
      </c>
    </row>
    <row r="46" spans="1:16" ht="12.95" customHeight="1" x14ac:dyDescent="0.15">
      <c r="A46" s="4" t="s">
        <v>27</v>
      </c>
      <c r="B46" s="9">
        <v>0</v>
      </c>
      <c r="C46" s="9">
        <v>0</v>
      </c>
      <c r="D46" s="9">
        <v>0</v>
      </c>
      <c r="E46" s="9">
        <v>3150</v>
      </c>
      <c r="F46" s="9">
        <v>10500</v>
      </c>
      <c r="G46" s="9">
        <v>0</v>
      </c>
      <c r="H46" s="9">
        <f t="shared" si="9"/>
        <v>13650</v>
      </c>
      <c r="I46" s="9">
        <v>57120</v>
      </c>
      <c r="J46" s="9">
        <v>3360</v>
      </c>
      <c r="K46" s="9">
        <v>59325</v>
      </c>
      <c r="L46" s="9">
        <v>11900</v>
      </c>
      <c r="M46" s="9">
        <v>0</v>
      </c>
      <c r="N46" s="9">
        <v>9450</v>
      </c>
      <c r="O46" s="13">
        <f t="shared" si="2"/>
        <v>141155</v>
      </c>
      <c r="P46" s="9">
        <f t="shared" si="3"/>
        <v>154805</v>
      </c>
    </row>
    <row r="47" spans="1:16" ht="12.95" customHeight="1" x14ac:dyDescent="0.15">
      <c r="A47" s="4" t="s">
        <v>32</v>
      </c>
      <c r="B47" s="9">
        <v>395593</v>
      </c>
      <c r="C47" s="9">
        <v>393372</v>
      </c>
      <c r="D47" s="9">
        <v>332782</v>
      </c>
      <c r="E47" s="9">
        <v>220613</v>
      </c>
      <c r="F47" s="9">
        <v>422489</v>
      </c>
      <c r="G47" s="9">
        <v>352096</v>
      </c>
      <c r="H47" s="9">
        <f t="shared" si="9"/>
        <v>2116945</v>
      </c>
      <c r="I47" s="9">
        <v>219184</v>
      </c>
      <c r="J47" s="9">
        <v>424452</v>
      </c>
      <c r="K47" s="9">
        <v>454316</v>
      </c>
      <c r="L47" s="9">
        <v>500263</v>
      </c>
      <c r="M47" s="9">
        <v>572333</v>
      </c>
      <c r="N47" s="9">
        <v>572542</v>
      </c>
      <c r="O47" s="13">
        <f t="shared" si="2"/>
        <v>2743090</v>
      </c>
      <c r="P47" s="9">
        <f t="shared" si="3"/>
        <v>4860035</v>
      </c>
    </row>
    <row r="48" spans="1:16" ht="12.95" customHeight="1" x14ac:dyDescent="0.15">
      <c r="A48" s="4" t="s">
        <v>108</v>
      </c>
      <c r="B48" s="9">
        <v>10000</v>
      </c>
      <c r="C48" s="9">
        <v>15000</v>
      </c>
      <c r="D48" s="9">
        <v>27000</v>
      </c>
      <c r="E48" s="9">
        <v>3000</v>
      </c>
      <c r="F48" s="9">
        <v>10000</v>
      </c>
      <c r="G48" s="9">
        <v>7600</v>
      </c>
      <c r="H48" s="9">
        <f t="shared" si="9"/>
        <v>72600</v>
      </c>
      <c r="I48" s="9">
        <v>5000</v>
      </c>
      <c r="J48" s="9">
        <v>4720</v>
      </c>
      <c r="K48" s="9">
        <v>31000</v>
      </c>
      <c r="L48" s="9">
        <v>29000</v>
      </c>
      <c r="M48" s="9">
        <v>22800</v>
      </c>
      <c r="N48" s="9">
        <v>6000</v>
      </c>
      <c r="O48" s="13">
        <f t="shared" si="2"/>
        <v>98520</v>
      </c>
      <c r="P48" s="9">
        <f t="shared" si="3"/>
        <v>171120</v>
      </c>
    </row>
    <row r="49" spans="1:16" ht="12.95" customHeight="1" x14ac:dyDescent="0.15">
      <c r="A49" s="4" t="s">
        <v>34</v>
      </c>
      <c r="B49" s="9">
        <v>8100</v>
      </c>
      <c r="C49" s="9">
        <v>0</v>
      </c>
      <c r="D49" s="9">
        <v>9000</v>
      </c>
      <c r="E49" s="9">
        <v>14000</v>
      </c>
      <c r="F49" s="9">
        <v>18500</v>
      </c>
      <c r="G49" s="9">
        <v>0</v>
      </c>
      <c r="H49" s="9">
        <f t="shared" si="9"/>
        <v>49600</v>
      </c>
      <c r="I49" s="9">
        <v>0</v>
      </c>
      <c r="J49" s="9">
        <v>0</v>
      </c>
      <c r="K49" s="9">
        <v>10000</v>
      </c>
      <c r="L49" s="9">
        <v>0</v>
      </c>
      <c r="M49" s="9">
        <v>30000</v>
      </c>
      <c r="N49" s="9">
        <v>2000</v>
      </c>
      <c r="O49" s="13">
        <f t="shared" si="2"/>
        <v>42000</v>
      </c>
      <c r="P49" s="9">
        <f t="shared" si="3"/>
        <v>91600</v>
      </c>
    </row>
    <row r="50" spans="1:16" ht="12.95" customHeight="1" x14ac:dyDescent="0.15">
      <c r="A50" s="4" t="s">
        <v>109</v>
      </c>
      <c r="B50" s="9">
        <v>595964</v>
      </c>
      <c r="C50" s="9">
        <v>543900</v>
      </c>
      <c r="D50" s="9">
        <v>567060</v>
      </c>
      <c r="E50" s="9">
        <v>552086</v>
      </c>
      <c r="F50" s="9">
        <v>668460</v>
      </c>
      <c r="G50" s="9">
        <v>654820</v>
      </c>
      <c r="H50" s="9">
        <f t="shared" si="9"/>
        <v>3582290</v>
      </c>
      <c r="I50" s="9">
        <v>683448</v>
      </c>
      <c r="J50" s="9">
        <v>770003</v>
      </c>
      <c r="K50" s="9">
        <v>573793</v>
      </c>
      <c r="L50" s="9">
        <v>517706</v>
      </c>
      <c r="M50" s="14">
        <v>500895</v>
      </c>
      <c r="N50" s="9">
        <v>633621</v>
      </c>
      <c r="O50" s="13">
        <f t="shared" si="2"/>
        <v>3679466</v>
      </c>
      <c r="P50" s="9">
        <f t="shared" si="3"/>
        <v>7261756</v>
      </c>
    </row>
    <row r="51" spans="1:16" ht="12.95" customHeight="1" x14ac:dyDescent="0.15">
      <c r="A51" s="4" t="s">
        <v>35</v>
      </c>
      <c r="B51" s="9">
        <v>1358</v>
      </c>
      <c r="C51" s="9">
        <v>8520</v>
      </c>
      <c r="D51" s="9">
        <v>11000</v>
      </c>
      <c r="E51" s="9">
        <v>352</v>
      </c>
      <c r="F51" s="9">
        <v>4890</v>
      </c>
      <c r="G51" s="9">
        <v>4400</v>
      </c>
      <c r="H51" s="9">
        <f t="shared" si="9"/>
        <v>30520</v>
      </c>
      <c r="I51" s="9">
        <v>213297</v>
      </c>
      <c r="J51" s="9">
        <v>4150</v>
      </c>
      <c r="K51" s="9">
        <v>3365</v>
      </c>
      <c r="L51" s="9">
        <v>3494</v>
      </c>
      <c r="M51" s="9">
        <v>5660</v>
      </c>
      <c r="N51" s="9">
        <v>9000</v>
      </c>
      <c r="O51" s="13">
        <f t="shared" si="2"/>
        <v>238966</v>
      </c>
      <c r="P51" s="9">
        <f t="shared" si="3"/>
        <v>269486</v>
      </c>
    </row>
    <row r="52" spans="1:16" ht="12.95" customHeight="1" x14ac:dyDescent="0.15">
      <c r="A52" s="4" t="s">
        <v>110</v>
      </c>
      <c r="B52" s="9">
        <v>31996</v>
      </c>
      <c r="C52" s="9">
        <v>0</v>
      </c>
      <c r="D52" s="9">
        <v>0</v>
      </c>
      <c r="E52" s="9">
        <v>31080</v>
      </c>
      <c r="F52" s="9">
        <v>0</v>
      </c>
      <c r="G52" s="9">
        <v>56110</v>
      </c>
      <c r="H52" s="9">
        <f t="shared" si="9"/>
        <v>119186</v>
      </c>
      <c r="I52" s="9">
        <v>0</v>
      </c>
      <c r="J52" s="9">
        <v>1140</v>
      </c>
      <c r="K52" s="9">
        <v>0</v>
      </c>
      <c r="L52" s="9">
        <v>650340</v>
      </c>
      <c r="M52" s="9">
        <v>0</v>
      </c>
      <c r="N52" s="9">
        <v>252540</v>
      </c>
      <c r="O52" s="13">
        <f t="shared" si="2"/>
        <v>904020</v>
      </c>
      <c r="P52" s="9">
        <f t="shared" si="3"/>
        <v>1023206</v>
      </c>
    </row>
    <row r="53" spans="1:16" ht="12.95" customHeight="1" x14ac:dyDescent="0.15">
      <c r="A53" s="4" t="s">
        <v>111</v>
      </c>
      <c r="B53" s="9">
        <v>303672</v>
      </c>
      <c r="C53" s="9">
        <v>478768</v>
      </c>
      <c r="D53" s="9">
        <v>368594</v>
      </c>
      <c r="E53" s="9">
        <v>263334</v>
      </c>
      <c r="F53" s="9">
        <v>412722</v>
      </c>
      <c r="G53" s="9">
        <v>461706</v>
      </c>
      <c r="H53" s="9">
        <f t="shared" si="9"/>
        <v>2288796</v>
      </c>
      <c r="I53" s="9">
        <v>877971</v>
      </c>
      <c r="J53" s="9">
        <v>436754</v>
      </c>
      <c r="K53" s="9">
        <v>584319</v>
      </c>
      <c r="L53" s="9">
        <v>483281</v>
      </c>
      <c r="M53" s="9">
        <v>359867</v>
      </c>
      <c r="N53" s="9">
        <v>359515</v>
      </c>
      <c r="O53" s="13">
        <f t="shared" si="2"/>
        <v>3101707</v>
      </c>
      <c r="P53" s="9">
        <f t="shared" si="3"/>
        <v>5390503</v>
      </c>
    </row>
    <row r="54" spans="1:16" ht="12.95" customHeight="1" x14ac:dyDescent="0.15">
      <c r="A54" s="4" t="s">
        <v>112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383700</v>
      </c>
      <c r="H54" s="9">
        <f t="shared" si="9"/>
        <v>383700</v>
      </c>
      <c r="I54" s="9">
        <v>0</v>
      </c>
      <c r="J54" s="9">
        <v>0</v>
      </c>
      <c r="K54" s="9">
        <v>1680000</v>
      </c>
      <c r="L54" s="9">
        <v>0</v>
      </c>
      <c r="M54" s="9">
        <v>0</v>
      </c>
      <c r="N54" s="9">
        <v>0</v>
      </c>
      <c r="O54" s="13">
        <f t="shared" si="2"/>
        <v>1680000</v>
      </c>
      <c r="P54" s="9">
        <f t="shared" si="3"/>
        <v>2063700</v>
      </c>
    </row>
    <row r="55" spans="1:16" ht="12.95" customHeight="1" x14ac:dyDescent="0.15">
      <c r="A55" s="4" t="s">
        <v>113</v>
      </c>
      <c r="B55" s="9">
        <v>281120</v>
      </c>
      <c r="C55" s="9">
        <v>281120</v>
      </c>
      <c r="D55" s="9">
        <v>281120</v>
      </c>
      <c r="E55" s="9">
        <v>407645</v>
      </c>
      <c r="F55" s="9">
        <v>376565</v>
      </c>
      <c r="G55" s="9">
        <v>387380</v>
      </c>
      <c r="H55" s="9">
        <f t="shared" si="9"/>
        <v>2014950</v>
      </c>
      <c r="I55" s="9">
        <v>387380</v>
      </c>
      <c r="J55" s="9">
        <v>396830</v>
      </c>
      <c r="K55" s="9">
        <v>377116</v>
      </c>
      <c r="L55" s="9">
        <v>372365</v>
      </c>
      <c r="M55" s="9">
        <v>372365</v>
      </c>
      <c r="N55" s="9">
        <v>372365</v>
      </c>
      <c r="O55" s="13">
        <f t="shared" si="2"/>
        <v>2278421</v>
      </c>
      <c r="P55" s="9">
        <f t="shared" si="3"/>
        <v>4293371</v>
      </c>
    </row>
    <row r="56" spans="1:16" ht="12.95" customHeight="1" x14ac:dyDescent="0.15">
      <c r="A56" s="4" t="s">
        <v>121</v>
      </c>
      <c r="B56" s="9">
        <v>150000</v>
      </c>
      <c r="C56" s="9">
        <v>270000</v>
      </c>
      <c r="D56" s="9">
        <v>150000</v>
      </c>
      <c r="E56" s="9">
        <v>150000</v>
      </c>
      <c r="F56" s="9">
        <v>250000</v>
      </c>
      <c r="G56" s="9">
        <v>250000</v>
      </c>
      <c r="H56" s="9">
        <f t="shared" si="9"/>
        <v>1220000</v>
      </c>
      <c r="I56" s="9">
        <v>250000</v>
      </c>
      <c r="J56" s="9">
        <v>250000</v>
      </c>
      <c r="K56" s="9">
        <v>250000</v>
      </c>
      <c r="L56" s="9">
        <v>250000</v>
      </c>
      <c r="M56" s="9">
        <v>250000</v>
      </c>
      <c r="N56" s="9">
        <v>250000</v>
      </c>
      <c r="O56" s="13">
        <f t="shared" si="2"/>
        <v>1500000</v>
      </c>
      <c r="P56" s="9">
        <f t="shared" si="3"/>
        <v>2720000</v>
      </c>
    </row>
    <row r="57" spans="1:16" ht="12.95" customHeight="1" x14ac:dyDescent="0.15">
      <c r="A57" s="4" t="s">
        <v>122</v>
      </c>
      <c r="B57" s="11">
        <v>1000</v>
      </c>
      <c r="C57" s="9">
        <v>4042500</v>
      </c>
      <c r="D57" s="9">
        <v>2000</v>
      </c>
      <c r="E57" s="9">
        <v>6200</v>
      </c>
      <c r="F57" s="9">
        <v>427300</v>
      </c>
      <c r="G57" s="9">
        <v>2000</v>
      </c>
      <c r="H57" s="9">
        <f t="shared" si="9"/>
        <v>4481000</v>
      </c>
      <c r="I57" s="9">
        <v>2500</v>
      </c>
      <c r="J57" s="9">
        <v>3030</v>
      </c>
      <c r="K57" s="9">
        <v>46900</v>
      </c>
      <c r="L57" s="9">
        <v>1000</v>
      </c>
      <c r="M57" s="9">
        <v>45000</v>
      </c>
      <c r="N57" s="9">
        <v>2000</v>
      </c>
      <c r="O57" s="13">
        <f t="shared" si="2"/>
        <v>100430</v>
      </c>
      <c r="P57" s="9">
        <f t="shared" si="3"/>
        <v>4581430</v>
      </c>
    </row>
    <row r="58" spans="1:16" ht="12.95" customHeight="1" x14ac:dyDescent="0.15">
      <c r="A58" s="4" t="s">
        <v>37</v>
      </c>
      <c r="B58" s="9">
        <v>47626</v>
      </c>
      <c r="C58" s="9">
        <v>53816</v>
      </c>
      <c r="D58" s="9">
        <v>148027</v>
      </c>
      <c r="E58" s="9">
        <v>154350</v>
      </c>
      <c r="F58" s="9">
        <v>170368</v>
      </c>
      <c r="G58" s="9">
        <v>137883</v>
      </c>
      <c r="H58" s="9">
        <f t="shared" si="9"/>
        <v>712070</v>
      </c>
      <c r="I58" s="9">
        <v>0</v>
      </c>
      <c r="J58" s="9">
        <v>187949</v>
      </c>
      <c r="K58" s="9">
        <v>190068</v>
      </c>
      <c r="L58" s="9">
        <v>151953</v>
      </c>
      <c r="M58" s="9">
        <v>128528</v>
      </c>
      <c r="N58" s="9">
        <v>185480</v>
      </c>
      <c r="O58" s="13">
        <f t="shared" si="2"/>
        <v>843978</v>
      </c>
      <c r="P58" s="9">
        <f t="shared" si="3"/>
        <v>1556048</v>
      </c>
    </row>
    <row r="59" spans="1:16" ht="12.95" customHeight="1" x14ac:dyDescent="0.15">
      <c r="A59" s="4" t="s">
        <v>114</v>
      </c>
      <c r="B59" s="14">
        <v>0</v>
      </c>
      <c r="C59" s="14">
        <v>5355</v>
      </c>
      <c r="D59" s="14">
        <v>4200</v>
      </c>
      <c r="E59" s="14">
        <v>0</v>
      </c>
      <c r="F59" s="14">
        <v>0</v>
      </c>
      <c r="G59" s="14">
        <v>83215</v>
      </c>
      <c r="H59" s="14">
        <f t="shared" si="9"/>
        <v>92770</v>
      </c>
      <c r="I59" s="14">
        <v>0</v>
      </c>
      <c r="J59" s="14">
        <v>52204</v>
      </c>
      <c r="K59" s="14">
        <v>18749</v>
      </c>
      <c r="L59" s="14">
        <v>0</v>
      </c>
      <c r="M59" s="14">
        <v>0</v>
      </c>
      <c r="N59" s="14">
        <v>0</v>
      </c>
      <c r="O59" s="14">
        <f t="shared" si="2"/>
        <v>70953</v>
      </c>
      <c r="P59" s="14">
        <f t="shared" si="3"/>
        <v>163723</v>
      </c>
    </row>
    <row r="60" spans="1:16" ht="12.95" customHeight="1" x14ac:dyDescent="0.15">
      <c r="A60" s="12" t="s">
        <v>115</v>
      </c>
      <c r="B60" s="14">
        <v>246352</v>
      </c>
      <c r="C60" s="14">
        <v>225267</v>
      </c>
      <c r="D60" s="14">
        <v>192845</v>
      </c>
      <c r="E60" s="14">
        <v>265669</v>
      </c>
      <c r="F60" s="14">
        <v>469949</v>
      </c>
      <c r="G60" s="14">
        <v>321614</v>
      </c>
      <c r="H60" s="14">
        <f t="shared" si="9"/>
        <v>1721696</v>
      </c>
      <c r="I60" s="14">
        <v>619586</v>
      </c>
      <c r="J60" s="14">
        <v>515319</v>
      </c>
      <c r="K60" s="14">
        <v>810027</v>
      </c>
      <c r="L60" s="14">
        <v>279904</v>
      </c>
      <c r="M60" s="14">
        <v>244694</v>
      </c>
      <c r="N60" s="14">
        <v>348767</v>
      </c>
      <c r="O60" s="14">
        <f t="shared" si="2"/>
        <v>2818297</v>
      </c>
      <c r="P60" s="14">
        <f t="shared" si="3"/>
        <v>4539993</v>
      </c>
    </row>
    <row r="61" spans="1:16" ht="12.95" customHeight="1" x14ac:dyDescent="0.15">
      <c r="A61" s="4" t="s">
        <v>46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2051791</v>
      </c>
      <c r="H61" s="9">
        <f t="shared" si="9"/>
        <v>2051791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4245110</v>
      </c>
      <c r="O61" s="13">
        <f t="shared" si="2"/>
        <v>4245110</v>
      </c>
      <c r="P61" s="9">
        <f t="shared" si="3"/>
        <v>6296901</v>
      </c>
    </row>
    <row r="62" spans="1:16" x14ac:dyDescent="0.15">
      <c r="A62" s="8" t="s">
        <v>29</v>
      </c>
      <c r="B62" s="10">
        <f t="shared" ref="B62:N62" si="11">B30+B36</f>
        <v>12220525</v>
      </c>
      <c r="C62" s="10">
        <f t="shared" si="11"/>
        <v>16344836</v>
      </c>
      <c r="D62" s="10">
        <f t="shared" si="11"/>
        <v>12135091</v>
      </c>
      <c r="E62" s="10">
        <f t="shared" si="11"/>
        <v>20340752</v>
      </c>
      <c r="F62" s="10">
        <f t="shared" si="11"/>
        <v>14268776</v>
      </c>
      <c r="G62" s="10">
        <f t="shared" si="11"/>
        <v>16504121</v>
      </c>
      <c r="H62" s="10">
        <f t="shared" si="9"/>
        <v>91814101</v>
      </c>
      <c r="I62" s="10">
        <f t="shared" si="11"/>
        <v>14993649</v>
      </c>
      <c r="J62" s="10">
        <f t="shared" si="11"/>
        <v>14997244</v>
      </c>
      <c r="K62" s="10">
        <f t="shared" si="11"/>
        <v>24297635</v>
      </c>
      <c r="L62" s="10">
        <f t="shared" si="11"/>
        <v>14592096</v>
      </c>
      <c r="M62" s="10">
        <f t="shared" si="11"/>
        <v>13670159</v>
      </c>
      <c r="N62" s="10">
        <f t="shared" si="11"/>
        <v>19406007</v>
      </c>
      <c r="O62" s="10">
        <f t="shared" si="2"/>
        <v>101956790</v>
      </c>
      <c r="P62" s="10">
        <f t="shared" si="3"/>
        <v>193770891</v>
      </c>
    </row>
    <row r="63" spans="1:16" x14ac:dyDescent="0.15">
      <c r="A63" s="8" t="s">
        <v>61</v>
      </c>
      <c r="B63" s="10">
        <f t="shared" ref="B63:G63" si="12">B27-B62</f>
        <v>4596680</v>
      </c>
      <c r="C63" s="10">
        <f t="shared" si="12"/>
        <v>-632391</v>
      </c>
      <c r="D63" s="10">
        <f t="shared" si="12"/>
        <v>3257941</v>
      </c>
      <c r="E63" s="10">
        <f t="shared" si="12"/>
        <v>-3508212</v>
      </c>
      <c r="F63" s="10">
        <f t="shared" si="12"/>
        <v>2257662</v>
      </c>
      <c r="G63" s="10">
        <f t="shared" si="12"/>
        <v>-74892</v>
      </c>
      <c r="H63" s="10">
        <f t="shared" si="9"/>
        <v>5896788</v>
      </c>
      <c r="I63" s="10">
        <f t="shared" ref="I63:N63" si="13">I27-I62</f>
        <v>12013840</v>
      </c>
      <c r="J63" s="10">
        <f t="shared" si="13"/>
        <v>3012691</v>
      </c>
      <c r="K63" s="10">
        <f t="shared" si="13"/>
        <v>-6905411</v>
      </c>
      <c r="L63" s="10">
        <f t="shared" si="13"/>
        <v>1277223</v>
      </c>
      <c r="M63" s="10">
        <f t="shared" si="13"/>
        <v>3643863</v>
      </c>
      <c r="N63" s="10">
        <f t="shared" si="13"/>
        <v>-971255</v>
      </c>
      <c r="O63" s="10">
        <f t="shared" si="2"/>
        <v>12070951</v>
      </c>
      <c r="P63" s="10">
        <f t="shared" si="3"/>
        <v>17967739</v>
      </c>
    </row>
    <row r="64" spans="1:16" x14ac:dyDescent="0.15">
      <c r="A64" s="23" t="s">
        <v>126</v>
      </c>
      <c r="B64" s="14">
        <v>229</v>
      </c>
      <c r="C64" s="14">
        <v>0</v>
      </c>
      <c r="D64" s="14">
        <v>0</v>
      </c>
      <c r="E64" s="14">
        <v>0</v>
      </c>
      <c r="F64" s="14">
        <v>1132</v>
      </c>
      <c r="G64" s="14">
        <v>30</v>
      </c>
      <c r="H64" s="10">
        <f t="shared" si="9"/>
        <v>1391</v>
      </c>
      <c r="I64" s="14">
        <v>79</v>
      </c>
      <c r="J64" s="14">
        <v>0</v>
      </c>
      <c r="K64" s="14">
        <v>0</v>
      </c>
      <c r="L64" s="14">
        <v>0</v>
      </c>
      <c r="M64" s="14">
        <v>526</v>
      </c>
      <c r="N64" s="14">
        <v>12</v>
      </c>
      <c r="O64" s="10">
        <f t="shared" si="2"/>
        <v>617</v>
      </c>
      <c r="P64" s="10">
        <f t="shared" si="3"/>
        <v>2008</v>
      </c>
    </row>
    <row r="65" spans="1:16" x14ac:dyDescent="0.15">
      <c r="A65" s="23" t="s">
        <v>127</v>
      </c>
      <c r="B65" s="14">
        <v>75505</v>
      </c>
      <c r="C65" s="9">
        <v>55141</v>
      </c>
      <c r="D65" s="9">
        <v>54621</v>
      </c>
      <c r="E65" s="9">
        <v>110301</v>
      </c>
      <c r="F65" s="9">
        <v>134407</v>
      </c>
      <c r="G65" s="9">
        <v>92810</v>
      </c>
      <c r="H65" s="10">
        <f t="shared" si="9"/>
        <v>522785</v>
      </c>
      <c r="I65" s="14">
        <v>120933</v>
      </c>
      <c r="J65" s="14">
        <v>181553</v>
      </c>
      <c r="K65" s="14">
        <v>101480</v>
      </c>
      <c r="L65" s="14">
        <v>170010</v>
      </c>
      <c r="M65" s="14">
        <v>88582</v>
      </c>
      <c r="N65" s="14">
        <v>217465</v>
      </c>
      <c r="O65" s="10">
        <f t="shared" si="2"/>
        <v>880023</v>
      </c>
      <c r="P65" s="10">
        <f t="shared" si="3"/>
        <v>1402808</v>
      </c>
    </row>
    <row r="66" spans="1:16" x14ac:dyDescent="0.15">
      <c r="A66" s="8" t="s">
        <v>60</v>
      </c>
      <c r="B66" s="15">
        <f t="shared" ref="B66:G66" si="14">B63+B64-B65</f>
        <v>4521404</v>
      </c>
      <c r="C66" s="15">
        <f t="shared" si="14"/>
        <v>-687532</v>
      </c>
      <c r="D66" s="15">
        <f t="shared" si="14"/>
        <v>3203320</v>
      </c>
      <c r="E66" s="15">
        <f t="shared" si="14"/>
        <v>-3618513</v>
      </c>
      <c r="F66" s="15">
        <f t="shared" si="14"/>
        <v>2124387</v>
      </c>
      <c r="G66" s="15">
        <f t="shared" si="14"/>
        <v>-167672</v>
      </c>
      <c r="H66" s="10">
        <f t="shared" si="9"/>
        <v>5375394</v>
      </c>
      <c r="I66" s="15">
        <f t="shared" ref="I66:N66" si="15">I63+I64-I65</f>
        <v>11892986</v>
      </c>
      <c r="J66" s="15">
        <f t="shared" si="15"/>
        <v>2831138</v>
      </c>
      <c r="K66" s="15">
        <f t="shared" si="15"/>
        <v>-7006891</v>
      </c>
      <c r="L66" s="15">
        <f t="shared" si="15"/>
        <v>1107213</v>
      </c>
      <c r="M66" s="15">
        <f t="shared" si="15"/>
        <v>3555807</v>
      </c>
      <c r="N66" s="15">
        <f t="shared" si="15"/>
        <v>-1188708</v>
      </c>
      <c r="O66" s="10">
        <f t="shared" si="2"/>
        <v>11191545</v>
      </c>
      <c r="P66" s="10">
        <f t="shared" si="3"/>
        <v>16566939</v>
      </c>
    </row>
    <row r="67" spans="1:16" x14ac:dyDescent="0.15">
      <c r="A67" s="26" t="s">
        <v>116</v>
      </c>
      <c r="B67" s="14">
        <v>250000</v>
      </c>
      <c r="C67" s="14">
        <v>250000</v>
      </c>
      <c r="D67" s="14">
        <v>250000</v>
      </c>
      <c r="E67" s="14">
        <v>250000</v>
      </c>
      <c r="F67" s="14">
        <v>250000</v>
      </c>
      <c r="G67" s="14">
        <v>416000</v>
      </c>
      <c r="H67" s="10">
        <f t="shared" si="9"/>
        <v>1666000</v>
      </c>
      <c r="I67" s="4">
        <v>416000</v>
      </c>
      <c r="J67" s="4">
        <v>416000</v>
      </c>
      <c r="K67" s="9">
        <v>416000</v>
      </c>
      <c r="L67" s="9">
        <v>416000</v>
      </c>
      <c r="M67" s="9">
        <v>416000</v>
      </c>
      <c r="N67" s="9">
        <v>416000</v>
      </c>
      <c r="O67" s="14">
        <f t="shared" si="2"/>
        <v>2496000</v>
      </c>
      <c r="P67" s="9">
        <f t="shared" si="3"/>
        <v>4162000</v>
      </c>
    </row>
  </sheetData>
  <mergeCells count="1">
    <mergeCell ref="C1:H1"/>
  </mergeCells>
  <phoneticPr fontId="3"/>
  <pageMargins left="0.51181102362204722" right="0.19685039370078741" top="0.27559055118110237" bottom="0.35433070866141736" header="0.23622047244094491" footer="0.27559055118110237"/>
  <pageSetup paperSize="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F915-8EFE-49DB-B439-7C17D35D7853}">
  <dimension ref="A1:AN142"/>
  <sheetViews>
    <sheetView topLeftCell="A106" zoomScale="80" zoomScaleNormal="80" workbookViewId="0">
      <pane xSplit="1" topLeftCell="B1" activePane="topRight" state="frozen"/>
      <selection activeCell="A10" sqref="A10"/>
      <selection pane="topRight" activeCell="J112" sqref="J112"/>
    </sheetView>
  </sheetViews>
  <sheetFormatPr defaultRowHeight="13.5" x14ac:dyDescent="0.15"/>
  <cols>
    <col min="1" max="1" width="18.75" style="128" customWidth="1"/>
    <col min="2" max="6" width="11" style="128" customWidth="1"/>
    <col min="7" max="7" width="12" style="128" customWidth="1"/>
    <col min="8" max="8" width="12.25" style="128" customWidth="1"/>
    <col min="9" max="10" width="12.125" style="128" customWidth="1"/>
    <col min="11" max="11" width="12" style="128" customWidth="1"/>
    <col min="12" max="12" width="12.25" style="128" customWidth="1"/>
    <col min="13" max="13" width="12" style="128" customWidth="1"/>
    <col min="14" max="14" width="12.625" style="128" customWidth="1"/>
    <col min="15" max="15" width="12.25" style="128" customWidth="1"/>
    <col min="16" max="16" width="13.875" style="128" customWidth="1"/>
    <col min="17" max="16384" width="9" style="128"/>
  </cols>
  <sheetData>
    <row r="1" spans="1:16" ht="15.75" customHeight="1" thickBot="1" x14ac:dyDescent="0.2">
      <c r="A1" s="181" t="s">
        <v>424</v>
      </c>
      <c r="B1" s="181"/>
      <c r="C1" s="181"/>
      <c r="D1" s="181"/>
      <c r="E1" s="181"/>
      <c r="F1" s="181"/>
      <c r="G1" s="181"/>
      <c r="H1" s="182"/>
      <c r="I1" s="181"/>
      <c r="J1" s="181"/>
      <c r="K1" s="181"/>
      <c r="L1" s="181"/>
      <c r="M1" s="181"/>
      <c r="N1" s="181"/>
      <c r="O1" s="182"/>
      <c r="P1" s="182"/>
    </row>
    <row r="2" spans="1:16" ht="12" customHeight="1" x14ac:dyDescent="0.15">
      <c r="A2" s="48" t="s">
        <v>43</v>
      </c>
      <c r="B2" s="129" t="s">
        <v>425</v>
      </c>
      <c r="C2" s="48" t="s">
        <v>426</v>
      </c>
      <c r="D2" s="129" t="s">
        <v>427</v>
      </c>
      <c r="E2" s="48" t="s">
        <v>428</v>
      </c>
      <c r="F2" s="129" t="s">
        <v>429</v>
      </c>
      <c r="G2" s="148" t="s">
        <v>430</v>
      </c>
      <c r="H2" s="160" t="s">
        <v>39</v>
      </c>
      <c r="I2" s="154" t="s">
        <v>431</v>
      </c>
      <c r="J2" s="48" t="s">
        <v>432</v>
      </c>
      <c r="K2" s="48" t="s">
        <v>433</v>
      </c>
      <c r="L2" s="48" t="s">
        <v>434</v>
      </c>
      <c r="M2" s="48" t="s">
        <v>435</v>
      </c>
      <c r="N2" s="148" t="s">
        <v>436</v>
      </c>
      <c r="O2" s="160" t="s">
        <v>41</v>
      </c>
      <c r="P2" s="160" t="s">
        <v>42</v>
      </c>
    </row>
    <row r="3" spans="1:16" ht="12" customHeight="1" x14ac:dyDescent="0.15">
      <c r="A3" s="24" t="s">
        <v>259</v>
      </c>
      <c r="B3" s="130" t="s">
        <v>40</v>
      </c>
      <c r="C3" s="131"/>
      <c r="D3" s="131"/>
      <c r="E3" s="131"/>
      <c r="F3" s="131"/>
      <c r="G3" s="149"/>
      <c r="H3" s="161"/>
      <c r="I3" s="155"/>
      <c r="J3" s="131"/>
      <c r="K3" s="131"/>
      <c r="L3" s="131"/>
      <c r="M3" s="131"/>
      <c r="N3" s="149"/>
      <c r="O3" s="161"/>
      <c r="P3" s="161"/>
    </row>
    <row r="4" spans="1:16" ht="12" customHeight="1" x14ac:dyDescent="0.15">
      <c r="A4" s="24" t="s">
        <v>0</v>
      </c>
      <c r="B4" s="132">
        <f>SUM(B5:B7)</f>
        <v>85000</v>
      </c>
      <c r="C4" s="132">
        <f t="shared" ref="C4:K4" si="0">SUM(C5:C7)</f>
        <v>17000</v>
      </c>
      <c r="D4" s="132">
        <f t="shared" si="0"/>
        <v>2000</v>
      </c>
      <c r="E4" s="132">
        <f>SUM(E5:E7)</f>
        <v>4000</v>
      </c>
      <c r="F4" s="132">
        <f>SUM(F5:F7)</f>
        <v>6000</v>
      </c>
      <c r="G4" s="150">
        <f t="shared" si="0"/>
        <v>2000</v>
      </c>
      <c r="H4" s="162">
        <f t="shared" ref="H4:H35" si="1">SUM(B4:G4)</f>
        <v>116000</v>
      </c>
      <c r="I4" s="156">
        <f>SUM(I5:I7)</f>
        <v>1000</v>
      </c>
      <c r="J4" s="132">
        <f>SUM(J5:J7)</f>
        <v>2000</v>
      </c>
      <c r="K4" s="132">
        <f t="shared" si="0"/>
        <v>1000</v>
      </c>
      <c r="L4" s="132">
        <f>SUM(L5:L7)</f>
        <v>2000</v>
      </c>
      <c r="M4" s="132">
        <f>SUM(M5:M7)</f>
        <v>2000</v>
      </c>
      <c r="N4" s="150">
        <f>SUM(N5:N7)</f>
        <v>0</v>
      </c>
      <c r="O4" s="162">
        <f>SUM(I4:N4)</f>
        <v>8000</v>
      </c>
      <c r="P4" s="162">
        <f>H4+O4</f>
        <v>124000</v>
      </c>
    </row>
    <row r="5" spans="1:16" ht="12" customHeight="1" x14ac:dyDescent="0.15">
      <c r="A5" s="21" t="s">
        <v>1</v>
      </c>
      <c r="B5" s="131">
        <f>B77</f>
        <v>77000</v>
      </c>
      <c r="C5" s="131">
        <f t="shared" ref="C5:G7" si="2">C77-B77</f>
        <v>1000</v>
      </c>
      <c r="D5" s="131">
        <f t="shared" si="2"/>
        <v>0</v>
      </c>
      <c r="E5" s="131">
        <f t="shared" si="2"/>
        <v>2000</v>
      </c>
      <c r="F5" s="131">
        <f t="shared" si="2"/>
        <v>3000</v>
      </c>
      <c r="G5" s="149">
        <f t="shared" si="2"/>
        <v>0</v>
      </c>
      <c r="H5" s="161">
        <f t="shared" si="1"/>
        <v>83000</v>
      </c>
      <c r="I5" s="155">
        <f>I77-G77</f>
        <v>0</v>
      </c>
      <c r="J5" s="131">
        <f t="shared" ref="J5:N7" si="3">J77-I77</f>
        <v>0</v>
      </c>
      <c r="K5" s="131">
        <f t="shared" si="3"/>
        <v>0</v>
      </c>
      <c r="L5" s="131">
        <f t="shared" si="3"/>
        <v>0</v>
      </c>
      <c r="M5" s="131">
        <f t="shared" si="3"/>
        <v>1000</v>
      </c>
      <c r="N5" s="131">
        <f t="shared" si="3"/>
        <v>0</v>
      </c>
      <c r="O5" s="161">
        <f t="shared" ref="O5:O75" si="4">SUM(I5:N5)</f>
        <v>1000</v>
      </c>
      <c r="P5" s="161">
        <f t="shared" ref="P5:P75" si="5">H5+O5</f>
        <v>84000</v>
      </c>
    </row>
    <row r="6" spans="1:16" ht="12" customHeight="1" x14ac:dyDescent="0.15">
      <c r="A6" s="21" t="s">
        <v>2</v>
      </c>
      <c r="B6" s="131">
        <f>B78</f>
        <v>5000</v>
      </c>
      <c r="C6" s="131">
        <f t="shared" si="2"/>
        <v>16000</v>
      </c>
      <c r="D6" s="131">
        <f t="shared" si="2"/>
        <v>2000</v>
      </c>
      <c r="E6" s="131">
        <f t="shared" si="2"/>
        <v>2000</v>
      </c>
      <c r="F6" s="131">
        <f t="shared" si="2"/>
        <v>3000</v>
      </c>
      <c r="G6" s="149">
        <f t="shared" si="2"/>
        <v>1000</v>
      </c>
      <c r="H6" s="161">
        <f t="shared" si="1"/>
        <v>29000</v>
      </c>
      <c r="I6" s="155">
        <f>I78-G78</f>
        <v>1000</v>
      </c>
      <c r="J6" s="131">
        <f t="shared" si="3"/>
        <v>2000</v>
      </c>
      <c r="K6" s="131">
        <f t="shared" si="3"/>
        <v>1000</v>
      </c>
      <c r="L6" s="131">
        <f t="shared" si="3"/>
        <v>2000</v>
      </c>
      <c r="M6" s="131">
        <f t="shared" si="3"/>
        <v>1000</v>
      </c>
      <c r="N6" s="131">
        <f t="shared" si="3"/>
        <v>0</v>
      </c>
      <c r="O6" s="161">
        <f t="shared" si="4"/>
        <v>7000</v>
      </c>
      <c r="P6" s="161">
        <f t="shared" si="5"/>
        <v>36000</v>
      </c>
    </row>
    <row r="7" spans="1:16" ht="12" customHeight="1" x14ac:dyDescent="0.15">
      <c r="A7" s="21" t="s">
        <v>3</v>
      </c>
      <c r="B7" s="131">
        <f>B79</f>
        <v>3000</v>
      </c>
      <c r="C7" s="131">
        <f t="shared" si="2"/>
        <v>0</v>
      </c>
      <c r="D7" s="131">
        <f t="shared" si="2"/>
        <v>0</v>
      </c>
      <c r="E7" s="131">
        <f t="shared" si="2"/>
        <v>0</v>
      </c>
      <c r="F7" s="131">
        <f t="shared" si="2"/>
        <v>0</v>
      </c>
      <c r="G7" s="149">
        <f t="shared" si="2"/>
        <v>1000</v>
      </c>
      <c r="H7" s="161">
        <f t="shared" si="1"/>
        <v>4000</v>
      </c>
      <c r="I7" s="155">
        <f>I79-G79</f>
        <v>0</v>
      </c>
      <c r="J7" s="131">
        <f t="shared" si="3"/>
        <v>0</v>
      </c>
      <c r="K7" s="131">
        <f t="shared" si="3"/>
        <v>0</v>
      </c>
      <c r="L7" s="131">
        <f t="shared" si="3"/>
        <v>0</v>
      </c>
      <c r="M7" s="131">
        <f t="shared" si="3"/>
        <v>0</v>
      </c>
      <c r="N7" s="131">
        <f t="shared" si="3"/>
        <v>0</v>
      </c>
      <c r="O7" s="161">
        <f t="shared" si="4"/>
        <v>0</v>
      </c>
      <c r="P7" s="161">
        <f t="shared" si="5"/>
        <v>4000</v>
      </c>
    </row>
    <row r="8" spans="1:16" ht="12" customHeight="1" x14ac:dyDescent="0.15">
      <c r="A8" s="24" t="s">
        <v>4</v>
      </c>
      <c r="B8" s="132">
        <f t="shared" ref="B8:G8" si="6">SUM(B9:B30)</f>
        <v>15527890</v>
      </c>
      <c r="C8" s="132">
        <f t="shared" si="6"/>
        <v>16207310</v>
      </c>
      <c r="D8" s="132">
        <f t="shared" si="6"/>
        <v>15329630</v>
      </c>
      <c r="E8" s="132">
        <f t="shared" si="6"/>
        <v>14423780</v>
      </c>
      <c r="F8" s="132">
        <f t="shared" si="6"/>
        <v>16086860</v>
      </c>
      <c r="G8" s="150">
        <f t="shared" si="6"/>
        <v>15011300</v>
      </c>
      <c r="H8" s="162">
        <f t="shared" si="1"/>
        <v>92586770</v>
      </c>
      <c r="I8" s="156">
        <f t="shared" ref="I8:N8" si="7">SUM(I9:I30)</f>
        <v>15587770</v>
      </c>
      <c r="J8" s="132">
        <f t="shared" si="7"/>
        <v>15871090</v>
      </c>
      <c r="K8" s="132">
        <f t="shared" si="7"/>
        <v>14401690</v>
      </c>
      <c r="L8" s="132">
        <f t="shared" si="7"/>
        <v>13160780</v>
      </c>
      <c r="M8" s="132">
        <f t="shared" si="7"/>
        <v>13020240</v>
      </c>
      <c r="N8" s="150">
        <f t="shared" si="7"/>
        <v>12769270</v>
      </c>
      <c r="O8" s="162">
        <f t="shared" si="4"/>
        <v>84810840</v>
      </c>
      <c r="P8" s="162">
        <f t="shared" si="5"/>
        <v>177397610</v>
      </c>
    </row>
    <row r="9" spans="1:16" ht="12" customHeight="1" x14ac:dyDescent="0.15">
      <c r="A9" s="47" t="s">
        <v>94</v>
      </c>
      <c r="B9" s="131">
        <f>B81</f>
        <v>2524310</v>
      </c>
      <c r="C9" s="131">
        <f>C81-B81</f>
        <v>2556800</v>
      </c>
      <c r="D9" s="131">
        <f>D81-C81</f>
        <v>2564700</v>
      </c>
      <c r="E9" s="131">
        <f>E81-D81</f>
        <v>2485720</v>
      </c>
      <c r="F9" s="131">
        <f>F81-E81</f>
        <v>2541500</v>
      </c>
      <c r="G9" s="149">
        <f>G81-F81</f>
        <v>2439000</v>
      </c>
      <c r="H9" s="161">
        <f t="shared" si="1"/>
        <v>15112030</v>
      </c>
      <c r="I9" s="155">
        <f>I81-G81</f>
        <v>2394290</v>
      </c>
      <c r="J9" s="131">
        <f>J81-I81</f>
        <v>2440890</v>
      </c>
      <c r="K9" s="131">
        <f>K81-J81</f>
        <v>2432060</v>
      </c>
      <c r="L9" s="131">
        <f>L81-K81</f>
        <v>2430900</v>
      </c>
      <c r="M9" s="131">
        <f>M81-L81</f>
        <v>2356200</v>
      </c>
      <c r="N9" s="131">
        <f>N81-M81</f>
        <v>2408570</v>
      </c>
      <c r="O9" s="161">
        <f t="shared" si="4"/>
        <v>14462910</v>
      </c>
      <c r="P9" s="161">
        <f t="shared" si="5"/>
        <v>29574940</v>
      </c>
    </row>
    <row r="10" spans="1:16" ht="12" customHeight="1" x14ac:dyDescent="0.15">
      <c r="A10" s="48" t="s">
        <v>247</v>
      </c>
      <c r="B10" s="133">
        <f>35040</f>
        <v>35040</v>
      </c>
      <c r="C10" s="133">
        <f>46800</f>
        <v>46800</v>
      </c>
      <c r="D10" s="133">
        <f>74940</f>
        <v>74940</v>
      </c>
      <c r="E10" s="133">
        <f>52560</f>
        <v>52560</v>
      </c>
      <c r="F10" s="133">
        <f>67320</f>
        <v>67320</v>
      </c>
      <c r="G10" s="151">
        <f>83460</f>
        <v>83460</v>
      </c>
      <c r="H10" s="161">
        <f t="shared" si="1"/>
        <v>360120</v>
      </c>
      <c r="I10" s="157">
        <f>86460</f>
        <v>86460</v>
      </c>
      <c r="J10" s="133">
        <f>109980</f>
        <v>109980</v>
      </c>
      <c r="K10" s="133">
        <f>102360</f>
        <v>102360</v>
      </c>
      <c r="L10" s="133">
        <f>118740</f>
        <v>118740</v>
      </c>
      <c r="M10" s="133">
        <f>125880</f>
        <v>125880</v>
      </c>
      <c r="N10" s="151">
        <f>119880</f>
        <v>119880</v>
      </c>
      <c r="O10" s="161">
        <f t="shared" si="4"/>
        <v>663300</v>
      </c>
      <c r="P10" s="161">
        <f t="shared" si="5"/>
        <v>1023420</v>
      </c>
    </row>
    <row r="11" spans="1:16" ht="12" customHeight="1" x14ac:dyDescent="0.15">
      <c r="A11" s="48" t="s">
        <v>319</v>
      </c>
      <c r="B11" s="133">
        <f>12320</f>
        <v>12320</v>
      </c>
      <c r="C11" s="133">
        <f>12320</f>
        <v>12320</v>
      </c>
      <c r="D11" s="133">
        <f>3000+24640</f>
        <v>27640</v>
      </c>
      <c r="E11" s="133">
        <f>18480</f>
        <v>18480</v>
      </c>
      <c r="F11" s="133">
        <f>15400</f>
        <v>15400</v>
      </c>
      <c r="G11" s="151">
        <f>9240</f>
        <v>9240</v>
      </c>
      <c r="H11" s="161">
        <f t="shared" si="1"/>
        <v>95400</v>
      </c>
      <c r="I11" s="157">
        <f>21560</f>
        <v>21560</v>
      </c>
      <c r="J11" s="133">
        <f>21560</f>
        <v>21560</v>
      </c>
      <c r="K11" s="133">
        <f>18480</f>
        <v>18480</v>
      </c>
      <c r="L11" s="133">
        <f>21560</f>
        <v>21560</v>
      </c>
      <c r="M11" s="133">
        <f>24640</f>
        <v>24640</v>
      </c>
      <c r="N11" s="151">
        <f>18480</f>
        <v>18480</v>
      </c>
      <c r="O11" s="161">
        <f t="shared" si="4"/>
        <v>126280</v>
      </c>
      <c r="P11" s="161">
        <f t="shared" si="5"/>
        <v>221680</v>
      </c>
    </row>
    <row r="12" spans="1:16" ht="12" customHeight="1" x14ac:dyDescent="0.15">
      <c r="A12" s="47" t="s">
        <v>95</v>
      </c>
      <c r="B12" s="134">
        <f>3179350-196200-4200+3742830-231800</f>
        <v>6489980</v>
      </c>
      <c r="C12" s="133">
        <f>6668820-3179350-211800-7800+7951180-3742830-264400-4800</f>
        <v>7209020</v>
      </c>
      <c r="D12" s="133">
        <f>10242670-6668820-228700+11872210-7951180-250400</f>
        <v>7015780</v>
      </c>
      <c r="E12" s="133">
        <f>13777920-10242670-224400-3000+15517190-11872210-229700-600</f>
        <v>6722530</v>
      </c>
      <c r="F12" s="133">
        <f>17923130-13777920-252000-6600+19310640-15517190-235500</f>
        <v>7444560</v>
      </c>
      <c r="G12" s="151">
        <f>21516150-17923130-231600+23264430-19310640-246200</f>
        <v>7069010</v>
      </c>
      <c r="H12" s="161">
        <f t="shared" si="1"/>
        <v>41950880</v>
      </c>
      <c r="I12" s="157">
        <f>25165800-21516150-236900+27556440-23264430-268500</f>
        <v>7436260</v>
      </c>
      <c r="J12" s="133">
        <f>28832700-25165800-265500-5400+32097560-27556440-327300</f>
        <v>7609820</v>
      </c>
      <c r="K12" s="133">
        <f>32070440-28832700-238100+35619520-32097560-256800</f>
        <v>6264800</v>
      </c>
      <c r="L12" s="133">
        <f>34987450-32070440-212200+38625020-35619520-218800</f>
        <v>5491510</v>
      </c>
      <c r="M12" s="133">
        <f>38626210-34987450-262600-2800+42005180-38625020-242000</f>
        <v>6511520</v>
      </c>
      <c r="N12" s="151">
        <f>41938140-38626210-238100-700+45317320-42005180-235300</f>
        <v>6149970</v>
      </c>
      <c r="O12" s="161">
        <f t="shared" si="4"/>
        <v>39463880</v>
      </c>
      <c r="P12" s="161">
        <f t="shared" si="5"/>
        <v>81414760</v>
      </c>
    </row>
    <row r="13" spans="1:16" ht="12" customHeight="1" x14ac:dyDescent="0.15">
      <c r="A13" s="21" t="s">
        <v>58</v>
      </c>
      <c r="B13" s="133">
        <f>196200+4200+231800</f>
        <v>432200</v>
      </c>
      <c r="C13" s="133">
        <f>211800+7800+264400+4800</f>
        <v>488800</v>
      </c>
      <c r="D13" s="133">
        <f>228700+250400</f>
        <v>479100</v>
      </c>
      <c r="E13" s="133">
        <f>224400+3000+229700+600</f>
        <v>457700</v>
      </c>
      <c r="F13" s="133">
        <f>252000+6600+235500</f>
        <v>494100</v>
      </c>
      <c r="G13" s="151">
        <f>231600+246200</f>
        <v>477800</v>
      </c>
      <c r="H13" s="161">
        <f t="shared" si="1"/>
        <v>2829700</v>
      </c>
      <c r="I13" s="157">
        <f>236900+268500</f>
        <v>505400</v>
      </c>
      <c r="J13" s="133">
        <f>265500+5400+327300</f>
        <v>598200</v>
      </c>
      <c r="K13" s="133">
        <f>238100+256800</f>
        <v>494900</v>
      </c>
      <c r="L13" s="133">
        <f>212200+218800</f>
        <v>431000</v>
      </c>
      <c r="M13" s="133">
        <f>262600+2800+242000</f>
        <v>507400</v>
      </c>
      <c r="N13" s="151">
        <f>238100+700+235300</f>
        <v>474100</v>
      </c>
      <c r="O13" s="161">
        <f t="shared" si="4"/>
        <v>3011000</v>
      </c>
      <c r="P13" s="161">
        <f t="shared" si="5"/>
        <v>5840700</v>
      </c>
    </row>
    <row r="14" spans="1:16" ht="12" customHeight="1" x14ac:dyDescent="0.15">
      <c r="A14" s="47" t="s">
        <v>96</v>
      </c>
      <c r="B14" s="133">
        <f>770610-78000+333940-38400</f>
        <v>988150</v>
      </c>
      <c r="C14" s="133">
        <f>1525110-770610-82800+713480-333940-41900</f>
        <v>1009340</v>
      </c>
      <c r="D14" s="133">
        <f>2335290-1525110-79200-3000+1088990-713480-43200</f>
        <v>1060290</v>
      </c>
      <c r="E14" s="133">
        <f>3146500-2335290-78600-2400+1463430-1088990-38000</f>
        <v>1066650</v>
      </c>
      <c r="F14" s="133">
        <f>3910310-3146500-75000+1753930-1463430-31200</f>
        <v>948110</v>
      </c>
      <c r="G14" s="151">
        <f>4689830-3910310-84000+2087270-1753930-37800</f>
        <v>991060</v>
      </c>
      <c r="H14" s="161">
        <f t="shared" si="1"/>
        <v>6063600</v>
      </c>
      <c r="I14" s="157">
        <f>5477490-4689830-84000+2432060-2087270-40200</f>
        <v>1008250</v>
      </c>
      <c r="J14" s="133">
        <f>6266850-5477490-89600+2793690-2432060-46200</f>
        <v>1015190</v>
      </c>
      <c r="K14" s="133">
        <f>7005720-6266850-85400+3155750-2793690-42700</f>
        <v>972830</v>
      </c>
      <c r="L14" s="133">
        <f>7713540-7005720-71400+3511640-3155750-34000</f>
        <v>958310</v>
      </c>
      <c r="M14" s="133">
        <f>8387700-7713540-71400+3873130-3511640-42700</f>
        <v>921550</v>
      </c>
      <c r="N14" s="151">
        <f>9125870-8387700-85400+4203000-3873130-42000</f>
        <v>940640</v>
      </c>
      <c r="O14" s="161">
        <f t="shared" si="4"/>
        <v>5816770</v>
      </c>
      <c r="P14" s="161">
        <f t="shared" si="5"/>
        <v>11880370</v>
      </c>
    </row>
    <row r="15" spans="1:16" ht="12" customHeight="1" x14ac:dyDescent="0.15">
      <c r="A15" s="21" t="s">
        <v>59</v>
      </c>
      <c r="B15" s="133">
        <f>78000+38400</f>
        <v>116400</v>
      </c>
      <c r="C15" s="133">
        <f>82800+41900</f>
        <v>124700</v>
      </c>
      <c r="D15" s="133">
        <f>79200+3000+43200</f>
        <v>125400</v>
      </c>
      <c r="E15" s="133">
        <f>78600+2400+38000</f>
        <v>119000</v>
      </c>
      <c r="F15" s="133">
        <f>75000+31200</f>
        <v>106200</v>
      </c>
      <c r="G15" s="151">
        <f>84000+37800</f>
        <v>121800</v>
      </c>
      <c r="H15" s="161">
        <f t="shared" si="1"/>
        <v>713500</v>
      </c>
      <c r="I15" s="157">
        <f>84000+40200</f>
        <v>124200</v>
      </c>
      <c r="J15" s="133">
        <f>89600+46200</f>
        <v>135800</v>
      </c>
      <c r="K15" s="133">
        <f>85400+42700</f>
        <v>128100</v>
      </c>
      <c r="L15" s="133">
        <f>71400+34000</f>
        <v>105400</v>
      </c>
      <c r="M15" s="133">
        <f>71400+42700</f>
        <v>114100</v>
      </c>
      <c r="N15" s="151">
        <f>85400+42000</f>
        <v>127400</v>
      </c>
      <c r="O15" s="161">
        <f t="shared" si="4"/>
        <v>735000</v>
      </c>
      <c r="P15" s="161">
        <f t="shared" si="5"/>
        <v>1448500</v>
      </c>
    </row>
    <row r="16" spans="1:16" ht="12" customHeight="1" x14ac:dyDescent="0.15">
      <c r="A16" s="50" t="s">
        <v>120</v>
      </c>
      <c r="B16" s="133">
        <f>2339370-88800-9000</f>
        <v>2241570</v>
      </c>
      <c r="C16" s="133">
        <f>4492980-2339370-91800</f>
        <v>2061810</v>
      </c>
      <c r="D16" s="133">
        <f>5884220-4492980-58800</f>
        <v>1332440</v>
      </c>
      <c r="E16" s="133">
        <f>6938510-5884220-44800</f>
        <v>1009490</v>
      </c>
      <c r="F16" s="133">
        <f>8818400-6938510-52200-13200-13200</f>
        <v>1801290</v>
      </c>
      <c r="G16" s="151">
        <f>10092350-8818400-54000</f>
        <v>1219950</v>
      </c>
      <c r="H16" s="161">
        <f t="shared" si="1"/>
        <v>9666550</v>
      </c>
      <c r="I16" s="157">
        <f>11562240-10092350-61800</f>
        <v>1408090</v>
      </c>
      <c r="J16" s="133">
        <f>12988960-11562240-70700</f>
        <v>1356020</v>
      </c>
      <c r="K16" s="133">
        <f>14222140-12988960-62300</f>
        <v>1170880</v>
      </c>
      <c r="L16" s="133">
        <f>15226100-14222140-51700</f>
        <v>952260</v>
      </c>
      <c r="M16" s="133">
        <v>0</v>
      </c>
      <c r="N16" s="151">
        <v>0</v>
      </c>
      <c r="O16" s="161">
        <f t="shared" si="4"/>
        <v>4887250</v>
      </c>
      <c r="P16" s="161">
        <f t="shared" si="5"/>
        <v>14553800</v>
      </c>
    </row>
    <row r="17" spans="1:18" ht="12" customHeight="1" x14ac:dyDescent="0.15">
      <c r="A17" s="21" t="s">
        <v>59</v>
      </c>
      <c r="B17" s="133">
        <f>88800+9000</f>
        <v>97800</v>
      </c>
      <c r="C17" s="133">
        <f>91800</f>
        <v>91800</v>
      </c>
      <c r="D17" s="133">
        <f>58800</f>
        <v>58800</v>
      </c>
      <c r="E17" s="133">
        <f>44800</f>
        <v>44800</v>
      </c>
      <c r="F17" s="133">
        <f>52200+13200+13200</f>
        <v>78600</v>
      </c>
      <c r="G17" s="151">
        <f>54000</f>
        <v>54000</v>
      </c>
      <c r="H17" s="161">
        <f t="shared" si="1"/>
        <v>425800</v>
      </c>
      <c r="I17" s="157">
        <f>61800</f>
        <v>61800</v>
      </c>
      <c r="J17" s="133">
        <f>70700</f>
        <v>70700</v>
      </c>
      <c r="K17" s="133">
        <f>62300</f>
        <v>62300</v>
      </c>
      <c r="L17" s="133">
        <f>51700</f>
        <v>51700</v>
      </c>
      <c r="M17" s="133">
        <v>0</v>
      </c>
      <c r="N17" s="151">
        <v>0</v>
      </c>
      <c r="O17" s="161">
        <f t="shared" si="4"/>
        <v>246500</v>
      </c>
      <c r="P17" s="161">
        <f t="shared" si="5"/>
        <v>672300</v>
      </c>
    </row>
    <row r="18" spans="1:18" ht="12" customHeight="1" x14ac:dyDescent="0.15">
      <c r="A18" s="51" t="s">
        <v>245</v>
      </c>
      <c r="B18" s="131">
        <f>B90</f>
        <v>672920</v>
      </c>
      <c r="C18" s="131">
        <f t="shared" ref="C18:G20" si="8">C90-B90</f>
        <v>698170</v>
      </c>
      <c r="D18" s="131">
        <f t="shared" si="8"/>
        <v>614170</v>
      </c>
      <c r="E18" s="131">
        <f t="shared" si="8"/>
        <v>563510</v>
      </c>
      <c r="F18" s="131">
        <f t="shared" si="8"/>
        <v>681530</v>
      </c>
      <c r="G18" s="149">
        <f t="shared" si="8"/>
        <v>601640</v>
      </c>
      <c r="H18" s="161">
        <f t="shared" si="1"/>
        <v>3831940</v>
      </c>
      <c r="I18" s="155">
        <f>I90-G90</f>
        <v>643850</v>
      </c>
      <c r="J18" s="131">
        <f t="shared" ref="J18:N20" si="9">J90-I90</f>
        <v>648820</v>
      </c>
      <c r="K18" s="131">
        <f t="shared" si="9"/>
        <v>546840</v>
      </c>
      <c r="L18" s="131">
        <f t="shared" si="9"/>
        <v>477360</v>
      </c>
      <c r="M18" s="131">
        <f t="shared" si="9"/>
        <v>436570</v>
      </c>
      <c r="N18" s="131">
        <f t="shared" si="9"/>
        <v>417340</v>
      </c>
      <c r="O18" s="161">
        <f>SUM(I18:N18)</f>
        <v>3170780</v>
      </c>
      <c r="P18" s="161">
        <f t="shared" si="5"/>
        <v>7002720</v>
      </c>
    </row>
    <row r="19" spans="1:18" ht="12" customHeight="1" x14ac:dyDescent="0.15">
      <c r="A19" s="51" t="s">
        <v>366</v>
      </c>
      <c r="B19" s="131">
        <f>B91</f>
        <v>158970</v>
      </c>
      <c r="C19" s="131">
        <f t="shared" si="8"/>
        <v>162390</v>
      </c>
      <c r="D19" s="131">
        <f t="shared" si="8"/>
        <v>138070</v>
      </c>
      <c r="E19" s="131">
        <f t="shared" si="8"/>
        <v>124610</v>
      </c>
      <c r="F19" s="131">
        <f t="shared" si="8"/>
        <v>156370</v>
      </c>
      <c r="G19" s="149">
        <f t="shared" si="8"/>
        <v>134370</v>
      </c>
      <c r="H19" s="161">
        <f t="shared" si="1"/>
        <v>874780</v>
      </c>
      <c r="I19" s="155">
        <f>I91-G91</f>
        <v>144840</v>
      </c>
      <c r="J19" s="131">
        <f t="shared" si="9"/>
        <v>145340</v>
      </c>
      <c r="K19" s="131">
        <f t="shared" si="9"/>
        <v>122800</v>
      </c>
      <c r="L19" s="131">
        <f t="shared" si="9"/>
        <v>106490</v>
      </c>
      <c r="M19" s="131">
        <f t="shared" si="9"/>
        <v>88820</v>
      </c>
      <c r="N19" s="131">
        <f t="shared" si="9"/>
        <v>84920</v>
      </c>
      <c r="O19" s="161">
        <f>SUM(I19:N19)</f>
        <v>693210</v>
      </c>
      <c r="P19" s="161">
        <f t="shared" si="5"/>
        <v>1567990</v>
      </c>
      <c r="R19" s="128" t="s">
        <v>40</v>
      </c>
    </row>
    <row r="20" spans="1:18" ht="12" customHeight="1" x14ac:dyDescent="0.15">
      <c r="A20" s="51" t="s">
        <v>423</v>
      </c>
      <c r="B20" s="131">
        <f>B92</f>
        <v>133600</v>
      </c>
      <c r="C20" s="131">
        <f t="shared" si="8"/>
        <v>137620</v>
      </c>
      <c r="D20" s="131">
        <f t="shared" si="8"/>
        <v>119300</v>
      </c>
      <c r="E20" s="131">
        <f t="shared" si="8"/>
        <v>108700</v>
      </c>
      <c r="F20" s="131">
        <f t="shared" si="8"/>
        <v>133560</v>
      </c>
      <c r="G20" s="149">
        <f t="shared" si="8"/>
        <v>116610</v>
      </c>
      <c r="H20" s="161">
        <f t="shared" si="1"/>
        <v>749390</v>
      </c>
      <c r="I20" s="155">
        <f>I92-G92</f>
        <v>125130</v>
      </c>
      <c r="J20" s="131">
        <f t="shared" si="9"/>
        <v>125830</v>
      </c>
      <c r="K20" s="131">
        <f t="shared" si="9"/>
        <v>106170</v>
      </c>
      <c r="L20" s="131">
        <f t="shared" si="9"/>
        <v>92430</v>
      </c>
      <c r="M20" s="131">
        <f t="shared" si="9"/>
        <v>81390</v>
      </c>
      <c r="N20" s="131">
        <f t="shared" si="9"/>
        <v>77810</v>
      </c>
      <c r="O20" s="161">
        <f>SUM(I20:N20)</f>
        <v>608760</v>
      </c>
      <c r="P20" s="161">
        <f t="shared" si="5"/>
        <v>1358150</v>
      </c>
    </row>
    <row r="21" spans="1:18" ht="12" customHeight="1" x14ac:dyDescent="0.15">
      <c r="A21" s="51" t="s">
        <v>338</v>
      </c>
      <c r="B21" s="133">
        <f>208980-30000</f>
        <v>178980</v>
      </c>
      <c r="C21" s="133">
        <f>422620-208980-34200</f>
        <v>179440</v>
      </c>
      <c r="D21" s="133">
        <f>616520-422620-28800</f>
        <v>165100</v>
      </c>
      <c r="E21" s="133">
        <f>833000-616520-30600</f>
        <v>185880</v>
      </c>
      <c r="F21" s="133">
        <f>1058520-833000-29400</f>
        <v>196120</v>
      </c>
      <c r="G21" s="151">
        <f>1253280-1058520-27600</f>
        <v>167160</v>
      </c>
      <c r="H21" s="161">
        <f t="shared" si="1"/>
        <v>1072680</v>
      </c>
      <c r="I21" s="157">
        <f>1472720-1253280-39000</f>
        <v>180440</v>
      </c>
      <c r="J21" s="133">
        <f>1688860-1472720-35700</f>
        <v>180440</v>
      </c>
      <c r="K21" s="133">
        <f>1922380-1688860-37100</f>
        <v>196420</v>
      </c>
      <c r="L21" s="133">
        <f>2154500-1922380-37100</f>
        <v>195020</v>
      </c>
      <c r="M21" s="133">
        <f>2388020-2154500-37800</f>
        <v>195720</v>
      </c>
      <c r="N21" s="151">
        <f>2587480-2388020-32900</f>
        <v>166560</v>
      </c>
      <c r="O21" s="161">
        <f>SUM(I21:N21)</f>
        <v>1114600</v>
      </c>
      <c r="P21" s="161">
        <f>H21+O21</f>
        <v>2187280</v>
      </c>
    </row>
    <row r="22" spans="1:18" ht="12" customHeight="1" x14ac:dyDescent="0.15">
      <c r="A22" s="21" t="s">
        <v>59</v>
      </c>
      <c r="B22" s="133">
        <f>30000</f>
        <v>30000</v>
      </c>
      <c r="C22" s="133">
        <f>34200</f>
        <v>34200</v>
      </c>
      <c r="D22" s="133">
        <f>28800</f>
        <v>28800</v>
      </c>
      <c r="E22" s="133">
        <f>30600</f>
        <v>30600</v>
      </c>
      <c r="F22" s="133">
        <f>29400</f>
        <v>29400</v>
      </c>
      <c r="G22" s="151">
        <f>27600</f>
        <v>27600</v>
      </c>
      <c r="H22" s="161">
        <f t="shared" si="1"/>
        <v>180600</v>
      </c>
      <c r="I22" s="157">
        <f>39000</f>
        <v>39000</v>
      </c>
      <c r="J22" s="133">
        <f>35700</f>
        <v>35700</v>
      </c>
      <c r="K22" s="133">
        <f>37100</f>
        <v>37100</v>
      </c>
      <c r="L22" s="133">
        <f>37100</f>
        <v>37100</v>
      </c>
      <c r="M22" s="133">
        <f>37800</f>
        <v>37800</v>
      </c>
      <c r="N22" s="151">
        <f>32900</f>
        <v>32900</v>
      </c>
      <c r="O22" s="161">
        <f>SUM(I22:N22)</f>
        <v>219600</v>
      </c>
      <c r="P22" s="161">
        <f>H22+O22</f>
        <v>400200</v>
      </c>
    </row>
    <row r="23" spans="1:18" ht="12" customHeight="1" x14ac:dyDescent="0.15">
      <c r="A23" s="47" t="s">
        <v>119</v>
      </c>
      <c r="B23" s="131">
        <f>B95</f>
        <v>69500</v>
      </c>
      <c r="C23" s="131">
        <f>C95-B95</f>
        <v>53900</v>
      </c>
      <c r="D23" s="131">
        <f>D95-C95</f>
        <v>92200</v>
      </c>
      <c r="E23" s="131">
        <f>E95-D95</f>
        <v>72800</v>
      </c>
      <c r="F23" s="131">
        <f>F95-E95</f>
        <v>54600</v>
      </c>
      <c r="G23" s="149">
        <f>G95-F95</f>
        <v>85700</v>
      </c>
      <c r="H23" s="161">
        <f t="shared" si="1"/>
        <v>428700</v>
      </c>
      <c r="I23" s="155">
        <f t="shared" ref="I23:I33" si="10">I95-G95</f>
        <v>73400</v>
      </c>
      <c r="J23" s="131">
        <f>J95-I95</f>
        <v>56000</v>
      </c>
      <c r="K23" s="131">
        <f>K95-J95</f>
        <v>79800</v>
      </c>
      <c r="L23" s="131">
        <f>L95-K95</f>
        <v>56000</v>
      </c>
      <c r="M23" s="131">
        <f>M95-L95</f>
        <v>53900</v>
      </c>
      <c r="N23" s="131">
        <f>N95-M95</f>
        <v>93800</v>
      </c>
      <c r="O23" s="161">
        <f t="shared" si="4"/>
        <v>412900</v>
      </c>
      <c r="P23" s="161">
        <f t="shared" si="5"/>
        <v>841600</v>
      </c>
    </row>
    <row r="24" spans="1:18" ht="12" customHeight="1" x14ac:dyDescent="0.15">
      <c r="A24" s="47" t="s">
        <v>97</v>
      </c>
      <c r="B24" s="131">
        <f t="shared" ref="B24:B33" si="11">B96</f>
        <v>9000</v>
      </c>
      <c r="C24" s="131">
        <f t="shared" ref="C24:G33" si="12">C96-B96</f>
        <v>8000</v>
      </c>
      <c r="D24" s="131">
        <f t="shared" si="12"/>
        <v>13500</v>
      </c>
      <c r="E24" s="131">
        <f t="shared" si="12"/>
        <v>20000</v>
      </c>
      <c r="F24" s="131">
        <f t="shared" si="12"/>
        <v>9000</v>
      </c>
      <c r="G24" s="149">
        <f t="shared" si="12"/>
        <v>8000</v>
      </c>
      <c r="H24" s="161">
        <f t="shared" si="1"/>
        <v>67500</v>
      </c>
      <c r="I24" s="155">
        <f t="shared" si="10"/>
        <v>10000</v>
      </c>
      <c r="J24" s="131">
        <f t="shared" ref="J24:N33" si="13">J96-I96</f>
        <v>10000</v>
      </c>
      <c r="K24" s="131">
        <f t="shared" si="13"/>
        <v>30900</v>
      </c>
      <c r="L24" s="131">
        <f t="shared" si="13"/>
        <v>5000</v>
      </c>
      <c r="M24" s="131">
        <f t="shared" si="13"/>
        <v>12200</v>
      </c>
      <c r="N24" s="131">
        <f t="shared" si="13"/>
        <v>7500</v>
      </c>
      <c r="O24" s="161">
        <f t="shared" si="4"/>
        <v>75600</v>
      </c>
      <c r="P24" s="161">
        <f t="shared" si="5"/>
        <v>143100</v>
      </c>
    </row>
    <row r="25" spans="1:18" ht="12" customHeight="1" x14ac:dyDescent="0.15">
      <c r="A25" s="51" t="s">
        <v>407</v>
      </c>
      <c r="B25" s="131">
        <f t="shared" si="11"/>
        <v>11250</v>
      </c>
      <c r="C25" s="131">
        <f t="shared" si="12"/>
        <v>17500</v>
      </c>
      <c r="D25" s="131">
        <f t="shared" si="12"/>
        <v>18200</v>
      </c>
      <c r="E25" s="131">
        <f t="shared" si="12"/>
        <v>18150</v>
      </c>
      <c r="F25" s="131">
        <f t="shared" si="12"/>
        <v>10200</v>
      </c>
      <c r="G25" s="149">
        <f t="shared" si="12"/>
        <v>10300</v>
      </c>
      <c r="H25" s="161">
        <f t="shared" si="1"/>
        <v>85600</v>
      </c>
      <c r="I25" s="155">
        <f t="shared" si="10"/>
        <v>15400</v>
      </c>
      <c r="J25" s="131">
        <f t="shared" si="13"/>
        <v>8700</v>
      </c>
      <c r="K25" s="131">
        <f t="shared" si="13"/>
        <v>15850</v>
      </c>
      <c r="L25" s="131">
        <f t="shared" si="13"/>
        <v>11200</v>
      </c>
      <c r="M25" s="131">
        <f t="shared" si="13"/>
        <v>6250</v>
      </c>
      <c r="N25" s="131">
        <f t="shared" si="13"/>
        <v>8900</v>
      </c>
      <c r="O25" s="161">
        <f t="shared" si="4"/>
        <v>66300</v>
      </c>
      <c r="P25" s="161">
        <f t="shared" si="5"/>
        <v>151900</v>
      </c>
    </row>
    <row r="26" spans="1:18" ht="12" customHeight="1" x14ac:dyDescent="0.15">
      <c r="A26" s="47" t="s">
        <v>249</v>
      </c>
      <c r="B26" s="131">
        <f t="shared" si="11"/>
        <v>89200</v>
      </c>
      <c r="C26" s="131">
        <f t="shared" si="12"/>
        <v>98100</v>
      </c>
      <c r="D26" s="131">
        <f t="shared" si="12"/>
        <v>100800</v>
      </c>
      <c r="E26" s="131">
        <f t="shared" si="12"/>
        <v>82300</v>
      </c>
      <c r="F26" s="131">
        <f t="shared" si="12"/>
        <v>66400</v>
      </c>
      <c r="G26" s="149">
        <f t="shared" si="12"/>
        <v>86200</v>
      </c>
      <c r="H26" s="161">
        <f t="shared" si="1"/>
        <v>523000</v>
      </c>
      <c r="I26" s="155">
        <f t="shared" si="10"/>
        <v>86000</v>
      </c>
      <c r="J26" s="131">
        <f t="shared" si="13"/>
        <v>81000</v>
      </c>
      <c r="K26" s="131">
        <f t="shared" si="13"/>
        <v>63600</v>
      </c>
      <c r="L26" s="131">
        <f t="shared" si="13"/>
        <v>66200</v>
      </c>
      <c r="M26" s="131">
        <f t="shared" si="13"/>
        <v>76900</v>
      </c>
      <c r="N26" s="131">
        <f t="shared" si="13"/>
        <v>71000</v>
      </c>
      <c r="O26" s="161">
        <f t="shared" si="4"/>
        <v>444700</v>
      </c>
      <c r="P26" s="161">
        <f t="shared" si="5"/>
        <v>967700</v>
      </c>
    </row>
    <row r="27" spans="1:18" ht="12" customHeight="1" x14ac:dyDescent="0.15">
      <c r="A27" s="47" t="s">
        <v>406</v>
      </c>
      <c r="B27" s="131">
        <f t="shared" si="11"/>
        <v>19100</v>
      </c>
      <c r="C27" s="131">
        <f t="shared" si="12"/>
        <v>1200</v>
      </c>
      <c r="D27" s="131">
        <f t="shared" si="12"/>
        <v>3400</v>
      </c>
      <c r="E27" s="131">
        <f t="shared" si="12"/>
        <v>20500</v>
      </c>
      <c r="F27" s="131">
        <f t="shared" si="12"/>
        <v>29900</v>
      </c>
      <c r="G27" s="149">
        <f t="shared" si="12"/>
        <v>10000</v>
      </c>
      <c r="H27" s="161">
        <f t="shared" si="1"/>
        <v>84100</v>
      </c>
      <c r="I27" s="155">
        <f t="shared" si="10"/>
        <v>6600</v>
      </c>
      <c r="J27" s="131">
        <f t="shared" si="13"/>
        <v>7100</v>
      </c>
      <c r="K27" s="131">
        <f t="shared" si="13"/>
        <v>6400</v>
      </c>
      <c r="L27" s="131">
        <f t="shared" si="13"/>
        <v>5400</v>
      </c>
      <c r="M27" s="131">
        <f t="shared" si="13"/>
        <v>5400</v>
      </c>
      <c r="N27" s="131">
        <f t="shared" si="13"/>
        <v>11000</v>
      </c>
      <c r="O27" s="161">
        <f t="shared" si="4"/>
        <v>41900</v>
      </c>
      <c r="P27" s="161">
        <f t="shared" si="5"/>
        <v>126000</v>
      </c>
    </row>
    <row r="28" spans="1:18" ht="12" customHeight="1" x14ac:dyDescent="0.15">
      <c r="A28" s="47" t="s">
        <v>303</v>
      </c>
      <c r="B28" s="131">
        <f t="shared" si="11"/>
        <v>2200</v>
      </c>
      <c r="C28" s="131">
        <f t="shared" si="12"/>
        <v>0</v>
      </c>
      <c r="D28" s="131">
        <f t="shared" si="12"/>
        <v>0</v>
      </c>
      <c r="E28" s="131">
        <f t="shared" si="12"/>
        <v>3000</v>
      </c>
      <c r="F28" s="131">
        <f t="shared" si="12"/>
        <v>8700</v>
      </c>
      <c r="G28" s="149">
        <f t="shared" si="12"/>
        <v>0</v>
      </c>
      <c r="H28" s="161">
        <f t="shared" si="1"/>
        <v>13900</v>
      </c>
      <c r="I28" s="155">
        <f t="shared" si="10"/>
        <v>0</v>
      </c>
      <c r="J28" s="131">
        <f t="shared" si="13"/>
        <v>0</v>
      </c>
      <c r="K28" s="131">
        <f t="shared" si="13"/>
        <v>700</v>
      </c>
      <c r="L28" s="131">
        <f t="shared" si="13"/>
        <v>200</v>
      </c>
      <c r="M28" s="131">
        <f t="shared" si="13"/>
        <v>0</v>
      </c>
      <c r="N28" s="131">
        <f t="shared" si="13"/>
        <v>1500</v>
      </c>
      <c r="O28" s="161">
        <f t="shared" si="4"/>
        <v>2400</v>
      </c>
      <c r="P28" s="161">
        <f t="shared" si="5"/>
        <v>16300</v>
      </c>
    </row>
    <row r="29" spans="1:18" ht="12" customHeight="1" x14ac:dyDescent="0.15">
      <c r="A29" s="47" t="s">
        <v>251</v>
      </c>
      <c r="B29" s="131">
        <f t="shared" si="11"/>
        <v>1400</v>
      </c>
      <c r="C29" s="131">
        <f t="shared" si="12"/>
        <v>1400</v>
      </c>
      <c r="D29" s="131">
        <f t="shared" si="12"/>
        <v>0</v>
      </c>
      <c r="E29" s="131">
        <f t="shared" si="12"/>
        <v>2800</v>
      </c>
      <c r="F29" s="131">
        <f t="shared" si="12"/>
        <v>0</v>
      </c>
      <c r="G29" s="149">
        <f t="shared" si="12"/>
        <v>1400</v>
      </c>
      <c r="H29" s="161">
        <f t="shared" si="1"/>
        <v>7000</v>
      </c>
      <c r="I29" s="155">
        <f t="shared" si="10"/>
        <v>2800</v>
      </c>
      <c r="J29" s="131">
        <f t="shared" si="13"/>
        <v>0</v>
      </c>
      <c r="K29" s="131">
        <f t="shared" si="13"/>
        <v>1400</v>
      </c>
      <c r="L29" s="131">
        <f t="shared" si="13"/>
        <v>0</v>
      </c>
      <c r="M29" s="131">
        <f t="shared" si="13"/>
        <v>0</v>
      </c>
      <c r="N29" s="131">
        <f t="shared" si="13"/>
        <v>0</v>
      </c>
      <c r="O29" s="161">
        <f>SUM(I29:N29)</f>
        <v>4200</v>
      </c>
      <c r="P29" s="161">
        <f>H29+O29</f>
        <v>11200</v>
      </c>
    </row>
    <row r="30" spans="1:18" ht="12" customHeight="1" x14ac:dyDescent="0.15">
      <c r="A30" s="21" t="s">
        <v>99</v>
      </c>
      <c r="B30" s="131">
        <f t="shared" si="11"/>
        <v>1214000</v>
      </c>
      <c r="C30" s="131">
        <f t="shared" si="12"/>
        <v>1214000</v>
      </c>
      <c r="D30" s="131">
        <f t="shared" si="12"/>
        <v>1297000</v>
      </c>
      <c r="E30" s="131">
        <f t="shared" si="12"/>
        <v>1214000</v>
      </c>
      <c r="F30" s="131">
        <f t="shared" si="12"/>
        <v>1214000</v>
      </c>
      <c r="G30" s="149">
        <f t="shared" si="12"/>
        <v>1297000</v>
      </c>
      <c r="H30" s="161">
        <f t="shared" si="1"/>
        <v>7450000</v>
      </c>
      <c r="I30" s="155">
        <f t="shared" si="10"/>
        <v>1214000</v>
      </c>
      <c r="J30" s="131">
        <f t="shared" si="13"/>
        <v>1214000</v>
      </c>
      <c r="K30" s="131">
        <f t="shared" si="13"/>
        <v>1547000</v>
      </c>
      <c r="L30" s="131">
        <f t="shared" si="13"/>
        <v>1547000</v>
      </c>
      <c r="M30" s="131">
        <f t="shared" si="13"/>
        <v>1464000</v>
      </c>
      <c r="N30" s="131">
        <f t="shared" si="13"/>
        <v>1557000</v>
      </c>
      <c r="O30" s="161">
        <f t="shared" si="4"/>
        <v>8543000</v>
      </c>
      <c r="P30" s="161">
        <f t="shared" si="5"/>
        <v>15993000</v>
      </c>
    </row>
    <row r="31" spans="1:18" ht="12" customHeight="1" x14ac:dyDescent="0.15">
      <c r="A31" s="24" t="s">
        <v>11</v>
      </c>
      <c r="B31" s="131">
        <f t="shared" si="11"/>
        <v>20000</v>
      </c>
      <c r="C31" s="131">
        <f t="shared" si="12"/>
        <v>100000</v>
      </c>
      <c r="D31" s="131">
        <f t="shared" si="12"/>
        <v>0</v>
      </c>
      <c r="E31" s="131">
        <f t="shared" si="12"/>
        <v>10000</v>
      </c>
      <c r="F31" s="131">
        <f t="shared" si="12"/>
        <v>0</v>
      </c>
      <c r="G31" s="149">
        <f t="shared" si="12"/>
        <v>0</v>
      </c>
      <c r="H31" s="161">
        <f t="shared" si="1"/>
        <v>130000</v>
      </c>
      <c r="I31" s="155">
        <f t="shared" si="10"/>
        <v>60000</v>
      </c>
      <c r="J31" s="131">
        <f t="shared" si="13"/>
        <v>10000</v>
      </c>
      <c r="K31" s="131">
        <f t="shared" si="13"/>
        <v>0</v>
      </c>
      <c r="L31" s="131">
        <f t="shared" si="13"/>
        <v>0</v>
      </c>
      <c r="M31" s="131">
        <f t="shared" si="13"/>
        <v>0</v>
      </c>
      <c r="N31" s="131">
        <f t="shared" si="13"/>
        <v>0</v>
      </c>
      <c r="O31" s="161">
        <f t="shared" si="4"/>
        <v>70000</v>
      </c>
      <c r="P31" s="161">
        <f t="shared" si="5"/>
        <v>200000</v>
      </c>
    </row>
    <row r="32" spans="1:18" ht="12" customHeight="1" x14ac:dyDescent="0.15">
      <c r="A32" s="24" t="s">
        <v>246</v>
      </c>
      <c r="B32" s="131">
        <f t="shared" si="11"/>
        <v>338328</v>
      </c>
      <c r="C32" s="131">
        <f t="shared" si="12"/>
        <v>250000</v>
      </c>
      <c r="D32" s="131">
        <f t="shared" si="12"/>
        <v>285000</v>
      </c>
      <c r="E32" s="131">
        <f t="shared" si="12"/>
        <v>0</v>
      </c>
      <c r="F32" s="131">
        <f t="shared" si="12"/>
        <v>0</v>
      </c>
      <c r="G32" s="149">
        <f t="shared" si="12"/>
        <v>0</v>
      </c>
      <c r="H32" s="161">
        <f t="shared" si="1"/>
        <v>873328</v>
      </c>
      <c r="I32" s="155">
        <f t="shared" si="10"/>
        <v>752940</v>
      </c>
      <c r="J32" s="131">
        <f t="shared" si="13"/>
        <v>128882</v>
      </c>
      <c r="K32" s="131">
        <f t="shared" si="13"/>
        <v>8940</v>
      </c>
      <c r="L32" s="131">
        <f t="shared" si="13"/>
        <v>8940</v>
      </c>
      <c r="M32" s="131">
        <f t="shared" si="13"/>
        <v>185940</v>
      </c>
      <c r="N32" s="131">
        <f t="shared" si="13"/>
        <v>8280</v>
      </c>
      <c r="O32" s="161">
        <f t="shared" si="4"/>
        <v>1093922</v>
      </c>
      <c r="P32" s="161">
        <f t="shared" si="5"/>
        <v>1967250</v>
      </c>
    </row>
    <row r="33" spans="1:18" ht="12" customHeight="1" x14ac:dyDescent="0.15">
      <c r="A33" s="24" t="s">
        <v>12</v>
      </c>
      <c r="B33" s="131">
        <f t="shared" si="11"/>
        <v>55673</v>
      </c>
      <c r="C33" s="131">
        <f t="shared" si="12"/>
        <v>23320</v>
      </c>
      <c r="D33" s="131">
        <f t="shared" si="12"/>
        <v>54781</v>
      </c>
      <c r="E33" s="131">
        <f t="shared" si="12"/>
        <v>33325</v>
      </c>
      <c r="F33" s="131">
        <f t="shared" si="12"/>
        <v>75350</v>
      </c>
      <c r="G33" s="149">
        <f t="shared" si="12"/>
        <v>241140</v>
      </c>
      <c r="H33" s="161">
        <f t="shared" si="1"/>
        <v>483589</v>
      </c>
      <c r="I33" s="155">
        <f t="shared" si="10"/>
        <v>67533</v>
      </c>
      <c r="J33" s="131">
        <f t="shared" si="13"/>
        <v>62467</v>
      </c>
      <c r="K33" s="131">
        <f t="shared" si="13"/>
        <v>25160</v>
      </c>
      <c r="L33" s="131">
        <f t="shared" si="13"/>
        <v>28055</v>
      </c>
      <c r="M33" s="131">
        <f t="shared" si="13"/>
        <v>23305</v>
      </c>
      <c r="N33" s="131">
        <f t="shared" si="13"/>
        <v>14170</v>
      </c>
      <c r="O33" s="161">
        <f t="shared" si="4"/>
        <v>220690</v>
      </c>
      <c r="P33" s="161">
        <f t="shared" si="5"/>
        <v>704279</v>
      </c>
    </row>
    <row r="34" spans="1:18" ht="12" customHeight="1" x14ac:dyDescent="0.15">
      <c r="A34" s="24"/>
      <c r="B34" s="132"/>
      <c r="C34" s="132"/>
      <c r="D34" s="132"/>
      <c r="E34" s="132"/>
      <c r="F34" s="132"/>
      <c r="G34" s="150"/>
      <c r="H34" s="162"/>
      <c r="I34" s="156"/>
      <c r="J34" s="132"/>
      <c r="K34" s="132"/>
      <c r="L34" s="132"/>
      <c r="M34" s="132"/>
      <c r="N34" s="150"/>
      <c r="O34" s="161">
        <f t="shared" si="4"/>
        <v>0</v>
      </c>
      <c r="P34" s="161">
        <f t="shared" si="5"/>
        <v>0</v>
      </c>
    </row>
    <row r="35" spans="1:18" ht="12" customHeight="1" thickBot="1" x14ac:dyDescent="0.2">
      <c r="A35" s="52" t="s">
        <v>13</v>
      </c>
      <c r="B35" s="132">
        <f t="shared" ref="B35:N35" si="14">B4+B8+B31+B32+B33</f>
        <v>16026891</v>
      </c>
      <c r="C35" s="132">
        <f t="shared" si="14"/>
        <v>16597630</v>
      </c>
      <c r="D35" s="132">
        <f t="shared" si="14"/>
        <v>15671411</v>
      </c>
      <c r="E35" s="132">
        <f t="shared" si="14"/>
        <v>14471105</v>
      </c>
      <c r="F35" s="132">
        <f t="shared" si="14"/>
        <v>16168210</v>
      </c>
      <c r="G35" s="150">
        <f t="shared" si="14"/>
        <v>15254440</v>
      </c>
      <c r="H35" s="163">
        <f t="shared" si="1"/>
        <v>94189687</v>
      </c>
      <c r="I35" s="156">
        <f>I4+I8+I31+I32+I33</f>
        <v>16469243</v>
      </c>
      <c r="J35" s="132">
        <f t="shared" si="14"/>
        <v>16074439</v>
      </c>
      <c r="K35" s="132">
        <f t="shared" si="14"/>
        <v>14436790</v>
      </c>
      <c r="L35" s="132">
        <f t="shared" si="14"/>
        <v>13199775</v>
      </c>
      <c r="M35" s="132">
        <f t="shared" si="14"/>
        <v>13231485</v>
      </c>
      <c r="N35" s="150">
        <f t="shared" si="14"/>
        <v>12791720</v>
      </c>
      <c r="O35" s="163">
        <f t="shared" si="4"/>
        <v>86203452</v>
      </c>
      <c r="P35" s="163">
        <f t="shared" si="5"/>
        <v>180393139</v>
      </c>
    </row>
    <row r="36" spans="1:18" ht="12" customHeight="1" x14ac:dyDescent="0.15">
      <c r="A36" s="24" t="s">
        <v>124</v>
      </c>
      <c r="B36" s="131"/>
      <c r="C36" s="131"/>
      <c r="D36" s="131"/>
      <c r="E36" s="131"/>
      <c r="F36" s="131"/>
      <c r="G36" s="149"/>
      <c r="H36" s="166"/>
      <c r="I36" s="155"/>
      <c r="J36" s="131"/>
      <c r="K36" s="131"/>
      <c r="L36" s="131"/>
      <c r="M36" s="131"/>
      <c r="N36" s="149"/>
      <c r="O36" s="166"/>
      <c r="P36" s="166"/>
    </row>
    <row r="37" spans="1:18" ht="12" customHeight="1" x14ac:dyDescent="0.15">
      <c r="A37" s="21" t="s">
        <v>15</v>
      </c>
      <c r="B37" s="131"/>
      <c r="C37" s="131"/>
      <c r="D37" s="131"/>
      <c r="E37" s="131"/>
      <c r="F37" s="131" t="s">
        <v>304</v>
      </c>
      <c r="G37" s="149"/>
      <c r="H37" s="161"/>
      <c r="I37" s="155"/>
      <c r="J37" s="131"/>
      <c r="K37" s="131"/>
      <c r="L37" s="131"/>
      <c r="M37" s="131"/>
      <c r="N37" s="149"/>
      <c r="O37" s="161"/>
      <c r="P37" s="161"/>
    </row>
    <row r="38" spans="1:18" ht="12" customHeight="1" x14ac:dyDescent="0.15">
      <c r="A38" s="24" t="s">
        <v>16</v>
      </c>
      <c r="B38" s="132">
        <f t="shared" ref="B38:N38" si="15">SUM(B39:B43)</f>
        <v>12948223</v>
      </c>
      <c r="C38" s="132">
        <f t="shared" si="15"/>
        <v>12208364</v>
      </c>
      <c r="D38" s="132">
        <f t="shared" si="15"/>
        <v>12473626</v>
      </c>
      <c r="E38" s="132">
        <f t="shared" si="15"/>
        <v>18189366</v>
      </c>
      <c r="F38" s="132">
        <f t="shared" si="15"/>
        <v>12564208</v>
      </c>
      <c r="G38" s="150">
        <f t="shared" si="15"/>
        <v>12435721</v>
      </c>
      <c r="H38" s="162">
        <f t="shared" ref="H38:H75" si="16">SUM(B38:G38)</f>
        <v>80819508</v>
      </c>
      <c r="I38" s="156">
        <f>SUM(I39:I43)</f>
        <v>12426351</v>
      </c>
      <c r="J38" s="132">
        <f t="shared" si="15"/>
        <v>17867055</v>
      </c>
      <c r="K38" s="132">
        <f t="shared" si="15"/>
        <v>11275240</v>
      </c>
      <c r="L38" s="132">
        <f t="shared" si="15"/>
        <v>11722875</v>
      </c>
      <c r="M38" s="132">
        <f t="shared" si="15"/>
        <v>10785601</v>
      </c>
      <c r="N38" s="150">
        <f t="shared" si="15"/>
        <v>10543139</v>
      </c>
      <c r="O38" s="162">
        <f t="shared" si="4"/>
        <v>74620261</v>
      </c>
      <c r="P38" s="162">
        <f t="shared" si="5"/>
        <v>155439769</v>
      </c>
    </row>
    <row r="39" spans="1:18" ht="12" customHeight="1" x14ac:dyDescent="0.15">
      <c r="A39" s="21" t="s">
        <v>100</v>
      </c>
      <c r="B39" s="131">
        <f>B108</f>
        <v>420000</v>
      </c>
      <c r="C39" s="131">
        <f t="shared" ref="C39:G43" si="17">C108-B108</f>
        <v>420000</v>
      </c>
      <c r="D39" s="131">
        <f t="shared" si="17"/>
        <v>420000</v>
      </c>
      <c r="E39" s="131">
        <f t="shared" si="17"/>
        <v>370000</v>
      </c>
      <c r="F39" s="131">
        <f t="shared" si="17"/>
        <v>370000</v>
      </c>
      <c r="G39" s="149">
        <f t="shared" si="17"/>
        <v>370000</v>
      </c>
      <c r="H39" s="161">
        <f t="shared" si="16"/>
        <v>2370000</v>
      </c>
      <c r="I39" s="155">
        <f>I108-G108</f>
        <v>370000</v>
      </c>
      <c r="J39" s="131">
        <f t="shared" ref="J39:N43" si="18">J108-I108</f>
        <v>370000</v>
      </c>
      <c r="K39" s="131">
        <f t="shared" si="18"/>
        <v>370000</v>
      </c>
      <c r="L39" s="131">
        <f t="shared" si="18"/>
        <v>370000</v>
      </c>
      <c r="M39" s="131">
        <f t="shared" si="18"/>
        <v>370000</v>
      </c>
      <c r="N39" s="131">
        <f t="shared" si="18"/>
        <v>370000</v>
      </c>
      <c r="O39" s="161">
        <f t="shared" si="4"/>
        <v>2220000</v>
      </c>
      <c r="P39" s="161">
        <f t="shared" si="5"/>
        <v>4590000</v>
      </c>
    </row>
    <row r="40" spans="1:18" ht="12" customHeight="1" x14ac:dyDescent="0.15">
      <c r="A40" s="21" t="s">
        <v>101</v>
      </c>
      <c r="B40" s="131">
        <f>B109</f>
        <v>9784323</v>
      </c>
      <c r="C40" s="131">
        <f t="shared" si="17"/>
        <v>9292420</v>
      </c>
      <c r="D40" s="131">
        <f t="shared" si="17"/>
        <v>9435527</v>
      </c>
      <c r="E40" s="131">
        <f t="shared" si="17"/>
        <v>9356253</v>
      </c>
      <c r="F40" s="131">
        <f t="shared" si="17"/>
        <v>9446384</v>
      </c>
      <c r="G40" s="149">
        <f t="shared" si="17"/>
        <v>9230984</v>
      </c>
      <c r="H40" s="161">
        <f t="shared" si="16"/>
        <v>56545891</v>
      </c>
      <c r="I40" s="155">
        <f>I109-G109</f>
        <v>8542815</v>
      </c>
      <c r="J40" s="131">
        <f t="shared" si="18"/>
        <v>8629817</v>
      </c>
      <c r="K40" s="131">
        <f t="shared" si="18"/>
        <v>8496933</v>
      </c>
      <c r="L40" s="131">
        <f t="shared" si="18"/>
        <v>7934160</v>
      </c>
      <c r="M40" s="131">
        <f t="shared" si="18"/>
        <v>8084615</v>
      </c>
      <c r="N40" s="131">
        <f t="shared" si="18"/>
        <v>7933597</v>
      </c>
      <c r="O40" s="161">
        <f t="shared" si="4"/>
        <v>49621937</v>
      </c>
      <c r="P40" s="161">
        <f t="shared" si="5"/>
        <v>106167828</v>
      </c>
    </row>
    <row r="41" spans="1:18" ht="12" customHeight="1" x14ac:dyDescent="0.15">
      <c r="A41" s="21" t="s">
        <v>102</v>
      </c>
      <c r="B41" s="131">
        <f>B110</f>
        <v>1418410</v>
      </c>
      <c r="C41" s="131">
        <f t="shared" si="17"/>
        <v>1253025</v>
      </c>
      <c r="D41" s="131">
        <f t="shared" si="17"/>
        <v>1200300</v>
      </c>
      <c r="E41" s="131">
        <f t="shared" si="17"/>
        <v>1182070</v>
      </c>
      <c r="F41" s="131">
        <f t="shared" si="17"/>
        <v>1451655</v>
      </c>
      <c r="G41" s="149">
        <f t="shared" si="17"/>
        <v>1541420</v>
      </c>
      <c r="H41" s="161">
        <f t="shared" si="16"/>
        <v>8046880</v>
      </c>
      <c r="I41" s="155">
        <f>I110-G110</f>
        <v>1346568</v>
      </c>
      <c r="J41" s="131">
        <f t="shared" si="18"/>
        <v>1261262</v>
      </c>
      <c r="K41" s="131">
        <f t="shared" si="18"/>
        <v>1216991</v>
      </c>
      <c r="L41" s="131">
        <f t="shared" si="18"/>
        <v>1067474</v>
      </c>
      <c r="M41" s="131">
        <f t="shared" si="18"/>
        <v>1160606</v>
      </c>
      <c r="N41" s="131">
        <f t="shared" si="18"/>
        <v>1071993</v>
      </c>
      <c r="O41" s="161">
        <f t="shared" si="4"/>
        <v>7124894</v>
      </c>
      <c r="P41" s="161">
        <f t="shared" si="5"/>
        <v>15171774</v>
      </c>
    </row>
    <row r="42" spans="1:18" ht="12" customHeight="1" x14ac:dyDescent="0.15">
      <c r="A42" s="21" t="s">
        <v>19</v>
      </c>
      <c r="B42" s="131">
        <f>B111</f>
        <v>1325490</v>
      </c>
      <c r="C42" s="131">
        <f t="shared" si="17"/>
        <v>1242919</v>
      </c>
      <c r="D42" s="131">
        <f t="shared" si="17"/>
        <v>1417799</v>
      </c>
      <c r="E42" s="131">
        <f t="shared" si="17"/>
        <v>1354043</v>
      </c>
      <c r="F42" s="131">
        <f t="shared" si="17"/>
        <v>1296169</v>
      </c>
      <c r="G42" s="149">
        <f t="shared" si="17"/>
        <v>1293317</v>
      </c>
      <c r="H42" s="161">
        <f t="shared" si="16"/>
        <v>7929737</v>
      </c>
      <c r="I42" s="155">
        <f>I111-G111</f>
        <v>2166968</v>
      </c>
      <c r="J42" s="131">
        <f t="shared" si="18"/>
        <v>1364976</v>
      </c>
      <c r="K42" s="131">
        <f t="shared" si="18"/>
        <v>1191316</v>
      </c>
      <c r="L42" s="131">
        <f t="shared" si="18"/>
        <v>2351241</v>
      </c>
      <c r="M42" s="131">
        <f t="shared" si="18"/>
        <v>1170380</v>
      </c>
      <c r="N42" s="131">
        <f t="shared" si="18"/>
        <v>1167549</v>
      </c>
      <c r="O42" s="161">
        <f t="shared" si="4"/>
        <v>9412430</v>
      </c>
      <c r="P42" s="161">
        <f t="shared" si="5"/>
        <v>17342167</v>
      </c>
    </row>
    <row r="43" spans="1:18" ht="12" customHeight="1" x14ac:dyDescent="0.15">
      <c r="A43" s="21" t="s">
        <v>117</v>
      </c>
      <c r="B43" s="131">
        <f>B112</f>
        <v>0</v>
      </c>
      <c r="C43" s="131">
        <f t="shared" si="17"/>
        <v>0</v>
      </c>
      <c r="D43" s="131">
        <f t="shared" si="17"/>
        <v>0</v>
      </c>
      <c r="E43" s="131">
        <f t="shared" si="17"/>
        <v>5927000</v>
      </c>
      <c r="F43" s="131">
        <f t="shared" si="17"/>
        <v>0</v>
      </c>
      <c r="G43" s="149">
        <f t="shared" si="17"/>
        <v>0</v>
      </c>
      <c r="H43" s="161">
        <f t="shared" si="16"/>
        <v>5927000</v>
      </c>
      <c r="I43" s="155">
        <f>I112-G112</f>
        <v>0</v>
      </c>
      <c r="J43" s="131">
        <f t="shared" si="18"/>
        <v>6241000</v>
      </c>
      <c r="K43" s="131">
        <f t="shared" si="18"/>
        <v>0</v>
      </c>
      <c r="L43" s="131">
        <f t="shared" si="18"/>
        <v>0</v>
      </c>
      <c r="M43" s="131">
        <f t="shared" si="18"/>
        <v>0</v>
      </c>
      <c r="N43" s="131">
        <f t="shared" si="18"/>
        <v>0</v>
      </c>
      <c r="O43" s="161">
        <f t="shared" si="4"/>
        <v>6241000</v>
      </c>
      <c r="P43" s="161">
        <f t="shared" si="5"/>
        <v>12168000</v>
      </c>
    </row>
    <row r="44" spans="1:18" ht="12" customHeight="1" x14ac:dyDescent="0.15">
      <c r="A44" s="24" t="s">
        <v>20</v>
      </c>
      <c r="B44" s="132">
        <f>SUM(B45:B69)</f>
        <v>3623158</v>
      </c>
      <c r="C44" s="132">
        <f t="shared" ref="C44:N44" si="19">SUM(C45:C69)</f>
        <v>4702789</v>
      </c>
      <c r="D44" s="132">
        <f t="shared" si="19"/>
        <v>3963554</v>
      </c>
      <c r="E44" s="132">
        <f t="shared" si="19"/>
        <v>3728707</v>
      </c>
      <c r="F44" s="132">
        <f t="shared" si="19"/>
        <v>3532366</v>
      </c>
      <c r="G44" s="150">
        <f t="shared" si="19"/>
        <v>3258938</v>
      </c>
      <c r="H44" s="162">
        <f t="shared" si="16"/>
        <v>22809512</v>
      </c>
      <c r="I44" s="156">
        <f>SUM(I45:I69)</f>
        <v>4280352</v>
      </c>
      <c r="J44" s="132">
        <f t="shared" si="19"/>
        <v>3253347</v>
      </c>
      <c r="K44" s="132">
        <f t="shared" si="19"/>
        <v>3122814</v>
      </c>
      <c r="L44" s="132">
        <f t="shared" si="19"/>
        <v>3783405</v>
      </c>
      <c r="M44" s="132">
        <f t="shared" si="19"/>
        <v>3398220</v>
      </c>
      <c r="N44" s="150">
        <f t="shared" si="19"/>
        <v>3208349</v>
      </c>
      <c r="O44" s="162">
        <f t="shared" si="4"/>
        <v>21046487</v>
      </c>
      <c r="P44" s="162">
        <f t="shared" si="5"/>
        <v>43855999</v>
      </c>
    </row>
    <row r="45" spans="1:18" ht="12" customHeight="1" x14ac:dyDescent="0.15">
      <c r="A45" s="21" t="s">
        <v>21</v>
      </c>
      <c r="B45" s="131">
        <f>B114</f>
        <v>288139</v>
      </c>
      <c r="C45" s="131">
        <f>C114-B114</f>
        <v>318015</v>
      </c>
      <c r="D45" s="131">
        <f>D114-C114</f>
        <v>403979</v>
      </c>
      <c r="E45" s="131">
        <f>E114-D114</f>
        <v>308138</v>
      </c>
      <c r="F45" s="131">
        <f>F114-E114</f>
        <v>331692</v>
      </c>
      <c r="G45" s="149">
        <f>G114-F114</f>
        <v>325804</v>
      </c>
      <c r="H45" s="161">
        <f t="shared" si="16"/>
        <v>1975767</v>
      </c>
      <c r="I45" s="155">
        <f>I114-G114</f>
        <v>283000</v>
      </c>
      <c r="J45" s="131">
        <f>J114-I114</f>
        <v>286000</v>
      </c>
      <c r="K45" s="131">
        <f>K114-J114</f>
        <v>305000</v>
      </c>
      <c r="L45" s="131">
        <f>L114-K114</f>
        <v>324000</v>
      </c>
      <c r="M45" s="131">
        <f>M114-L114</f>
        <v>466968</v>
      </c>
      <c r="N45" s="131">
        <f>N114-M114</f>
        <v>475817</v>
      </c>
      <c r="O45" s="161">
        <f t="shared" si="4"/>
        <v>2140785</v>
      </c>
      <c r="P45" s="161">
        <f t="shared" si="5"/>
        <v>4116552</v>
      </c>
    </row>
    <row r="46" spans="1:18" ht="12" customHeight="1" x14ac:dyDescent="0.15">
      <c r="A46" s="21" t="s">
        <v>22</v>
      </c>
      <c r="B46" s="131">
        <f t="shared" ref="B46:B69" si="20">B115</f>
        <v>0</v>
      </c>
      <c r="C46" s="131">
        <f t="shared" ref="C46:G69" si="21">C115-B115</f>
        <v>0</v>
      </c>
      <c r="D46" s="131">
        <f t="shared" si="21"/>
        <v>0</v>
      </c>
      <c r="E46" s="131">
        <f t="shared" si="21"/>
        <v>0</v>
      </c>
      <c r="F46" s="131">
        <f t="shared" si="21"/>
        <v>0</v>
      </c>
      <c r="G46" s="149">
        <f t="shared" si="21"/>
        <v>0</v>
      </c>
      <c r="H46" s="161">
        <f t="shared" si="16"/>
        <v>0</v>
      </c>
      <c r="I46" s="155">
        <f t="shared" ref="I46:I69" si="22">I115-G115</f>
        <v>0</v>
      </c>
      <c r="J46" s="131">
        <f t="shared" ref="J46:K69" si="23">J115-I115</f>
        <v>0</v>
      </c>
      <c r="K46" s="131">
        <f t="shared" si="23"/>
        <v>0</v>
      </c>
      <c r="L46" s="131">
        <f t="shared" ref="L46:N69" si="24">L115-K115</f>
        <v>0</v>
      </c>
      <c r="M46" s="131">
        <f t="shared" si="24"/>
        <v>0</v>
      </c>
      <c r="N46" s="131">
        <f t="shared" si="24"/>
        <v>0</v>
      </c>
      <c r="O46" s="161">
        <f t="shared" si="4"/>
        <v>0</v>
      </c>
      <c r="P46" s="161">
        <f t="shared" si="5"/>
        <v>0</v>
      </c>
      <c r="R46" s="128" t="s">
        <v>304</v>
      </c>
    </row>
    <row r="47" spans="1:18" ht="12" customHeight="1" x14ac:dyDescent="0.15">
      <c r="A47" s="21" t="s">
        <v>103</v>
      </c>
      <c r="B47" s="131">
        <f t="shared" si="20"/>
        <v>19651</v>
      </c>
      <c r="C47" s="131">
        <f t="shared" si="21"/>
        <v>187921</v>
      </c>
      <c r="D47" s="131">
        <f t="shared" si="21"/>
        <v>106295</v>
      </c>
      <c r="E47" s="131">
        <f t="shared" si="21"/>
        <v>162363</v>
      </c>
      <c r="F47" s="131">
        <f t="shared" si="21"/>
        <v>107978</v>
      </c>
      <c r="G47" s="149">
        <f t="shared" si="21"/>
        <v>7963</v>
      </c>
      <c r="H47" s="161">
        <f t="shared" si="16"/>
        <v>592171</v>
      </c>
      <c r="I47" s="155">
        <f t="shared" si="22"/>
        <v>197591</v>
      </c>
      <c r="J47" s="131">
        <f t="shared" si="23"/>
        <v>95528</v>
      </c>
      <c r="K47" s="131">
        <f t="shared" si="23"/>
        <v>20794</v>
      </c>
      <c r="L47" s="131">
        <f t="shared" si="24"/>
        <v>185815</v>
      </c>
      <c r="M47" s="131">
        <f t="shared" si="24"/>
        <v>106630</v>
      </c>
      <c r="N47" s="131">
        <f t="shared" si="24"/>
        <v>27338</v>
      </c>
      <c r="O47" s="161">
        <f t="shared" si="4"/>
        <v>633696</v>
      </c>
      <c r="P47" s="161">
        <f t="shared" si="5"/>
        <v>1225867</v>
      </c>
    </row>
    <row r="48" spans="1:18" ht="12" customHeight="1" x14ac:dyDescent="0.15">
      <c r="A48" s="21" t="s">
        <v>24</v>
      </c>
      <c r="B48" s="131">
        <f t="shared" si="20"/>
        <v>29744</v>
      </c>
      <c r="C48" s="131">
        <f t="shared" si="21"/>
        <v>40521</v>
      </c>
      <c r="D48" s="131">
        <f t="shared" si="21"/>
        <v>8910</v>
      </c>
      <c r="E48" s="131">
        <f t="shared" si="21"/>
        <v>13862</v>
      </c>
      <c r="F48" s="131">
        <f t="shared" si="21"/>
        <v>8925</v>
      </c>
      <c r="G48" s="149">
        <f t="shared" si="21"/>
        <v>10160</v>
      </c>
      <c r="H48" s="161">
        <f t="shared" si="16"/>
        <v>112122</v>
      </c>
      <c r="I48" s="155">
        <f t="shared" si="22"/>
        <v>46666</v>
      </c>
      <c r="J48" s="131">
        <f t="shared" si="23"/>
        <v>24192</v>
      </c>
      <c r="K48" s="131">
        <f t="shared" si="23"/>
        <v>12103</v>
      </c>
      <c r="L48" s="131">
        <f t="shared" si="24"/>
        <v>18648</v>
      </c>
      <c r="M48" s="131">
        <f t="shared" si="24"/>
        <v>11753</v>
      </c>
      <c r="N48" s="131">
        <f t="shared" si="24"/>
        <v>1730</v>
      </c>
      <c r="O48" s="161">
        <f t="shared" si="4"/>
        <v>115092</v>
      </c>
      <c r="P48" s="161">
        <f t="shared" si="5"/>
        <v>227214</v>
      </c>
    </row>
    <row r="49" spans="1:16" ht="12" customHeight="1" x14ac:dyDescent="0.15">
      <c r="A49" s="48" t="s">
        <v>404</v>
      </c>
      <c r="B49" s="131">
        <f t="shared" si="20"/>
        <v>65000</v>
      </c>
      <c r="C49" s="131">
        <f t="shared" si="21"/>
        <v>0</v>
      </c>
      <c r="D49" s="131">
        <f t="shared" si="21"/>
        <v>297952</v>
      </c>
      <c r="E49" s="131">
        <f t="shared" si="21"/>
        <v>0</v>
      </c>
      <c r="F49" s="131">
        <f t="shared" si="21"/>
        <v>145200</v>
      </c>
      <c r="G49" s="149">
        <f t="shared" si="21"/>
        <v>0</v>
      </c>
      <c r="H49" s="161">
        <f t="shared" si="16"/>
        <v>508152</v>
      </c>
      <c r="I49" s="155">
        <f t="shared" si="22"/>
        <v>0</v>
      </c>
      <c r="J49" s="131">
        <f t="shared" si="23"/>
        <v>129580</v>
      </c>
      <c r="K49" s="131">
        <f t="shared" si="23"/>
        <v>0</v>
      </c>
      <c r="L49" s="131">
        <f t="shared" si="24"/>
        <v>248000</v>
      </c>
      <c r="M49" s="131">
        <f t="shared" si="24"/>
        <v>138380</v>
      </c>
      <c r="N49" s="131">
        <f t="shared" si="24"/>
        <v>0</v>
      </c>
      <c r="O49" s="161">
        <f t="shared" si="4"/>
        <v>515960</v>
      </c>
      <c r="P49" s="161">
        <f t="shared" si="5"/>
        <v>1024112</v>
      </c>
    </row>
    <row r="50" spans="1:16" ht="12" customHeight="1" x14ac:dyDescent="0.15">
      <c r="A50" s="21" t="s">
        <v>105</v>
      </c>
      <c r="B50" s="131">
        <f t="shared" si="20"/>
        <v>0</v>
      </c>
      <c r="C50" s="131">
        <f t="shared" si="21"/>
        <v>0</v>
      </c>
      <c r="D50" s="131">
        <f t="shared" si="21"/>
        <v>72968</v>
      </c>
      <c r="E50" s="131">
        <f t="shared" si="21"/>
        <v>88520</v>
      </c>
      <c r="F50" s="131">
        <f t="shared" si="21"/>
        <v>0</v>
      </c>
      <c r="G50" s="149">
        <f t="shared" si="21"/>
        <v>5740</v>
      </c>
      <c r="H50" s="161">
        <f t="shared" si="16"/>
        <v>167228</v>
      </c>
      <c r="I50" s="155">
        <f t="shared" si="22"/>
        <v>546</v>
      </c>
      <c r="J50" s="131">
        <f t="shared" si="23"/>
        <v>0</v>
      </c>
      <c r="K50" s="131">
        <f t="shared" si="23"/>
        <v>33000</v>
      </c>
      <c r="L50" s="131">
        <f t="shared" si="24"/>
        <v>0</v>
      </c>
      <c r="M50" s="131">
        <f t="shared" si="24"/>
        <v>0</v>
      </c>
      <c r="N50" s="131">
        <f t="shared" si="24"/>
        <v>5100</v>
      </c>
      <c r="O50" s="161">
        <f t="shared" si="4"/>
        <v>38646</v>
      </c>
      <c r="P50" s="161">
        <f t="shared" si="5"/>
        <v>205874</v>
      </c>
    </row>
    <row r="51" spans="1:16" ht="12" customHeight="1" x14ac:dyDescent="0.15">
      <c r="A51" s="21" t="s">
        <v>106</v>
      </c>
      <c r="B51" s="131">
        <f t="shared" si="20"/>
        <v>83837</v>
      </c>
      <c r="C51" s="131">
        <f t="shared" si="21"/>
        <v>106313</v>
      </c>
      <c r="D51" s="131">
        <f t="shared" si="21"/>
        <v>83825</v>
      </c>
      <c r="E51" s="131">
        <f t="shared" si="21"/>
        <v>128752</v>
      </c>
      <c r="F51" s="131">
        <f t="shared" si="21"/>
        <v>102908</v>
      </c>
      <c r="G51" s="149">
        <f t="shared" si="21"/>
        <v>102846</v>
      </c>
      <c r="H51" s="161">
        <f t="shared" si="16"/>
        <v>608481</v>
      </c>
      <c r="I51" s="155">
        <f t="shared" si="22"/>
        <v>85104</v>
      </c>
      <c r="J51" s="131">
        <f t="shared" si="23"/>
        <v>91299</v>
      </c>
      <c r="K51" s="131">
        <f t="shared" si="23"/>
        <v>92108</v>
      </c>
      <c r="L51" s="131">
        <f t="shared" si="24"/>
        <v>110326</v>
      </c>
      <c r="M51" s="131">
        <f t="shared" si="24"/>
        <v>88523</v>
      </c>
      <c r="N51" s="131">
        <f t="shared" si="24"/>
        <v>67092</v>
      </c>
      <c r="O51" s="161">
        <f t="shared" si="4"/>
        <v>534452</v>
      </c>
      <c r="P51" s="161">
        <f t="shared" si="5"/>
        <v>1142933</v>
      </c>
    </row>
    <row r="52" spans="1:16" ht="12" customHeight="1" x14ac:dyDescent="0.15">
      <c r="A52" s="21" t="s">
        <v>28</v>
      </c>
      <c r="B52" s="131">
        <f t="shared" si="20"/>
        <v>27426</v>
      </c>
      <c r="C52" s="131">
        <f t="shared" si="21"/>
        <v>12446</v>
      </c>
      <c r="D52" s="131">
        <f t="shared" si="21"/>
        <v>27426</v>
      </c>
      <c r="E52" s="131">
        <f t="shared" si="21"/>
        <v>38220</v>
      </c>
      <c r="F52" s="131">
        <f t="shared" si="21"/>
        <v>24900</v>
      </c>
      <c r="G52" s="149">
        <f t="shared" si="21"/>
        <v>12800</v>
      </c>
      <c r="H52" s="161">
        <f t="shared" si="16"/>
        <v>143218</v>
      </c>
      <c r="I52" s="155">
        <f t="shared" si="22"/>
        <v>12800</v>
      </c>
      <c r="J52" s="131">
        <f t="shared" si="23"/>
        <v>39420</v>
      </c>
      <c r="K52" s="131">
        <f t="shared" si="23"/>
        <v>18550</v>
      </c>
      <c r="L52" s="131">
        <f t="shared" si="24"/>
        <v>12800</v>
      </c>
      <c r="M52" s="131">
        <f t="shared" si="24"/>
        <v>8900</v>
      </c>
      <c r="N52" s="131">
        <f t="shared" si="24"/>
        <v>8900</v>
      </c>
      <c r="O52" s="161">
        <f t="shared" si="4"/>
        <v>101370</v>
      </c>
      <c r="P52" s="161">
        <f t="shared" si="5"/>
        <v>244588</v>
      </c>
    </row>
    <row r="53" spans="1:16" ht="12" customHeight="1" x14ac:dyDescent="0.15">
      <c r="A53" s="21" t="s">
        <v>107</v>
      </c>
      <c r="B53" s="131">
        <f t="shared" si="20"/>
        <v>6800</v>
      </c>
      <c r="C53" s="131">
        <f t="shared" si="21"/>
        <v>3400</v>
      </c>
      <c r="D53" s="131">
        <f t="shared" si="21"/>
        <v>19000</v>
      </c>
      <c r="E53" s="131">
        <f t="shared" si="21"/>
        <v>19500</v>
      </c>
      <c r="F53" s="131">
        <f t="shared" si="21"/>
        <v>17400</v>
      </c>
      <c r="G53" s="149">
        <f t="shared" si="21"/>
        <v>12200</v>
      </c>
      <c r="H53" s="161">
        <f t="shared" si="16"/>
        <v>78300</v>
      </c>
      <c r="I53" s="155">
        <f t="shared" si="22"/>
        <v>11500</v>
      </c>
      <c r="J53" s="131">
        <f t="shared" si="23"/>
        <v>43000</v>
      </c>
      <c r="K53" s="131">
        <f t="shared" si="23"/>
        <v>6600</v>
      </c>
      <c r="L53" s="131">
        <f t="shared" si="24"/>
        <v>21000</v>
      </c>
      <c r="M53" s="131">
        <f t="shared" si="24"/>
        <v>8200</v>
      </c>
      <c r="N53" s="131">
        <f t="shared" si="24"/>
        <v>5000</v>
      </c>
      <c r="O53" s="161">
        <f t="shared" si="4"/>
        <v>95300</v>
      </c>
      <c r="P53" s="161">
        <f t="shared" si="5"/>
        <v>173600</v>
      </c>
    </row>
    <row r="54" spans="1:16" ht="12" customHeight="1" x14ac:dyDescent="0.15">
      <c r="A54" s="21" t="s">
        <v>27</v>
      </c>
      <c r="B54" s="131">
        <f t="shared" si="20"/>
        <v>0</v>
      </c>
      <c r="C54" s="131">
        <f t="shared" si="21"/>
        <v>0</v>
      </c>
      <c r="D54" s="131">
        <f t="shared" si="21"/>
        <v>0</v>
      </c>
      <c r="E54" s="131">
        <f t="shared" si="21"/>
        <v>17600</v>
      </c>
      <c r="F54" s="131">
        <f t="shared" si="21"/>
        <v>0</v>
      </c>
      <c r="G54" s="149">
        <f t="shared" si="21"/>
        <v>44000</v>
      </c>
      <c r="H54" s="161">
        <f t="shared" si="16"/>
        <v>61600</v>
      </c>
      <c r="I54" s="155">
        <f t="shared" si="22"/>
        <v>0</v>
      </c>
      <c r="J54" s="131">
        <f t="shared" si="23"/>
        <v>15400</v>
      </c>
      <c r="K54" s="131">
        <f t="shared" si="23"/>
        <v>0</v>
      </c>
      <c r="L54" s="131">
        <f t="shared" si="24"/>
        <v>0</v>
      </c>
      <c r="M54" s="131">
        <f t="shared" si="24"/>
        <v>0</v>
      </c>
      <c r="N54" s="131">
        <f t="shared" si="24"/>
        <v>0</v>
      </c>
      <c r="O54" s="161">
        <f t="shared" si="4"/>
        <v>15400</v>
      </c>
      <c r="P54" s="161">
        <f t="shared" si="5"/>
        <v>77000</v>
      </c>
    </row>
    <row r="55" spans="1:16" ht="12" customHeight="1" x14ac:dyDescent="0.15">
      <c r="A55" s="21" t="s">
        <v>32</v>
      </c>
      <c r="B55" s="131">
        <f t="shared" si="20"/>
        <v>730381</v>
      </c>
      <c r="C55" s="131">
        <f t="shared" si="21"/>
        <v>803446</v>
      </c>
      <c r="D55" s="131">
        <f t="shared" si="21"/>
        <v>562667</v>
      </c>
      <c r="E55" s="131">
        <f t="shared" si="21"/>
        <v>488492</v>
      </c>
      <c r="F55" s="131">
        <f t="shared" si="21"/>
        <v>400586</v>
      </c>
      <c r="G55" s="149">
        <f t="shared" si="21"/>
        <v>371284</v>
      </c>
      <c r="H55" s="161">
        <f t="shared" si="16"/>
        <v>3356856</v>
      </c>
      <c r="I55" s="155">
        <f t="shared" si="22"/>
        <v>579620</v>
      </c>
      <c r="J55" s="131">
        <f t="shared" si="23"/>
        <v>400008</v>
      </c>
      <c r="K55" s="131">
        <f t="shared" si="23"/>
        <v>360487</v>
      </c>
      <c r="L55" s="131">
        <f t="shared" si="24"/>
        <v>533692</v>
      </c>
      <c r="M55" s="131">
        <f t="shared" si="24"/>
        <v>559875</v>
      </c>
      <c r="N55" s="131">
        <f t="shared" si="24"/>
        <v>483077</v>
      </c>
      <c r="O55" s="161">
        <f t="shared" si="4"/>
        <v>2916759</v>
      </c>
      <c r="P55" s="161">
        <f t="shared" si="5"/>
        <v>6273615</v>
      </c>
    </row>
    <row r="56" spans="1:16" ht="12" customHeight="1" x14ac:dyDescent="0.15">
      <c r="A56" s="21" t="s">
        <v>405</v>
      </c>
      <c r="B56" s="131">
        <f t="shared" si="20"/>
        <v>9000</v>
      </c>
      <c r="C56" s="131">
        <f t="shared" si="21"/>
        <v>2000</v>
      </c>
      <c r="D56" s="131">
        <f t="shared" si="21"/>
        <v>7000</v>
      </c>
      <c r="E56" s="131">
        <f t="shared" si="21"/>
        <v>5000</v>
      </c>
      <c r="F56" s="131">
        <f t="shared" si="21"/>
        <v>18000</v>
      </c>
      <c r="G56" s="149">
        <f t="shared" si="21"/>
        <v>8000</v>
      </c>
      <c r="H56" s="161">
        <f t="shared" si="16"/>
        <v>49000</v>
      </c>
      <c r="I56" s="155">
        <f t="shared" si="22"/>
        <v>4000</v>
      </c>
      <c r="J56" s="131">
        <f t="shared" si="23"/>
        <v>15980</v>
      </c>
      <c r="K56" s="131">
        <f t="shared" si="23"/>
        <v>0</v>
      </c>
      <c r="L56" s="131">
        <f t="shared" si="24"/>
        <v>19240</v>
      </c>
      <c r="M56" s="131">
        <f t="shared" si="24"/>
        <v>5000</v>
      </c>
      <c r="N56" s="131">
        <f t="shared" si="24"/>
        <v>7000</v>
      </c>
      <c r="O56" s="161">
        <f t="shared" si="4"/>
        <v>51220</v>
      </c>
      <c r="P56" s="161">
        <f t="shared" si="5"/>
        <v>100220</v>
      </c>
    </row>
    <row r="57" spans="1:16" ht="12" customHeight="1" x14ac:dyDescent="0.15">
      <c r="A57" s="21" t="s">
        <v>34</v>
      </c>
      <c r="B57" s="131">
        <f t="shared" si="20"/>
        <v>11800</v>
      </c>
      <c r="C57" s="131">
        <f t="shared" si="21"/>
        <v>0</v>
      </c>
      <c r="D57" s="131">
        <f t="shared" si="21"/>
        <v>3000</v>
      </c>
      <c r="E57" s="131">
        <f t="shared" si="21"/>
        <v>34000</v>
      </c>
      <c r="F57" s="131">
        <f t="shared" si="21"/>
        <v>15350</v>
      </c>
      <c r="G57" s="149">
        <f t="shared" si="21"/>
        <v>0</v>
      </c>
      <c r="H57" s="161">
        <f t="shared" si="16"/>
        <v>64150</v>
      </c>
      <c r="I57" s="155">
        <f t="shared" si="22"/>
        <v>0</v>
      </c>
      <c r="J57" s="131">
        <f t="shared" si="23"/>
        <v>3000</v>
      </c>
      <c r="K57" s="131">
        <f t="shared" si="23"/>
        <v>0</v>
      </c>
      <c r="L57" s="131">
        <f t="shared" si="24"/>
        <v>0</v>
      </c>
      <c r="M57" s="131">
        <f t="shared" si="24"/>
        <v>0</v>
      </c>
      <c r="N57" s="131">
        <f t="shared" si="24"/>
        <v>20000</v>
      </c>
      <c r="O57" s="161">
        <f t="shared" si="4"/>
        <v>23000</v>
      </c>
      <c r="P57" s="161">
        <f t="shared" si="5"/>
        <v>87150</v>
      </c>
    </row>
    <row r="58" spans="1:16" ht="12" customHeight="1" x14ac:dyDescent="0.15">
      <c r="A58" s="21" t="s">
        <v>109</v>
      </c>
      <c r="B58" s="131">
        <f t="shared" si="20"/>
        <v>576162</v>
      </c>
      <c r="C58" s="131">
        <f t="shared" si="21"/>
        <v>571489</v>
      </c>
      <c r="D58" s="131">
        <f t="shared" si="21"/>
        <v>617333</v>
      </c>
      <c r="E58" s="131">
        <f t="shared" si="21"/>
        <v>696475</v>
      </c>
      <c r="F58" s="131">
        <f t="shared" si="21"/>
        <v>619192</v>
      </c>
      <c r="G58" s="149">
        <f t="shared" si="21"/>
        <v>593547</v>
      </c>
      <c r="H58" s="161">
        <f t="shared" si="16"/>
        <v>3674198</v>
      </c>
      <c r="I58" s="155">
        <f t="shared" si="22"/>
        <v>603611</v>
      </c>
      <c r="J58" s="131">
        <f t="shared" si="23"/>
        <v>537706</v>
      </c>
      <c r="K58" s="131">
        <f t="shared" si="23"/>
        <v>395648</v>
      </c>
      <c r="L58" s="131">
        <f t="shared" si="24"/>
        <v>476768</v>
      </c>
      <c r="M58" s="131">
        <f t="shared" si="24"/>
        <v>388270</v>
      </c>
      <c r="N58" s="131">
        <f t="shared" si="24"/>
        <v>305831</v>
      </c>
      <c r="O58" s="161">
        <f t="shared" si="4"/>
        <v>2707834</v>
      </c>
      <c r="P58" s="161">
        <f t="shared" si="5"/>
        <v>6382032</v>
      </c>
    </row>
    <row r="59" spans="1:16" ht="12" customHeight="1" x14ac:dyDescent="0.15">
      <c r="A59" s="21" t="s">
        <v>35</v>
      </c>
      <c r="B59" s="131">
        <f t="shared" si="20"/>
        <v>5644</v>
      </c>
      <c r="C59" s="131">
        <f t="shared" si="21"/>
        <v>101994</v>
      </c>
      <c r="D59" s="131">
        <f t="shared" si="21"/>
        <v>102518</v>
      </c>
      <c r="E59" s="131">
        <f t="shared" si="21"/>
        <v>3659</v>
      </c>
      <c r="F59" s="131">
        <f t="shared" si="21"/>
        <v>34076</v>
      </c>
      <c r="G59" s="149">
        <f t="shared" si="21"/>
        <v>5302</v>
      </c>
      <c r="H59" s="161">
        <f t="shared" si="16"/>
        <v>253193</v>
      </c>
      <c r="I59" s="155">
        <f t="shared" si="22"/>
        <v>12333</v>
      </c>
      <c r="J59" s="131">
        <f t="shared" si="23"/>
        <v>20507</v>
      </c>
      <c r="K59" s="131">
        <f t="shared" si="23"/>
        <v>1870</v>
      </c>
      <c r="L59" s="131">
        <f t="shared" si="24"/>
        <v>12096</v>
      </c>
      <c r="M59" s="131">
        <f t="shared" si="24"/>
        <v>2802</v>
      </c>
      <c r="N59" s="131">
        <f t="shared" si="24"/>
        <v>2200</v>
      </c>
      <c r="O59" s="161">
        <f t="shared" si="4"/>
        <v>51808</v>
      </c>
      <c r="P59" s="161">
        <f t="shared" si="5"/>
        <v>305001</v>
      </c>
    </row>
    <row r="60" spans="1:16" ht="12" customHeight="1" x14ac:dyDescent="0.15">
      <c r="A60" s="21" t="s">
        <v>110</v>
      </c>
      <c r="B60" s="131">
        <f t="shared" si="20"/>
        <v>71864</v>
      </c>
      <c r="C60" s="131">
        <f t="shared" si="21"/>
        <v>151730</v>
      </c>
      <c r="D60" s="131">
        <f t="shared" si="21"/>
        <v>0</v>
      </c>
      <c r="E60" s="131">
        <f t="shared" si="21"/>
        <v>0</v>
      </c>
      <c r="F60" s="131">
        <f t="shared" si="21"/>
        <v>0</v>
      </c>
      <c r="G60" s="149">
        <f t="shared" si="21"/>
        <v>23280</v>
      </c>
      <c r="H60" s="161">
        <f t="shared" si="16"/>
        <v>246874</v>
      </c>
      <c r="I60" s="155">
        <f t="shared" si="22"/>
        <v>45820</v>
      </c>
      <c r="J60" s="131">
        <f t="shared" si="23"/>
        <v>0</v>
      </c>
      <c r="K60" s="131">
        <f t="shared" si="23"/>
        <v>0</v>
      </c>
      <c r="L60" s="131">
        <f t="shared" si="24"/>
        <v>467220</v>
      </c>
      <c r="M60" s="131">
        <f t="shared" si="24"/>
        <v>0</v>
      </c>
      <c r="N60" s="131">
        <f t="shared" si="24"/>
        <v>40200</v>
      </c>
      <c r="O60" s="161">
        <f t="shared" si="4"/>
        <v>553240</v>
      </c>
      <c r="P60" s="161">
        <f t="shared" si="5"/>
        <v>800114</v>
      </c>
    </row>
    <row r="61" spans="1:16" ht="12" customHeight="1" x14ac:dyDescent="0.15">
      <c r="A61" s="21" t="s">
        <v>111</v>
      </c>
      <c r="B61" s="131">
        <f t="shared" si="20"/>
        <v>539275</v>
      </c>
      <c r="C61" s="131">
        <f t="shared" si="21"/>
        <v>826783</v>
      </c>
      <c r="D61" s="131">
        <f t="shared" si="21"/>
        <v>415744</v>
      </c>
      <c r="E61" s="131">
        <f t="shared" si="21"/>
        <v>305135</v>
      </c>
      <c r="F61" s="131">
        <f t="shared" si="21"/>
        <v>503535</v>
      </c>
      <c r="G61" s="149">
        <f t="shared" si="21"/>
        <v>334596</v>
      </c>
      <c r="H61" s="161">
        <f t="shared" si="16"/>
        <v>2925068</v>
      </c>
      <c r="I61" s="155">
        <f t="shared" si="22"/>
        <v>454922</v>
      </c>
      <c r="J61" s="131">
        <f t="shared" si="23"/>
        <v>568000</v>
      </c>
      <c r="K61" s="131">
        <f t="shared" si="23"/>
        <v>687010</v>
      </c>
      <c r="L61" s="131">
        <f t="shared" si="24"/>
        <v>356773</v>
      </c>
      <c r="M61" s="131">
        <f t="shared" si="24"/>
        <v>567121</v>
      </c>
      <c r="N61" s="131">
        <f t="shared" si="24"/>
        <v>443214</v>
      </c>
      <c r="O61" s="161">
        <f t="shared" si="4"/>
        <v>3077040</v>
      </c>
      <c r="P61" s="161">
        <f t="shared" si="5"/>
        <v>6002108</v>
      </c>
    </row>
    <row r="62" spans="1:16" ht="12" customHeight="1" x14ac:dyDescent="0.15">
      <c r="A62" s="21" t="s">
        <v>112</v>
      </c>
      <c r="B62" s="131">
        <f t="shared" si="20"/>
        <v>0</v>
      </c>
      <c r="C62" s="131">
        <f t="shared" si="21"/>
        <v>0</v>
      </c>
      <c r="D62" s="131">
        <f t="shared" si="21"/>
        <v>0</v>
      </c>
      <c r="E62" s="131">
        <f t="shared" si="21"/>
        <v>0</v>
      </c>
      <c r="F62" s="131">
        <f t="shared" si="21"/>
        <v>0</v>
      </c>
      <c r="G62" s="149">
        <f t="shared" si="21"/>
        <v>0</v>
      </c>
      <c r="H62" s="161">
        <f t="shared" si="16"/>
        <v>0</v>
      </c>
      <c r="I62" s="155">
        <f t="shared" si="22"/>
        <v>0</v>
      </c>
      <c r="J62" s="131">
        <f t="shared" si="23"/>
        <v>0</v>
      </c>
      <c r="K62" s="131">
        <f t="shared" si="23"/>
        <v>0</v>
      </c>
      <c r="L62" s="131">
        <f t="shared" si="24"/>
        <v>0</v>
      </c>
      <c r="M62" s="131">
        <f t="shared" si="24"/>
        <v>0</v>
      </c>
      <c r="N62" s="131">
        <f t="shared" si="24"/>
        <v>150293</v>
      </c>
      <c r="O62" s="161">
        <f t="shared" si="4"/>
        <v>150293</v>
      </c>
      <c r="P62" s="161">
        <f t="shared" si="5"/>
        <v>150293</v>
      </c>
    </row>
    <row r="63" spans="1:16" ht="12" customHeight="1" x14ac:dyDescent="0.15">
      <c r="A63" s="21" t="s">
        <v>113</v>
      </c>
      <c r="B63" s="131">
        <f t="shared" si="20"/>
        <v>393148</v>
      </c>
      <c r="C63" s="131">
        <f t="shared" si="21"/>
        <v>356640</v>
      </c>
      <c r="D63" s="131">
        <f t="shared" si="21"/>
        <v>377858</v>
      </c>
      <c r="E63" s="131">
        <f t="shared" si="21"/>
        <v>354538</v>
      </c>
      <c r="F63" s="131">
        <f t="shared" si="21"/>
        <v>374338</v>
      </c>
      <c r="G63" s="149">
        <f t="shared" si="21"/>
        <v>472898</v>
      </c>
      <c r="H63" s="161">
        <f t="shared" si="16"/>
        <v>2329420</v>
      </c>
      <c r="I63" s="155">
        <f t="shared" si="22"/>
        <v>403729</v>
      </c>
      <c r="J63" s="131">
        <f t="shared" si="23"/>
        <v>365538</v>
      </c>
      <c r="K63" s="131">
        <f t="shared" si="23"/>
        <v>339038</v>
      </c>
      <c r="L63" s="131">
        <f t="shared" si="24"/>
        <v>304338</v>
      </c>
      <c r="M63" s="131">
        <f t="shared" si="24"/>
        <v>304338</v>
      </c>
      <c r="N63" s="131">
        <f t="shared" si="24"/>
        <v>323038</v>
      </c>
      <c r="O63" s="161">
        <f t="shared" si="4"/>
        <v>2040019</v>
      </c>
      <c r="P63" s="161">
        <f t="shared" si="5"/>
        <v>4369439</v>
      </c>
    </row>
    <row r="64" spans="1:16" ht="12" customHeight="1" x14ac:dyDescent="0.15">
      <c r="A64" s="21" t="s">
        <v>121</v>
      </c>
      <c r="B64" s="131">
        <f t="shared" si="20"/>
        <v>345000</v>
      </c>
      <c r="C64" s="131">
        <f t="shared" si="21"/>
        <v>465000</v>
      </c>
      <c r="D64" s="131">
        <f t="shared" si="21"/>
        <v>345000</v>
      </c>
      <c r="E64" s="131">
        <f t="shared" si="21"/>
        <v>345000</v>
      </c>
      <c r="F64" s="131">
        <f t="shared" si="21"/>
        <v>345000</v>
      </c>
      <c r="G64" s="149">
        <f t="shared" si="21"/>
        <v>345000</v>
      </c>
      <c r="H64" s="161">
        <f t="shared" si="16"/>
        <v>2190000</v>
      </c>
      <c r="I64" s="155">
        <f t="shared" si="22"/>
        <v>295000</v>
      </c>
      <c r="J64" s="131">
        <f t="shared" si="23"/>
        <v>295000</v>
      </c>
      <c r="K64" s="131">
        <f t="shared" si="23"/>
        <v>295000</v>
      </c>
      <c r="L64" s="131">
        <f t="shared" si="24"/>
        <v>295000</v>
      </c>
      <c r="M64" s="131">
        <f t="shared" si="24"/>
        <v>295000</v>
      </c>
      <c r="N64" s="131">
        <f t="shared" si="24"/>
        <v>295000</v>
      </c>
      <c r="O64" s="161">
        <f t="shared" si="4"/>
        <v>1770000</v>
      </c>
      <c r="P64" s="161">
        <f t="shared" si="5"/>
        <v>3960000</v>
      </c>
    </row>
    <row r="65" spans="1:18" ht="12" customHeight="1" x14ac:dyDescent="0.15">
      <c r="A65" s="21" t="s">
        <v>122</v>
      </c>
      <c r="B65" s="131">
        <f t="shared" si="20"/>
        <v>0</v>
      </c>
      <c r="C65" s="131">
        <f t="shared" si="21"/>
        <v>370900</v>
      </c>
      <c r="D65" s="131">
        <f t="shared" si="21"/>
        <v>0</v>
      </c>
      <c r="E65" s="131">
        <f t="shared" si="21"/>
        <v>49200</v>
      </c>
      <c r="F65" s="131">
        <f t="shared" si="21"/>
        <v>1056</v>
      </c>
      <c r="G65" s="149">
        <f t="shared" si="21"/>
        <v>0</v>
      </c>
      <c r="H65" s="161">
        <f t="shared" si="16"/>
        <v>421156</v>
      </c>
      <c r="I65" s="155">
        <f t="shared" si="22"/>
        <v>21050</v>
      </c>
      <c r="J65" s="131">
        <f t="shared" si="23"/>
        <v>0</v>
      </c>
      <c r="K65" s="131">
        <f t="shared" si="23"/>
        <v>49000</v>
      </c>
      <c r="L65" s="131">
        <f t="shared" si="24"/>
        <v>0</v>
      </c>
      <c r="M65" s="131">
        <f t="shared" si="24"/>
        <v>50357</v>
      </c>
      <c r="N65" s="131">
        <f t="shared" si="24"/>
        <v>0</v>
      </c>
      <c r="O65" s="161">
        <f t="shared" si="4"/>
        <v>120407</v>
      </c>
      <c r="P65" s="161">
        <f t="shared" si="5"/>
        <v>541563</v>
      </c>
    </row>
    <row r="66" spans="1:18" ht="12" customHeight="1" x14ac:dyDescent="0.15">
      <c r="A66" s="21" t="s">
        <v>37</v>
      </c>
      <c r="B66" s="131">
        <f t="shared" si="20"/>
        <v>12555</v>
      </c>
      <c r="C66" s="131">
        <f t="shared" si="21"/>
        <v>117864</v>
      </c>
      <c r="D66" s="131">
        <f t="shared" si="21"/>
        <v>208758</v>
      </c>
      <c r="E66" s="131">
        <f t="shared" si="21"/>
        <v>204687</v>
      </c>
      <c r="F66" s="131">
        <f t="shared" si="21"/>
        <v>121035</v>
      </c>
      <c r="G66" s="149">
        <f t="shared" si="21"/>
        <v>200690</v>
      </c>
      <c r="H66" s="161">
        <f t="shared" si="16"/>
        <v>865589</v>
      </c>
      <c r="I66" s="155">
        <f t="shared" si="22"/>
        <v>428606</v>
      </c>
      <c r="J66" s="131">
        <f t="shared" si="23"/>
        <v>62743</v>
      </c>
      <c r="K66" s="131">
        <f t="shared" si="23"/>
        <v>203430</v>
      </c>
      <c r="L66" s="131">
        <f t="shared" si="24"/>
        <v>78542</v>
      </c>
      <c r="M66" s="131">
        <f t="shared" si="24"/>
        <v>30906</v>
      </c>
      <c r="N66" s="131">
        <f t="shared" si="24"/>
        <v>151849</v>
      </c>
      <c r="O66" s="161">
        <f t="shared" si="4"/>
        <v>956076</v>
      </c>
      <c r="P66" s="161">
        <f t="shared" si="5"/>
        <v>1821665</v>
      </c>
    </row>
    <row r="67" spans="1:18" ht="12" customHeight="1" x14ac:dyDescent="0.15">
      <c r="A67" s="21" t="s">
        <v>114</v>
      </c>
      <c r="B67" s="131">
        <f t="shared" si="20"/>
        <v>0</v>
      </c>
      <c r="C67" s="131">
        <f t="shared" si="21"/>
        <v>0</v>
      </c>
      <c r="D67" s="131">
        <f t="shared" si="21"/>
        <v>0</v>
      </c>
      <c r="E67" s="131">
        <f t="shared" si="21"/>
        <v>0</v>
      </c>
      <c r="F67" s="131">
        <f t="shared" si="21"/>
        <v>0</v>
      </c>
      <c r="G67" s="149">
        <f t="shared" si="21"/>
        <v>14446</v>
      </c>
      <c r="H67" s="161">
        <f t="shared" si="16"/>
        <v>14446</v>
      </c>
      <c r="I67" s="155">
        <f t="shared" si="22"/>
        <v>7668</v>
      </c>
      <c r="J67" s="131">
        <f t="shared" si="23"/>
        <v>0</v>
      </c>
      <c r="K67" s="131">
        <f t="shared" si="23"/>
        <v>0</v>
      </c>
      <c r="L67" s="131">
        <f t="shared" si="24"/>
        <v>0</v>
      </c>
      <c r="M67" s="131">
        <f t="shared" si="24"/>
        <v>99766</v>
      </c>
      <c r="N67" s="131">
        <f t="shared" si="24"/>
        <v>0</v>
      </c>
      <c r="O67" s="161">
        <f t="shared" si="4"/>
        <v>107434</v>
      </c>
      <c r="P67" s="161">
        <f t="shared" si="5"/>
        <v>121880</v>
      </c>
    </row>
    <row r="68" spans="1:18" ht="12" customHeight="1" x14ac:dyDescent="0.15">
      <c r="A68" s="127" t="s">
        <v>115</v>
      </c>
      <c r="B68" s="131">
        <f t="shared" si="20"/>
        <v>407732</v>
      </c>
      <c r="C68" s="131">
        <f t="shared" si="21"/>
        <v>266327</v>
      </c>
      <c r="D68" s="131">
        <f t="shared" si="21"/>
        <v>303321</v>
      </c>
      <c r="E68" s="131">
        <f t="shared" si="21"/>
        <v>465566</v>
      </c>
      <c r="F68" s="131">
        <f t="shared" si="21"/>
        <v>361195</v>
      </c>
      <c r="G68" s="149">
        <f t="shared" si="21"/>
        <v>368382</v>
      </c>
      <c r="H68" s="161">
        <f t="shared" si="16"/>
        <v>2172523</v>
      </c>
      <c r="I68" s="155">
        <f t="shared" si="22"/>
        <v>786786</v>
      </c>
      <c r="J68" s="131">
        <f t="shared" si="23"/>
        <v>260446</v>
      </c>
      <c r="K68" s="131">
        <f t="shared" si="23"/>
        <v>303176</v>
      </c>
      <c r="L68" s="131">
        <f t="shared" si="24"/>
        <v>319147</v>
      </c>
      <c r="M68" s="131">
        <f t="shared" si="24"/>
        <v>265431</v>
      </c>
      <c r="N68" s="131">
        <f t="shared" si="24"/>
        <v>395670</v>
      </c>
      <c r="O68" s="161">
        <f t="shared" si="4"/>
        <v>2330656</v>
      </c>
      <c r="P68" s="161">
        <f t="shared" si="5"/>
        <v>4503179</v>
      </c>
    </row>
    <row r="69" spans="1:18" ht="12" customHeight="1" x14ac:dyDescent="0.15">
      <c r="A69" s="21" t="s">
        <v>46</v>
      </c>
      <c r="B69" s="131">
        <f t="shared" si="20"/>
        <v>0</v>
      </c>
      <c r="C69" s="131">
        <f t="shared" si="21"/>
        <v>0</v>
      </c>
      <c r="D69" s="131">
        <f t="shared" si="21"/>
        <v>0</v>
      </c>
      <c r="E69" s="131">
        <f t="shared" si="21"/>
        <v>0</v>
      </c>
      <c r="F69" s="131">
        <f t="shared" si="21"/>
        <v>0</v>
      </c>
      <c r="G69" s="149">
        <f t="shared" si="21"/>
        <v>0</v>
      </c>
      <c r="H69" s="161">
        <f t="shared" si="16"/>
        <v>0</v>
      </c>
      <c r="I69" s="155">
        <f t="shared" si="22"/>
        <v>0</v>
      </c>
      <c r="J69" s="131">
        <f t="shared" si="23"/>
        <v>0</v>
      </c>
      <c r="K69" s="131">
        <f t="shared" si="23"/>
        <v>0</v>
      </c>
      <c r="L69" s="131">
        <f t="shared" si="24"/>
        <v>0</v>
      </c>
      <c r="M69" s="131">
        <f t="shared" si="24"/>
        <v>0</v>
      </c>
      <c r="N69" s="131">
        <f t="shared" si="24"/>
        <v>0</v>
      </c>
      <c r="O69" s="161">
        <f t="shared" si="4"/>
        <v>0</v>
      </c>
      <c r="P69" s="161">
        <f t="shared" si="5"/>
        <v>0</v>
      </c>
    </row>
    <row r="70" spans="1:18" ht="12" customHeight="1" x14ac:dyDescent="0.15">
      <c r="A70" s="52" t="s">
        <v>29</v>
      </c>
      <c r="B70" s="132">
        <f t="shared" ref="B70:N70" si="25">B38+B44</f>
        <v>16571381</v>
      </c>
      <c r="C70" s="132">
        <f t="shared" si="25"/>
        <v>16911153</v>
      </c>
      <c r="D70" s="132">
        <f t="shared" si="25"/>
        <v>16437180</v>
      </c>
      <c r="E70" s="132">
        <f t="shared" si="25"/>
        <v>21918073</v>
      </c>
      <c r="F70" s="132">
        <f t="shared" si="25"/>
        <v>16096574</v>
      </c>
      <c r="G70" s="150">
        <f t="shared" si="25"/>
        <v>15694659</v>
      </c>
      <c r="H70" s="162">
        <f t="shared" si="16"/>
        <v>103629020</v>
      </c>
      <c r="I70" s="156">
        <f>I38+I44</f>
        <v>16706703</v>
      </c>
      <c r="J70" s="132">
        <f t="shared" si="25"/>
        <v>21120402</v>
      </c>
      <c r="K70" s="132">
        <f t="shared" si="25"/>
        <v>14398054</v>
      </c>
      <c r="L70" s="132">
        <f t="shared" si="25"/>
        <v>15506280</v>
      </c>
      <c r="M70" s="132">
        <f t="shared" si="25"/>
        <v>14183821</v>
      </c>
      <c r="N70" s="150">
        <f t="shared" si="25"/>
        <v>13751488</v>
      </c>
      <c r="O70" s="162">
        <f t="shared" si="4"/>
        <v>95666748</v>
      </c>
      <c r="P70" s="162">
        <f t="shared" si="5"/>
        <v>199295768</v>
      </c>
    </row>
    <row r="71" spans="1:18" ht="12" customHeight="1" x14ac:dyDescent="0.15">
      <c r="A71" s="52" t="s">
        <v>61</v>
      </c>
      <c r="B71" s="143">
        <f t="shared" ref="B71:G71" si="26">B35-B70</f>
        <v>-544490</v>
      </c>
      <c r="C71" s="143">
        <f t="shared" si="26"/>
        <v>-313523</v>
      </c>
      <c r="D71" s="132">
        <f t="shared" si="26"/>
        <v>-765769</v>
      </c>
      <c r="E71" s="145">
        <f t="shared" si="26"/>
        <v>-7446968</v>
      </c>
      <c r="F71" s="145">
        <f t="shared" si="26"/>
        <v>71636</v>
      </c>
      <c r="G71" s="150">
        <f t="shared" si="26"/>
        <v>-440219</v>
      </c>
      <c r="H71" s="162">
        <f t="shared" si="16"/>
        <v>-9439333</v>
      </c>
      <c r="I71" s="156">
        <f t="shared" ref="I71:N71" si="27">I35-I70</f>
        <v>-237460</v>
      </c>
      <c r="J71" s="132">
        <f t="shared" si="27"/>
        <v>-5045963</v>
      </c>
      <c r="K71" s="132">
        <f t="shared" si="27"/>
        <v>38736</v>
      </c>
      <c r="L71" s="132">
        <f t="shared" si="27"/>
        <v>-2306505</v>
      </c>
      <c r="M71" s="132">
        <f t="shared" si="27"/>
        <v>-952336</v>
      </c>
      <c r="N71" s="150">
        <f t="shared" si="27"/>
        <v>-959768</v>
      </c>
      <c r="O71" s="162">
        <f t="shared" si="4"/>
        <v>-9463296</v>
      </c>
      <c r="P71" s="162">
        <f t="shared" si="5"/>
        <v>-18902629</v>
      </c>
    </row>
    <row r="72" spans="1:18" ht="12" customHeight="1" x14ac:dyDescent="0.15">
      <c r="A72" s="24" t="s">
        <v>126</v>
      </c>
      <c r="B72" s="131">
        <f>B106</f>
        <v>2</v>
      </c>
      <c r="C72" s="131">
        <f>C106-B106</f>
        <v>0</v>
      </c>
      <c r="D72" s="131">
        <f>D106-C106</f>
        <v>0</v>
      </c>
      <c r="E72" s="131">
        <f>E106-D106</f>
        <v>0</v>
      </c>
      <c r="F72" s="131">
        <f>F106-E106</f>
        <v>57</v>
      </c>
      <c r="G72" s="149">
        <f>G106-F106</f>
        <v>2</v>
      </c>
      <c r="H72" s="161">
        <f t="shared" si="16"/>
        <v>61</v>
      </c>
      <c r="I72" s="155">
        <f>I106-G106</f>
        <v>4</v>
      </c>
      <c r="J72" s="131">
        <f>J106-I106</f>
        <v>0</v>
      </c>
      <c r="K72" s="131">
        <f>K106-J106</f>
        <v>0</v>
      </c>
      <c r="L72" s="131">
        <f>L106-K106</f>
        <v>0</v>
      </c>
      <c r="M72" s="131">
        <f>M106-L106</f>
        <v>74</v>
      </c>
      <c r="N72" s="131">
        <f>N106-M106</f>
        <v>2</v>
      </c>
      <c r="O72" s="162">
        <f t="shared" si="4"/>
        <v>80</v>
      </c>
      <c r="P72" s="161">
        <f t="shared" si="5"/>
        <v>141</v>
      </c>
    </row>
    <row r="73" spans="1:18" ht="12" customHeight="1" x14ac:dyDescent="0.15">
      <c r="A73" s="24" t="s">
        <v>127</v>
      </c>
      <c r="B73" s="131">
        <f>SUM(B140:B142)</f>
        <v>22831</v>
      </c>
      <c r="C73" s="131">
        <f>C140+C141+C142-B140-B141-B142</f>
        <v>16786</v>
      </c>
      <c r="D73" s="131">
        <f>D140+D141+D142-C140-C141-C142</f>
        <v>4501</v>
      </c>
      <c r="E73" s="131">
        <f>E140+E141+E142-D140-D141-D142</f>
        <v>57090</v>
      </c>
      <c r="F73" s="131">
        <f>F140+F141+F142-E140-E141-E142</f>
        <v>196665</v>
      </c>
      <c r="G73" s="149">
        <f>G140+G141+G142-F140-F141-F142</f>
        <v>18958</v>
      </c>
      <c r="H73" s="161">
        <f t="shared" si="16"/>
        <v>316831</v>
      </c>
      <c r="I73" s="155">
        <f>I140+I141+I142-G140-G141-G142</f>
        <v>60275</v>
      </c>
      <c r="J73" s="131">
        <f>J140+J141+J142-I140-I141-I142</f>
        <v>27396</v>
      </c>
      <c r="K73" s="131">
        <f>K140+K141+K142-J140-J141-J142</f>
        <v>30938</v>
      </c>
      <c r="L73" s="131">
        <f>L140+L141+L142-K140-K141-K142</f>
        <v>30568</v>
      </c>
      <c r="M73" s="131">
        <f>M140+M141+M142-L140-L141-L142</f>
        <v>25443</v>
      </c>
      <c r="N73" s="131">
        <f>N140+N141+N142-M140-M141-M142</f>
        <v>62577</v>
      </c>
      <c r="O73" s="162">
        <f t="shared" si="4"/>
        <v>237197</v>
      </c>
      <c r="P73" s="161">
        <f t="shared" si="5"/>
        <v>554028</v>
      </c>
      <c r="Q73" s="183" t="s">
        <v>386</v>
      </c>
      <c r="R73" s="183"/>
    </row>
    <row r="74" spans="1:18" ht="12" customHeight="1" x14ac:dyDescent="0.15">
      <c r="A74" s="52" t="s">
        <v>60</v>
      </c>
      <c r="B74" s="144">
        <f t="shared" ref="B74:G74" si="28">B71+B72-B73</f>
        <v>-567319</v>
      </c>
      <c r="C74" s="144">
        <f t="shared" si="28"/>
        <v>-330309</v>
      </c>
      <c r="D74" s="135">
        <f t="shared" si="28"/>
        <v>-770270</v>
      </c>
      <c r="E74" s="146">
        <f t="shared" si="28"/>
        <v>-7504058</v>
      </c>
      <c r="F74" s="147">
        <f t="shared" si="28"/>
        <v>-124972</v>
      </c>
      <c r="G74" s="152">
        <f t="shared" si="28"/>
        <v>-459175</v>
      </c>
      <c r="H74" s="162">
        <f t="shared" si="16"/>
        <v>-9756103</v>
      </c>
      <c r="I74" s="158">
        <f t="shared" ref="I74:N74" si="29">I71+I72-I73</f>
        <v>-297731</v>
      </c>
      <c r="J74" s="135">
        <f t="shared" si="29"/>
        <v>-5073359</v>
      </c>
      <c r="K74" s="135">
        <f t="shared" si="29"/>
        <v>7798</v>
      </c>
      <c r="L74" s="135">
        <f t="shared" si="29"/>
        <v>-2337073</v>
      </c>
      <c r="M74" s="135">
        <f t="shared" si="29"/>
        <v>-977705</v>
      </c>
      <c r="N74" s="152">
        <f t="shared" si="29"/>
        <v>-1022343</v>
      </c>
      <c r="O74" s="162">
        <f t="shared" si="4"/>
        <v>-9700413</v>
      </c>
      <c r="P74" s="164">
        <f t="shared" si="5"/>
        <v>-19456516</v>
      </c>
      <c r="Q74" s="184">
        <f>P74-'[2]6.3月'!$D$63</f>
        <v>0</v>
      </c>
      <c r="R74" s="184"/>
    </row>
    <row r="75" spans="1:18" ht="12" customHeight="1" thickBot="1" x14ac:dyDescent="0.2">
      <c r="A75" s="48" t="s">
        <v>116</v>
      </c>
      <c r="B75" s="137">
        <v>83000</v>
      </c>
      <c r="C75" s="137">
        <v>83000</v>
      </c>
      <c r="D75" s="137">
        <v>83000</v>
      </c>
      <c r="E75" s="137">
        <v>83000</v>
      </c>
      <c r="F75" s="137">
        <v>83000</v>
      </c>
      <c r="G75" s="153">
        <v>83000</v>
      </c>
      <c r="H75" s="165">
        <f t="shared" si="16"/>
        <v>498000</v>
      </c>
      <c r="I75" s="159">
        <v>83000</v>
      </c>
      <c r="J75" s="137">
        <v>321000</v>
      </c>
      <c r="K75" s="137">
        <v>321000</v>
      </c>
      <c r="L75" s="137">
        <v>321000</v>
      </c>
      <c r="M75" s="137">
        <v>321000</v>
      </c>
      <c r="N75" s="153">
        <v>321000</v>
      </c>
      <c r="O75" s="165">
        <f t="shared" si="4"/>
        <v>1688000</v>
      </c>
      <c r="P75" s="165">
        <f t="shared" si="5"/>
        <v>2186000</v>
      </c>
      <c r="Q75" s="185"/>
      <c r="R75" s="185"/>
    </row>
    <row r="76" spans="1:18" x14ac:dyDescent="0.15">
      <c r="G76" s="138"/>
      <c r="Q76" s="186"/>
      <c r="R76" s="186"/>
    </row>
    <row r="77" spans="1:18" x14ac:dyDescent="0.15">
      <c r="A77" s="21" t="s">
        <v>1</v>
      </c>
      <c r="B77" s="139">
        <v>77000</v>
      </c>
      <c r="C77" s="139">
        <v>78000</v>
      </c>
      <c r="D77" s="139">
        <v>78000</v>
      </c>
      <c r="E77" s="139">
        <v>80000</v>
      </c>
      <c r="F77" s="139">
        <v>83000</v>
      </c>
      <c r="G77" s="139">
        <v>83000</v>
      </c>
      <c r="H77" s="139"/>
      <c r="I77" s="139">
        <v>83000</v>
      </c>
      <c r="J77" s="139">
        <v>83000</v>
      </c>
      <c r="K77" s="139">
        <v>83000</v>
      </c>
      <c r="L77" s="139">
        <v>83000</v>
      </c>
      <c r="M77" s="139">
        <v>84000</v>
      </c>
      <c r="N77" s="139">
        <v>84000</v>
      </c>
      <c r="O77" s="139"/>
      <c r="P77" s="139"/>
    </row>
    <row r="78" spans="1:18" x14ac:dyDescent="0.15">
      <c r="A78" s="21" t="s">
        <v>2</v>
      </c>
      <c r="B78" s="139">
        <v>5000</v>
      </c>
      <c r="C78" s="139">
        <v>21000</v>
      </c>
      <c r="D78" s="139">
        <v>23000</v>
      </c>
      <c r="E78" s="139">
        <v>25000</v>
      </c>
      <c r="F78" s="139">
        <v>28000</v>
      </c>
      <c r="G78" s="139">
        <v>29000</v>
      </c>
      <c r="H78" s="139"/>
      <c r="I78" s="139">
        <v>30000</v>
      </c>
      <c r="J78" s="139">
        <v>32000</v>
      </c>
      <c r="K78" s="139">
        <v>33000</v>
      </c>
      <c r="L78" s="139">
        <v>35000</v>
      </c>
      <c r="M78" s="139">
        <v>36000</v>
      </c>
      <c r="N78" s="139">
        <v>36000</v>
      </c>
      <c r="O78" s="139"/>
      <c r="P78" s="139"/>
    </row>
    <row r="79" spans="1:18" x14ac:dyDescent="0.15">
      <c r="A79" s="21" t="s">
        <v>3</v>
      </c>
      <c r="B79" s="139">
        <v>3000</v>
      </c>
      <c r="C79" s="139">
        <v>3000</v>
      </c>
      <c r="D79" s="139">
        <v>3000</v>
      </c>
      <c r="E79" s="139">
        <v>3000</v>
      </c>
      <c r="F79" s="139">
        <v>3000</v>
      </c>
      <c r="G79" s="139">
        <v>4000</v>
      </c>
      <c r="H79" s="139"/>
      <c r="I79" s="139">
        <v>4000</v>
      </c>
      <c r="J79" s="139">
        <v>4000</v>
      </c>
      <c r="K79" s="139">
        <v>4000</v>
      </c>
      <c r="L79" s="139">
        <v>4000</v>
      </c>
      <c r="M79" s="139">
        <v>4000</v>
      </c>
      <c r="N79" s="139">
        <v>4000</v>
      </c>
      <c r="O79" s="139"/>
      <c r="P79" s="139"/>
    </row>
    <row r="80" spans="1:18" x14ac:dyDescent="0.15">
      <c r="A80" s="118" t="s">
        <v>387</v>
      </c>
      <c r="B80" s="139"/>
      <c r="C80" s="140"/>
      <c r="D80" s="140"/>
      <c r="E80" s="140"/>
      <c r="F80" s="140"/>
      <c r="G80" s="141"/>
      <c r="H80" s="140"/>
      <c r="I80" s="141"/>
      <c r="J80" s="140"/>
      <c r="K80" s="140"/>
      <c r="L80" s="140"/>
      <c r="M80" s="140"/>
      <c r="N80" s="140"/>
      <c r="O80" s="140"/>
      <c r="P80" s="140"/>
    </row>
    <row r="81" spans="1:17" x14ac:dyDescent="0.15">
      <c r="A81" s="47" t="s">
        <v>94</v>
      </c>
      <c r="B81" s="139">
        <v>2524310</v>
      </c>
      <c r="C81" s="139">
        <v>5081110</v>
      </c>
      <c r="D81" s="139">
        <v>7645810</v>
      </c>
      <c r="E81" s="139">
        <v>10131530</v>
      </c>
      <c r="F81" s="139">
        <v>12673030</v>
      </c>
      <c r="G81" s="139">
        <v>15112030</v>
      </c>
      <c r="H81" s="139"/>
      <c r="I81" s="139">
        <v>17506320</v>
      </c>
      <c r="J81" s="139">
        <v>19947210</v>
      </c>
      <c r="K81" s="139">
        <v>22379270</v>
      </c>
      <c r="L81" s="139">
        <v>24810170</v>
      </c>
      <c r="M81" s="139">
        <v>27166370</v>
      </c>
      <c r="N81" s="139">
        <v>29574940</v>
      </c>
      <c r="O81" s="139"/>
      <c r="P81" s="139"/>
    </row>
    <row r="82" spans="1:17" x14ac:dyDescent="0.15">
      <c r="A82" s="48" t="s">
        <v>247</v>
      </c>
      <c r="B82" s="139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</row>
    <row r="83" spans="1:17" x14ac:dyDescent="0.15">
      <c r="A83" s="48" t="s">
        <v>319</v>
      </c>
      <c r="B83" s="139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</row>
    <row r="84" spans="1:17" x14ac:dyDescent="0.15">
      <c r="A84" s="47" t="s">
        <v>95</v>
      </c>
      <c r="B84" s="139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</row>
    <row r="85" spans="1:17" x14ac:dyDescent="0.15">
      <c r="A85" s="21" t="s">
        <v>58</v>
      </c>
      <c r="B85" s="139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</row>
    <row r="86" spans="1:17" x14ac:dyDescent="0.15">
      <c r="A86" s="47" t="s">
        <v>96</v>
      </c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</row>
    <row r="87" spans="1:17" x14ac:dyDescent="0.15">
      <c r="A87" s="21" t="s">
        <v>59</v>
      </c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</row>
    <row r="88" spans="1:17" x14ac:dyDescent="0.15">
      <c r="A88" s="50" t="s">
        <v>120</v>
      </c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</row>
    <row r="89" spans="1:17" x14ac:dyDescent="0.15">
      <c r="A89" s="21" t="s">
        <v>59</v>
      </c>
      <c r="B89" s="139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</row>
    <row r="90" spans="1:17" x14ac:dyDescent="0.15">
      <c r="A90" s="51" t="s">
        <v>245</v>
      </c>
      <c r="B90" s="139">
        <v>672920</v>
      </c>
      <c r="C90" s="139">
        <v>1371090</v>
      </c>
      <c r="D90" s="139">
        <v>1985260</v>
      </c>
      <c r="E90" s="139">
        <v>2548770</v>
      </c>
      <c r="F90" s="139">
        <v>3230300</v>
      </c>
      <c r="G90" s="139">
        <v>3831940</v>
      </c>
      <c r="H90" s="139"/>
      <c r="I90" s="139">
        <v>4475790</v>
      </c>
      <c r="J90" s="139">
        <v>5124610</v>
      </c>
      <c r="K90" s="139">
        <v>5671450</v>
      </c>
      <c r="L90" s="139">
        <v>6148810</v>
      </c>
      <c r="M90" s="139">
        <v>6585380</v>
      </c>
      <c r="N90" s="139">
        <v>7002720</v>
      </c>
      <c r="O90" s="139"/>
      <c r="P90" s="139"/>
    </row>
    <row r="91" spans="1:17" x14ac:dyDescent="0.15">
      <c r="A91" s="51" t="s">
        <v>366</v>
      </c>
      <c r="B91" s="139">
        <v>158970</v>
      </c>
      <c r="C91" s="139">
        <v>321360</v>
      </c>
      <c r="D91" s="139">
        <v>459430</v>
      </c>
      <c r="E91" s="139">
        <v>584040</v>
      </c>
      <c r="F91" s="139">
        <v>740410</v>
      </c>
      <c r="G91" s="139">
        <v>874780</v>
      </c>
      <c r="H91" s="139"/>
      <c r="I91" s="139">
        <v>1019620</v>
      </c>
      <c r="J91" s="139">
        <v>1164960</v>
      </c>
      <c r="K91" s="139">
        <v>1287760</v>
      </c>
      <c r="L91" s="139">
        <v>1394250</v>
      </c>
      <c r="M91" s="139">
        <v>1483070</v>
      </c>
      <c r="N91" s="139">
        <v>1567990</v>
      </c>
      <c r="O91" s="139"/>
      <c r="P91" s="139"/>
    </row>
    <row r="92" spans="1:17" x14ac:dyDescent="0.15">
      <c r="A92" s="51" t="s">
        <v>423</v>
      </c>
      <c r="B92" s="139">
        <v>133600</v>
      </c>
      <c r="C92" s="139">
        <v>271220</v>
      </c>
      <c r="D92" s="139">
        <v>390520</v>
      </c>
      <c r="E92" s="139">
        <v>499220</v>
      </c>
      <c r="F92" s="139">
        <v>632780</v>
      </c>
      <c r="G92" s="139">
        <v>749390</v>
      </c>
      <c r="H92" s="139"/>
      <c r="I92" s="139">
        <v>874520</v>
      </c>
      <c r="J92" s="139">
        <v>1000350</v>
      </c>
      <c r="K92" s="139">
        <v>1106520</v>
      </c>
      <c r="L92" s="139">
        <v>1198950</v>
      </c>
      <c r="M92" s="139">
        <v>1280340</v>
      </c>
      <c r="N92" s="139">
        <v>1358150</v>
      </c>
      <c r="O92" s="139"/>
      <c r="P92" s="139"/>
    </row>
    <row r="93" spans="1:17" x14ac:dyDescent="0.15">
      <c r="A93" s="51" t="s">
        <v>338</v>
      </c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 t="s">
        <v>390</v>
      </c>
      <c r="O93" s="140"/>
      <c r="P93" s="140"/>
    </row>
    <row r="94" spans="1:17" x14ac:dyDescent="0.15">
      <c r="A94" s="21" t="s">
        <v>59</v>
      </c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</row>
    <row r="95" spans="1:17" x14ac:dyDescent="0.15">
      <c r="A95" s="47" t="s">
        <v>119</v>
      </c>
      <c r="B95" s="139">
        <v>69500</v>
      </c>
      <c r="C95" s="139">
        <v>123400</v>
      </c>
      <c r="D95" s="139">
        <v>215600</v>
      </c>
      <c r="E95" s="139">
        <v>288400</v>
      </c>
      <c r="F95" s="139">
        <v>343000</v>
      </c>
      <c r="G95" s="139">
        <v>428700</v>
      </c>
      <c r="H95" s="139"/>
      <c r="I95" s="139">
        <v>502100</v>
      </c>
      <c r="J95" s="139">
        <v>558100</v>
      </c>
      <c r="K95" s="139">
        <v>637900</v>
      </c>
      <c r="L95" s="139">
        <v>693900</v>
      </c>
      <c r="M95" s="139">
        <v>747800</v>
      </c>
      <c r="N95" s="139">
        <v>841600</v>
      </c>
      <c r="O95" s="139"/>
      <c r="P95" s="139"/>
      <c r="Q95" s="139"/>
    </row>
    <row r="96" spans="1:17" x14ac:dyDescent="0.15">
      <c r="A96" s="47" t="s">
        <v>97</v>
      </c>
      <c r="B96" s="139">
        <v>9000</v>
      </c>
      <c r="C96" s="139">
        <v>17000</v>
      </c>
      <c r="D96" s="139">
        <v>30500</v>
      </c>
      <c r="E96" s="139">
        <v>50500</v>
      </c>
      <c r="F96" s="139">
        <v>59500</v>
      </c>
      <c r="G96" s="139">
        <v>67500</v>
      </c>
      <c r="H96" s="139"/>
      <c r="I96" s="139">
        <v>77500</v>
      </c>
      <c r="J96" s="139">
        <v>87500</v>
      </c>
      <c r="K96" s="139">
        <v>118400</v>
      </c>
      <c r="L96" s="139">
        <v>123400</v>
      </c>
      <c r="M96" s="139">
        <v>135600</v>
      </c>
      <c r="N96" s="139">
        <v>143100</v>
      </c>
      <c r="O96" s="139"/>
    </row>
    <row r="97" spans="1:40" x14ac:dyDescent="0.15">
      <c r="A97" s="51" t="s">
        <v>407</v>
      </c>
      <c r="B97" s="139">
        <v>11250</v>
      </c>
      <c r="C97" s="139">
        <v>28750</v>
      </c>
      <c r="D97" s="139">
        <v>46950</v>
      </c>
      <c r="E97" s="139">
        <v>65100</v>
      </c>
      <c r="F97" s="139">
        <v>75300</v>
      </c>
      <c r="G97" s="139">
        <v>85600</v>
      </c>
      <c r="H97" s="139"/>
      <c r="I97" s="139">
        <v>101000</v>
      </c>
      <c r="J97" s="139">
        <v>109700</v>
      </c>
      <c r="K97" s="139">
        <v>125550</v>
      </c>
      <c r="L97" s="139">
        <v>136750</v>
      </c>
      <c r="M97" s="139">
        <v>143000</v>
      </c>
      <c r="N97" s="139">
        <v>151900</v>
      </c>
      <c r="O97" s="139"/>
      <c r="P97" s="139"/>
    </row>
    <row r="98" spans="1:40" x14ac:dyDescent="0.15">
      <c r="A98" s="47" t="s">
        <v>249</v>
      </c>
      <c r="B98" s="139">
        <v>89200</v>
      </c>
      <c r="C98" s="139">
        <v>187300</v>
      </c>
      <c r="D98" s="139">
        <v>288100</v>
      </c>
      <c r="E98" s="139">
        <v>370400</v>
      </c>
      <c r="F98" s="139">
        <v>436800</v>
      </c>
      <c r="G98" s="139">
        <v>523000</v>
      </c>
      <c r="H98" s="139"/>
      <c r="I98" s="139">
        <v>609000</v>
      </c>
      <c r="J98" s="139">
        <v>690000</v>
      </c>
      <c r="K98" s="139">
        <v>753600</v>
      </c>
      <c r="L98" s="139">
        <v>819800</v>
      </c>
      <c r="M98" s="139">
        <v>896700</v>
      </c>
      <c r="N98" s="139">
        <v>967700</v>
      </c>
      <c r="O98" s="139"/>
      <c r="P98" s="139"/>
    </row>
    <row r="99" spans="1:40" x14ac:dyDescent="0.15">
      <c r="A99" s="47" t="s">
        <v>406</v>
      </c>
      <c r="B99" s="139">
        <v>19100</v>
      </c>
      <c r="C99" s="139">
        <v>20300</v>
      </c>
      <c r="D99" s="139">
        <v>23700</v>
      </c>
      <c r="E99" s="139">
        <v>44200</v>
      </c>
      <c r="F99" s="139">
        <v>74100</v>
      </c>
      <c r="G99" s="139">
        <v>84100</v>
      </c>
      <c r="H99" s="139"/>
      <c r="I99" s="139">
        <v>90700</v>
      </c>
      <c r="J99" s="139">
        <v>97800</v>
      </c>
      <c r="K99" s="139">
        <v>104200</v>
      </c>
      <c r="L99" s="139">
        <v>109600</v>
      </c>
      <c r="M99" s="139">
        <v>115000</v>
      </c>
      <c r="N99" s="139">
        <v>126000</v>
      </c>
      <c r="O99" s="139"/>
      <c r="P99" s="139"/>
    </row>
    <row r="100" spans="1:40" x14ac:dyDescent="0.15">
      <c r="A100" s="47" t="s">
        <v>303</v>
      </c>
      <c r="B100" s="139">
        <v>2200</v>
      </c>
      <c r="C100" s="139">
        <v>2200</v>
      </c>
      <c r="D100" s="139">
        <v>2200</v>
      </c>
      <c r="E100" s="139">
        <v>5200</v>
      </c>
      <c r="F100" s="139">
        <v>13900</v>
      </c>
      <c r="G100" s="139">
        <v>13900</v>
      </c>
      <c r="H100" s="139"/>
      <c r="I100" s="139">
        <v>13900</v>
      </c>
      <c r="J100" s="139">
        <v>13900</v>
      </c>
      <c r="K100" s="139">
        <v>14600</v>
      </c>
      <c r="L100" s="139">
        <v>14800</v>
      </c>
      <c r="M100" s="139">
        <v>14800</v>
      </c>
      <c r="N100" s="139">
        <v>16300</v>
      </c>
      <c r="O100" s="139"/>
      <c r="P100" s="139"/>
    </row>
    <row r="101" spans="1:40" x14ac:dyDescent="0.15">
      <c r="A101" s="47" t="s">
        <v>251</v>
      </c>
      <c r="B101" s="139">
        <v>1400</v>
      </c>
      <c r="C101" s="139">
        <v>2800</v>
      </c>
      <c r="D101" s="139">
        <v>2800</v>
      </c>
      <c r="E101" s="139">
        <v>5600</v>
      </c>
      <c r="F101" s="139">
        <v>5600</v>
      </c>
      <c r="G101" s="139">
        <v>7000</v>
      </c>
      <c r="H101" s="139"/>
      <c r="I101" s="139">
        <v>9800</v>
      </c>
      <c r="J101" s="139">
        <v>9800</v>
      </c>
      <c r="K101" s="139">
        <v>11200</v>
      </c>
      <c r="L101" s="139">
        <v>11200</v>
      </c>
      <c r="M101" s="139">
        <v>11200</v>
      </c>
      <c r="N101" s="139">
        <v>11200</v>
      </c>
      <c r="O101" s="139"/>
      <c r="P101" s="139"/>
    </row>
    <row r="102" spans="1:40" x14ac:dyDescent="0.15">
      <c r="A102" s="21" t="s">
        <v>99</v>
      </c>
      <c r="B102" s="139">
        <v>1214000</v>
      </c>
      <c r="C102" s="139">
        <v>2428000</v>
      </c>
      <c r="D102" s="139">
        <v>3725000</v>
      </c>
      <c r="E102" s="139">
        <v>4939000</v>
      </c>
      <c r="F102" s="139">
        <v>6153000</v>
      </c>
      <c r="G102" s="139">
        <v>7450000</v>
      </c>
      <c r="H102" s="139"/>
      <c r="I102" s="139">
        <v>8664000</v>
      </c>
      <c r="J102" s="139">
        <v>9878000</v>
      </c>
      <c r="K102" s="139">
        <v>11425000</v>
      </c>
      <c r="L102" s="139">
        <v>12972000</v>
      </c>
      <c r="M102" s="139">
        <v>14436000</v>
      </c>
      <c r="N102" s="139">
        <v>15993000</v>
      </c>
      <c r="O102" s="139"/>
      <c r="P102" s="139"/>
    </row>
    <row r="103" spans="1:40" x14ac:dyDescent="0.15">
      <c r="A103" s="21" t="s">
        <v>383</v>
      </c>
      <c r="B103" s="139">
        <v>20000</v>
      </c>
      <c r="C103" s="139">
        <v>120000</v>
      </c>
      <c r="D103" s="139">
        <v>120000</v>
      </c>
      <c r="E103" s="139">
        <v>130000</v>
      </c>
      <c r="F103" s="139">
        <v>130000</v>
      </c>
      <c r="G103" s="139">
        <v>130000</v>
      </c>
      <c r="H103" s="139"/>
      <c r="I103" s="139">
        <v>190000</v>
      </c>
      <c r="J103" s="139">
        <v>200000</v>
      </c>
      <c r="K103" s="139">
        <v>200000</v>
      </c>
      <c r="L103" s="139">
        <v>200000</v>
      </c>
      <c r="M103" s="139">
        <v>200000</v>
      </c>
      <c r="N103" s="139">
        <v>200000</v>
      </c>
      <c r="O103" s="139"/>
      <c r="P103" s="139"/>
    </row>
    <row r="104" spans="1:40" x14ac:dyDescent="0.15">
      <c r="A104" s="21" t="s">
        <v>384</v>
      </c>
      <c r="B104" s="139">
        <v>338328</v>
      </c>
      <c r="C104" s="139">
        <v>588328</v>
      </c>
      <c r="D104" s="139">
        <v>873328</v>
      </c>
      <c r="E104" s="139">
        <v>873328</v>
      </c>
      <c r="F104" s="139">
        <v>873328</v>
      </c>
      <c r="G104" s="139">
        <v>873328</v>
      </c>
      <c r="H104" s="139"/>
      <c r="I104" s="139">
        <v>1626268</v>
      </c>
      <c r="J104" s="139">
        <v>1755150</v>
      </c>
      <c r="K104" s="139">
        <v>1764090</v>
      </c>
      <c r="L104" s="139">
        <v>1773030</v>
      </c>
      <c r="M104" s="139">
        <v>1958970</v>
      </c>
      <c r="N104" s="139">
        <v>1967250</v>
      </c>
      <c r="O104" s="139"/>
      <c r="P104" s="139"/>
    </row>
    <row r="105" spans="1:40" x14ac:dyDescent="0.15">
      <c r="A105" s="21" t="s">
        <v>385</v>
      </c>
      <c r="B105" s="139">
        <v>55673</v>
      </c>
      <c r="C105" s="139">
        <v>78993</v>
      </c>
      <c r="D105" s="139">
        <v>133774</v>
      </c>
      <c r="E105" s="139">
        <v>167099</v>
      </c>
      <c r="F105" s="139">
        <v>242449</v>
      </c>
      <c r="G105" s="139">
        <v>483589</v>
      </c>
      <c r="H105" s="139"/>
      <c r="I105" s="139">
        <v>551122</v>
      </c>
      <c r="J105" s="139">
        <v>613589</v>
      </c>
      <c r="K105" s="139">
        <v>638749</v>
      </c>
      <c r="L105" s="139">
        <v>666804</v>
      </c>
      <c r="M105" s="139">
        <v>690109</v>
      </c>
      <c r="N105" s="139">
        <v>704279</v>
      </c>
      <c r="O105" s="139"/>
      <c r="P105" s="139"/>
    </row>
    <row r="106" spans="1:40" x14ac:dyDescent="0.15">
      <c r="A106" s="21" t="s">
        <v>388</v>
      </c>
      <c r="B106" s="136">
        <v>2</v>
      </c>
      <c r="C106" s="136">
        <v>2</v>
      </c>
      <c r="D106" s="136">
        <v>2</v>
      </c>
      <c r="E106" s="136">
        <v>2</v>
      </c>
      <c r="F106" s="136">
        <v>59</v>
      </c>
      <c r="G106" s="136">
        <v>61</v>
      </c>
      <c r="I106" s="136">
        <v>65</v>
      </c>
      <c r="J106" s="136">
        <v>65</v>
      </c>
      <c r="K106" s="136">
        <v>65</v>
      </c>
      <c r="L106" s="136">
        <v>65</v>
      </c>
      <c r="M106" s="136">
        <v>139</v>
      </c>
      <c r="N106" s="136">
        <v>141</v>
      </c>
    </row>
    <row r="108" spans="1:40" x14ac:dyDescent="0.15">
      <c r="A108" s="21" t="s">
        <v>100</v>
      </c>
      <c r="B108" s="139">
        <v>420000</v>
      </c>
      <c r="C108" s="139">
        <v>840000</v>
      </c>
      <c r="D108" s="139">
        <v>1260000</v>
      </c>
      <c r="E108" s="139">
        <v>1630000</v>
      </c>
      <c r="F108" s="139">
        <v>2000000</v>
      </c>
      <c r="G108" s="139">
        <v>2370000</v>
      </c>
      <c r="H108" s="139"/>
      <c r="I108" s="139">
        <v>2740000</v>
      </c>
      <c r="J108" s="139">
        <v>3110000</v>
      </c>
      <c r="K108" s="139">
        <v>3480000</v>
      </c>
      <c r="L108" s="139">
        <v>3850000</v>
      </c>
      <c r="M108" s="139">
        <v>4220000</v>
      </c>
      <c r="N108" s="139">
        <v>4590000</v>
      </c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</row>
    <row r="109" spans="1:40" x14ac:dyDescent="0.15">
      <c r="A109" s="21" t="s">
        <v>101</v>
      </c>
      <c r="B109" s="139">
        <v>9784323</v>
      </c>
      <c r="C109" s="139">
        <v>19076743</v>
      </c>
      <c r="D109" s="139">
        <v>28512270</v>
      </c>
      <c r="E109" s="139">
        <v>37868523</v>
      </c>
      <c r="F109" s="139">
        <v>47314907</v>
      </c>
      <c r="G109" s="139">
        <v>56545891</v>
      </c>
      <c r="H109" s="139"/>
      <c r="I109" s="139">
        <v>65088706</v>
      </c>
      <c r="J109" s="139">
        <v>73718523</v>
      </c>
      <c r="K109" s="139">
        <v>82215456</v>
      </c>
      <c r="L109" s="139">
        <v>90149616</v>
      </c>
      <c r="M109" s="139">
        <v>98234231</v>
      </c>
      <c r="N109" s="139">
        <v>106167828</v>
      </c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</row>
    <row r="110" spans="1:40" x14ac:dyDescent="0.15">
      <c r="A110" s="21" t="s">
        <v>102</v>
      </c>
      <c r="B110" s="139">
        <v>1418410</v>
      </c>
      <c r="C110" s="139">
        <v>2671435</v>
      </c>
      <c r="D110" s="139">
        <v>3871735</v>
      </c>
      <c r="E110" s="139">
        <v>5053805</v>
      </c>
      <c r="F110" s="139">
        <v>6505460</v>
      </c>
      <c r="G110" s="139">
        <v>8046880</v>
      </c>
      <c r="H110" s="139"/>
      <c r="I110" s="139">
        <v>9393448</v>
      </c>
      <c r="J110" s="139">
        <v>10654710</v>
      </c>
      <c r="K110" s="139">
        <v>11871701</v>
      </c>
      <c r="L110" s="139">
        <v>12939175</v>
      </c>
      <c r="M110" s="139">
        <v>14099781</v>
      </c>
      <c r="N110" s="139">
        <v>15171774</v>
      </c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</row>
    <row r="111" spans="1:40" x14ac:dyDescent="0.15">
      <c r="A111" s="21" t="s">
        <v>19</v>
      </c>
      <c r="B111" s="139">
        <v>1325490</v>
      </c>
      <c r="C111" s="139">
        <v>2568409</v>
      </c>
      <c r="D111" s="139">
        <v>3986208</v>
      </c>
      <c r="E111" s="139">
        <v>5340251</v>
      </c>
      <c r="F111" s="139">
        <v>6636420</v>
      </c>
      <c r="G111" s="139">
        <v>7929737</v>
      </c>
      <c r="H111" s="139"/>
      <c r="I111" s="139">
        <v>10096705</v>
      </c>
      <c r="J111" s="139">
        <v>11461681</v>
      </c>
      <c r="K111" s="139">
        <v>12652997</v>
      </c>
      <c r="L111" s="139">
        <v>15004238</v>
      </c>
      <c r="M111" s="139">
        <v>16174618</v>
      </c>
      <c r="N111" s="139">
        <v>17342167</v>
      </c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</row>
    <row r="112" spans="1:40" x14ac:dyDescent="0.15">
      <c r="A112" s="48" t="s">
        <v>408</v>
      </c>
      <c r="B112" s="139"/>
      <c r="C112" s="139"/>
      <c r="D112" s="139"/>
      <c r="E112" s="139">
        <v>5927000</v>
      </c>
      <c r="F112" s="139">
        <v>5927000</v>
      </c>
      <c r="G112" s="139">
        <v>5927000</v>
      </c>
      <c r="H112" s="142"/>
      <c r="I112" s="139">
        <v>5927000</v>
      </c>
      <c r="J112" s="139">
        <v>12168000</v>
      </c>
      <c r="K112" s="139">
        <v>12168000</v>
      </c>
      <c r="L112" s="139">
        <v>12168000</v>
      </c>
      <c r="M112" s="139">
        <v>12168000</v>
      </c>
      <c r="N112" s="139">
        <v>12168000</v>
      </c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</row>
    <row r="113" spans="1:40" x14ac:dyDescent="0.15"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</row>
    <row r="114" spans="1:40" x14ac:dyDescent="0.15">
      <c r="A114" s="21" t="s">
        <v>21</v>
      </c>
      <c r="B114" s="139">
        <v>288139</v>
      </c>
      <c r="C114" s="139">
        <v>606154</v>
      </c>
      <c r="D114" s="139">
        <v>1010133</v>
      </c>
      <c r="E114" s="139">
        <v>1318271</v>
      </c>
      <c r="F114" s="139">
        <v>1649963</v>
      </c>
      <c r="G114" s="139">
        <v>1975767</v>
      </c>
      <c r="H114" s="139"/>
      <c r="I114" s="139">
        <v>2258767</v>
      </c>
      <c r="J114" s="139">
        <v>2544767</v>
      </c>
      <c r="K114" s="139">
        <v>2849767</v>
      </c>
      <c r="L114" s="139">
        <v>3173767</v>
      </c>
      <c r="M114" s="139">
        <v>3640735</v>
      </c>
      <c r="N114" s="139">
        <v>4116552</v>
      </c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</row>
    <row r="115" spans="1:40" x14ac:dyDescent="0.15">
      <c r="A115" s="21" t="s">
        <v>22</v>
      </c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</row>
    <row r="116" spans="1:40" x14ac:dyDescent="0.15">
      <c r="A116" s="21" t="s">
        <v>103</v>
      </c>
      <c r="B116" s="139">
        <v>19651</v>
      </c>
      <c r="C116" s="139">
        <v>207572</v>
      </c>
      <c r="D116" s="139">
        <v>313867</v>
      </c>
      <c r="E116" s="139">
        <v>476230</v>
      </c>
      <c r="F116" s="139">
        <v>584208</v>
      </c>
      <c r="G116" s="139">
        <v>592171</v>
      </c>
      <c r="H116" s="139"/>
      <c r="I116" s="139">
        <v>789762</v>
      </c>
      <c r="J116" s="139">
        <v>885290</v>
      </c>
      <c r="K116" s="139">
        <v>906084</v>
      </c>
      <c r="L116" s="139">
        <v>1091899</v>
      </c>
      <c r="M116" s="139">
        <v>1198529</v>
      </c>
      <c r="N116" s="139">
        <v>1225867</v>
      </c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</row>
    <row r="117" spans="1:40" x14ac:dyDescent="0.15">
      <c r="A117" s="21" t="s">
        <v>24</v>
      </c>
      <c r="B117" s="139">
        <v>29744</v>
      </c>
      <c r="C117" s="139">
        <v>70265</v>
      </c>
      <c r="D117" s="139">
        <v>79175</v>
      </c>
      <c r="E117" s="139">
        <v>93037</v>
      </c>
      <c r="F117" s="139">
        <v>101962</v>
      </c>
      <c r="G117" s="139">
        <v>112122</v>
      </c>
      <c r="H117" s="139"/>
      <c r="I117" s="139">
        <v>158788</v>
      </c>
      <c r="J117" s="139">
        <v>182980</v>
      </c>
      <c r="K117" s="139">
        <v>195083</v>
      </c>
      <c r="L117" s="139">
        <v>213731</v>
      </c>
      <c r="M117" s="139">
        <v>225484</v>
      </c>
      <c r="N117" s="139">
        <v>227214</v>
      </c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</row>
    <row r="118" spans="1:40" x14ac:dyDescent="0.15">
      <c r="A118" s="21" t="s">
        <v>104</v>
      </c>
      <c r="B118" s="139">
        <v>65000</v>
      </c>
      <c r="C118" s="139">
        <v>65000</v>
      </c>
      <c r="D118" s="139">
        <v>362952</v>
      </c>
      <c r="E118" s="139">
        <v>362952</v>
      </c>
      <c r="F118" s="139">
        <v>508152</v>
      </c>
      <c r="G118" s="139">
        <v>508152</v>
      </c>
      <c r="H118" s="139"/>
      <c r="I118" s="139">
        <v>508152</v>
      </c>
      <c r="J118" s="139">
        <v>637732</v>
      </c>
      <c r="K118" s="139">
        <v>637732</v>
      </c>
      <c r="L118" s="139">
        <v>885732</v>
      </c>
      <c r="M118" s="139">
        <v>1024112</v>
      </c>
      <c r="N118" s="139">
        <v>1024112</v>
      </c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</row>
    <row r="119" spans="1:40" x14ac:dyDescent="0.15">
      <c r="A119" s="21" t="s">
        <v>105</v>
      </c>
      <c r="B119" s="139"/>
      <c r="C119" s="139"/>
      <c r="D119" s="139">
        <v>72968</v>
      </c>
      <c r="E119" s="139">
        <v>161488</v>
      </c>
      <c r="F119" s="139">
        <v>161488</v>
      </c>
      <c r="G119" s="139">
        <v>167228</v>
      </c>
      <c r="H119" s="139"/>
      <c r="I119" s="139">
        <v>167774</v>
      </c>
      <c r="J119" s="139">
        <v>167774</v>
      </c>
      <c r="K119" s="139">
        <v>200774</v>
      </c>
      <c r="L119" s="139">
        <v>200774</v>
      </c>
      <c r="M119" s="139">
        <v>200774</v>
      </c>
      <c r="N119" s="139">
        <v>205874</v>
      </c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</row>
    <row r="120" spans="1:40" x14ac:dyDescent="0.15">
      <c r="A120" s="21" t="s">
        <v>106</v>
      </c>
      <c r="B120" s="139">
        <v>83837</v>
      </c>
      <c r="C120" s="139">
        <v>190150</v>
      </c>
      <c r="D120" s="139">
        <v>273975</v>
      </c>
      <c r="E120" s="139">
        <v>402727</v>
      </c>
      <c r="F120" s="139">
        <v>505635</v>
      </c>
      <c r="G120" s="139">
        <v>608481</v>
      </c>
      <c r="H120" s="139"/>
      <c r="I120" s="139">
        <v>693585</v>
      </c>
      <c r="J120" s="139">
        <v>784884</v>
      </c>
      <c r="K120" s="139">
        <v>876992</v>
      </c>
      <c r="L120" s="139">
        <v>987318</v>
      </c>
      <c r="M120" s="139">
        <v>1075841</v>
      </c>
      <c r="N120" s="139">
        <v>1142933</v>
      </c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</row>
    <row r="121" spans="1:40" x14ac:dyDescent="0.15">
      <c r="A121" s="21" t="s">
        <v>28</v>
      </c>
      <c r="B121" s="139">
        <v>27426</v>
      </c>
      <c r="C121" s="139">
        <v>39872</v>
      </c>
      <c r="D121" s="139">
        <v>67298</v>
      </c>
      <c r="E121" s="139">
        <v>105518</v>
      </c>
      <c r="F121" s="139">
        <v>130418</v>
      </c>
      <c r="G121" s="139">
        <v>143218</v>
      </c>
      <c r="H121" s="139"/>
      <c r="I121" s="139">
        <v>156018</v>
      </c>
      <c r="J121" s="139">
        <v>195438</v>
      </c>
      <c r="K121" s="139">
        <v>213988</v>
      </c>
      <c r="L121" s="139">
        <v>226788</v>
      </c>
      <c r="M121" s="139">
        <v>235688</v>
      </c>
      <c r="N121" s="139">
        <v>244588</v>
      </c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</row>
    <row r="122" spans="1:40" x14ac:dyDescent="0.15">
      <c r="A122" s="21" t="s">
        <v>107</v>
      </c>
      <c r="B122" s="139">
        <v>6800</v>
      </c>
      <c r="C122" s="139">
        <v>10200</v>
      </c>
      <c r="D122" s="139">
        <v>29200</v>
      </c>
      <c r="E122" s="139">
        <v>48700</v>
      </c>
      <c r="F122" s="139">
        <v>66100</v>
      </c>
      <c r="G122" s="139">
        <v>78300</v>
      </c>
      <c r="H122" s="139"/>
      <c r="I122" s="139">
        <v>89800</v>
      </c>
      <c r="J122" s="139">
        <v>132800</v>
      </c>
      <c r="K122" s="139">
        <v>139400</v>
      </c>
      <c r="L122" s="139">
        <v>160400</v>
      </c>
      <c r="M122" s="139">
        <v>168600</v>
      </c>
      <c r="N122" s="139">
        <v>173600</v>
      </c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</row>
    <row r="123" spans="1:40" x14ac:dyDescent="0.15">
      <c r="A123" s="21" t="s">
        <v>27</v>
      </c>
      <c r="B123" s="139"/>
      <c r="C123" s="139"/>
      <c r="D123" s="139"/>
      <c r="E123" s="139">
        <v>17600</v>
      </c>
      <c r="F123" s="139">
        <v>17600</v>
      </c>
      <c r="G123" s="139">
        <v>61600</v>
      </c>
      <c r="H123" s="139"/>
      <c r="I123" s="139">
        <v>61600</v>
      </c>
      <c r="J123" s="139">
        <v>77000</v>
      </c>
      <c r="K123" s="139">
        <v>77000</v>
      </c>
      <c r="L123" s="139">
        <v>77000</v>
      </c>
      <c r="M123" s="139">
        <v>77000</v>
      </c>
      <c r="N123" s="139">
        <v>77000</v>
      </c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</row>
    <row r="124" spans="1:40" x14ac:dyDescent="0.15">
      <c r="A124" s="21" t="s">
        <v>32</v>
      </c>
      <c r="B124" s="139">
        <v>730381</v>
      </c>
      <c r="C124" s="139">
        <v>1533827</v>
      </c>
      <c r="D124" s="139">
        <v>2096494</v>
      </c>
      <c r="E124" s="139">
        <v>2584986</v>
      </c>
      <c r="F124" s="139">
        <v>2985572</v>
      </c>
      <c r="G124" s="139">
        <v>3356856</v>
      </c>
      <c r="H124" s="139"/>
      <c r="I124" s="139">
        <v>3936476</v>
      </c>
      <c r="J124" s="139">
        <v>4336484</v>
      </c>
      <c r="K124" s="139">
        <v>4696971</v>
      </c>
      <c r="L124" s="139">
        <v>5230663</v>
      </c>
      <c r="M124" s="139">
        <v>5790538</v>
      </c>
      <c r="N124" s="139">
        <v>6273615</v>
      </c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</row>
    <row r="125" spans="1:40" x14ac:dyDescent="0.15">
      <c r="A125" s="21" t="s">
        <v>405</v>
      </c>
      <c r="B125" s="139">
        <v>9000</v>
      </c>
      <c r="C125" s="139">
        <v>11000</v>
      </c>
      <c r="D125" s="139">
        <v>18000</v>
      </c>
      <c r="E125" s="139">
        <v>23000</v>
      </c>
      <c r="F125" s="139">
        <v>41000</v>
      </c>
      <c r="G125" s="139">
        <v>49000</v>
      </c>
      <c r="H125" s="139"/>
      <c r="I125" s="139">
        <v>53000</v>
      </c>
      <c r="J125" s="139">
        <v>68980</v>
      </c>
      <c r="K125" s="139">
        <v>68980</v>
      </c>
      <c r="L125" s="139">
        <v>88220</v>
      </c>
      <c r="M125" s="139">
        <v>93220</v>
      </c>
      <c r="N125" s="139">
        <v>100220</v>
      </c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</row>
    <row r="126" spans="1:40" x14ac:dyDescent="0.15">
      <c r="A126" s="21" t="s">
        <v>437</v>
      </c>
      <c r="B126" s="139">
        <v>11800</v>
      </c>
      <c r="C126" s="139">
        <v>11800</v>
      </c>
      <c r="D126" s="139">
        <v>14800</v>
      </c>
      <c r="E126" s="139">
        <v>48800</v>
      </c>
      <c r="F126" s="139">
        <v>64150</v>
      </c>
      <c r="G126" s="139">
        <v>64150</v>
      </c>
      <c r="H126" s="139"/>
      <c r="I126" s="139">
        <v>64150</v>
      </c>
      <c r="J126" s="139">
        <v>67150</v>
      </c>
      <c r="K126" s="139">
        <v>67150</v>
      </c>
      <c r="L126" s="139">
        <v>67150</v>
      </c>
      <c r="M126" s="139">
        <v>67150</v>
      </c>
      <c r="N126" s="139">
        <v>87150</v>
      </c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</row>
    <row r="127" spans="1:40" x14ac:dyDescent="0.15">
      <c r="A127" s="21" t="s">
        <v>109</v>
      </c>
      <c r="B127" s="139">
        <v>576162</v>
      </c>
      <c r="C127" s="139">
        <v>1147651</v>
      </c>
      <c r="D127" s="139">
        <v>1764984</v>
      </c>
      <c r="E127" s="139">
        <v>2461459</v>
      </c>
      <c r="F127" s="139">
        <v>3080651</v>
      </c>
      <c r="G127" s="139">
        <v>3674198</v>
      </c>
      <c r="H127" s="139"/>
      <c r="I127" s="139">
        <v>4277809</v>
      </c>
      <c r="J127" s="139">
        <v>4815515</v>
      </c>
      <c r="K127" s="139">
        <v>5211163</v>
      </c>
      <c r="L127" s="139">
        <v>5687931</v>
      </c>
      <c r="M127" s="139">
        <v>6076201</v>
      </c>
      <c r="N127" s="139">
        <v>6382032</v>
      </c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</row>
    <row r="128" spans="1:40" x14ac:dyDescent="0.15">
      <c r="A128" s="21" t="s">
        <v>35</v>
      </c>
      <c r="B128" s="139">
        <v>5644</v>
      </c>
      <c r="C128" s="139">
        <v>107638</v>
      </c>
      <c r="D128" s="139">
        <v>210156</v>
      </c>
      <c r="E128" s="139">
        <v>213815</v>
      </c>
      <c r="F128" s="139">
        <v>247891</v>
      </c>
      <c r="G128" s="139">
        <v>253193</v>
      </c>
      <c r="H128" s="139"/>
      <c r="I128" s="139">
        <v>265526</v>
      </c>
      <c r="J128" s="139">
        <v>286033</v>
      </c>
      <c r="K128" s="139">
        <v>287903</v>
      </c>
      <c r="L128" s="139">
        <v>299999</v>
      </c>
      <c r="M128" s="139">
        <v>302801</v>
      </c>
      <c r="N128" s="139">
        <v>305001</v>
      </c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</row>
    <row r="129" spans="1:40" x14ac:dyDescent="0.15">
      <c r="A129" s="21" t="s">
        <v>110</v>
      </c>
      <c r="B129" s="139">
        <v>71864</v>
      </c>
      <c r="C129" s="139">
        <v>223594</v>
      </c>
      <c r="D129" s="139">
        <v>223594</v>
      </c>
      <c r="E129" s="139">
        <v>223594</v>
      </c>
      <c r="F129" s="139">
        <v>223594</v>
      </c>
      <c r="G129" s="139">
        <v>246874</v>
      </c>
      <c r="H129" s="139"/>
      <c r="I129" s="139">
        <v>292694</v>
      </c>
      <c r="J129" s="139">
        <v>292694</v>
      </c>
      <c r="K129" s="139">
        <v>292694</v>
      </c>
      <c r="L129" s="139">
        <v>759914</v>
      </c>
      <c r="M129" s="139">
        <v>759914</v>
      </c>
      <c r="N129" s="139">
        <v>800114</v>
      </c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</row>
    <row r="130" spans="1:40" x14ac:dyDescent="0.15">
      <c r="A130" s="21" t="s">
        <v>111</v>
      </c>
      <c r="B130" s="139">
        <v>539275</v>
      </c>
      <c r="C130" s="139">
        <v>1366058</v>
      </c>
      <c r="D130" s="139">
        <v>1781802</v>
      </c>
      <c r="E130" s="139">
        <v>2086937</v>
      </c>
      <c r="F130" s="139">
        <v>2590472</v>
      </c>
      <c r="G130" s="139">
        <v>2925068</v>
      </c>
      <c r="H130" s="139"/>
      <c r="I130" s="139">
        <v>3379990</v>
      </c>
      <c r="J130" s="139">
        <v>3947990</v>
      </c>
      <c r="K130" s="139">
        <v>4635000</v>
      </c>
      <c r="L130" s="139">
        <v>4991773</v>
      </c>
      <c r="M130" s="139">
        <v>5558894</v>
      </c>
      <c r="N130" s="139">
        <v>6002108</v>
      </c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</row>
    <row r="131" spans="1:40" x14ac:dyDescent="0.15">
      <c r="A131" s="21" t="s">
        <v>112</v>
      </c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>
        <v>150293</v>
      </c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</row>
    <row r="132" spans="1:40" x14ac:dyDescent="0.15">
      <c r="A132" s="21" t="s">
        <v>113</v>
      </c>
      <c r="B132" s="139">
        <v>393148</v>
      </c>
      <c r="C132" s="139">
        <v>749788</v>
      </c>
      <c r="D132" s="139">
        <v>1127646</v>
      </c>
      <c r="E132" s="139">
        <v>1482184</v>
      </c>
      <c r="F132" s="139">
        <v>1856522</v>
      </c>
      <c r="G132" s="139">
        <v>2329420</v>
      </c>
      <c r="H132" s="139"/>
      <c r="I132" s="139">
        <v>2733149</v>
      </c>
      <c r="J132" s="139">
        <v>3098687</v>
      </c>
      <c r="K132" s="139">
        <v>3437725</v>
      </c>
      <c r="L132" s="139">
        <v>3742063</v>
      </c>
      <c r="M132" s="139">
        <v>4046401</v>
      </c>
      <c r="N132" s="139">
        <v>4369439</v>
      </c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</row>
    <row r="133" spans="1:40" x14ac:dyDescent="0.15">
      <c r="A133" s="21" t="s">
        <v>121</v>
      </c>
      <c r="B133" s="139">
        <v>345000</v>
      </c>
      <c r="C133" s="139">
        <v>810000</v>
      </c>
      <c r="D133" s="139">
        <v>1155000</v>
      </c>
      <c r="E133" s="139">
        <v>1500000</v>
      </c>
      <c r="F133" s="139">
        <v>1845000</v>
      </c>
      <c r="G133" s="139">
        <v>2190000</v>
      </c>
      <c r="H133" s="139"/>
      <c r="I133" s="139">
        <v>2485000</v>
      </c>
      <c r="J133" s="139">
        <v>2780000</v>
      </c>
      <c r="K133" s="139">
        <v>3075000</v>
      </c>
      <c r="L133" s="139">
        <v>3370000</v>
      </c>
      <c r="M133" s="139">
        <v>3665000</v>
      </c>
      <c r="N133" s="139">
        <v>3960000</v>
      </c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</row>
    <row r="134" spans="1:40" x14ac:dyDescent="0.15">
      <c r="A134" s="21" t="s">
        <v>122</v>
      </c>
      <c r="B134" s="139"/>
      <c r="C134" s="139">
        <v>370900</v>
      </c>
      <c r="D134" s="139">
        <v>370900</v>
      </c>
      <c r="E134" s="139">
        <v>420100</v>
      </c>
      <c r="F134" s="139">
        <v>421156</v>
      </c>
      <c r="G134" s="139">
        <v>421156</v>
      </c>
      <c r="H134" s="139"/>
      <c r="I134" s="139">
        <v>442206</v>
      </c>
      <c r="J134" s="139">
        <v>442206</v>
      </c>
      <c r="K134" s="139">
        <v>491206</v>
      </c>
      <c r="L134" s="139">
        <v>491206</v>
      </c>
      <c r="M134" s="139">
        <v>541563</v>
      </c>
      <c r="N134" s="139">
        <v>541563</v>
      </c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</row>
    <row r="135" spans="1:40" x14ac:dyDescent="0.15">
      <c r="A135" s="21" t="s">
        <v>37</v>
      </c>
      <c r="B135" s="139">
        <v>12555</v>
      </c>
      <c r="C135" s="139">
        <v>130419</v>
      </c>
      <c r="D135" s="139">
        <v>339177</v>
      </c>
      <c r="E135" s="139">
        <v>543864</v>
      </c>
      <c r="F135" s="139">
        <v>664899</v>
      </c>
      <c r="G135" s="139">
        <v>865589</v>
      </c>
      <c r="H135" s="139"/>
      <c r="I135" s="139">
        <v>1294195</v>
      </c>
      <c r="J135" s="139">
        <v>1356938</v>
      </c>
      <c r="K135" s="139">
        <v>1560368</v>
      </c>
      <c r="L135" s="139">
        <v>1638910</v>
      </c>
      <c r="M135" s="139">
        <v>1669816</v>
      </c>
      <c r="N135" s="139">
        <v>1821665</v>
      </c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</row>
    <row r="136" spans="1:40" x14ac:dyDescent="0.15">
      <c r="A136" s="21" t="s">
        <v>114</v>
      </c>
      <c r="B136" s="139"/>
      <c r="C136" s="139"/>
      <c r="D136" s="139"/>
      <c r="E136" s="139"/>
      <c r="F136" s="139"/>
      <c r="G136" s="139">
        <v>14446</v>
      </c>
      <c r="H136" s="139"/>
      <c r="I136" s="139">
        <v>22114</v>
      </c>
      <c r="J136" s="139">
        <v>22114</v>
      </c>
      <c r="K136" s="139">
        <v>22114</v>
      </c>
      <c r="L136" s="139">
        <v>22114</v>
      </c>
      <c r="M136" s="139">
        <v>121880</v>
      </c>
      <c r="N136" s="139">
        <v>121880</v>
      </c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</row>
    <row r="137" spans="1:40" x14ac:dyDescent="0.15">
      <c r="A137" s="127" t="s">
        <v>115</v>
      </c>
      <c r="B137" s="139">
        <v>407732</v>
      </c>
      <c r="C137" s="139">
        <v>674059</v>
      </c>
      <c r="D137" s="139">
        <v>977380</v>
      </c>
      <c r="E137" s="139">
        <v>1442946</v>
      </c>
      <c r="F137" s="139">
        <v>1804141</v>
      </c>
      <c r="G137" s="139">
        <v>2172523</v>
      </c>
      <c r="H137" s="139"/>
      <c r="I137" s="139">
        <v>2959309</v>
      </c>
      <c r="J137" s="139">
        <v>3219755</v>
      </c>
      <c r="K137" s="139">
        <v>3522931</v>
      </c>
      <c r="L137" s="139">
        <v>3842078</v>
      </c>
      <c r="M137" s="139">
        <v>4107509</v>
      </c>
      <c r="N137" s="139">
        <v>4503179</v>
      </c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</row>
    <row r="138" spans="1:40" x14ac:dyDescent="0.15">
      <c r="A138" s="21" t="s">
        <v>46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</row>
    <row r="140" spans="1:40" x14ac:dyDescent="0.15">
      <c r="A140" s="21" t="s">
        <v>380</v>
      </c>
      <c r="B140" s="136"/>
      <c r="C140" s="136"/>
      <c r="D140" s="136"/>
      <c r="E140" s="136">
        <v>22123</v>
      </c>
      <c r="F140" s="136">
        <v>22123</v>
      </c>
      <c r="G140" s="136">
        <v>22123</v>
      </c>
      <c r="I140" s="136">
        <v>22123</v>
      </c>
      <c r="J140" s="136">
        <v>22123</v>
      </c>
      <c r="K140" s="136">
        <v>22123</v>
      </c>
      <c r="L140" s="136">
        <v>22123</v>
      </c>
      <c r="M140" s="136">
        <v>22123</v>
      </c>
      <c r="N140" s="136">
        <v>22123</v>
      </c>
    </row>
    <row r="141" spans="1:40" x14ac:dyDescent="0.15">
      <c r="A141" s="21" t="s">
        <v>381</v>
      </c>
      <c r="B141" s="136">
        <v>4079</v>
      </c>
      <c r="C141" s="136">
        <v>8517</v>
      </c>
      <c r="D141" s="136">
        <v>13018</v>
      </c>
      <c r="E141" s="136">
        <v>17025</v>
      </c>
      <c r="F141" s="136">
        <v>21230</v>
      </c>
      <c r="G141" s="136">
        <v>25358</v>
      </c>
      <c r="I141" s="136">
        <v>48346</v>
      </c>
      <c r="J141" s="136">
        <v>75742</v>
      </c>
      <c r="K141" s="136">
        <v>103680</v>
      </c>
      <c r="L141" s="136">
        <v>131248</v>
      </c>
      <c r="M141" s="136">
        <v>156691</v>
      </c>
      <c r="N141" s="136">
        <v>219268</v>
      </c>
    </row>
    <row r="142" spans="1:40" x14ac:dyDescent="0.15">
      <c r="A142" s="21" t="s">
        <v>382</v>
      </c>
      <c r="B142" s="136">
        <v>18752</v>
      </c>
      <c r="C142" s="136">
        <v>31100</v>
      </c>
      <c r="D142" s="136">
        <v>31100</v>
      </c>
      <c r="E142" s="136">
        <v>62060</v>
      </c>
      <c r="F142" s="136">
        <v>254520</v>
      </c>
      <c r="G142" s="136">
        <v>269350</v>
      </c>
      <c r="I142" s="136">
        <v>306637</v>
      </c>
      <c r="J142" s="136">
        <v>306637</v>
      </c>
      <c r="K142" s="136">
        <v>309637</v>
      </c>
      <c r="L142" s="136">
        <v>312637</v>
      </c>
      <c r="M142" s="136">
        <v>312637</v>
      </c>
      <c r="N142" s="136">
        <v>312637</v>
      </c>
    </row>
  </sheetData>
  <mergeCells count="5">
    <mergeCell ref="A1:P1"/>
    <mergeCell ref="Q73:R73"/>
    <mergeCell ref="Q74:R74"/>
    <mergeCell ref="Q75:R75"/>
    <mergeCell ref="Q76:R76"/>
  </mergeCells>
  <phoneticPr fontId="3"/>
  <pageMargins left="0.70866141732283472" right="0" top="0" bottom="0" header="0.23622047244094491" footer="0.27559055118110237"/>
  <pageSetup paperSize="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B2B6-CD67-4B75-A5E7-EF5BECC3646B}">
  <dimension ref="A1:AN142"/>
  <sheetViews>
    <sheetView tabSelected="1" zoomScaleNormal="100" workbookViewId="0">
      <pane xSplit="1" topLeftCell="B1" activePane="topRight" state="frozen"/>
      <selection activeCell="A10" sqref="A10"/>
      <selection pane="topRight" activeCell="E3" sqref="E3"/>
    </sheetView>
  </sheetViews>
  <sheetFormatPr defaultRowHeight="13.5" x14ac:dyDescent="0.15"/>
  <cols>
    <col min="1" max="1" width="18.75" style="128" customWidth="1"/>
    <col min="2" max="6" width="11" style="128" customWidth="1"/>
    <col min="7" max="7" width="12" style="128" customWidth="1"/>
    <col min="8" max="8" width="12.25" style="128" customWidth="1"/>
    <col min="9" max="10" width="12.125" style="128" customWidth="1"/>
    <col min="11" max="11" width="12" style="128" customWidth="1"/>
    <col min="12" max="12" width="12.25" style="128" customWidth="1"/>
    <col min="13" max="13" width="12" style="128" customWidth="1"/>
    <col min="14" max="14" width="12.625" style="128" customWidth="1"/>
    <col min="15" max="15" width="12.25" style="128" customWidth="1"/>
    <col min="16" max="16" width="13.875" style="128" customWidth="1"/>
    <col min="17" max="16384" width="9" style="128"/>
  </cols>
  <sheetData>
    <row r="1" spans="1:16" ht="15.75" customHeight="1" thickBot="1" x14ac:dyDescent="0.2">
      <c r="A1" s="181" t="s">
        <v>438</v>
      </c>
      <c r="B1" s="181"/>
      <c r="C1" s="181"/>
      <c r="D1" s="181"/>
      <c r="E1" s="181"/>
      <c r="F1" s="181"/>
      <c r="G1" s="181"/>
      <c r="H1" s="182"/>
      <c r="I1" s="181"/>
      <c r="J1" s="181"/>
      <c r="K1" s="181"/>
      <c r="L1" s="181"/>
      <c r="M1" s="181"/>
      <c r="N1" s="181"/>
      <c r="O1" s="182"/>
      <c r="P1" s="182"/>
    </row>
    <row r="2" spans="1:16" ht="12" customHeight="1" x14ac:dyDescent="0.15">
      <c r="A2" s="48" t="s">
        <v>43</v>
      </c>
      <c r="B2" s="129" t="s">
        <v>439</v>
      </c>
      <c r="C2" s="48" t="s">
        <v>440</v>
      </c>
      <c r="D2" s="129" t="s">
        <v>441</v>
      </c>
      <c r="E2" s="48" t="s">
        <v>442</v>
      </c>
      <c r="F2" s="129" t="s">
        <v>443</v>
      </c>
      <c r="G2" s="148" t="s">
        <v>444</v>
      </c>
      <c r="H2" s="160" t="s">
        <v>39</v>
      </c>
      <c r="I2" s="154" t="s">
        <v>445</v>
      </c>
      <c r="J2" s="48" t="s">
        <v>446</v>
      </c>
      <c r="K2" s="48" t="s">
        <v>447</v>
      </c>
      <c r="L2" s="48" t="s">
        <v>448</v>
      </c>
      <c r="M2" s="48" t="s">
        <v>449</v>
      </c>
      <c r="N2" s="148" t="s">
        <v>450</v>
      </c>
      <c r="O2" s="160" t="s">
        <v>41</v>
      </c>
      <c r="P2" s="160" t="s">
        <v>42</v>
      </c>
    </row>
    <row r="3" spans="1:16" ht="12" customHeight="1" x14ac:dyDescent="0.15">
      <c r="A3" s="24" t="s">
        <v>259</v>
      </c>
      <c r="B3" s="130" t="s">
        <v>40</v>
      </c>
      <c r="C3" s="131"/>
      <c r="D3" s="131"/>
      <c r="E3" s="131"/>
      <c r="F3" s="131"/>
      <c r="G3" s="149"/>
      <c r="H3" s="161"/>
      <c r="I3" s="155"/>
      <c r="J3" s="131"/>
      <c r="K3" s="131"/>
      <c r="L3" s="131"/>
      <c r="M3" s="131"/>
      <c r="N3" s="149"/>
      <c r="O3" s="161"/>
      <c r="P3" s="161"/>
    </row>
    <row r="4" spans="1:16" ht="12" customHeight="1" x14ac:dyDescent="0.15">
      <c r="A4" s="24" t="s">
        <v>0</v>
      </c>
      <c r="B4" s="132">
        <f>SUM(B5:B7)</f>
        <v>72000</v>
      </c>
      <c r="C4" s="132">
        <f t="shared" ref="C4:K4" si="0">SUM(C5:C7)</f>
        <v>16000</v>
      </c>
      <c r="D4" s="132">
        <f t="shared" si="0"/>
        <v>2000</v>
      </c>
      <c r="E4" s="132">
        <f>SUM(E5:E7)</f>
        <v>0</v>
      </c>
      <c r="F4" s="132">
        <f>SUM(F5:F7)</f>
        <v>4000</v>
      </c>
      <c r="G4" s="150">
        <f t="shared" si="0"/>
        <v>0</v>
      </c>
      <c r="H4" s="162">
        <f t="shared" ref="H4:H35" si="1">SUM(B4:G4)</f>
        <v>94000</v>
      </c>
      <c r="I4" s="156">
        <f>SUM(I5:I7)</f>
        <v>1000</v>
      </c>
      <c r="J4" s="132">
        <f>SUM(J5:J7)</f>
        <v>1000</v>
      </c>
      <c r="K4" s="132">
        <f t="shared" si="0"/>
        <v>1000</v>
      </c>
      <c r="L4" s="132">
        <f>SUM(L5:L7)</f>
        <v>0</v>
      </c>
      <c r="M4" s="132">
        <f>SUM(M5:M7)</f>
        <v>2000</v>
      </c>
      <c r="N4" s="150">
        <f>SUM(N5:N7)</f>
        <v>0</v>
      </c>
      <c r="O4" s="162">
        <f>SUM(I4:N4)</f>
        <v>5000</v>
      </c>
      <c r="P4" s="162">
        <f>H4+O4</f>
        <v>99000</v>
      </c>
    </row>
    <row r="5" spans="1:16" ht="12" customHeight="1" x14ac:dyDescent="0.15">
      <c r="A5" s="21" t="s">
        <v>1</v>
      </c>
      <c r="B5" s="131">
        <f>B77</f>
        <v>69000</v>
      </c>
      <c r="C5" s="131">
        <f t="shared" ref="C5:G7" si="2">C77-B77</f>
        <v>0</v>
      </c>
      <c r="D5" s="131">
        <f t="shared" si="2"/>
        <v>0</v>
      </c>
      <c r="E5" s="131">
        <f t="shared" si="2"/>
        <v>0</v>
      </c>
      <c r="F5" s="131">
        <f t="shared" si="2"/>
        <v>0</v>
      </c>
      <c r="G5" s="131">
        <f t="shared" si="2"/>
        <v>0</v>
      </c>
      <c r="H5" s="161">
        <f t="shared" si="1"/>
        <v>69000</v>
      </c>
      <c r="I5" s="155">
        <f>I77-G77</f>
        <v>0</v>
      </c>
      <c r="J5" s="131">
        <f t="shared" ref="J5:N7" si="3">J77-I77</f>
        <v>1000</v>
      </c>
      <c r="K5" s="131">
        <f t="shared" si="3"/>
        <v>0</v>
      </c>
      <c r="L5" s="131">
        <f t="shared" si="3"/>
        <v>0</v>
      </c>
      <c r="M5" s="131">
        <f t="shared" si="3"/>
        <v>0</v>
      </c>
      <c r="N5" s="131">
        <f t="shared" si="3"/>
        <v>0</v>
      </c>
      <c r="O5" s="161">
        <f t="shared" ref="O5:O75" si="4">SUM(I5:N5)</f>
        <v>1000</v>
      </c>
      <c r="P5" s="161">
        <f t="shared" ref="P5:P75" si="5">H5+O5</f>
        <v>70000</v>
      </c>
    </row>
    <row r="6" spans="1:16" ht="12" customHeight="1" x14ac:dyDescent="0.15">
      <c r="A6" s="21" t="s">
        <v>2</v>
      </c>
      <c r="B6" s="131">
        <f>B78</f>
        <v>2000</v>
      </c>
      <c r="C6" s="131">
        <f t="shared" si="2"/>
        <v>16000</v>
      </c>
      <c r="D6" s="131">
        <f t="shared" si="2"/>
        <v>2000</v>
      </c>
      <c r="E6" s="131">
        <f t="shared" si="2"/>
        <v>0</v>
      </c>
      <c r="F6" s="131">
        <f t="shared" si="2"/>
        <v>3000</v>
      </c>
      <c r="G6" s="131">
        <f t="shared" si="2"/>
        <v>0</v>
      </c>
      <c r="H6" s="161">
        <f t="shared" si="1"/>
        <v>23000</v>
      </c>
      <c r="I6" s="155">
        <f>I78-G78</f>
        <v>1000</v>
      </c>
      <c r="J6" s="131">
        <f t="shared" si="3"/>
        <v>0</v>
      </c>
      <c r="K6" s="131">
        <f t="shared" si="3"/>
        <v>1000</v>
      </c>
      <c r="L6" s="131">
        <f t="shared" si="3"/>
        <v>0</v>
      </c>
      <c r="M6" s="131">
        <f t="shared" si="3"/>
        <v>2000</v>
      </c>
      <c r="N6" s="131">
        <f t="shared" si="3"/>
        <v>0</v>
      </c>
      <c r="O6" s="161">
        <f t="shared" si="4"/>
        <v>4000</v>
      </c>
      <c r="P6" s="161">
        <f t="shared" si="5"/>
        <v>27000</v>
      </c>
    </row>
    <row r="7" spans="1:16" ht="12" customHeight="1" x14ac:dyDescent="0.15">
      <c r="A7" s="21" t="s">
        <v>3</v>
      </c>
      <c r="B7" s="131">
        <f>B79</f>
        <v>1000</v>
      </c>
      <c r="C7" s="131">
        <f t="shared" si="2"/>
        <v>0</v>
      </c>
      <c r="D7" s="131">
        <f t="shared" si="2"/>
        <v>0</v>
      </c>
      <c r="E7" s="131">
        <f t="shared" si="2"/>
        <v>0</v>
      </c>
      <c r="F7" s="131">
        <f t="shared" si="2"/>
        <v>1000</v>
      </c>
      <c r="G7" s="131">
        <f t="shared" si="2"/>
        <v>0</v>
      </c>
      <c r="H7" s="161">
        <f t="shared" si="1"/>
        <v>2000</v>
      </c>
      <c r="I7" s="155">
        <f>I79-G79</f>
        <v>0</v>
      </c>
      <c r="J7" s="131">
        <f t="shared" si="3"/>
        <v>0</v>
      </c>
      <c r="K7" s="131">
        <f t="shared" si="3"/>
        <v>0</v>
      </c>
      <c r="L7" s="131">
        <f t="shared" si="3"/>
        <v>0</v>
      </c>
      <c r="M7" s="131">
        <f t="shared" si="3"/>
        <v>0</v>
      </c>
      <c r="N7" s="131">
        <f t="shared" si="3"/>
        <v>0</v>
      </c>
      <c r="O7" s="161">
        <f t="shared" si="4"/>
        <v>0</v>
      </c>
      <c r="P7" s="161">
        <f t="shared" si="5"/>
        <v>2000</v>
      </c>
    </row>
    <row r="8" spans="1:16" ht="12" customHeight="1" x14ac:dyDescent="0.15">
      <c r="A8" s="24" t="s">
        <v>4</v>
      </c>
      <c r="B8" s="132">
        <f t="shared" ref="B8:G8" si="6">SUM(B9:B30)</f>
        <v>14063800</v>
      </c>
      <c r="C8" s="132">
        <f t="shared" si="6"/>
        <v>14425510</v>
      </c>
      <c r="D8" s="132">
        <f t="shared" si="6"/>
        <v>14331730</v>
      </c>
      <c r="E8" s="132">
        <f t="shared" si="6"/>
        <v>15326850</v>
      </c>
      <c r="F8" s="132">
        <f t="shared" si="6"/>
        <v>14681410</v>
      </c>
      <c r="G8" s="150">
        <f t="shared" si="6"/>
        <v>14041160</v>
      </c>
      <c r="H8" s="162">
        <f t="shared" si="1"/>
        <v>86870460</v>
      </c>
      <c r="I8" s="156">
        <f t="shared" ref="I8:N8" si="7">SUM(I9:I30)</f>
        <v>15308520</v>
      </c>
      <c r="J8" s="132">
        <f t="shared" si="7"/>
        <v>14652030</v>
      </c>
      <c r="K8" s="132">
        <f t="shared" si="7"/>
        <v>14302400</v>
      </c>
      <c r="L8" s="132">
        <f t="shared" si="7"/>
        <v>13354410</v>
      </c>
      <c r="M8" s="132">
        <f t="shared" si="7"/>
        <v>12393100</v>
      </c>
      <c r="N8" s="150">
        <f t="shared" si="7"/>
        <v>13624480</v>
      </c>
      <c r="O8" s="162">
        <f t="shared" si="4"/>
        <v>83634940</v>
      </c>
      <c r="P8" s="162">
        <f t="shared" si="5"/>
        <v>170505400</v>
      </c>
    </row>
    <row r="9" spans="1:16" ht="12" customHeight="1" x14ac:dyDescent="0.15">
      <c r="A9" s="47" t="s">
        <v>94</v>
      </c>
      <c r="B9" s="131">
        <f>B81</f>
        <v>2599910</v>
      </c>
      <c r="C9" s="131">
        <f>C81-B81</f>
        <v>2630710</v>
      </c>
      <c r="D9" s="131">
        <f>D81-C81</f>
        <v>2607130</v>
      </c>
      <c r="E9" s="131">
        <f>E81-D81</f>
        <v>2687510</v>
      </c>
      <c r="F9" s="131">
        <f>F81-E81</f>
        <v>2553630</v>
      </c>
      <c r="G9" s="131">
        <f>G81-F81</f>
        <v>2541670</v>
      </c>
      <c r="H9" s="161">
        <f t="shared" si="1"/>
        <v>15620560</v>
      </c>
      <c r="I9" s="155">
        <f>I81-G81</f>
        <v>2646410</v>
      </c>
      <c r="J9" s="131">
        <f>J81-I81</f>
        <v>2583380</v>
      </c>
      <c r="K9" s="131">
        <f>K81-J81</f>
        <v>2587740</v>
      </c>
      <c r="L9" s="131">
        <f>L81-K81</f>
        <v>2608630</v>
      </c>
      <c r="M9" s="131">
        <f>M81-L81</f>
        <v>2516600</v>
      </c>
      <c r="N9" s="131">
        <f>N81-M81</f>
        <v>2560240</v>
      </c>
      <c r="O9" s="161">
        <f t="shared" si="4"/>
        <v>15503000</v>
      </c>
      <c r="P9" s="161">
        <f t="shared" si="5"/>
        <v>31123560</v>
      </c>
    </row>
    <row r="10" spans="1:16" ht="12" customHeight="1" x14ac:dyDescent="0.15">
      <c r="A10" s="48" t="s">
        <v>247</v>
      </c>
      <c r="B10" s="133">
        <f>162780</f>
        <v>162780</v>
      </c>
      <c r="C10" s="133">
        <f>137400</f>
        <v>137400</v>
      </c>
      <c r="D10" s="133">
        <f>159240</f>
        <v>159240</v>
      </c>
      <c r="E10" s="133">
        <f>147440</f>
        <v>147440</v>
      </c>
      <c r="F10" s="133">
        <f>160860</f>
        <v>160860</v>
      </c>
      <c r="G10" s="151">
        <f>215640</f>
        <v>215640</v>
      </c>
      <c r="H10" s="161">
        <f t="shared" si="1"/>
        <v>983360</v>
      </c>
      <c r="I10" s="157">
        <f>171120</f>
        <v>171120</v>
      </c>
      <c r="J10" s="133">
        <f>179960</f>
        <v>179960</v>
      </c>
      <c r="K10" s="133">
        <f>150280</f>
        <v>150280</v>
      </c>
      <c r="L10" s="133">
        <f>157700</f>
        <v>157700</v>
      </c>
      <c r="M10" s="133">
        <f>153280</f>
        <v>153280</v>
      </c>
      <c r="N10" s="151">
        <f>145860</f>
        <v>145860</v>
      </c>
      <c r="O10" s="161">
        <f t="shared" si="4"/>
        <v>958200</v>
      </c>
      <c r="P10" s="161">
        <f t="shared" si="5"/>
        <v>1941560</v>
      </c>
    </row>
    <row r="11" spans="1:16" ht="12" customHeight="1" x14ac:dyDescent="0.15">
      <c r="A11" s="48" t="s">
        <v>319</v>
      </c>
      <c r="B11" s="133">
        <f>15400</f>
        <v>15400</v>
      </c>
      <c r="C11" s="133">
        <f>12320</f>
        <v>12320</v>
      </c>
      <c r="D11" s="133">
        <f>21560</f>
        <v>21560</v>
      </c>
      <c r="E11" s="133">
        <f>12320</f>
        <v>12320</v>
      </c>
      <c r="F11" s="133">
        <f>3080+21560</f>
        <v>24640</v>
      </c>
      <c r="G11" s="151">
        <f>3080+15400</f>
        <v>18480</v>
      </c>
      <c r="H11" s="161">
        <f t="shared" si="1"/>
        <v>104720</v>
      </c>
      <c r="I11" s="170">
        <v>0</v>
      </c>
      <c r="J11" s="133">
        <f>15400</f>
        <v>15400</v>
      </c>
      <c r="K11" s="133">
        <f>6160+21560</f>
        <v>27720</v>
      </c>
      <c r="L11" s="133">
        <f>3080+12320</f>
        <v>15400</v>
      </c>
      <c r="M11" s="133">
        <f>30800</f>
        <v>30800</v>
      </c>
      <c r="N11" s="151">
        <f>9240</f>
        <v>9240</v>
      </c>
      <c r="O11" s="161">
        <f t="shared" si="4"/>
        <v>98560</v>
      </c>
      <c r="P11" s="161">
        <f t="shared" si="5"/>
        <v>203280</v>
      </c>
    </row>
    <row r="12" spans="1:16" ht="12" customHeight="1" x14ac:dyDescent="0.15">
      <c r="A12" s="47" t="s">
        <v>95</v>
      </c>
      <c r="B12" s="134">
        <f>4181930-285600-4900-8400+3711150-259700</f>
        <v>7334480</v>
      </c>
      <c r="C12" s="133">
        <f>8427310-4181930-301600+7760460-3711150-279000-4200-1900</f>
        <v>7707990</v>
      </c>
      <c r="D12" s="133">
        <f>12430170-8427310-283200-2800+11870950-7760460-275200-16100</f>
        <v>7536050</v>
      </c>
      <c r="E12" s="133">
        <f>17085110-12430170-324600-10500+16142830-11870950-298300-3200</f>
        <v>8290220</v>
      </c>
      <c r="F12" s="133">
        <f>22128240-17085110-349500-7700-9100+19677850-16142830-251300</f>
        <v>7960550</v>
      </c>
      <c r="G12" s="151">
        <f>26543580-22128240-312500-1800+23165720-19677850-232400-6900</f>
        <v>7349610</v>
      </c>
      <c r="H12" s="161">
        <f t="shared" si="1"/>
        <v>46178900</v>
      </c>
      <c r="I12" s="157">
        <f>31805890-26543580-366700-7000+26980970-23165720-266600</f>
        <v>8437260</v>
      </c>
      <c r="J12" s="133">
        <f>36416100-31805890-328100+30849540-26980970-270100</f>
        <v>7880580</v>
      </c>
      <c r="K12" s="133">
        <f>41134710-36416100-326800-5600+34204740-30849540-231000</f>
        <v>7510410</v>
      </c>
      <c r="L12" s="133">
        <f>45447450-41134710-305200+37241690-34204740-211300</f>
        <v>6833190</v>
      </c>
      <c r="M12" s="133">
        <f>49486800-45447450-283800+39822280-37241690-177700</f>
        <v>6158440</v>
      </c>
      <c r="N12" s="151">
        <f>54144830-49486800-331700+42846830-39822280-210700</f>
        <v>7140180</v>
      </c>
      <c r="O12" s="161">
        <f t="shared" si="4"/>
        <v>43960060</v>
      </c>
      <c r="P12" s="161">
        <f t="shared" si="5"/>
        <v>90138960</v>
      </c>
    </row>
    <row r="13" spans="1:16" ht="12" customHeight="1" x14ac:dyDescent="0.15">
      <c r="A13" s="21" t="s">
        <v>58</v>
      </c>
      <c r="B13" s="133">
        <f>285600+4900+8400+259700</f>
        <v>558600</v>
      </c>
      <c r="C13" s="133">
        <f>301600+279000+4200+1900</f>
        <v>586700</v>
      </c>
      <c r="D13" s="133">
        <f>283200+2800+275200+16100</f>
        <v>577300</v>
      </c>
      <c r="E13" s="133">
        <f>324600+10500+298300+3200</f>
        <v>636600</v>
      </c>
      <c r="F13" s="133">
        <f>349500+7700+9100+251300</f>
        <v>617600</v>
      </c>
      <c r="G13" s="151">
        <f>312500+1800+232400+6900</f>
        <v>553600</v>
      </c>
      <c r="H13" s="161">
        <f t="shared" si="1"/>
        <v>3530400</v>
      </c>
      <c r="I13" s="157">
        <f>366700+7000+266600</f>
        <v>640300</v>
      </c>
      <c r="J13" s="133">
        <f>328100+270100</f>
        <v>598200</v>
      </c>
      <c r="K13" s="133">
        <f>326800+5600+231000</f>
        <v>563400</v>
      </c>
      <c r="L13" s="133">
        <f>305200+211300</f>
        <v>516500</v>
      </c>
      <c r="M13" s="133">
        <f>283800+177700</f>
        <v>461500</v>
      </c>
      <c r="N13" s="151">
        <f>331700+210700</f>
        <v>542400</v>
      </c>
      <c r="O13" s="161">
        <f t="shared" si="4"/>
        <v>3322300</v>
      </c>
      <c r="P13" s="161">
        <f t="shared" si="5"/>
        <v>6852700</v>
      </c>
    </row>
    <row r="14" spans="1:16" ht="12" customHeight="1" x14ac:dyDescent="0.15">
      <c r="A14" s="47" t="s">
        <v>96</v>
      </c>
      <c r="B14" s="133">
        <f>709540-85400+356520-45500</f>
        <v>935160</v>
      </c>
      <c r="C14" s="133">
        <f>1373920-709540-76300+702600-356520-49600</f>
        <v>884560</v>
      </c>
      <c r="D14" s="133">
        <f>2038580-1373920-77000+1037340-702600-41300</f>
        <v>881100</v>
      </c>
      <c r="E14" s="133">
        <f>2751910-2038580-88200-1400+1349490-1037340-42000</f>
        <v>893880</v>
      </c>
      <c r="F14" s="133">
        <f>3360000-2751910-67900+1665910-1349490-38500</f>
        <v>818110</v>
      </c>
      <c r="G14" s="151">
        <f>3919350-3360000-57200+2017110-1665910-38500</f>
        <v>814850</v>
      </c>
      <c r="H14" s="161">
        <f t="shared" si="1"/>
        <v>5227660</v>
      </c>
      <c r="I14" s="157">
        <f>4516510-3919350-70900+2336470-2017110-46200</f>
        <v>799420</v>
      </c>
      <c r="J14" s="133">
        <f>5117240-4516510-69900+2685830-2336470-46200</f>
        <v>833990</v>
      </c>
      <c r="K14" s="133">
        <f>5715970-5117240-67200+3057590-2685830-38500-2800</f>
        <v>861990</v>
      </c>
      <c r="L14" s="133">
        <f>6262030-5715970-52500+3428000-3057590-46900</f>
        <v>817070</v>
      </c>
      <c r="M14" s="133">
        <f>6742860-6262030-43400+3813630-3428000-46900</f>
        <v>776160</v>
      </c>
      <c r="N14" s="151">
        <f>7140890-6742860-45300+4194070-3813630-47600</f>
        <v>685570</v>
      </c>
      <c r="O14" s="161">
        <f t="shared" si="4"/>
        <v>4774200</v>
      </c>
      <c r="P14" s="161">
        <f t="shared" si="5"/>
        <v>10001860</v>
      </c>
    </row>
    <row r="15" spans="1:16" ht="12" customHeight="1" x14ac:dyDescent="0.15">
      <c r="A15" s="21" t="s">
        <v>59</v>
      </c>
      <c r="B15" s="133">
        <f>85400+45500</f>
        <v>130900</v>
      </c>
      <c r="C15" s="133">
        <f>76300+49600</f>
        <v>125900</v>
      </c>
      <c r="D15" s="133">
        <f>77000+41300</f>
        <v>118300</v>
      </c>
      <c r="E15" s="133">
        <f>88200+1400+42000</f>
        <v>131600</v>
      </c>
      <c r="F15" s="133">
        <f>67900+38500</f>
        <v>106400</v>
      </c>
      <c r="G15" s="151">
        <f>57200+38500</f>
        <v>95700</v>
      </c>
      <c r="H15" s="161">
        <f t="shared" si="1"/>
        <v>708800</v>
      </c>
      <c r="I15" s="157">
        <f>70900+46200</f>
        <v>117100</v>
      </c>
      <c r="J15" s="133">
        <f>69900+46200</f>
        <v>116100</v>
      </c>
      <c r="K15" s="133">
        <f>67200+38500+2800</f>
        <v>108500</v>
      </c>
      <c r="L15" s="133">
        <f>52500+46900</f>
        <v>99400</v>
      </c>
      <c r="M15" s="133">
        <f>43400+46900</f>
        <v>90300</v>
      </c>
      <c r="N15" s="151">
        <f>45300+47600</f>
        <v>92900</v>
      </c>
      <c r="O15" s="161">
        <f t="shared" si="4"/>
        <v>624300</v>
      </c>
      <c r="P15" s="161">
        <f t="shared" si="5"/>
        <v>1333100</v>
      </c>
    </row>
    <row r="16" spans="1:16" ht="12" customHeight="1" x14ac:dyDescent="0.15">
      <c r="A16" s="50" t="s">
        <v>120</v>
      </c>
      <c r="B16" s="167"/>
      <c r="C16" s="167"/>
      <c r="D16" s="167"/>
      <c r="E16" s="167"/>
      <c r="F16" s="167"/>
      <c r="G16" s="168"/>
      <c r="H16" s="161">
        <f t="shared" si="1"/>
        <v>0</v>
      </c>
      <c r="I16" s="169"/>
      <c r="J16" s="167"/>
      <c r="K16" s="167"/>
      <c r="L16" s="167"/>
      <c r="M16" s="167"/>
      <c r="N16" s="168"/>
      <c r="O16" s="161">
        <f t="shared" si="4"/>
        <v>0</v>
      </c>
      <c r="P16" s="161">
        <f t="shared" si="5"/>
        <v>0</v>
      </c>
    </row>
    <row r="17" spans="1:18" ht="12" customHeight="1" x14ac:dyDescent="0.15">
      <c r="A17" s="21" t="s">
        <v>59</v>
      </c>
      <c r="B17" s="167"/>
      <c r="C17" s="167"/>
      <c r="D17" s="167"/>
      <c r="E17" s="167"/>
      <c r="F17" s="167"/>
      <c r="G17" s="168"/>
      <c r="H17" s="161">
        <f t="shared" si="1"/>
        <v>0</v>
      </c>
      <c r="I17" s="169"/>
      <c r="J17" s="167"/>
      <c r="K17" s="167"/>
      <c r="L17" s="167"/>
      <c r="M17" s="167"/>
      <c r="N17" s="168"/>
      <c r="O17" s="161">
        <f t="shared" si="4"/>
        <v>0</v>
      </c>
      <c r="P17" s="161">
        <f t="shared" si="5"/>
        <v>0</v>
      </c>
    </row>
    <row r="18" spans="1:18" ht="12" customHeight="1" x14ac:dyDescent="0.15">
      <c r="A18" s="51" t="s">
        <v>245</v>
      </c>
      <c r="B18" s="131">
        <f>B90</f>
        <v>486760</v>
      </c>
      <c r="C18" s="131">
        <f t="shared" ref="C18:G20" si="8">C90-B90</f>
        <v>506000</v>
      </c>
      <c r="D18" s="131">
        <f t="shared" si="8"/>
        <v>684010</v>
      </c>
      <c r="E18" s="131">
        <f t="shared" si="8"/>
        <v>842360</v>
      </c>
      <c r="F18" s="131">
        <f t="shared" si="8"/>
        <v>806400</v>
      </c>
      <c r="G18" s="131">
        <f t="shared" si="8"/>
        <v>749620</v>
      </c>
      <c r="H18" s="161">
        <f t="shared" si="1"/>
        <v>4075150</v>
      </c>
      <c r="I18" s="155">
        <f>I90-G90</f>
        <v>848220</v>
      </c>
      <c r="J18" s="131">
        <f t="shared" ref="J18:N20" si="9">J90-I90</f>
        <v>800580</v>
      </c>
      <c r="K18" s="131">
        <f t="shared" si="9"/>
        <v>769100</v>
      </c>
      <c r="L18" s="131">
        <f t="shared" si="9"/>
        <v>702360</v>
      </c>
      <c r="M18" s="131">
        <f t="shared" si="9"/>
        <v>636960</v>
      </c>
      <c r="N18" s="131">
        <f t="shared" si="9"/>
        <v>717830</v>
      </c>
      <c r="O18" s="161">
        <f>SUM(I18:N18)</f>
        <v>4475050</v>
      </c>
      <c r="P18" s="161">
        <f t="shared" si="5"/>
        <v>8550200</v>
      </c>
    </row>
    <row r="19" spans="1:18" ht="12" customHeight="1" x14ac:dyDescent="0.15">
      <c r="A19" s="51" t="s">
        <v>366</v>
      </c>
      <c r="B19" s="131">
        <f>B91</f>
        <v>99140</v>
      </c>
      <c r="C19" s="131">
        <f t="shared" si="8"/>
        <v>103030</v>
      </c>
      <c r="D19" s="131">
        <f t="shared" si="8"/>
        <v>2800</v>
      </c>
      <c r="E19" s="131">
        <f t="shared" si="8"/>
        <v>0</v>
      </c>
      <c r="F19" s="131">
        <f t="shared" si="8"/>
        <v>0</v>
      </c>
      <c r="G19" s="131">
        <f t="shared" si="8"/>
        <v>0</v>
      </c>
      <c r="H19" s="161">
        <f t="shared" si="1"/>
        <v>204970</v>
      </c>
      <c r="I19" s="155">
        <f>I91-G91</f>
        <v>0</v>
      </c>
      <c r="J19" s="131">
        <f t="shared" si="9"/>
        <v>0</v>
      </c>
      <c r="K19" s="131">
        <f t="shared" si="9"/>
        <v>0</v>
      </c>
      <c r="L19" s="131">
        <f t="shared" si="9"/>
        <v>0</v>
      </c>
      <c r="M19" s="131">
        <f t="shared" si="9"/>
        <v>0</v>
      </c>
      <c r="N19" s="131">
        <f t="shared" si="9"/>
        <v>0</v>
      </c>
      <c r="O19" s="161">
        <f>SUM(I19:N19)</f>
        <v>0</v>
      </c>
      <c r="P19" s="161">
        <f t="shared" si="5"/>
        <v>204970</v>
      </c>
      <c r="R19" s="128" t="s">
        <v>40</v>
      </c>
    </row>
    <row r="20" spans="1:18" ht="12" customHeight="1" x14ac:dyDescent="0.15">
      <c r="A20" s="51" t="s">
        <v>423</v>
      </c>
      <c r="B20" s="131">
        <f>B92</f>
        <v>90810</v>
      </c>
      <c r="C20" s="131">
        <f t="shared" si="8"/>
        <v>94370</v>
      </c>
      <c r="D20" s="131">
        <f t="shared" si="8"/>
        <v>2580</v>
      </c>
      <c r="E20" s="131">
        <f t="shared" si="8"/>
        <v>0</v>
      </c>
      <c r="F20" s="131">
        <f t="shared" si="8"/>
        <v>0</v>
      </c>
      <c r="G20" s="131">
        <f t="shared" si="8"/>
        <v>0</v>
      </c>
      <c r="H20" s="161">
        <f t="shared" si="1"/>
        <v>187760</v>
      </c>
      <c r="I20" s="155">
        <f>I92-G92</f>
        <v>0</v>
      </c>
      <c r="J20" s="131">
        <f t="shared" si="9"/>
        <v>0</v>
      </c>
      <c r="K20" s="131">
        <f t="shared" si="9"/>
        <v>0</v>
      </c>
      <c r="L20" s="131">
        <f t="shared" si="9"/>
        <v>0</v>
      </c>
      <c r="M20" s="131">
        <f t="shared" si="9"/>
        <v>0</v>
      </c>
      <c r="N20" s="131">
        <f t="shared" si="9"/>
        <v>0</v>
      </c>
      <c r="O20" s="161">
        <f>SUM(I20:N20)</f>
        <v>0</v>
      </c>
      <c r="P20" s="161">
        <f t="shared" si="5"/>
        <v>187760</v>
      </c>
    </row>
    <row r="21" spans="1:18" ht="12" customHeight="1" x14ac:dyDescent="0.15">
      <c r="A21" s="51" t="s">
        <v>338</v>
      </c>
      <c r="B21" s="133">
        <f>219060-39900</f>
        <v>179160</v>
      </c>
      <c r="C21" s="133">
        <f>412690-219060-28000</f>
        <v>165630</v>
      </c>
      <c r="D21" s="133">
        <f>645350-412690-32900</f>
        <v>199760</v>
      </c>
      <c r="E21" s="133">
        <f>909970-645350-43400</f>
        <v>221220</v>
      </c>
      <c r="F21" s="133">
        <f>1145590-909970-24500</f>
        <v>211120</v>
      </c>
      <c r="G21" s="151">
        <f>1371880-1145590-31500</f>
        <v>194790</v>
      </c>
      <c r="H21" s="161">
        <f t="shared" si="1"/>
        <v>1171680</v>
      </c>
      <c r="I21" s="157">
        <f>1608670-1371880-41300</f>
        <v>195490</v>
      </c>
      <c r="J21" s="133">
        <f>1837760-1608670-34300</f>
        <v>194790</v>
      </c>
      <c r="K21" s="133">
        <f>2064920-1837760-32900</f>
        <v>194260</v>
      </c>
      <c r="L21" s="133">
        <f>2276980-2064920-32200</f>
        <v>179860</v>
      </c>
      <c r="M21" s="133">
        <f>2479240-2276980-23100</f>
        <v>179160</v>
      </c>
      <c r="N21" s="151">
        <f>2690600-2479240-31500</f>
        <v>179860</v>
      </c>
      <c r="O21" s="161">
        <f>SUM(I21:N21)</f>
        <v>1123420</v>
      </c>
      <c r="P21" s="161">
        <f>H21+O21</f>
        <v>2295100</v>
      </c>
    </row>
    <row r="22" spans="1:18" ht="12" customHeight="1" x14ac:dyDescent="0.15">
      <c r="A22" s="21" t="s">
        <v>59</v>
      </c>
      <c r="B22" s="133">
        <f>39900</f>
        <v>39900</v>
      </c>
      <c r="C22" s="133">
        <f>28000</f>
        <v>28000</v>
      </c>
      <c r="D22" s="133">
        <f>32900</f>
        <v>32900</v>
      </c>
      <c r="E22" s="133">
        <f>43400</f>
        <v>43400</v>
      </c>
      <c r="F22" s="133">
        <f>24500</f>
        <v>24500</v>
      </c>
      <c r="G22" s="151">
        <f>31500</f>
        <v>31500</v>
      </c>
      <c r="H22" s="161">
        <f t="shared" si="1"/>
        <v>200200</v>
      </c>
      <c r="I22" s="157">
        <f>41300</f>
        <v>41300</v>
      </c>
      <c r="J22" s="133">
        <f>34300</f>
        <v>34300</v>
      </c>
      <c r="K22" s="133">
        <f>32900</f>
        <v>32900</v>
      </c>
      <c r="L22" s="133">
        <f>32200</f>
        <v>32200</v>
      </c>
      <c r="M22" s="133">
        <f>23100</f>
        <v>23100</v>
      </c>
      <c r="N22" s="151">
        <f>31500</f>
        <v>31500</v>
      </c>
      <c r="O22" s="161">
        <f>SUM(I22:N22)</f>
        <v>195300</v>
      </c>
      <c r="P22" s="161">
        <f>H22+O22</f>
        <v>395500</v>
      </c>
    </row>
    <row r="23" spans="1:18" ht="12" customHeight="1" x14ac:dyDescent="0.15">
      <c r="A23" s="47" t="s">
        <v>119</v>
      </c>
      <c r="B23" s="131">
        <f>B95</f>
        <v>68600</v>
      </c>
      <c r="C23" s="131">
        <f>C95-B95</f>
        <v>69300</v>
      </c>
      <c r="D23" s="131">
        <f>D95-C95</f>
        <v>63000</v>
      </c>
      <c r="E23" s="131">
        <f>E95-D95</f>
        <v>71400</v>
      </c>
      <c r="F23" s="131">
        <f>F95-E95</f>
        <v>64400</v>
      </c>
      <c r="G23" s="131">
        <f>G95-F95</f>
        <v>74900</v>
      </c>
      <c r="H23" s="161">
        <f t="shared" si="1"/>
        <v>411600</v>
      </c>
      <c r="I23" s="155">
        <f t="shared" ref="I23:I33" si="10">I95-G95</f>
        <v>74200</v>
      </c>
      <c r="J23" s="131">
        <f t="shared" ref="J23:N33" si="11">J95-I95</f>
        <v>88200</v>
      </c>
      <c r="K23" s="131">
        <f t="shared" si="11"/>
        <v>73500</v>
      </c>
      <c r="L23" s="131">
        <f t="shared" si="11"/>
        <v>71400</v>
      </c>
      <c r="M23" s="131">
        <f t="shared" si="11"/>
        <v>49000</v>
      </c>
      <c r="N23" s="131">
        <f t="shared" si="11"/>
        <v>72800</v>
      </c>
      <c r="O23" s="161">
        <f t="shared" si="4"/>
        <v>429100</v>
      </c>
      <c r="P23" s="161">
        <f t="shared" si="5"/>
        <v>840700</v>
      </c>
    </row>
    <row r="24" spans="1:18" ht="12" customHeight="1" x14ac:dyDescent="0.15">
      <c r="A24" s="47" t="s">
        <v>97</v>
      </c>
      <c r="B24" s="131">
        <f t="shared" ref="B24:B33" si="12">B96</f>
        <v>11500</v>
      </c>
      <c r="C24" s="131">
        <f t="shared" ref="C24:G33" si="13">C96-B96</f>
        <v>37200</v>
      </c>
      <c r="D24" s="131">
        <f t="shared" si="13"/>
        <v>28300</v>
      </c>
      <c r="E24" s="131">
        <f t="shared" si="13"/>
        <v>8500</v>
      </c>
      <c r="F24" s="131">
        <f t="shared" si="13"/>
        <v>5300</v>
      </c>
      <c r="G24" s="131">
        <f t="shared" si="13"/>
        <v>5300</v>
      </c>
      <c r="H24" s="161">
        <f t="shared" si="1"/>
        <v>96100</v>
      </c>
      <c r="I24" s="155">
        <f t="shared" si="10"/>
        <v>17000</v>
      </c>
      <c r="J24" s="131">
        <f t="shared" si="11"/>
        <v>10850</v>
      </c>
      <c r="K24" s="131">
        <f t="shared" si="11"/>
        <v>14800</v>
      </c>
      <c r="L24" s="131">
        <f t="shared" si="11"/>
        <v>9300</v>
      </c>
      <c r="M24" s="131">
        <f t="shared" si="11"/>
        <v>10700</v>
      </c>
      <c r="N24" s="131">
        <f t="shared" si="11"/>
        <v>11500</v>
      </c>
      <c r="O24" s="161">
        <f t="shared" si="4"/>
        <v>74150</v>
      </c>
      <c r="P24" s="161">
        <f t="shared" si="5"/>
        <v>170250</v>
      </c>
    </row>
    <row r="25" spans="1:18" ht="12" customHeight="1" x14ac:dyDescent="0.15">
      <c r="A25" s="51" t="s">
        <v>407</v>
      </c>
      <c r="B25" s="131">
        <f t="shared" si="12"/>
        <v>2900</v>
      </c>
      <c r="C25" s="131">
        <f t="shared" si="13"/>
        <v>5300</v>
      </c>
      <c r="D25" s="131">
        <f t="shared" si="13"/>
        <v>12400</v>
      </c>
      <c r="E25" s="131">
        <f t="shared" si="13"/>
        <v>13800</v>
      </c>
      <c r="F25" s="131">
        <f t="shared" si="13"/>
        <v>17800</v>
      </c>
      <c r="G25" s="131">
        <f t="shared" si="13"/>
        <v>11000</v>
      </c>
      <c r="H25" s="161">
        <f t="shared" si="1"/>
        <v>63200</v>
      </c>
      <c r="I25" s="155">
        <f t="shared" si="10"/>
        <v>5000</v>
      </c>
      <c r="J25" s="131">
        <f t="shared" si="11"/>
        <v>8000</v>
      </c>
      <c r="K25" s="131">
        <f t="shared" si="11"/>
        <v>16300</v>
      </c>
      <c r="L25" s="131">
        <f t="shared" si="11"/>
        <v>5000</v>
      </c>
      <c r="M25" s="131">
        <f t="shared" si="11"/>
        <v>2200</v>
      </c>
      <c r="N25" s="131">
        <f t="shared" si="11"/>
        <v>27800</v>
      </c>
      <c r="O25" s="161">
        <f t="shared" si="4"/>
        <v>64300</v>
      </c>
      <c r="P25" s="161">
        <f t="shared" si="5"/>
        <v>127500</v>
      </c>
    </row>
    <row r="26" spans="1:18" ht="12" customHeight="1" x14ac:dyDescent="0.15">
      <c r="A26" s="47" t="s">
        <v>249</v>
      </c>
      <c r="B26" s="131">
        <f t="shared" si="12"/>
        <v>83100</v>
      </c>
      <c r="C26" s="131">
        <f t="shared" si="13"/>
        <v>86800</v>
      </c>
      <c r="D26" s="131">
        <f t="shared" si="13"/>
        <v>84500</v>
      </c>
      <c r="E26" s="131">
        <f t="shared" si="13"/>
        <v>84100</v>
      </c>
      <c r="F26" s="131">
        <f t="shared" si="13"/>
        <v>56600</v>
      </c>
      <c r="G26" s="131">
        <f t="shared" si="13"/>
        <v>75600</v>
      </c>
      <c r="H26" s="161">
        <f t="shared" si="1"/>
        <v>470700</v>
      </c>
      <c r="I26" s="155">
        <f t="shared" si="10"/>
        <v>84900</v>
      </c>
      <c r="J26" s="131">
        <f t="shared" si="11"/>
        <v>78700</v>
      </c>
      <c r="K26" s="131">
        <f t="shared" si="11"/>
        <v>71200</v>
      </c>
      <c r="L26" s="131">
        <f t="shared" si="11"/>
        <v>68000</v>
      </c>
      <c r="M26" s="131">
        <f t="shared" si="11"/>
        <v>64800</v>
      </c>
      <c r="N26" s="131">
        <f t="shared" si="11"/>
        <v>66900</v>
      </c>
      <c r="O26" s="161">
        <f t="shared" si="4"/>
        <v>434500</v>
      </c>
      <c r="P26" s="161">
        <f t="shared" si="5"/>
        <v>905200</v>
      </c>
    </row>
    <row r="27" spans="1:18" ht="12" customHeight="1" x14ac:dyDescent="0.15">
      <c r="A27" s="47" t="s">
        <v>406</v>
      </c>
      <c r="B27" s="131">
        <f t="shared" si="12"/>
        <v>49000</v>
      </c>
      <c r="C27" s="131">
        <f t="shared" si="13"/>
        <v>30300</v>
      </c>
      <c r="D27" s="131">
        <f t="shared" si="13"/>
        <v>23800</v>
      </c>
      <c r="E27" s="131">
        <f t="shared" si="13"/>
        <v>25000</v>
      </c>
      <c r="F27" s="131">
        <f t="shared" si="13"/>
        <v>34200</v>
      </c>
      <c r="G27" s="131">
        <f t="shared" si="13"/>
        <v>11900</v>
      </c>
      <c r="H27" s="161">
        <f t="shared" si="1"/>
        <v>174200</v>
      </c>
      <c r="I27" s="155">
        <f t="shared" si="10"/>
        <v>16800</v>
      </c>
      <c r="J27" s="131">
        <f t="shared" si="11"/>
        <v>13700</v>
      </c>
      <c r="K27" s="131">
        <f t="shared" si="11"/>
        <v>18200</v>
      </c>
      <c r="L27" s="131">
        <f t="shared" si="11"/>
        <v>19800</v>
      </c>
      <c r="M27" s="131">
        <f t="shared" si="11"/>
        <v>21900</v>
      </c>
      <c r="N27" s="131">
        <f t="shared" si="11"/>
        <v>25700</v>
      </c>
      <c r="O27" s="161">
        <f t="shared" si="4"/>
        <v>116100</v>
      </c>
      <c r="P27" s="161">
        <f t="shared" si="5"/>
        <v>290300</v>
      </c>
    </row>
    <row r="28" spans="1:18" ht="12" customHeight="1" x14ac:dyDescent="0.15">
      <c r="A28" s="47" t="s">
        <v>303</v>
      </c>
      <c r="B28" s="131">
        <f t="shared" si="12"/>
        <v>1700</v>
      </c>
      <c r="C28" s="131">
        <f t="shared" si="13"/>
        <v>0</v>
      </c>
      <c r="D28" s="131">
        <f t="shared" si="13"/>
        <v>0</v>
      </c>
      <c r="E28" s="131">
        <f t="shared" si="13"/>
        <v>3500</v>
      </c>
      <c r="F28" s="131">
        <f t="shared" si="13"/>
        <v>5300</v>
      </c>
      <c r="G28" s="131">
        <f t="shared" si="13"/>
        <v>0</v>
      </c>
      <c r="H28" s="161">
        <f t="shared" si="1"/>
        <v>10500</v>
      </c>
      <c r="I28" s="155">
        <f t="shared" si="10"/>
        <v>0</v>
      </c>
      <c r="J28" s="131">
        <f t="shared" si="11"/>
        <v>0</v>
      </c>
      <c r="K28" s="131">
        <f t="shared" si="11"/>
        <v>900</v>
      </c>
      <c r="L28" s="131">
        <f t="shared" si="11"/>
        <v>400</v>
      </c>
      <c r="M28" s="131">
        <f t="shared" si="11"/>
        <v>0</v>
      </c>
      <c r="N28" s="131">
        <f t="shared" si="11"/>
        <v>1600</v>
      </c>
      <c r="O28" s="161">
        <f t="shared" si="4"/>
        <v>2900</v>
      </c>
      <c r="P28" s="161">
        <f t="shared" si="5"/>
        <v>13400</v>
      </c>
    </row>
    <row r="29" spans="1:18" ht="12" customHeight="1" x14ac:dyDescent="0.15">
      <c r="A29" s="47" t="s">
        <v>251</v>
      </c>
      <c r="B29" s="131">
        <f t="shared" si="12"/>
        <v>0</v>
      </c>
      <c r="C29" s="131">
        <f t="shared" si="13"/>
        <v>0</v>
      </c>
      <c r="D29" s="131">
        <f t="shared" si="13"/>
        <v>0</v>
      </c>
      <c r="E29" s="131">
        <f t="shared" si="13"/>
        <v>0</v>
      </c>
      <c r="F29" s="131">
        <f t="shared" si="13"/>
        <v>0</v>
      </c>
      <c r="G29" s="131">
        <f t="shared" si="13"/>
        <v>0</v>
      </c>
      <c r="H29" s="161">
        <f t="shared" si="1"/>
        <v>0</v>
      </c>
      <c r="I29" s="155">
        <f t="shared" si="10"/>
        <v>0</v>
      </c>
      <c r="J29" s="131">
        <f t="shared" si="11"/>
        <v>1300</v>
      </c>
      <c r="K29" s="131">
        <f t="shared" si="11"/>
        <v>4200</v>
      </c>
      <c r="L29" s="131">
        <f t="shared" si="11"/>
        <v>4200</v>
      </c>
      <c r="M29" s="131">
        <f t="shared" si="11"/>
        <v>4200</v>
      </c>
      <c r="N29" s="131">
        <f t="shared" si="11"/>
        <v>5600</v>
      </c>
      <c r="O29" s="161">
        <f>SUM(I29:N29)</f>
        <v>19500</v>
      </c>
      <c r="P29" s="161">
        <f>H29+O29</f>
        <v>19500</v>
      </c>
    </row>
    <row r="30" spans="1:18" ht="12" customHeight="1" x14ac:dyDescent="0.15">
      <c r="A30" s="21" t="s">
        <v>99</v>
      </c>
      <c r="B30" s="131">
        <f t="shared" si="12"/>
        <v>1214000</v>
      </c>
      <c r="C30" s="131">
        <f t="shared" si="13"/>
        <v>1214000</v>
      </c>
      <c r="D30" s="131">
        <f t="shared" si="13"/>
        <v>1297000</v>
      </c>
      <c r="E30" s="131">
        <f t="shared" si="13"/>
        <v>1214000</v>
      </c>
      <c r="F30" s="131">
        <f t="shared" si="13"/>
        <v>1214000</v>
      </c>
      <c r="G30" s="131">
        <f t="shared" si="13"/>
        <v>1297000</v>
      </c>
      <c r="H30" s="161">
        <f t="shared" si="1"/>
        <v>7450000</v>
      </c>
      <c r="I30" s="155">
        <f t="shared" si="10"/>
        <v>1214000</v>
      </c>
      <c r="J30" s="131">
        <f t="shared" si="11"/>
        <v>1214000</v>
      </c>
      <c r="K30" s="131">
        <f t="shared" si="11"/>
        <v>1297000</v>
      </c>
      <c r="L30" s="131">
        <f t="shared" si="11"/>
        <v>1214000</v>
      </c>
      <c r="M30" s="131">
        <f t="shared" si="11"/>
        <v>1214000</v>
      </c>
      <c r="N30" s="131">
        <f t="shared" si="11"/>
        <v>1307000</v>
      </c>
      <c r="O30" s="161">
        <f t="shared" si="4"/>
        <v>7460000</v>
      </c>
      <c r="P30" s="161">
        <f t="shared" si="5"/>
        <v>14910000</v>
      </c>
    </row>
    <row r="31" spans="1:18" ht="12" customHeight="1" x14ac:dyDescent="0.15">
      <c r="A31" s="24" t="s">
        <v>11</v>
      </c>
      <c r="B31" s="131">
        <f t="shared" si="12"/>
        <v>15000</v>
      </c>
      <c r="C31" s="131">
        <f t="shared" si="13"/>
        <v>5000</v>
      </c>
      <c r="D31" s="131">
        <f t="shared" si="13"/>
        <v>10000</v>
      </c>
      <c r="E31" s="131">
        <f t="shared" si="13"/>
        <v>0</v>
      </c>
      <c r="F31" s="131">
        <f t="shared" si="13"/>
        <v>0</v>
      </c>
      <c r="G31" s="131">
        <f t="shared" si="13"/>
        <v>0</v>
      </c>
      <c r="H31" s="161">
        <f t="shared" si="1"/>
        <v>30000</v>
      </c>
      <c r="I31" s="155">
        <f t="shared" si="10"/>
        <v>0</v>
      </c>
      <c r="J31" s="131">
        <f t="shared" si="11"/>
        <v>0</v>
      </c>
      <c r="K31" s="131">
        <f t="shared" si="11"/>
        <v>0</v>
      </c>
      <c r="L31" s="131">
        <f t="shared" si="11"/>
        <v>0</v>
      </c>
      <c r="M31" s="131">
        <f t="shared" si="11"/>
        <v>0</v>
      </c>
      <c r="N31" s="131">
        <f t="shared" si="11"/>
        <v>70000</v>
      </c>
      <c r="O31" s="161">
        <f t="shared" si="4"/>
        <v>70000</v>
      </c>
      <c r="P31" s="161">
        <f t="shared" si="5"/>
        <v>100000</v>
      </c>
    </row>
    <row r="32" spans="1:18" ht="12" customHeight="1" x14ac:dyDescent="0.15">
      <c r="A32" s="24" t="s">
        <v>246</v>
      </c>
      <c r="B32" s="131">
        <f t="shared" si="12"/>
        <v>81880</v>
      </c>
      <c r="C32" s="131">
        <f t="shared" si="13"/>
        <v>6950</v>
      </c>
      <c r="D32" s="131">
        <f t="shared" si="13"/>
        <v>14145</v>
      </c>
      <c r="E32" s="131">
        <f t="shared" si="13"/>
        <v>6290</v>
      </c>
      <c r="F32" s="131">
        <f t="shared" si="13"/>
        <v>6290</v>
      </c>
      <c r="G32" s="131">
        <f t="shared" si="13"/>
        <v>5290</v>
      </c>
      <c r="H32" s="161">
        <f t="shared" si="1"/>
        <v>120845</v>
      </c>
      <c r="I32" s="155">
        <f t="shared" si="10"/>
        <v>0</v>
      </c>
      <c r="J32" s="131">
        <f t="shared" si="11"/>
        <v>100000</v>
      </c>
      <c r="K32" s="131">
        <f t="shared" si="11"/>
        <v>0</v>
      </c>
      <c r="L32" s="131">
        <f t="shared" si="11"/>
        <v>0</v>
      </c>
      <c r="M32" s="131">
        <f t="shared" si="11"/>
        <v>150000</v>
      </c>
      <c r="N32" s="131">
        <f t="shared" si="11"/>
        <v>0</v>
      </c>
      <c r="O32" s="161">
        <f t="shared" si="4"/>
        <v>250000</v>
      </c>
      <c r="P32" s="161">
        <f t="shared" si="5"/>
        <v>370845</v>
      </c>
    </row>
    <row r="33" spans="1:18" ht="12" customHeight="1" x14ac:dyDescent="0.15">
      <c r="A33" s="24" t="s">
        <v>12</v>
      </c>
      <c r="B33" s="131">
        <f t="shared" si="12"/>
        <v>10335</v>
      </c>
      <c r="C33" s="131">
        <f t="shared" si="13"/>
        <v>448282</v>
      </c>
      <c r="D33" s="131">
        <f t="shared" si="13"/>
        <v>16355</v>
      </c>
      <c r="E33" s="131">
        <f t="shared" si="13"/>
        <v>35835</v>
      </c>
      <c r="F33" s="131">
        <f t="shared" si="13"/>
        <v>97833</v>
      </c>
      <c r="G33" s="131">
        <f t="shared" si="13"/>
        <v>25607</v>
      </c>
      <c r="H33" s="161">
        <f t="shared" si="1"/>
        <v>634247</v>
      </c>
      <c r="I33" s="155">
        <f t="shared" si="10"/>
        <v>20515</v>
      </c>
      <c r="J33" s="131">
        <f t="shared" si="11"/>
        <v>17500</v>
      </c>
      <c r="K33" s="131">
        <f t="shared" si="11"/>
        <v>22530</v>
      </c>
      <c r="L33" s="131">
        <f t="shared" si="11"/>
        <v>17140</v>
      </c>
      <c r="M33" s="131">
        <f t="shared" si="11"/>
        <v>17960</v>
      </c>
      <c r="N33" s="131">
        <f t="shared" si="11"/>
        <v>22405</v>
      </c>
      <c r="O33" s="161">
        <f t="shared" si="4"/>
        <v>118050</v>
      </c>
      <c r="P33" s="161">
        <f t="shared" si="5"/>
        <v>752297</v>
      </c>
    </row>
    <row r="34" spans="1:18" ht="12" customHeight="1" x14ac:dyDescent="0.15">
      <c r="A34" s="24"/>
      <c r="B34" s="132"/>
      <c r="C34" s="132"/>
      <c r="D34" s="132"/>
      <c r="E34" s="132"/>
      <c r="F34" s="132"/>
      <c r="G34" s="150"/>
      <c r="H34" s="162"/>
      <c r="I34" s="156"/>
      <c r="J34" s="132"/>
      <c r="K34" s="132"/>
      <c r="L34" s="132"/>
      <c r="M34" s="132"/>
      <c r="N34" s="150"/>
      <c r="O34" s="161">
        <f t="shared" si="4"/>
        <v>0</v>
      </c>
      <c r="P34" s="161">
        <f t="shared" si="5"/>
        <v>0</v>
      </c>
    </row>
    <row r="35" spans="1:18" ht="12" customHeight="1" x14ac:dyDescent="0.15">
      <c r="A35" s="52" t="s">
        <v>13</v>
      </c>
      <c r="B35" s="132">
        <f t="shared" ref="B35:N35" si="14">B4+B8+B31+B32+B33</f>
        <v>14243015</v>
      </c>
      <c r="C35" s="132">
        <f t="shared" si="14"/>
        <v>14901742</v>
      </c>
      <c r="D35" s="132">
        <f t="shared" si="14"/>
        <v>14374230</v>
      </c>
      <c r="E35" s="132">
        <f t="shared" si="14"/>
        <v>15368975</v>
      </c>
      <c r="F35" s="132">
        <f t="shared" si="14"/>
        <v>14789533</v>
      </c>
      <c r="G35" s="150">
        <f t="shared" si="14"/>
        <v>14072057</v>
      </c>
      <c r="H35" s="162">
        <f t="shared" si="1"/>
        <v>87749552</v>
      </c>
      <c r="I35" s="156">
        <f>I4+I8+I31+I32+I33</f>
        <v>15330035</v>
      </c>
      <c r="J35" s="132">
        <f t="shared" si="14"/>
        <v>14770530</v>
      </c>
      <c r="K35" s="132">
        <f t="shared" si="14"/>
        <v>14325930</v>
      </c>
      <c r="L35" s="132">
        <f t="shared" si="14"/>
        <v>13371550</v>
      </c>
      <c r="M35" s="132">
        <f t="shared" si="14"/>
        <v>12563060</v>
      </c>
      <c r="N35" s="150">
        <f t="shared" si="14"/>
        <v>13716885</v>
      </c>
      <c r="O35" s="162">
        <f t="shared" si="4"/>
        <v>84077990</v>
      </c>
      <c r="P35" s="162">
        <f t="shared" si="5"/>
        <v>171827542</v>
      </c>
    </row>
    <row r="36" spans="1:18" ht="12" customHeight="1" x14ac:dyDescent="0.15">
      <c r="A36" s="24" t="s">
        <v>124</v>
      </c>
      <c r="B36" s="131"/>
      <c r="C36" s="131"/>
      <c r="D36" s="131"/>
      <c r="E36" s="131"/>
      <c r="F36" s="131"/>
      <c r="G36" s="149"/>
      <c r="H36" s="166"/>
      <c r="I36" s="155"/>
      <c r="J36" s="131"/>
      <c r="K36" s="131"/>
      <c r="L36" s="131"/>
      <c r="M36" s="131"/>
      <c r="N36" s="149"/>
      <c r="O36" s="166"/>
      <c r="P36" s="166"/>
    </row>
    <row r="37" spans="1:18" ht="12" customHeight="1" x14ac:dyDescent="0.15">
      <c r="A37" s="21" t="s">
        <v>15</v>
      </c>
      <c r="B37" s="131"/>
      <c r="C37" s="131"/>
      <c r="D37" s="131"/>
      <c r="E37" s="131"/>
      <c r="F37" s="131" t="s">
        <v>304</v>
      </c>
      <c r="G37" s="149"/>
      <c r="H37" s="161"/>
      <c r="I37" s="155"/>
      <c r="J37" s="131"/>
      <c r="K37" s="131"/>
      <c r="L37" s="131"/>
      <c r="M37" s="131"/>
      <c r="N37" s="149"/>
      <c r="O37" s="161"/>
      <c r="P37" s="161"/>
    </row>
    <row r="38" spans="1:18" ht="12" customHeight="1" x14ac:dyDescent="0.15">
      <c r="A38" s="24" t="s">
        <v>16</v>
      </c>
      <c r="B38" s="132">
        <f t="shared" ref="B38:N38" si="15">SUM(B39:B43)</f>
        <v>10652575</v>
      </c>
      <c r="C38" s="132">
        <f t="shared" si="15"/>
        <v>10352339</v>
      </c>
      <c r="D38" s="132">
        <f t="shared" si="15"/>
        <v>10771973</v>
      </c>
      <c r="E38" s="132">
        <f t="shared" si="15"/>
        <v>16321367</v>
      </c>
      <c r="F38" s="132">
        <f t="shared" si="15"/>
        <v>10377465</v>
      </c>
      <c r="G38" s="150">
        <f t="shared" si="15"/>
        <v>10910666</v>
      </c>
      <c r="H38" s="162">
        <f t="shared" ref="H38:H75" si="16">SUM(B38:G38)</f>
        <v>69386385</v>
      </c>
      <c r="I38" s="156">
        <f>SUM(I39:I43)</f>
        <v>10067811</v>
      </c>
      <c r="J38" s="132">
        <f t="shared" si="15"/>
        <v>16119025</v>
      </c>
      <c r="K38" s="132">
        <f t="shared" si="15"/>
        <v>9552925</v>
      </c>
      <c r="L38" s="132">
        <f t="shared" si="15"/>
        <v>9779706</v>
      </c>
      <c r="M38" s="132">
        <f t="shared" si="15"/>
        <v>9479035</v>
      </c>
      <c r="N38" s="150">
        <f t="shared" si="15"/>
        <v>9257483</v>
      </c>
      <c r="O38" s="162">
        <f t="shared" si="4"/>
        <v>64255985</v>
      </c>
      <c r="P38" s="162">
        <f t="shared" si="5"/>
        <v>133642370</v>
      </c>
    </row>
    <row r="39" spans="1:18" ht="12" customHeight="1" x14ac:dyDescent="0.15">
      <c r="A39" s="21" t="s">
        <v>100</v>
      </c>
      <c r="B39" s="131">
        <f>B108</f>
        <v>220000</v>
      </c>
      <c r="C39" s="131">
        <f t="shared" ref="C39:G43" si="17">C108-B108</f>
        <v>220000</v>
      </c>
      <c r="D39" s="131">
        <f t="shared" si="17"/>
        <v>220000</v>
      </c>
      <c r="E39" s="131">
        <f t="shared" si="17"/>
        <v>220000</v>
      </c>
      <c r="F39" s="131">
        <f t="shared" si="17"/>
        <v>220000</v>
      </c>
      <c r="G39" s="131">
        <f t="shared" si="17"/>
        <v>220000</v>
      </c>
      <c r="H39" s="161">
        <f t="shared" si="16"/>
        <v>1320000</v>
      </c>
      <c r="I39" s="155">
        <f>I108-G108</f>
        <v>220000</v>
      </c>
      <c r="J39" s="131">
        <f t="shared" ref="J39:N43" si="18">J108-I108</f>
        <v>220000</v>
      </c>
      <c r="K39" s="131">
        <f t="shared" si="18"/>
        <v>220000</v>
      </c>
      <c r="L39" s="131">
        <f t="shared" si="18"/>
        <v>220000</v>
      </c>
      <c r="M39" s="131">
        <f t="shared" si="18"/>
        <v>220000</v>
      </c>
      <c r="N39" s="131">
        <f t="shared" si="18"/>
        <v>220000</v>
      </c>
      <c r="O39" s="161">
        <f t="shared" si="4"/>
        <v>1320000</v>
      </c>
      <c r="P39" s="161">
        <f t="shared" si="5"/>
        <v>2640000</v>
      </c>
    </row>
    <row r="40" spans="1:18" ht="12" customHeight="1" x14ac:dyDescent="0.15">
      <c r="A40" s="21" t="s">
        <v>101</v>
      </c>
      <c r="B40" s="131">
        <f>B109</f>
        <v>8029542</v>
      </c>
      <c r="C40" s="131">
        <f t="shared" si="17"/>
        <v>7830836</v>
      </c>
      <c r="D40" s="131">
        <f t="shared" si="17"/>
        <v>8132776</v>
      </c>
      <c r="E40" s="131">
        <f t="shared" si="17"/>
        <v>7757728</v>
      </c>
      <c r="F40" s="131">
        <f t="shared" si="17"/>
        <v>7666389</v>
      </c>
      <c r="G40" s="131">
        <f t="shared" si="17"/>
        <v>7513482</v>
      </c>
      <c r="H40" s="161">
        <f t="shared" si="16"/>
        <v>46930753</v>
      </c>
      <c r="I40" s="155">
        <f>I109-G109</f>
        <v>7228635</v>
      </c>
      <c r="J40" s="131">
        <f t="shared" si="18"/>
        <v>7217295</v>
      </c>
      <c r="K40" s="131">
        <f t="shared" si="18"/>
        <v>6907356</v>
      </c>
      <c r="L40" s="131">
        <f t="shared" si="18"/>
        <v>6292937</v>
      </c>
      <c r="M40" s="131">
        <f t="shared" si="18"/>
        <v>6703750</v>
      </c>
      <c r="N40" s="131">
        <f t="shared" si="18"/>
        <v>6639298</v>
      </c>
      <c r="O40" s="161">
        <f t="shared" si="4"/>
        <v>40989271</v>
      </c>
      <c r="P40" s="161">
        <f t="shared" si="5"/>
        <v>87920024</v>
      </c>
    </row>
    <row r="41" spans="1:18" ht="12" customHeight="1" x14ac:dyDescent="0.15">
      <c r="A41" s="21" t="s">
        <v>102</v>
      </c>
      <c r="B41" s="131">
        <f>B110</f>
        <v>1253859</v>
      </c>
      <c r="C41" s="131">
        <f t="shared" si="17"/>
        <v>1116529</v>
      </c>
      <c r="D41" s="131">
        <f t="shared" si="17"/>
        <v>1273318</v>
      </c>
      <c r="E41" s="131">
        <f t="shared" si="17"/>
        <v>1259960</v>
      </c>
      <c r="F41" s="131">
        <f t="shared" si="17"/>
        <v>1384074</v>
      </c>
      <c r="G41" s="131">
        <f t="shared" si="17"/>
        <v>1373789</v>
      </c>
      <c r="H41" s="161">
        <f t="shared" si="16"/>
        <v>7661529</v>
      </c>
      <c r="I41" s="155">
        <f>I110-G110</f>
        <v>1347777</v>
      </c>
      <c r="J41" s="131">
        <f t="shared" si="18"/>
        <v>1450900</v>
      </c>
      <c r="K41" s="131">
        <f t="shared" si="18"/>
        <v>1431467</v>
      </c>
      <c r="L41" s="131">
        <f t="shared" si="18"/>
        <v>1193206</v>
      </c>
      <c r="M41" s="131">
        <f t="shared" si="18"/>
        <v>1561164</v>
      </c>
      <c r="N41" s="131">
        <f t="shared" si="18"/>
        <v>1387002</v>
      </c>
      <c r="O41" s="161">
        <f t="shared" si="4"/>
        <v>8371516</v>
      </c>
      <c r="P41" s="161">
        <f t="shared" si="5"/>
        <v>16033045</v>
      </c>
    </row>
    <row r="42" spans="1:18" ht="12" customHeight="1" x14ac:dyDescent="0.15">
      <c r="A42" s="21" t="s">
        <v>19</v>
      </c>
      <c r="B42" s="131">
        <f>B111</f>
        <v>1149174</v>
      </c>
      <c r="C42" s="131">
        <f t="shared" si="17"/>
        <v>1184974</v>
      </c>
      <c r="D42" s="131">
        <f t="shared" si="17"/>
        <v>1145879</v>
      </c>
      <c r="E42" s="131">
        <f t="shared" si="17"/>
        <v>1242679</v>
      </c>
      <c r="F42" s="131">
        <f t="shared" si="17"/>
        <v>1107002</v>
      </c>
      <c r="G42" s="131">
        <f t="shared" si="17"/>
        <v>1803395</v>
      </c>
      <c r="H42" s="161">
        <f t="shared" si="16"/>
        <v>7633103</v>
      </c>
      <c r="I42" s="155">
        <f>I111-G111</f>
        <v>1271399</v>
      </c>
      <c r="J42" s="131">
        <f t="shared" si="18"/>
        <v>1046830</v>
      </c>
      <c r="K42" s="131">
        <f t="shared" si="18"/>
        <v>994102</v>
      </c>
      <c r="L42" s="131">
        <f t="shared" si="18"/>
        <v>2073563</v>
      </c>
      <c r="M42" s="131">
        <f t="shared" si="18"/>
        <v>994121</v>
      </c>
      <c r="N42" s="131">
        <f t="shared" si="18"/>
        <v>1011183</v>
      </c>
      <c r="O42" s="161">
        <f t="shared" si="4"/>
        <v>7391198</v>
      </c>
      <c r="P42" s="161">
        <f t="shared" si="5"/>
        <v>15024301</v>
      </c>
    </row>
    <row r="43" spans="1:18" ht="12" customHeight="1" x14ac:dyDescent="0.15">
      <c r="A43" s="21" t="s">
        <v>117</v>
      </c>
      <c r="B43" s="131">
        <f>B112</f>
        <v>0</v>
      </c>
      <c r="C43" s="131">
        <f t="shared" si="17"/>
        <v>0</v>
      </c>
      <c r="D43" s="131">
        <f t="shared" si="17"/>
        <v>0</v>
      </c>
      <c r="E43" s="131">
        <f t="shared" si="17"/>
        <v>5841000</v>
      </c>
      <c r="F43" s="131">
        <f t="shared" si="17"/>
        <v>0</v>
      </c>
      <c r="G43" s="131">
        <f t="shared" si="17"/>
        <v>0</v>
      </c>
      <c r="H43" s="161">
        <f t="shared" si="16"/>
        <v>5841000</v>
      </c>
      <c r="I43" s="155">
        <f>I112-G112</f>
        <v>0</v>
      </c>
      <c r="J43" s="131">
        <f t="shared" si="18"/>
        <v>6184000</v>
      </c>
      <c r="K43" s="131">
        <f t="shared" si="18"/>
        <v>0</v>
      </c>
      <c r="L43" s="131">
        <f t="shared" si="18"/>
        <v>0</v>
      </c>
      <c r="M43" s="131">
        <f t="shared" si="18"/>
        <v>0</v>
      </c>
      <c r="N43" s="131">
        <f t="shared" si="18"/>
        <v>0</v>
      </c>
      <c r="O43" s="161">
        <f t="shared" si="4"/>
        <v>6184000</v>
      </c>
      <c r="P43" s="161">
        <f t="shared" si="5"/>
        <v>12025000</v>
      </c>
    </row>
    <row r="44" spans="1:18" ht="12" customHeight="1" x14ac:dyDescent="0.15">
      <c r="A44" s="24" t="s">
        <v>20</v>
      </c>
      <c r="B44" s="132">
        <f t="shared" ref="B44:G44" si="19">SUM(B45:B69)</f>
        <v>3209875</v>
      </c>
      <c r="C44" s="132">
        <f t="shared" si="19"/>
        <v>3520570</v>
      </c>
      <c r="D44" s="132">
        <f t="shared" si="19"/>
        <v>2732404</v>
      </c>
      <c r="E44" s="132">
        <f t="shared" si="19"/>
        <v>3862100</v>
      </c>
      <c r="F44" s="132">
        <f t="shared" si="19"/>
        <v>2790858</v>
      </c>
      <c r="G44" s="132">
        <f t="shared" si="19"/>
        <v>3791837</v>
      </c>
      <c r="H44" s="162">
        <f t="shared" si="16"/>
        <v>19907644</v>
      </c>
      <c r="I44" s="156">
        <f t="shared" ref="I44:N44" si="20">SUM(I45:I69)</f>
        <v>3486238</v>
      </c>
      <c r="J44" s="132">
        <f t="shared" si="20"/>
        <v>2937363</v>
      </c>
      <c r="K44" s="132">
        <f t="shared" si="20"/>
        <v>2908203</v>
      </c>
      <c r="L44" s="132">
        <f t="shared" si="20"/>
        <v>3719303</v>
      </c>
      <c r="M44" s="132">
        <f t="shared" si="20"/>
        <v>3029569</v>
      </c>
      <c r="N44" s="150">
        <f t="shared" si="20"/>
        <v>6405879</v>
      </c>
      <c r="O44" s="162">
        <f t="shared" si="4"/>
        <v>22486555</v>
      </c>
      <c r="P44" s="162">
        <f t="shared" si="5"/>
        <v>42394199</v>
      </c>
    </row>
    <row r="45" spans="1:18" ht="12" customHeight="1" x14ac:dyDescent="0.15">
      <c r="A45" s="21" t="s">
        <v>21</v>
      </c>
      <c r="B45" s="131">
        <f>B114</f>
        <v>316573</v>
      </c>
      <c r="C45" s="131">
        <f>C114-B114</f>
        <v>259500</v>
      </c>
      <c r="D45" s="131">
        <f>D114-C114</f>
        <v>272330</v>
      </c>
      <c r="E45" s="131">
        <f>E114-D114</f>
        <v>237500</v>
      </c>
      <c r="F45" s="131">
        <f>F114-E114</f>
        <v>297000</v>
      </c>
      <c r="G45" s="131">
        <f>G114-F114</f>
        <v>226000</v>
      </c>
      <c r="H45" s="161">
        <f t="shared" si="16"/>
        <v>1608903</v>
      </c>
      <c r="I45" s="155">
        <f>I114-G114</f>
        <v>257500</v>
      </c>
      <c r="J45" s="131">
        <f>J114-I114</f>
        <v>261941</v>
      </c>
      <c r="K45" s="131">
        <f>K114-J114</f>
        <v>233000</v>
      </c>
      <c r="L45" s="131">
        <f>L114-K114</f>
        <v>273000</v>
      </c>
      <c r="M45" s="131">
        <f>M114-L114</f>
        <v>376737</v>
      </c>
      <c r="N45" s="131">
        <f>N114-M114</f>
        <v>439524</v>
      </c>
      <c r="O45" s="161">
        <f t="shared" si="4"/>
        <v>1841702</v>
      </c>
      <c r="P45" s="161">
        <f t="shared" si="5"/>
        <v>3450605</v>
      </c>
    </row>
    <row r="46" spans="1:18" ht="12" customHeight="1" x14ac:dyDescent="0.15">
      <c r="A46" s="21" t="s">
        <v>22</v>
      </c>
      <c r="B46" s="131">
        <f t="shared" ref="B46:B69" si="21">B115</f>
        <v>0</v>
      </c>
      <c r="C46" s="131">
        <f t="shared" ref="C46:G69" si="22">C115-B115</f>
        <v>0</v>
      </c>
      <c r="D46" s="131">
        <f t="shared" si="22"/>
        <v>0</v>
      </c>
      <c r="E46" s="131">
        <f t="shared" si="22"/>
        <v>0</v>
      </c>
      <c r="F46" s="131">
        <f t="shared" si="22"/>
        <v>0</v>
      </c>
      <c r="G46" s="131">
        <f t="shared" si="22"/>
        <v>0</v>
      </c>
      <c r="H46" s="161">
        <f t="shared" si="16"/>
        <v>0</v>
      </c>
      <c r="I46" s="155">
        <f>I115-G115</f>
        <v>0</v>
      </c>
      <c r="J46" s="131">
        <f t="shared" ref="J46:N69" si="23">J115-I115</f>
        <v>0</v>
      </c>
      <c r="K46" s="131">
        <f t="shared" si="23"/>
        <v>0</v>
      </c>
      <c r="L46" s="131">
        <f t="shared" si="23"/>
        <v>0</v>
      </c>
      <c r="M46" s="131">
        <f t="shared" si="23"/>
        <v>0</v>
      </c>
      <c r="N46" s="131">
        <f t="shared" si="23"/>
        <v>0</v>
      </c>
      <c r="O46" s="161">
        <f t="shared" si="4"/>
        <v>0</v>
      </c>
      <c r="P46" s="161">
        <f t="shared" si="5"/>
        <v>0</v>
      </c>
      <c r="R46" s="128" t="s">
        <v>304</v>
      </c>
    </row>
    <row r="47" spans="1:18" ht="12" customHeight="1" x14ac:dyDescent="0.15">
      <c r="A47" s="21" t="s">
        <v>103</v>
      </c>
      <c r="B47" s="131">
        <f t="shared" si="21"/>
        <v>189554</v>
      </c>
      <c r="C47" s="131">
        <f t="shared" si="22"/>
        <v>99652</v>
      </c>
      <c r="D47" s="131">
        <f t="shared" si="22"/>
        <v>17669</v>
      </c>
      <c r="E47" s="131">
        <f t="shared" si="22"/>
        <v>261193</v>
      </c>
      <c r="F47" s="131">
        <f t="shared" si="22"/>
        <v>7441</v>
      </c>
      <c r="G47" s="131">
        <f t="shared" si="22"/>
        <v>152095</v>
      </c>
      <c r="H47" s="161">
        <f t="shared" si="16"/>
        <v>727604</v>
      </c>
      <c r="I47" s="155">
        <f t="shared" ref="I47:I69" si="24">I116-G116</f>
        <v>88659</v>
      </c>
      <c r="J47" s="131">
        <f t="shared" si="23"/>
        <v>16449</v>
      </c>
      <c r="K47" s="131">
        <f t="shared" si="23"/>
        <v>71299</v>
      </c>
      <c r="L47" s="131">
        <f t="shared" si="23"/>
        <v>169171</v>
      </c>
      <c r="M47" s="131">
        <f t="shared" si="23"/>
        <v>71299</v>
      </c>
      <c r="N47" s="131">
        <f t="shared" si="23"/>
        <v>95126</v>
      </c>
      <c r="O47" s="161">
        <f t="shared" si="4"/>
        <v>512003</v>
      </c>
      <c r="P47" s="161">
        <f t="shared" si="5"/>
        <v>1239607</v>
      </c>
    </row>
    <row r="48" spans="1:18" ht="12" customHeight="1" x14ac:dyDescent="0.15">
      <c r="A48" s="21" t="s">
        <v>24</v>
      </c>
      <c r="B48" s="131">
        <f t="shared" si="21"/>
        <v>17670</v>
      </c>
      <c r="C48" s="131">
        <f t="shared" si="22"/>
        <v>13642</v>
      </c>
      <c r="D48" s="131">
        <f t="shared" si="22"/>
        <v>4380</v>
      </c>
      <c r="E48" s="131">
        <f t="shared" si="22"/>
        <v>21711</v>
      </c>
      <c r="F48" s="131">
        <f t="shared" si="22"/>
        <v>24078</v>
      </c>
      <c r="G48" s="131">
        <f t="shared" si="22"/>
        <v>8519</v>
      </c>
      <c r="H48" s="161">
        <f t="shared" si="16"/>
        <v>90000</v>
      </c>
      <c r="I48" s="155">
        <f>I117-G117</f>
        <v>77924</v>
      </c>
      <c r="J48" s="131">
        <f t="shared" si="23"/>
        <v>11465</v>
      </c>
      <c r="K48" s="131">
        <f t="shared" si="23"/>
        <v>13948</v>
      </c>
      <c r="L48" s="131">
        <f t="shared" si="23"/>
        <v>4158</v>
      </c>
      <c r="M48" s="131">
        <f t="shared" si="23"/>
        <v>17743</v>
      </c>
      <c r="N48" s="131">
        <f t="shared" si="23"/>
        <v>11239</v>
      </c>
      <c r="O48" s="161">
        <f t="shared" si="4"/>
        <v>136477</v>
      </c>
      <c r="P48" s="161">
        <f t="shared" si="5"/>
        <v>226477</v>
      </c>
    </row>
    <row r="49" spans="1:16" ht="12" customHeight="1" x14ac:dyDescent="0.15">
      <c r="A49" s="48" t="s">
        <v>404</v>
      </c>
      <c r="B49" s="131">
        <f t="shared" si="21"/>
        <v>0</v>
      </c>
      <c r="C49" s="131">
        <f t="shared" si="22"/>
        <v>0</v>
      </c>
      <c r="D49" s="131">
        <f t="shared" si="22"/>
        <v>74800</v>
      </c>
      <c r="E49" s="131">
        <f t="shared" si="22"/>
        <v>19699</v>
      </c>
      <c r="F49" s="131">
        <f t="shared" si="22"/>
        <v>0</v>
      </c>
      <c r="G49" s="131">
        <f t="shared" si="22"/>
        <v>28600</v>
      </c>
      <c r="H49" s="161">
        <f t="shared" si="16"/>
        <v>123099</v>
      </c>
      <c r="I49" s="155">
        <f t="shared" si="24"/>
        <v>0</v>
      </c>
      <c r="J49" s="131">
        <f t="shared" si="23"/>
        <v>54450</v>
      </c>
      <c r="K49" s="131">
        <f t="shared" si="23"/>
        <v>0</v>
      </c>
      <c r="L49" s="131">
        <f t="shared" si="23"/>
        <v>0</v>
      </c>
      <c r="M49" s="131">
        <f t="shared" si="23"/>
        <v>0</v>
      </c>
      <c r="N49" s="131">
        <f t="shared" si="23"/>
        <v>0</v>
      </c>
      <c r="O49" s="161">
        <f t="shared" si="4"/>
        <v>54450</v>
      </c>
      <c r="P49" s="161">
        <f t="shared" si="5"/>
        <v>177549</v>
      </c>
    </row>
    <row r="50" spans="1:16" ht="12" customHeight="1" x14ac:dyDescent="0.15">
      <c r="A50" s="21" t="s">
        <v>105</v>
      </c>
      <c r="B50" s="131">
        <f t="shared" si="21"/>
        <v>0</v>
      </c>
      <c r="C50" s="131">
        <f t="shared" si="22"/>
        <v>0</v>
      </c>
      <c r="D50" s="131">
        <f t="shared" si="22"/>
        <v>120678</v>
      </c>
      <c r="E50" s="131">
        <f t="shared" si="22"/>
        <v>0</v>
      </c>
      <c r="F50" s="131">
        <f t="shared" si="22"/>
        <v>0</v>
      </c>
      <c r="G50" s="131">
        <f t="shared" si="22"/>
        <v>0</v>
      </c>
      <c r="H50" s="161">
        <f t="shared" si="16"/>
        <v>120678</v>
      </c>
      <c r="I50" s="155">
        <f t="shared" si="24"/>
        <v>0</v>
      </c>
      <c r="J50" s="131">
        <f t="shared" si="23"/>
        <v>0</v>
      </c>
      <c r="K50" s="131">
        <f t="shared" si="23"/>
        <v>0</v>
      </c>
      <c r="L50" s="131">
        <f t="shared" si="23"/>
        <v>0</v>
      </c>
      <c r="M50" s="131">
        <f t="shared" si="23"/>
        <v>0</v>
      </c>
      <c r="N50" s="131">
        <f t="shared" si="23"/>
        <v>0</v>
      </c>
      <c r="O50" s="161">
        <f t="shared" si="4"/>
        <v>0</v>
      </c>
      <c r="P50" s="161">
        <f t="shared" si="5"/>
        <v>120678</v>
      </c>
    </row>
    <row r="51" spans="1:16" ht="12" customHeight="1" x14ac:dyDescent="0.15">
      <c r="A51" s="21" t="s">
        <v>106</v>
      </c>
      <c r="B51" s="131">
        <f t="shared" si="21"/>
        <v>72196</v>
      </c>
      <c r="C51" s="131">
        <f t="shared" si="22"/>
        <v>118309</v>
      </c>
      <c r="D51" s="131">
        <f t="shared" si="22"/>
        <v>97097</v>
      </c>
      <c r="E51" s="131">
        <f t="shared" si="22"/>
        <v>105668</v>
      </c>
      <c r="F51" s="131">
        <f t="shared" si="22"/>
        <v>94502</v>
      </c>
      <c r="G51" s="131">
        <f t="shared" si="22"/>
        <v>108426</v>
      </c>
      <c r="H51" s="161">
        <f t="shared" si="16"/>
        <v>596198</v>
      </c>
      <c r="I51" s="155">
        <f t="shared" si="24"/>
        <v>54096</v>
      </c>
      <c r="J51" s="131">
        <f t="shared" si="23"/>
        <v>73873</v>
      </c>
      <c r="K51" s="131">
        <f t="shared" si="23"/>
        <v>73026</v>
      </c>
      <c r="L51" s="131">
        <f t="shared" si="23"/>
        <v>83786</v>
      </c>
      <c r="M51" s="131">
        <f t="shared" si="23"/>
        <v>100922</v>
      </c>
      <c r="N51" s="131">
        <f t="shared" si="23"/>
        <v>69571</v>
      </c>
      <c r="O51" s="161">
        <f t="shared" si="4"/>
        <v>455274</v>
      </c>
      <c r="P51" s="161">
        <f t="shared" si="5"/>
        <v>1051472</v>
      </c>
    </row>
    <row r="52" spans="1:16" ht="12" customHeight="1" x14ac:dyDescent="0.15">
      <c r="A52" s="21" t="s">
        <v>28</v>
      </c>
      <c r="B52" s="131">
        <f t="shared" si="21"/>
        <v>30730</v>
      </c>
      <c r="C52" s="131">
        <f t="shared" si="22"/>
        <v>24480</v>
      </c>
      <c r="D52" s="131">
        <f t="shared" si="22"/>
        <v>9500</v>
      </c>
      <c r="E52" s="131">
        <f t="shared" si="22"/>
        <v>36120</v>
      </c>
      <c r="F52" s="131">
        <f t="shared" si="22"/>
        <v>21600</v>
      </c>
      <c r="G52" s="131">
        <f t="shared" si="22"/>
        <v>9500</v>
      </c>
      <c r="H52" s="161">
        <f t="shared" si="16"/>
        <v>131930</v>
      </c>
      <c r="I52" s="155">
        <f t="shared" si="24"/>
        <v>9500</v>
      </c>
      <c r="J52" s="131">
        <f t="shared" si="23"/>
        <v>36120</v>
      </c>
      <c r="K52" s="131">
        <f t="shared" si="23"/>
        <v>39460</v>
      </c>
      <c r="L52" s="131">
        <f t="shared" si="23"/>
        <v>8850</v>
      </c>
      <c r="M52" s="131">
        <f t="shared" si="23"/>
        <v>9500</v>
      </c>
      <c r="N52" s="131">
        <f t="shared" si="23"/>
        <v>9500</v>
      </c>
      <c r="O52" s="161">
        <f t="shared" si="4"/>
        <v>112930</v>
      </c>
      <c r="P52" s="161">
        <f t="shared" si="5"/>
        <v>244860</v>
      </c>
    </row>
    <row r="53" spans="1:16" ht="12" customHeight="1" x14ac:dyDescent="0.15">
      <c r="A53" s="21" t="s">
        <v>107</v>
      </c>
      <c r="B53" s="131">
        <f t="shared" si="21"/>
        <v>0</v>
      </c>
      <c r="C53" s="131">
        <f t="shared" si="22"/>
        <v>10000</v>
      </c>
      <c r="D53" s="131">
        <f t="shared" si="22"/>
        <v>3600</v>
      </c>
      <c r="E53" s="131">
        <f t="shared" si="22"/>
        <v>0</v>
      </c>
      <c r="F53" s="131">
        <f t="shared" si="22"/>
        <v>7500</v>
      </c>
      <c r="G53" s="131">
        <f t="shared" si="22"/>
        <v>400</v>
      </c>
      <c r="H53" s="161">
        <f t="shared" si="16"/>
        <v>21500</v>
      </c>
      <c r="I53" s="155">
        <f t="shared" si="24"/>
        <v>158</v>
      </c>
      <c r="J53" s="131">
        <f t="shared" si="23"/>
        <v>2200</v>
      </c>
      <c r="K53" s="131">
        <f t="shared" si="23"/>
        <v>0</v>
      </c>
      <c r="L53" s="131">
        <f t="shared" si="23"/>
        <v>800</v>
      </c>
      <c r="M53" s="131">
        <f t="shared" si="23"/>
        <v>0</v>
      </c>
      <c r="N53" s="131">
        <f t="shared" si="23"/>
        <v>0</v>
      </c>
      <c r="O53" s="161">
        <f t="shared" si="4"/>
        <v>3158</v>
      </c>
      <c r="P53" s="161">
        <f t="shared" si="5"/>
        <v>24658</v>
      </c>
    </row>
    <row r="54" spans="1:16" ht="12" customHeight="1" x14ac:dyDescent="0.15">
      <c r="A54" s="21" t="s">
        <v>27</v>
      </c>
      <c r="B54" s="131">
        <f t="shared" si="21"/>
        <v>0</v>
      </c>
      <c r="C54" s="131">
        <f t="shared" si="22"/>
        <v>0</v>
      </c>
      <c r="D54" s="131">
        <f t="shared" si="22"/>
        <v>17600</v>
      </c>
      <c r="E54" s="131">
        <f t="shared" si="22"/>
        <v>0</v>
      </c>
      <c r="F54" s="131">
        <f t="shared" si="22"/>
        <v>0</v>
      </c>
      <c r="G54" s="131">
        <f t="shared" si="22"/>
        <v>0</v>
      </c>
      <c r="H54" s="161">
        <f t="shared" si="16"/>
        <v>17600</v>
      </c>
      <c r="I54" s="155">
        <f t="shared" si="24"/>
        <v>0</v>
      </c>
      <c r="J54" s="131">
        <f t="shared" si="23"/>
        <v>4400</v>
      </c>
      <c r="K54" s="131">
        <f t="shared" si="23"/>
        <v>0</v>
      </c>
      <c r="L54" s="131">
        <f t="shared" si="23"/>
        <v>0</v>
      </c>
      <c r="M54" s="131">
        <f t="shared" si="23"/>
        <v>0</v>
      </c>
      <c r="N54" s="131">
        <f t="shared" si="23"/>
        <v>0</v>
      </c>
      <c r="O54" s="161">
        <f t="shared" si="4"/>
        <v>4400</v>
      </c>
      <c r="P54" s="161">
        <f t="shared" si="5"/>
        <v>22000</v>
      </c>
    </row>
    <row r="55" spans="1:16" ht="12" customHeight="1" x14ac:dyDescent="0.15">
      <c r="A55" s="21" t="s">
        <v>32</v>
      </c>
      <c r="B55" s="131">
        <f t="shared" si="21"/>
        <v>636671</v>
      </c>
      <c r="C55" s="131">
        <f t="shared" si="22"/>
        <v>471526</v>
      </c>
      <c r="D55" s="131">
        <f t="shared" si="22"/>
        <v>367683</v>
      </c>
      <c r="E55" s="131">
        <f t="shared" si="22"/>
        <v>521879</v>
      </c>
      <c r="F55" s="131">
        <f t="shared" si="22"/>
        <v>407908</v>
      </c>
      <c r="G55" s="131">
        <f t="shared" si="22"/>
        <v>718640</v>
      </c>
      <c r="H55" s="161">
        <f t="shared" si="16"/>
        <v>3124307</v>
      </c>
      <c r="I55" s="155">
        <f t="shared" si="24"/>
        <v>547328</v>
      </c>
      <c r="J55" s="131">
        <f t="shared" si="23"/>
        <v>396068</v>
      </c>
      <c r="K55" s="131">
        <f t="shared" si="23"/>
        <v>500776</v>
      </c>
      <c r="L55" s="131">
        <f t="shared" si="23"/>
        <v>558991</v>
      </c>
      <c r="M55" s="131">
        <f t="shared" si="23"/>
        <v>629965</v>
      </c>
      <c r="N55" s="131">
        <f t="shared" si="23"/>
        <v>691779</v>
      </c>
      <c r="O55" s="161">
        <f t="shared" si="4"/>
        <v>3324907</v>
      </c>
      <c r="P55" s="161">
        <f t="shared" si="5"/>
        <v>6449214</v>
      </c>
    </row>
    <row r="56" spans="1:16" ht="12" customHeight="1" x14ac:dyDescent="0.15">
      <c r="A56" s="21" t="s">
        <v>405</v>
      </c>
      <c r="B56" s="131">
        <f t="shared" si="21"/>
        <v>12000</v>
      </c>
      <c r="C56" s="131">
        <f t="shared" si="22"/>
        <v>30500</v>
      </c>
      <c r="D56" s="131">
        <f t="shared" si="22"/>
        <v>2000</v>
      </c>
      <c r="E56" s="131">
        <f t="shared" si="22"/>
        <v>4000</v>
      </c>
      <c r="F56" s="131">
        <f t="shared" si="22"/>
        <v>6000</v>
      </c>
      <c r="G56" s="131">
        <f t="shared" si="22"/>
        <v>13880</v>
      </c>
      <c r="H56" s="161">
        <f t="shared" si="16"/>
        <v>68380</v>
      </c>
      <c r="I56" s="155">
        <f t="shared" si="24"/>
        <v>6437</v>
      </c>
      <c r="J56" s="131">
        <f t="shared" si="23"/>
        <v>4480</v>
      </c>
      <c r="K56" s="131">
        <f t="shared" si="23"/>
        <v>3000</v>
      </c>
      <c r="L56" s="131">
        <f t="shared" si="23"/>
        <v>28240</v>
      </c>
      <c r="M56" s="131">
        <f t="shared" si="23"/>
        <v>0</v>
      </c>
      <c r="N56" s="131">
        <f t="shared" si="23"/>
        <v>11000</v>
      </c>
      <c r="O56" s="161">
        <f t="shared" si="4"/>
        <v>53157</v>
      </c>
      <c r="P56" s="161">
        <f t="shared" si="5"/>
        <v>121537</v>
      </c>
    </row>
    <row r="57" spans="1:16" ht="12" customHeight="1" x14ac:dyDescent="0.15">
      <c r="A57" s="21" t="s">
        <v>34</v>
      </c>
      <c r="B57" s="131">
        <f t="shared" si="21"/>
        <v>3000</v>
      </c>
      <c r="C57" s="131">
        <f t="shared" si="22"/>
        <v>0</v>
      </c>
      <c r="D57" s="131">
        <f t="shared" si="22"/>
        <v>0</v>
      </c>
      <c r="E57" s="131">
        <f t="shared" si="22"/>
        <v>11800</v>
      </c>
      <c r="F57" s="131">
        <f t="shared" si="22"/>
        <v>29500</v>
      </c>
      <c r="G57" s="131">
        <f t="shared" si="22"/>
        <v>0</v>
      </c>
      <c r="H57" s="161">
        <f t="shared" si="16"/>
        <v>44300</v>
      </c>
      <c r="I57" s="155">
        <f t="shared" si="24"/>
        <v>0</v>
      </c>
      <c r="J57" s="131">
        <f t="shared" si="23"/>
        <v>3000</v>
      </c>
      <c r="K57" s="131">
        <f t="shared" si="23"/>
        <v>0</v>
      </c>
      <c r="L57" s="131">
        <f t="shared" si="23"/>
        <v>0</v>
      </c>
      <c r="M57" s="131">
        <f t="shared" si="23"/>
        <v>0</v>
      </c>
      <c r="N57" s="131">
        <f t="shared" si="23"/>
        <v>17000</v>
      </c>
      <c r="O57" s="161">
        <f t="shared" si="4"/>
        <v>20000</v>
      </c>
      <c r="P57" s="161">
        <f t="shared" si="5"/>
        <v>64300</v>
      </c>
    </row>
    <row r="58" spans="1:16" ht="12" customHeight="1" x14ac:dyDescent="0.15">
      <c r="A58" s="21" t="s">
        <v>109</v>
      </c>
      <c r="B58" s="131">
        <f t="shared" si="21"/>
        <v>467646</v>
      </c>
      <c r="C58" s="131">
        <f t="shared" si="22"/>
        <v>419689</v>
      </c>
      <c r="D58" s="131">
        <f t="shared" si="22"/>
        <v>460456</v>
      </c>
      <c r="E58" s="131">
        <f t="shared" si="22"/>
        <v>501572</v>
      </c>
      <c r="F58" s="131">
        <f t="shared" si="22"/>
        <v>509171</v>
      </c>
      <c r="G58" s="131">
        <f t="shared" si="22"/>
        <v>690207</v>
      </c>
      <c r="H58" s="161">
        <f t="shared" si="16"/>
        <v>3048741</v>
      </c>
      <c r="I58" s="155">
        <f t="shared" si="24"/>
        <v>509444</v>
      </c>
      <c r="J58" s="131">
        <f t="shared" si="23"/>
        <v>513950</v>
      </c>
      <c r="K58" s="131">
        <f t="shared" si="23"/>
        <v>482795</v>
      </c>
      <c r="L58" s="131">
        <f t="shared" si="23"/>
        <v>370925</v>
      </c>
      <c r="M58" s="131">
        <f t="shared" si="23"/>
        <v>492764</v>
      </c>
      <c r="N58" s="131">
        <f t="shared" si="23"/>
        <v>358287</v>
      </c>
      <c r="O58" s="161">
        <f t="shared" si="4"/>
        <v>2728165</v>
      </c>
      <c r="P58" s="161">
        <f t="shared" si="5"/>
        <v>5776906</v>
      </c>
    </row>
    <row r="59" spans="1:16" ht="12" customHeight="1" x14ac:dyDescent="0.15">
      <c r="A59" s="21" t="s">
        <v>35</v>
      </c>
      <c r="B59" s="131">
        <f t="shared" si="21"/>
        <v>13513</v>
      </c>
      <c r="C59" s="131">
        <f t="shared" si="22"/>
        <v>8221</v>
      </c>
      <c r="D59" s="131">
        <f t="shared" si="22"/>
        <v>8692</v>
      </c>
      <c r="E59" s="131">
        <f t="shared" si="22"/>
        <v>2901</v>
      </c>
      <c r="F59" s="131">
        <f t="shared" si="22"/>
        <v>20195</v>
      </c>
      <c r="G59" s="131">
        <f t="shared" si="22"/>
        <v>21890</v>
      </c>
      <c r="H59" s="161">
        <f t="shared" si="16"/>
        <v>75412</v>
      </c>
      <c r="I59" s="155">
        <f t="shared" si="24"/>
        <v>11175</v>
      </c>
      <c r="J59" s="131">
        <f t="shared" si="23"/>
        <v>15446</v>
      </c>
      <c r="K59" s="131">
        <f t="shared" si="23"/>
        <v>1243</v>
      </c>
      <c r="L59" s="131">
        <f t="shared" si="23"/>
        <v>2420</v>
      </c>
      <c r="M59" s="131">
        <f t="shared" si="23"/>
        <v>7920</v>
      </c>
      <c r="N59" s="131">
        <f t="shared" si="23"/>
        <v>6919</v>
      </c>
      <c r="O59" s="161">
        <f t="shared" si="4"/>
        <v>45123</v>
      </c>
      <c r="P59" s="161">
        <f t="shared" si="5"/>
        <v>120535</v>
      </c>
    </row>
    <row r="60" spans="1:16" ht="12" customHeight="1" x14ac:dyDescent="0.15">
      <c r="A60" s="21" t="s">
        <v>110</v>
      </c>
      <c r="B60" s="131">
        <f t="shared" si="21"/>
        <v>69706</v>
      </c>
      <c r="C60" s="131">
        <f t="shared" si="22"/>
        <v>135570</v>
      </c>
      <c r="D60" s="131">
        <f t="shared" si="22"/>
        <v>0</v>
      </c>
      <c r="E60" s="131">
        <f t="shared" si="22"/>
        <v>0</v>
      </c>
      <c r="F60" s="131">
        <f t="shared" si="22"/>
        <v>0</v>
      </c>
      <c r="G60" s="131">
        <f t="shared" si="22"/>
        <v>28530</v>
      </c>
      <c r="H60" s="161">
        <f t="shared" si="16"/>
        <v>233806</v>
      </c>
      <c r="I60" s="155">
        <f t="shared" si="24"/>
        <v>47440</v>
      </c>
      <c r="J60" s="131">
        <f t="shared" si="23"/>
        <v>0</v>
      </c>
      <c r="K60" s="131">
        <f t="shared" si="23"/>
        <v>0</v>
      </c>
      <c r="L60" s="131">
        <f t="shared" si="23"/>
        <v>414560</v>
      </c>
      <c r="M60" s="131">
        <f t="shared" si="23"/>
        <v>-440</v>
      </c>
      <c r="N60" s="131">
        <f t="shared" si="23"/>
        <v>0</v>
      </c>
      <c r="O60" s="161">
        <f t="shared" si="4"/>
        <v>461560</v>
      </c>
      <c r="P60" s="161">
        <f t="shared" si="5"/>
        <v>695366</v>
      </c>
    </row>
    <row r="61" spans="1:16" ht="12" customHeight="1" x14ac:dyDescent="0.15">
      <c r="A61" s="21" t="s">
        <v>111</v>
      </c>
      <c r="B61" s="131">
        <f t="shared" si="21"/>
        <v>272402</v>
      </c>
      <c r="C61" s="131">
        <f t="shared" si="22"/>
        <v>475124</v>
      </c>
      <c r="D61" s="131">
        <f t="shared" si="22"/>
        <v>329037</v>
      </c>
      <c r="E61" s="131">
        <f t="shared" si="22"/>
        <v>612950</v>
      </c>
      <c r="F61" s="131">
        <f t="shared" si="22"/>
        <v>376566</v>
      </c>
      <c r="G61" s="131">
        <f t="shared" si="22"/>
        <v>318690</v>
      </c>
      <c r="H61" s="161">
        <f t="shared" si="16"/>
        <v>2384769</v>
      </c>
      <c r="I61" s="155">
        <f t="shared" si="24"/>
        <v>505938</v>
      </c>
      <c r="J61" s="131">
        <f t="shared" si="23"/>
        <v>654981</v>
      </c>
      <c r="K61" s="131">
        <f t="shared" si="23"/>
        <v>331430</v>
      </c>
      <c r="L61" s="131">
        <f t="shared" si="23"/>
        <v>838372</v>
      </c>
      <c r="M61" s="131">
        <f t="shared" si="23"/>
        <v>260761</v>
      </c>
      <c r="N61" s="131">
        <f t="shared" si="23"/>
        <v>590158</v>
      </c>
      <c r="O61" s="161">
        <f t="shared" si="4"/>
        <v>3181640</v>
      </c>
      <c r="P61" s="161">
        <f t="shared" si="5"/>
        <v>5566409</v>
      </c>
    </row>
    <row r="62" spans="1:16" ht="12" customHeight="1" x14ac:dyDescent="0.15">
      <c r="A62" s="21" t="s">
        <v>112</v>
      </c>
      <c r="B62" s="131">
        <f t="shared" si="21"/>
        <v>0</v>
      </c>
      <c r="C62" s="131">
        <f t="shared" si="22"/>
        <v>0</v>
      </c>
      <c r="D62" s="131">
        <f t="shared" si="22"/>
        <v>0</v>
      </c>
      <c r="E62" s="131">
        <f t="shared" si="22"/>
        <v>277200</v>
      </c>
      <c r="F62" s="131">
        <f t="shared" si="22"/>
        <v>0</v>
      </c>
      <c r="G62" s="131">
        <f t="shared" si="22"/>
        <v>0</v>
      </c>
      <c r="H62" s="161">
        <f t="shared" si="16"/>
        <v>277200</v>
      </c>
      <c r="I62" s="155">
        <f t="shared" si="24"/>
        <v>0</v>
      </c>
      <c r="J62" s="131">
        <f t="shared" si="23"/>
        <v>0</v>
      </c>
      <c r="K62" s="131">
        <f t="shared" si="23"/>
        <v>0</v>
      </c>
      <c r="L62" s="131">
        <f t="shared" si="23"/>
        <v>0</v>
      </c>
      <c r="M62" s="131">
        <f t="shared" si="23"/>
        <v>0</v>
      </c>
      <c r="N62" s="131">
        <f t="shared" si="23"/>
        <v>0</v>
      </c>
      <c r="O62" s="161">
        <f t="shared" si="4"/>
        <v>0</v>
      </c>
      <c r="P62" s="161">
        <f t="shared" si="5"/>
        <v>277200</v>
      </c>
    </row>
    <row r="63" spans="1:16" ht="12" customHeight="1" x14ac:dyDescent="0.15">
      <c r="A63" s="21" t="s">
        <v>113</v>
      </c>
      <c r="B63" s="131">
        <f t="shared" si="21"/>
        <v>342948</v>
      </c>
      <c r="C63" s="131">
        <f t="shared" si="22"/>
        <v>306440</v>
      </c>
      <c r="D63" s="131">
        <f t="shared" si="22"/>
        <v>327658</v>
      </c>
      <c r="E63" s="131">
        <f t="shared" si="22"/>
        <v>304338</v>
      </c>
      <c r="F63" s="131">
        <f t="shared" si="22"/>
        <v>324138</v>
      </c>
      <c r="G63" s="131">
        <f t="shared" si="22"/>
        <v>422698</v>
      </c>
      <c r="H63" s="161">
        <f t="shared" si="16"/>
        <v>2028220</v>
      </c>
      <c r="I63" s="155">
        <f t="shared" si="24"/>
        <v>377729</v>
      </c>
      <c r="J63" s="131">
        <f t="shared" si="23"/>
        <v>339538</v>
      </c>
      <c r="K63" s="131">
        <f t="shared" si="23"/>
        <v>310278</v>
      </c>
      <c r="L63" s="131">
        <f t="shared" si="23"/>
        <v>282308</v>
      </c>
      <c r="M63" s="131">
        <f t="shared" si="23"/>
        <v>352140</v>
      </c>
      <c r="N63" s="131">
        <f t="shared" si="23"/>
        <v>369344</v>
      </c>
      <c r="O63" s="161">
        <f t="shared" si="4"/>
        <v>2031337</v>
      </c>
      <c r="P63" s="161">
        <f t="shared" si="5"/>
        <v>4059557</v>
      </c>
    </row>
    <row r="64" spans="1:16" ht="12" customHeight="1" x14ac:dyDescent="0.15">
      <c r="A64" s="21" t="s">
        <v>121</v>
      </c>
      <c r="B64" s="131">
        <f t="shared" si="21"/>
        <v>295000</v>
      </c>
      <c r="C64" s="131">
        <f t="shared" si="22"/>
        <v>415000</v>
      </c>
      <c r="D64" s="131">
        <f t="shared" si="22"/>
        <v>295000</v>
      </c>
      <c r="E64" s="131">
        <f t="shared" si="22"/>
        <v>295000</v>
      </c>
      <c r="F64" s="131">
        <f t="shared" si="22"/>
        <v>295000</v>
      </c>
      <c r="G64" s="131">
        <f t="shared" si="22"/>
        <v>295000</v>
      </c>
      <c r="H64" s="161">
        <f t="shared" si="16"/>
        <v>1890000</v>
      </c>
      <c r="I64" s="155">
        <f t="shared" si="24"/>
        <v>345000</v>
      </c>
      <c r="J64" s="131">
        <f t="shared" si="23"/>
        <v>345000</v>
      </c>
      <c r="K64" s="131">
        <f t="shared" si="23"/>
        <v>345000</v>
      </c>
      <c r="L64" s="131">
        <f t="shared" si="23"/>
        <v>345000</v>
      </c>
      <c r="M64" s="131">
        <f t="shared" si="23"/>
        <v>345000</v>
      </c>
      <c r="N64" s="131">
        <f t="shared" si="23"/>
        <v>345000</v>
      </c>
      <c r="O64" s="161">
        <f t="shared" si="4"/>
        <v>2070000</v>
      </c>
      <c r="P64" s="161">
        <f t="shared" si="5"/>
        <v>3960000</v>
      </c>
    </row>
    <row r="65" spans="1:18" ht="12" customHeight="1" x14ac:dyDescent="0.15">
      <c r="A65" s="21" t="s">
        <v>122</v>
      </c>
      <c r="B65" s="131">
        <f t="shared" si="21"/>
        <v>0</v>
      </c>
      <c r="C65" s="131">
        <f t="shared" si="22"/>
        <v>369700</v>
      </c>
      <c r="D65" s="131">
        <f t="shared" si="22"/>
        <v>0</v>
      </c>
      <c r="E65" s="131">
        <f t="shared" si="22"/>
        <v>48600</v>
      </c>
      <c r="F65" s="131">
        <f t="shared" si="22"/>
        <v>184</v>
      </c>
      <c r="G65" s="131">
        <f t="shared" si="22"/>
        <v>4</v>
      </c>
      <c r="H65" s="161">
        <f t="shared" si="16"/>
        <v>418488</v>
      </c>
      <c r="I65" s="155">
        <f t="shared" si="24"/>
        <v>18</v>
      </c>
      <c r="J65" s="131">
        <f t="shared" si="23"/>
        <v>200</v>
      </c>
      <c r="K65" s="131">
        <f t="shared" si="23"/>
        <v>48600</v>
      </c>
      <c r="L65" s="131">
        <f t="shared" si="23"/>
        <v>0</v>
      </c>
      <c r="M65" s="131">
        <f t="shared" si="23"/>
        <v>48951</v>
      </c>
      <c r="N65" s="131">
        <f t="shared" si="23"/>
        <v>476</v>
      </c>
      <c r="O65" s="161">
        <f t="shared" si="4"/>
        <v>98245</v>
      </c>
      <c r="P65" s="161">
        <f t="shared" si="5"/>
        <v>516733</v>
      </c>
    </row>
    <row r="66" spans="1:18" ht="12" customHeight="1" x14ac:dyDescent="0.15">
      <c r="A66" s="21" t="s">
        <v>37</v>
      </c>
      <c r="B66" s="131">
        <f t="shared" si="21"/>
        <v>146735</v>
      </c>
      <c r="C66" s="131">
        <f t="shared" si="22"/>
        <v>58217</v>
      </c>
      <c r="D66" s="131">
        <f t="shared" si="22"/>
        <v>106733</v>
      </c>
      <c r="E66" s="131">
        <f t="shared" si="22"/>
        <v>264356</v>
      </c>
      <c r="F66" s="131">
        <f t="shared" si="22"/>
        <v>62160</v>
      </c>
      <c r="G66" s="131">
        <f t="shared" si="22"/>
        <v>520970</v>
      </c>
      <c r="H66" s="161">
        <f t="shared" si="16"/>
        <v>1159171</v>
      </c>
      <c r="I66" s="155">
        <f t="shared" si="24"/>
        <v>52076</v>
      </c>
      <c r="J66" s="131">
        <f t="shared" si="23"/>
        <v>12662</v>
      </c>
      <c r="K66" s="131">
        <f t="shared" si="23"/>
        <v>215543</v>
      </c>
      <c r="L66" s="131">
        <f t="shared" si="23"/>
        <v>58935</v>
      </c>
      <c r="M66" s="131">
        <f t="shared" si="23"/>
        <v>51488</v>
      </c>
      <c r="N66" s="131">
        <f t="shared" si="23"/>
        <v>160517</v>
      </c>
      <c r="O66" s="161">
        <f t="shared" si="4"/>
        <v>551221</v>
      </c>
      <c r="P66" s="161">
        <f t="shared" si="5"/>
        <v>1710392</v>
      </c>
    </row>
    <row r="67" spans="1:18" ht="12" customHeight="1" x14ac:dyDescent="0.15">
      <c r="A67" s="21" t="s">
        <v>114</v>
      </c>
      <c r="B67" s="131">
        <f t="shared" si="21"/>
        <v>0</v>
      </c>
      <c r="C67" s="131">
        <f t="shared" si="22"/>
        <v>0</v>
      </c>
      <c r="D67" s="131">
        <f t="shared" si="22"/>
        <v>0</v>
      </c>
      <c r="E67" s="131">
        <f t="shared" si="22"/>
        <v>0</v>
      </c>
      <c r="F67" s="131">
        <f t="shared" si="22"/>
        <v>0</v>
      </c>
      <c r="G67" s="131">
        <f t="shared" si="22"/>
        <v>11435</v>
      </c>
      <c r="H67" s="161">
        <f t="shared" si="16"/>
        <v>11435</v>
      </c>
      <c r="I67" s="155">
        <f t="shared" si="24"/>
        <v>0</v>
      </c>
      <c r="J67" s="131">
        <f t="shared" si="23"/>
        <v>4298</v>
      </c>
      <c r="K67" s="131">
        <f t="shared" si="23"/>
        <v>6380</v>
      </c>
      <c r="L67" s="131">
        <f t="shared" si="23"/>
        <v>5312</v>
      </c>
      <c r="M67" s="131">
        <f t="shared" si="23"/>
        <v>0</v>
      </c>
      <c r="N67" s="131">
        <f t="shared" si="23"/>
        <v>0</v>
      </c>
      <c r="O67" s="161">
        <f t="shared" si="4"/>
        <v>15990</v>
      </c>
      <c r="P67" s="161">
        <f t="shared" si="5"/>
        <v>27425</v>
      </c>
    </row>
    <row r="68" spans="1:18" ht="12" customHeight="1" x14ac:dyDescent="0.15">
      <c r="A68" s="127" t="s">
        <v>115</v>
      </c>
      <c r="B68" s="131">
        <f t="shared" si="21"/>
        <v>323531</v>
      </c>
      <c r="C68" s="131">
        <f t="shared" si="22"/>
        <v>305000</v>
      </c>
      <c r="D68" s="131">
        <f t="shared" si="22"/>
        <v>217491</v>
      </c>
      <c r="E68" s="131">
        <f t="shared" si="22"/>
        <v>335613</v>
      </c>
      <c r="F68" s="131">
        <f t="shared" si="22"/>
        <v>307915</v>
      </c>
      <c r="G68" s="131">
        <f t="shared" si="22"/>
        <v>216353</v>
      </c>
      <c r="H68" s="161">
        <f t="shared" si="16"/>
        <v>1705903</v>
      </c>
      <c r="I68" s="155">
        <f t="shared" si="24"/>
        <v>595816</v>
      </c>
      <c r="J68" s="131">
        <f t="shared" si="23"/>
        <v>186842</v>
      </c>
      <c r="K68" s="131">
        <f t="shared" si="23"/>
        <v>232425</v>
      </c>
      <c r="L68" s="131">
        <f t="shared" si="23"/>
        <v>274475</v>
      </c>
      <c r="M68" s="131">
        <f t="shared" si="23"/>
        <v>264819</v>
      </c>
      <c r="N68" s="131">
        <f t="shared" si="23"/>
        <v>525837</v>
      </c>
      <c r="O68" s="161">
        <f t="shared" si="4"/>
        <v>2080214</v>
      </c>
      <c r="P68" s="161">
        <f t="shared" si="5"/>
        <v>3786117</v>
      </c>
    </row>
    <row r="69" spans="1:18" ht="12" customHeight="1" x14ac:dyDescent="0.15">
      <c r="A69" s="21" t="s">
        <v>46</v>
      </c>
      <c r="B69" s="131">
        <f t="shared" si="21"/>
        <v>0</v>
      </c>
      <c r="C69" s="131">
        <f t="shared" si="22"/>
        <v>0</v>
      </c>
      <c r="D69" s="131">
        <f t="shared" si="22"/>
        <v>0</v>
      </c>
      <c r="E69" s="131">
        <f t="shared" si="22"/>
        <v>0</v>
      </c>
      <c r="F69" s="131">
        <f t="shared" si="22"/>
        <v>0</v>
      </c>
      <c r="G69" s="131">
        <f t="shared" si="22"/>
        <v>0</v>
      </c>
      <c r="H69" s="161">
        <f t="shared" si="16"/>
        <v>0</v>
      </c>
      <c r="I69" s="155">
        <f t="shared" si="24"/>
        <v>0</v>
      </c>
      <c r="J69" s="131">
        <f t="shared" si="23"/>
        <v>0</v>
      </c>
      <c r="K69" s="131">
        <f t="shared" si="23"/>
        <v>0</v>
      </c>
      <c r="L69" s="131">
        <f t="shared" si="23"/>
        <v>0</v>
      </c>
      <c r="M69" s="131">
        <f t="shared" si="23"/>
        <v>0</v>
      </c>
      <c r="N69" s="131">
        <f t="shared" si="23"/>
        <v>2704602</v>
      </c>
      <c r="O69" s="161">
        <f t="shared" si="4"/>
        <v>2704602</v>
      </c>
      <c r="P69" s="161">
        <f t="shared" si="5"/>
        <v>2704602</v>
      </c>
    </row>
    <row r="70" spans="1:18" ht="12" customHeight="1" x14ac:dyDescent="0.15">
      <c r="A70" s="52" t="s">
        <v>29</v>
      </c>
      <c r="B70" s="132">
        <f t="shared" ref="B70:N70" si="25">B38+B44</f>
        <v>13862450</v>
      </c>
      <c r="C70" s="132">
        <f t="shared" si="25"/>
        <v>13872909</v>
      </c>
      <c r="D70" s="132">
        <f t="shared" si="25"/>
        <v>13504377</v>
      </c>
      <c r="E70" s="132">
        <f t="shared" si="25"/>
        <v>20183467</v>
      </c>
      <c r="F70" s="132">
        <f t="shared" si="25"/>
        <v>13168323</v>
      </c>
      <c r="G70" s="150">
        <f t="shared" si="25"/>
        <v>14702503</v>
      </c>
      <c r="H70" s="162">
        <f t="shared" si="16"/>
        <v>89294029</v>
      </c>
      <c r="I70" s="156">
        <f>I38+I44</f>
        <v>13554049</v>
      </c>
      <c r="J70" s="132">
        <f t="shared" si="25"/>
        <v>19056388</v>
      </c>
      <c r="K70" s="132">
        <f t="shared" si="25"/>
        <v>12461128</v>
      </c>
      <c r="L70" s="132">
        <f t="shared" si="25"/>
        <v>13499009</v>
      </c>
      <c r="M70" s="132">
        <f t="shared" si="25"/>
        <v>12508604</v>
      </c>
      <c r="N70" s="150">
        <f t="shared" si="25"/>
        <v>15663362</v>
      </c>
      <c r="O70" s="162">
        <f t="shared" si="4"/>
        <v>86742540</v>
      </c>
      <c r="P70" s="162">
        <f t="shared" si="5"/>
        <v>176036569</v>
      </c>
    </row>
    <row r="71" spans="1:18" ht="12" customHeight="1" x14ac:dyDescent="0.15">
      <c r="A71" s="52" t="s">
        <v>61</v>
      </c>
      <c r="B71" s="143">
        <f t="shared" ref="B71:G71" si="26">B35-B70</f>
        <v>380565</v>
      </c>
      <c r="C71" s="143">
        <f t="shared" si="26"/>
        <v>1028833</v>
      </c>
      <c r="D71" s="145">
        <f t="shared" si="26"/>
        <v>869853</v>
      </c>
      <c r="E71" s="145">
        <f t="shared" si="26"/>
        <v>-4814492</v>
      </c>
      <c r="F71" s="145">
        <f t="shared" si="26"/>
        <v>1621210</v>
      </c>
      <c r="G71" s="150">
        <f t="shared" si="26"/>
        <v>-630446</v>
      </c>
      <c r="H71" s="162">
        <f t="shared" si="16"/>
        <v>-1544477</v>
      </c>
      <c r="I71" s="156">
        <f t="shared" ref="I71:N71" si="27">I35-I70</f>
        <v>1775986</v>
      </c>
      <c r="J71" s="132">
        <f t="shared" si="27"/>
        <v>-4285858</v>
      </c>
      <c r="K71" s="132">
        <f t="shared" si="27"/>
        <v>1864802</v>
      </c>
      <c r="L71" s="132">
        <f t="shared" si="27"/>
        <v>-127459</v>
      </c>
      <c r="M71" s="132">
        <f t="shared" si="27"/>
        <v>54456</v>
      </c>
      <c r="N71" s="150">
        <f t="shared" si="27"/>
        <v>-1946477</v>
      </c>
      <c r="O71" s="162">
        <f t="shared" si="4"/>
        <v>-2664550</v>
      </c>
      <c r="P71" s="162">
        <f t="shared" si="5"/>
        <v>-4209027</v>
      </c>
    </row>
    <row r="72" spans="1:18" ht="12" customHeight="1" x14ac:dyDescent="0.15">
      <c r="A72" s="24" t="s">
        <v>126</v>
      </c>
      <c r="B72" s="131">
        <f>B106</f>
        <v>4</v>
      </c>
      <c r="C72" s="131">
        <f>C106-B106</f>
        <v>0</v>
      </c>
      <c r="D72" s="131">
        <f>D106-C106</f>
        <v>0</v>
      </c>
      <c r="E72" s="131">
        <f>E106-D106</f>
        <v>0</v>
      </c>
      <c r="F72" s="131">
        <f>F106-E106</f>
        <v>1230</v>
      </c>
      <c r="G72" s="131">
        <f>G106-F106</f>
        <v>28</v>
      </c>
      <c r="H72" s="161">
        <f t="shared" si="16"/>
        <v>1262</v>
      </c>
      <c r="I72" s="155">
        <f>I106-G106</f>
        <v>123</v>
      </c>
      <c r="J72" s="131">
        <f>J106-I106</f>
        <v>0</v>
      </c>
      <c r="K72" s="131">
        <f>K106-J106</f>
        <v>0</v>
      </c>
      <c r="L72" s="131">
        <f>L106-K106</f>
        <v>0</v>
      </c>
      <c r="M72" s="131">
        <f>M106-L106</f>
        <v>6245</v>
      </c>
      <c r="N72" s="131">
        <f>N106-M106</f>
        <v>176</v>
      </c>
      <c r="O72" s="162">
        <f t="shared" si="4"/>
        <v>6544</v>
      </c>
      <c r="P72" s="161">
        <f t="shared" si="5"/>
        <v>7806</v>
      </c>
    </row>
    <row r="73" spans="1:18" ht="12" customHeight="1" x14ac:dyDescent="0.15">
      <c r="A73" s="24" t="s">
        <v>127</v>
      </c>
      <c r="B73" s="131">
        <f>SUM(B140:B142)</f>
        <v>64482</v>
      </c>
      <c r="C73" s="131">
        <f>C140+C141+C142-B140-B141-B142</f>
        <v>27769</v>
      </c>
      <c r="D73" s="131">
        <f>D140+D141+D142-C140-C141-C142</f>
        <v>23226</v>
      </c>
      <c r="E73" s="131">
        <f>E140+E141+E142-D140-D141-D142</f>
        <v>142818</v>
      </c>
      <c r="F73" s="131">
        <f>F140+F141+F142-E140-E141-E142</f>
        <v>21281</v>
      </c>
      <c r="G73" s="131">
        <f>G140+G141+G142-F140-F141-F142</f>
        <v>21943</v>
      </c>
      <c r="H73" s="161">
        <f t="shared" si="16"/>
        <v>301519</v>
      </c>
      <c r="I73" s="155">
        <f>I140+I141+I142-G140-G141-G142</f>
        <v>23034</v>
      </c>
      <c r="J73" s="131">
        <f>J140+J141+J142-I140-I141-I142</f>
        <v>90344</v>
      </c>
      <c r="K73" s="131">
        <f>K140+K141+K142-J140-J141-J142</f>
        <v>23124</v>
      </c>
      <c r="L73" s="131">
        <f>L140+L141+L142-K140-K141-K142</f>
        <v>17296</v>
      </c>
      <c r="M73" s="131">
        <f>M140+M141+M142-L140-L141-L142</f>
        <v>20148</v>
      </c>
      <c r="N73" s="131">
        <f>N140+N141+N142-M140-M141-M142</f>
        <v>93364</v>
      </c>
      <c r="O73" s="162">
        <f t="shared" si="4"/>
        <v>267310</v>
      </c>
      <c r="P73" s="161">
        <f t="shared" si="5"/>
        <v>568829</v>
      </c>
      <c r="Q73" s="183" t="s">
        <v>386</v>
      </c>
      <c r="R73" s="183"/>
    </row>
    <row r="74" spans="1:18" ht="12" customHeight="1" x14ac:dyDescent="0.15">
      <c r="A74" s="52" t="s">
        <v>60</v>
      </c>
      <c r="B74" s="144">
        <f t="shared" ref="B74:G74" si="28">B71+B72-B73</f>
        <v>316087</v>
      </c>
      <c r="C74" s="144">
        <f t="shared" si="28"/>
        <v>1001064</v>
      </c>
      <c r="D74" s="146">
        <f t="shared" si="28"/>
        <v>846627</v>
      </c>
      <c r="E74" s="146">
        <f t="shared" si="28"/>
        <v>-4957310</v>
      </c>
      <c r="F74" s="146">
        <f t="shared" si="28"/>
        <v>1601159</v>
      </c>
      <c r="G74" s="152">
        <f t="shared" si="28"/>
        <v>-652361</v>
      </c>
      <c r="H74" s="162">
        <f t="shared" si="16"/>
        <v>-1844734</v>
      </c>
      <c r="I74" s="158">
        <f t="shared" ref="I74:N74" si="29">I71+I72-I73</f>
        <v>1753075</v>
      </c>
      <c r="J74" s="135">
        <f t="shared" si="29"/>
        <v>-4376202</v>
      </c>
      <c r="K74" s="135">
        <f t="shared" si="29"/>
        <v>1841678</v>
      </c>
      <c r="L74" s="135">
        <f t="shared" si="29"/>
        <v>-144755</v>
      </c>
      <c r="M74" s="135">
        <f t="shared" si="29"/>
        <v>40553</v>
      </c>
      <c r="N74" s="152">
        <f t="shared" si="29"/>
        <v>-2039665</v>
      </c>
      <c r="O74" s="162">
        <f t="shared" si="4"/>
        <v>-2925316</v>
      </c>
      <c r="P74" s="164">
        <f>H74+O74</f>
        <v>-4770050</v>
      </c>
      <c r="Q74" s="184">
        <f>P74-'[2]7.3月'!$D$63</f>
        <v>0</v>
      </c>
      <c r="R74" s="184"/>
    </row>
    <row r="75" spans="1:18" ht="12" customHeight="1" thickBot="1" x14ac:dyDescent="0.2">
      <c r="A75" s="48" t="s">
        <v>116</v>
      </c>
      <c r="B75" s="137">
        <v>321000</v>
      </c>
      <c r="C75" s="137">
        <v>321000</v>
      </c>
      <c r="D75" s="137">
        <v>321000</v>
      </c>
      <c r="E75" s="137">
        <v>321000</v>
      </c>
      <c r="F75" s="137">
        <v>321000</v>
      </c>
      <c r="G75" s="153">
        <v>321000</v>
      </c>
      <c r="H75" s="165">
        <f t="shared" si="16"/>
        <v>1926000</v>
      </c>
      <c r="I75" s="159">
        <v>321000</v>
      </c>
      <c r="J75" s="137">
        <v>321000</v>
      </c>
      <c r="K75" s="137">
        <v>321000</v>
      </c>
      <c r="L75" s="137">
        <v>321000</v>
      </c>
      <c r="M75" s="137">
        <v>321000</v>
      </c>
      <c r="N75" s="153">
        <v>321000</v>
      </c>
      <c r="O75" s="165">
        <f t="shared" si="4"/>
        <v>1926000</v>
      </c>
      <c r="P75" s="165">
        <f t="shared" si="5"/>
        <v>3852000</v>
      </c>
      <c r="Q75" s="185"/>
      <c r="R75" s="185"/>
    </row>
    <row r="76" spans="1:18" x14ac:dyDescent="0.15">
      <c r="G76" s="138"/>
      <c r="Q76" s="186"/>
      <c r="R76" s="186"/>
    </row>
    <row r="77" spans="1:18" x14ac:dyDescent="0.15">
      <c r="A77" s="21" t="s">
        <v>1</v>
      </c>
      <c r="B77" s="139">
        <v>69000</v>
      </c>
      <c r="C77" s="139">
        <v>69000</v>
      </c>
      <c r="D77" s="139">
        <v>69000</v>
      </c>
      <c r="E77" s="139">
        <v>69000</v>
      </c>
      <c r="F77" s="139">
        <v>69000</v>
      </c>
      <c r="G77" s="139">
        <v>69000</v>
      </c>
      <c r="H77" s="139"/>
      <c r="I77" s="139">
        <v>69000</v>
      </c>
      <c r="J77" s="139">
        <v>70000</v>
      </c>
      <c r="K77" s="139">
        <v>70000</v>
      </c>
      <c r="L77" s="139">
        <v>70000</v>
      </c>
      <c r="M77" s="139">
        <v>70000</v>
      </c>
      <c r="N77" s="139">
        <v>70000</v>
      </c>
      <c r="O77" s="139"/>
      <c r="P77" s="139"/>
    </row>
    <row r="78" spans="1:18" x14ac:dyDescent="0.15">
      <c r="A78" s="21" t="s">
        <v>2</v>
      </c>
      <c r="B78" s="139">
        <v>2000</v>
      </c>
      <c r="C78" s="139">
        <v>18000</v>
      </c>
      <c r="D78" s="139">
        <v>20000</v>
      </c>
      <c r="E78" s="139">
        <v>20000</v>
      </c>
      <c r="F78" s="139">
        <v>23000</v>
      </c>
      <c r="G78" s="139">
        <v>23000</v>
      </c>
      <c r="H78" s="139"/>
      <c r="I78" s="139">
        <v>24000</v>
      </c>
      <c r="J78" s="139">
        <v>24000</v>
      </c>
      <c r="K78" s="139">
        <v>25000</v>
      </c>
      <c r="L78" s="139">
        <v>25000</v>
      </c>
      <c r="M78" s="139">
        <v>27000</v>
      </c>
      <c r="N78" s="139">
        <v>27000</v>
      </c>
      <c r="O78" s="139"/>
      <c r="P78" s="139"/>
    </row>
    <row r="79" spans="1:18" x14ac:dyDescent="0.15">
      <c r="A79" s="21" t="s">
        <v>3</v>
      </c>
      <c r="B79" s="139">
        <v>1000</v>
      </c>
      <c r="C79" s="139">
        <v>1000</v>
      </c>
      <c r="D79" s="139">
        <v>1000</v>
      </c>
      <c r="E79" s="139">
        <v>1000</v>
      </c>
      <c r="F79" s="139">
        <v>2000</v>
      </c>
      <c r="G79" s="139">
        <v>2000</v>
      </c>
      <c r="H79" s="139"/>
      <c r="I79" s="139">
        <v>2000</v>
      </c>
      <c r="J79" s="139">
        <v>2000</v>
      </c>
      <c r="K79" s="139">
        <v>2000</v>
      </c>
      <c r="L79" s="139">
        <v>2000</v>
      </c>
      <c r="M79" s="139">
        <v>2000</v>
      </c>
      <c r="N79" s="139">
        <v>2000</v>
      </c>
      <c r="O79" s="139"/>
      <c r="P79" s="139"/>
    </row>
    <row r="80" spans="1:18" x14ac:dyDescent="0.15">
      <c r="A80" s="118" t="s">
        <v>387</v>
      </c>
      <c r="B80" s="140"/>
      <c r="C80" s="140"/>
      <c r="D80" s="140"/>
      <c r="E80" s="140"/>
      <c r="F80" s="140"/>
      <c r="G80" s="141"/>
      <c r="H80" s="140"/>
      <c r="I80" s="141"/>
      <c r="J80" s="140"/>
      <c r="K80" s="140"/>
      <c r="L80" s="140"/>
      <c r="M80" s="140"/>
      <c r="N80" s="140"/>
      <c r="O80" s="140"/>
      <c r="P80" s="140"/>
    </row>
    <row r="81" spans="1:17" x14ac:dyDescent="0.15">
      <c r="A81" s="47" t="s">
        <v>94</v>
      </c>
      <c r="B81" s="139">
        <v>2599910</v>
      </c>
      <c r="C81" s="139">
        <v>5230620</v>
      </c>
      <c r="D81" s="139">
        <v>7837750</v>
      </c>
      <c r="E81" s="139">
        <v>10525260</v>
      </c>
      <c r="F81" s="139">
        <v>13078890</v>
      </c>
      <c r="G81" s="139">
        <v>15620560</v>
      </c>
      <c r="H81" s="139"/>
      <c r="I81" s="139">
        <v>18266970</v>
      </c>
      <c r="J81" s="139">
        <v>20850350</v>
      </c>
      <c r="K81" s="139">
        <v>23438090</v>
      </c>
      <c r="L81" s="139">
        <v>26046720</v>
      </c>
      <c r="M81" s="139">
        <v>28563320</v>
      </c>
      <c r="N81" s="139">
        <v>31123560</v>
      </c>
      <c r="O81" s="139"/>
      <c r="P81" s="139"/>
    </row>
    <row r="82" spans="1:17" x14ac:dyDescent="0.15">
      <c r="A82" s="48" t="s">
        <v>247</v>
      </c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</row>
    <row r="83" spans="1:17" x14ac:dyDescent="0.15">
      <c r="A83" s="48" t="s">
        <v>319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</row>
    <row r="84" spans="1:17" x14ac:dyDescent="0.15">
      <c r="A84" s="47" t="s">
        <v>95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</row>
    <row r="85" spans="1:17" x14ac:dyDescent="0.15">
      <c r="A85" s="21" t="s">
        <v>58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</row>
    <row r="86" spans="1:17" x14ac:dyDescent="0.15">
      <c r="A86" s="47" t="s">
        <v>96</v>
      </c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</row>
    <row r="87" spans="1:17" x14ac:dyDescent="0.15">
      <c r="A87" s="21" t="s">
        <v>59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</row>
    <row r="88" spans="1:17" x14ac:dyDescent="0.15">
      <c r="A88" s="50" t="s">
        <v>120</v>
      </c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</row>
    <row r="89" spans="1:17" x14ac:dyDescent="0.15">
      <c r="A89" s="21" t="s">
        <v>59</v>
      </c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</row>
    <row r="90" spans="1:17" x14ac:dyDescent="0.15">
      <c r="A90" s="51" t="s">
        <v>245</v>
      </c>
      <c r="B90" s="139">
        <v>486760</v>
      </c>
      <c r="C90" s="139">
        <v>992760</v>
      </c>
      <c r="D90" s="139">
        <v>1676770</v>
      </c>
      <c r="E90" s="139">
        <v>2519130</v>
      </c>
      <c r="F90" s="139">
        <v>3325530</v>
      </c>
      <c r="G90" s="139">
        <v>4075150</v>
      </c>
      <c r="H90" s="139"/>
      <c r="I90" s="139">
        <v>4923370</v>
      </c>
      <c r="J90" s="139">
        <v>5723950</v>
      </c>
      <c r="K90" s="139">
        <v>6493050</v>
      </c>
      <c r="L90" s="139">
        <v>7195410</v>
      </c>
      <c r="M90" s="139">
        <v>7832370</v>
      </c>
      <c r="N90" s="139">
        <v>8550200</v>
      </c>
      <c r="O90" s="139"/>
      <c r="P90" s="139"/>
    </row>
    <row r="91" spans="1:17" x14ac:dyDescent="0.15">
      <c r="A91" s="51" t="s">
        <v>366</v>
      </c>
      <c r="B91" s="139">
        <v>99140</v>
      </c>
      <c r="C91" s="139">
        <v>202170</v>
      </c>
      <c r="D91" s="139">
        <v>204970</v>
      </c>
      <c r="E91" s="139">
        <v>204970</v>
      </c>
      <c r="F91" s="139">
        <v>204970</v>
      </c>
      <c r="G91" s="139">
        <v>204970</v>
      </c>
      <c r="H91" s="139"/>
      <c r="I91" s="139">
        <v>204970</v>
      </c>
      <c r="J91" s="139">
        <v>204970</v>
      </c>
      <c r="K91" s="139">
        <v>204970</v>
      </c>
      <c r="L91" s="139">
        <v>204970</v>
      </c>
      <c r="M91" s="139">
        <v>204970</v>
      </c>
      <c r="N91" s="139">
        <v>204970</v>
      </c>
      <c r="O91" s="139"/>
      <c r="P91" s="139"/>
    </row>
    <row r="92" spans="1:17" x14ac:dyDescent="0.15">
      <c r="A92" s="51" t="s">
        <v>423</v>
      </c>
      <c r="B92" s="139">
        <v>90810</v>
      </c>
      <c r="C92" s="139">
        <v>185180</v>
      </c>
      <c r="D92" s="139">
        <v>187760</v>
      </c>
      <c r="E92" s="139">
        <v>187760</v>
      </c>
      <c r="F92" s="139">
        <v>187760</v>
      </c>
      <c r="G92" s="139">
        <v>187760</v>
      </c>
      <c r="H92" s="139"/>
      <c r="I92" s="139">
        <v>187760</v>
      </c>
      <c r="J92" s="139">
        <v>187760</v>
      </c>
      <c r="K92" s="139">
        <v>187760</v>
      </c>
      <c r="L92" s="139">
        <v>187760</v>
      </c>
      <c r="M92" s="139">
        <v>187760</v>
      </c>
      <c r="N92" s="139">
        <v>187760</v>
      </c>
      <c r="O92" s="139"/>
      <c r="P92" s="139"/>
    </row>
    <row r="93" spans="1:17" x14ac:dyDescent="0.15">
      <c r="A93" s="51" t="s">
        <v>338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 t="s">
        <v>390</v>
      </c>
      <c r="O93" s="140"/>
      <c r="P93" s="140"/>
    </row>
    <row r="94" spans="1:17" x14ac:dyDescent="0.15">
      <c r="A94" s="21" t="s">
        <v>59</v>
      </c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</row>
    <row r="95" spans="1:17" x14ac:dyDescent="0.15">
      <c r="A95" s="47" t="s">
        <v>119</v>
      </c>
      <c r="B95" s="139">
        <v>68600</v>
      </c>
      <c r="C95" s="139">
        <v>137900</v>
      </c>
      <c r="D95" s="139">
        <v>200900</v>
      </c>
      <c r="E95" s="139">
        <v>272300</v>
      </c>
      <c r="F95" s="139">
        <v>336700</v>
      </c>
      <c r="G95" s="139">
        <v>411600</v>
      </c>
      <c r="H95" s="139"/>
      <c r="I95" s="139">
        <v>485800</v>
      </c>
      <c r="J95" s="139">
        <v>574000</v>
      </c>
      <c r="K95" s="139">
        <v>647500</v>
      </c>
      <c r="L95" s="139">
        <v>718900</v>
      </c>
      <c r="M95" s="139">
        <v>767900</v>
      </c>
      <c r="N95" s="139">
        <v>840700</v>
      </c>
      <c r="O95" s="139"/>
      <c r="P95" s="139"/>
      <c r="Q95" s="139"/>
    </row>
    <row r="96" spans="1:17" x14ac:dyDescent="0.15">
      <c r="A96" s="47" t="s">
        <v>97</v>
      </c>
      <c r="B96" s="139">
        <v>11500</v>
      </c>
      <c r="C96" s="139">
        <v>48700</v>
      </c>
      <c r="D96" s="139">
        <v>77000</v>
      </c>
      <c r="E96" s="139">
        <v>85500</v>
      </c>
      <c r="F96" s="139">
        <v>90800</v>
      </c>
      <c r="G96" s="139">
        <v>96100</v>
      </c>
      <c r="H96" s="139"/>
      <c r="I96" s="139">
        <v>113100</v>
      </c>
      <c r="J96" s="139">
        <v>123950</v>
      </c>
      <c r="K96" s="139">
        <v>138750</v>
      </c>
      <c r="L96" s="139">
        <v>148050</v>
      </c>
      <c r="M96" s="139">
        <v>158750</v>
      </c>
      <c r="N96" s="139">
        <v>170250</v>
      </c>
      <c r="O96" s="139"/>
    </row>
    <row r="97" spans="1:40" x14ac:dyDescent="0.15">
      <c r="A97" s="51" t="s">
        <v>407</v>
      </c>
      <c r="B97" s="139">
        <v>2900</v>
      </c>
      <c r="C97" s="139">
        <v>8200</v>
      </c>
      <c r="D97" s="139">
        <v>20600</v>
      </c>
      <c r="E97" s="139">
        <v>34400</v>
      </c>
      <c r="F97" s="139">
        <v>52200</v>
      </c>
      <c r="G97" s="139">
        <v>63200</v>
      </c>
      <c r="H97" s="139"/>
      <c r="I97" s="139">
        <v>68200</v>
      </c>
      <c r="J97" s="139">
        <v>76200</v>
      </c>
      <c r="K97" s="139">
        <v>92500</v>
      </c>
      <c r="L97" s="139">
        <v>97500</v>
      </c>
      <c r="M97" s="139">
        <v>99700</v>
      </c>
      <c r="N97" s="139">
        <v>127500</v>
      </c>
      <c r="O97" s="139"/>
      <c r="P97" s="139"/>
    </row>
    <row r="98" spans="1:40" x14ac:dyDescent="0.15">
      <c r="A98" s="47" t="s">
        <v>249</v>
      </c>
      <c r="B98" s="139">
        <v>83100</v>
      </c>
      <c r="C98" s="139">
        <v>169900</v>
      </c>
      <c r="D98" s="139">
        <v>254400</v>
      </c>
      <c r="E98" s="139">
        <v>338500</v>
      </c>
      <c r="F98" s="139">
        <v>395100</v>
      </c>
      <c r="G98" s="139">
        <v>470700</v>
      </c>
      <c r="H98" s="139"/>
      <c r="I98" s="139">
        <v>555600</v>
      </c>
      <c r="J98" s="139">
        <v>634300</v>
      </c>
      <c r="K98" s="139">
        <v>705500</v>
      </c>
      <c r="L98" s="139">
        <v>773500</v>
      </c>
      <c r="M98" s="139">
        <v>838300</v>
      </c>
      <c r="N98" s="139">
        <v>905200</v>
      </c>
      <c r="O98" s="139"/>
      <c r="P98" s="139"/>
    </row>
    <row r="99" spans="1:40" x14ac:dyDescent="0.15">
      <c r="A99" s="47" t="s">
        <v>406</v>
      </c>
      <c r="B99" s="139">
        <v>49000</v>
      </c>
      <c r="C99" s="139">
        <v>79300</v>
      </c>
      <c r="D99" s="139">
        <v>103100</v>
      </c>
      <c r="E99" s="139">
        <v>128100</v>
      </c>
      <c r="F99" s="139">
        <v>162300</v>
      </c>
      <c r="G99" s="139">
        <v>174200</v>
      </c>
      <c r="H99" s="139"/>
      <c r="I99" s="139">
        <v>191000</v>
      </c>
      <c r="J99" s="139">
        <v>204700</v>
      </c>
      <c r="K99" s="139">
        <v>222900</v>
      </c>
      <c r="L99" s="139">
        <v>242700</v>
      </c>
      <c r="M99" s="139">
        <v>264600</v>
      </c>
      <c r="N99" s="139">
        <v>290300</v>
      </c>
      <c r="O99" s="139"/>
      <c r="P99" s="139"/>
    </row>
    <row r="100" spans="1:40" x14ac:dyDescent="0.15">
      <c r="A100" s="47" t="s">
        <v>303</v>
      </c>
      <c r="B100" s="139">
        <v>1700</v>
      </c>
      <c r="C100" s="139">
        <v>1700</v>
      </c>
      <c r="D100" s="139">
        <v>1700</v>
      </c>
      <c r="E100" s="139">
        <v>5200</v>
      </c>
      <c r="F100" s="139">
        <v>10500</v>
      </c>
      <c r="G100" s="139">
        <v>10500</v>
      </c>
      <c r="H100" s="139"/>
      <c r="I100" s="139">
        <v>10500</v>
      </c>
      <c r="J100" s="139">
        <v>10500</v>
      </c>
      <c r="K100" s="139">
        <v>11400</v>
      </c>
      <c r="L100" s="139">
        <v>11800</v>
      </c>
      <c r="M100" s="139">
        <v>11800</v>
      </c>
      <c r="N100" s="139">
        <v>13400</v>
      </c>
      <c r="O100" s="139"/>
      <c r="P100" s="139"/>
    </row>
    <row r="101" spans="1:40" x14ac:dyDescent="0.15">
      <c r="A101" s="47" t="s">
        <v>251</v>
      </c>
      <c r="B101" s="139">
        <v>0</v>
      </c>
      <c r="C101" s="139">
        <v>0</v>
      </c>
      <c r="D101" s="139">
        <v>0</v>
      </c>
      <c r="E101" s="139">
        <v>0</v>
      </c>
      <c r="F101" s="139">
        <v>0</v>
      </c>
      <c r="G101" s="139">
        <v>0</v>
      </c>
      <c r="H101" s="139"/>
      <c r="I101" s="139">
        <v>0</v>
      </c>
      <c r="J101" s="139">
        <v>1300</v>
      </c>
      <c r="K101" s="139">
        <v>5500</v>
      </c>
      <c r="L101" s="139">
        <v>9700</v>
      </c>
      <c r="M101" s="139">
        <v>13900</v>
      </c>
      <c r="N101" s="139">
        <v>19500</v>
      </c>
      <c r="O101" s="139"/>
      <c r="P101" s="139"/>
    </row>
    <row r="102" spans="1:40" x14ac:dyDescent="0.15">
      <c r="A102" s="21" t="s">
        <v>99</v>
      </c>
      <c r="B102" s="139">
        <v>1214000</v>
      </c>
      <c r="C102" s="139">
        <v>2428000</v>
      </c>
      <c r="D102" s="139">
        <v>3725000</v>
      </c>
      <c r="E102" s="139">
        <v>4939000</v>
      </c>
      <c r="F102" s="139">
        <v>6153000</v>
      </c>
      <c r="G102" s="139">
        <v>7450000</v>
      </c>
      <c r="H102" s="139"/>
      <c r="I102" s="139">
        <v>8664000</v>
      </c>
      <c r="J102" s="139">
        <v>9878000</v>
      </c>
      <c r="K102" s="139">
        <v>11175000</v>
      </c>
      <c r="L102" s="139">
        <v>12389000</v>
      </c>
      <c r="M102" s="139">
        <v>13603000</v>
      </c>
      <c r="N102" s="139">
        <v>14910000</v>
      </c>
      <c r="O102" s="139"/>
      <c r="P102" s="139"/>
    </row>
    <row r="103" spans="1:40" x14ac:dyDescent="0.15">
      <c r="A103" s="21" t="s">
        <v>383</v>
      </c>
      <c r="B103" s="139">
        <v>15000</v>
      </c>
      <c r="C103" s="139">
        <v>20000</v>
      </c>
      <c r="D103" s="139">
        <v>30000</v>
      </c>
      <c r="E103" s="139">
        <v>30000</v>
      </c>
      <c r="F103" s="139">
        <v>30000</v>
      </c>
      <c r="G103" s="139">
        <v>30000</v>
      </c>
      <c r="H103" s="139"/>
      <c r="I103" s="139">
        <v>30000</v>
      </c>
      <c r="J103" s="139">
        <v>30000</v>
      </c>
      <c r="K103" s="139">
        <v>30000</v>
      </c>
      <c r="L103" s="139">
        <v>30000</v>
      </c>
      <c r="M103" s="139">
        <v>30000</v>
      </c>
      <c r="N103" s="139">
        <v>100000</v>
      </c>
      <c r="O103" s="139"/>
      <c r="P103" s="139"/>
    </row>
    <row r="104" spans="1:40" x14ac:dyDescent="0.15">
      <c r="A104" s="21" t="s">
        <v>384</v>
      </c>
      <c r="B104" s="139">
        <v>81880</v>
      </c>
      <c r="C104" s="139">
        <v>88830</v>
      </c>
      <c r="D104" s="139">
        <v>102975</v>
      </c>
      <c r="E104" s="139">
        <v>109265</v>
      </c>
      <c r="F104" s="139">
        <v>115555</v>
      </c>
      <c r="G104" s="139">
        <v>120845</v>
      </c>
      <c r="H104" s="139"/>
      <c r="I104" s="139">
        <v>120845</v>
      </c>
      <c r="J104" s="139">
        <v>220845</v>
      </c>
      <c r="K104" s="139">
        <v>220845</v>
      </c>
      <c r="L104" s="139">
        <v>220845</v>
      </c>
      <c r="M104" s="139">
        <v>370845</v>
      </c>
      <c r="N104" s="139">
        <v>370845</v>
      </c>
      <c r="O104" s="139"/>
      <c r="P104" s="139"/>
    </row>
    <row r="105" spans="1:40" x14ac:dyDescent="0.15">
      <c r="A105" s="21" t="s">
        <v>385</v>
      </c>
      <c r="B105" s="139">
        <v>10335</v>
      </c>
      <c r="C105" s="139">
        <v>458617</v>
      </c>
      <c r="D105" s="139">
        <v>474972</v>
      </c>
      <c r="E105" s="139">
        <v>510807</v>
      </c>
      <c r="F105" s="139">
        <v>608640</v>
      </c>
      <c r="G105" s="139">
        <v>634247</v>
      </c>
      <c r="H105" s="139"/>
      <c r="I105" s="139">
        <v>654762</v>
      </c>
      <c r="J105" s="139">
        <v>672262</v>
      </c>
      <c r="K105" s="139">
        <v>694792</v>
      </c>
      <c r="L105" s="139">
        <v>711932</v>
      </c>
      <c r="M105" s="139">
        <v>729892</v>
      </c>
      <c r="N105" s="139">
        <v>752297</v>
      </c>
      <c r="O105" s="139"/>
      <c r="P105" s="139"/>
    </row>
    <row r="106" spans="1:40" x14ac:dyDescent="0.15">
      <c r="A106" s="21" t="s">
        <v>388</v>
      </c>
      <c r="B106" s="136">
        <f>4</f>
        <v>4</v>
      </c>
      <c r="C106" s="136">
        <f>4</f>
        <v>4</v>
      </c>
      <c r="D106" s="136">
        <f>4</f>
        <v>4</v>
      </c>
      <c r="E106" s="136">
        <f>4</f>
        <v>4</v>
      </c>
      <c r="F106" s="136">
        <v>1234</v>
      </c>
      <c r="G106" s="136">
        <v>1262</v>
      </c>
      <c r="I106" s="136">
        <v>1385</v>
      </c>
      <c r="J106" s="136">
        <v>1385</v>
      </c>
      <c r="K106" s="136">
        <v>1385</v>
      </c>
      <c r="L106" s="136">
        <v>1385</v>
      </c>
      <c r="M106" s="136">
        <v>7630</v>
      </c>
      <c r="N106" s="136">
        <v>7806</v>
      </c>
    </row>
    <row r="108" spans="1:40" x14ac:dyDescent="0.15">
      <c r="A108" s="21" t="s">
        <v>100</v>
      </c>
      <c r="B108" s="139">
        <v>220000</v>
      </c>
      <c r="C108" s="139">
        <v>440000</v>
      </c>
      <c r="D108" s="139">
        <v>660000</v>
      </c>
      <c r="E108" s="139">
        <v>880000</v>
      </c>
      <c r="F108" s="139">
        <v>1100000</v>
      </c>
      <c r="G108" s="139">
        <v>1320000</v>
      </c>
      <c r="H108" s="139"/>
      <c r="I108" s="139">
        <v>1540000</v>
      </c>
      <c r="J108" s="139">
        <v>1760000</v>
      </c>
      <c r="K108" s="139">
        <v>1980000</v>
      </c>
      <c r="L108" s="139">
        <v>2200000</v>
      </c>
      <c r="M108" s="139">
        <v>2420000</v>
      </c>
      <c r="N108" s="139">
        <v>2640000</v>
      </c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</row>
    <row r="109" spans="1:40" x14ac:dyDescent="0.15">
      <c r="A109" s="21" t="s">
        <v>101</v>
      </c>
      <c r="B109" s="139">
        <v>8029542</v>
      </c>
      <c r="C109" s="139">
        <v>15860378</v>
      </c>
      <c r="D109" s="139">
        <v>23993154</v>
      </c>
      <c r="E109" s="139">
        <v>31750882</v>
      </c>
      <c r="F109" s="139">
        <v>39417271</v>
      </c>
      <c r="G109" s="139">
        <v>46930753</v>
      </c>
      <c r="H109" s="139"/>
      <c r="I109" s="139">
        <v>54159388</v>
      </c>
      <c r="J109" s="139">
        <v>61376683</v>
      </c>
      <c r="K109" s="139">
        <v>68284039</v>
      </c>
      <c r="L109" s="139">
        <v>74576976</v>
      </c>
      <c r="M109" s="139">
        <v>81280726</v>
      </c>
      <c r="N109" s="139">
        <v>87920024</v>
      </c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</row>
    <row r="110" spans="1:40" x14ac:dyDescent="0.15">
      <c r="A110" s="21" t="s">
        <v>102</v>
      </c>
      <c r="B110" s="139">
        <v>1253859</v>
      </c>
      <c r="C110" s="139">
        <v>2370388</v>
      </c>
      <c r="D110" s="139">
        <v>3643706</v>
      </c>
      <c r="E110" s="139">
        <v>4903666</v>
      </c>
      <c r="F110" s="139">
        <v>6287740</v>
      </c>
      <c r="G110" s="139">
        <v>7661529</v>
      </c>
      <c r="H110" s="139"/>
      <c r="I110" s="139">
        <v>9009306</v>
      </c>
      <c r="J110" s="139">
        <v>10460206</v>
      </c>
      <c r="K110" s="139">
        <v>11891673</v>
      </c>
      <c r="L110" s="139">
        <v>13084879</v>
      </c>
      <c r="M110" s="139">
        <v>14646043</v>
      </c>
      <c r="N110" s="139">
        <v>16033045</v>
      </c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</row>
    <row r="111" spans="1:40" x14ac:dyDescent="0.15">
      <c r="A111" s="21" t="s">
        <v>19</v>
      </c>
      <c r="B111" s="139">
        <v>1149174</v>
      </c>
      <c r="C111" s="139">
        <v>2334148</v>
      </c>
      <c r="D111" s="139">
        <v>3480027</v>
      </c>
      <c r="E111" s="139">
        <v>4722706</v>
      </c>
      <c r="F111" s="139">
        <v>5829708</v>
      </c>
      <c r="G111" s="139">
        <v>7633103</v>
      </c>
      <c r="H111" s="139"/>
      <c r="I111" s="139">
        <v>8904502</v>
      </c>
      <c r="J111" s="139">
        <v>9951332</v>
      </c>
      <c r="K111" s="139">
        <v>10945434</v>
      </c>
      <c r="L111" s="139">
        <v>13018997</v>
      </c>
      <c r="M111" s="139">
        <v>14013118</v>
      </c>
      <c r="N111" s="139">
        <v>15024301</v>
      </c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</row>
    <row r="112" spans="1:40" x14ac:dyDescent="0.15">
      <c r="A112" s="48" t="s">
        <v>408</v>
      </c>
      <c r="B112" s="139">
        <v>0</v>
      </c>
      <c r="C112" s="139">
        <v>0</v>
      </c>
      <c r="D112" s="139">
        <v>0</v>
      </c>
      <c r="E112" s="139">
        <v>5841000</v>
      </c>
      <c r="F112" s="139">
        <v>5841000</v>
      </c>
      <c r="G112" s="139">
        <v>5841000</v>
      </c>
      <c r="H112" s="142"/>
      <c r="I112" s="139">
        <v>5841000</v>
      </c>
      <c r="J112" s="139">
        <v>12025000</v>
      </c>
      <c r="K112" s="139">
        <v>12025000</v>
      </c>
      <c r="L112" s="139">
        <v>12025000</v>
      </c>
      <c r="M112" s="139">
        <v>12025000</v>
      </c>
      <c r="N112" s="139">
        <v>12025000</v>
      </c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</row>
    <row r="113" spans="1:40" x14ac:dyDescent="0.15"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</row>
    <row r="114" spans="1:40" x14ac:dyDescent="0.15">
      <c r="A114" s="21" t="s">
        <v>21</v>
      </c>
      <c r="B114" s="139">
        <v>316573</v>
      </c>
      <c r="C114" s="139">
        <v>576073</v>
      </c>
      <c r="D114" s="139">
        <v>848403</v>
      </c>
      <c r="E114" s="139">
        <v>1085903</v>
      </c>
      <c r="F114" s="139">
        <v>1382903</v>
      </c>
      <c r="G114" s="139">
        <v>1608903</v>
      </c>
      <c r="H114" s="139"/>
      <c r="I114" s="139">
        <v>1866403</v>
      </c>
      <c r="J114" s="139">
        <v>2128344</v>
      </c>
      <c r="K114" s="139">
        <v>2361344</v>
      </c>
      <c r="L114" s="139">
        <v>2634344</v>
      </c>
      <c r="M114" s="139">
        <v>3011081</v>
      </c>
      <c r="N114" s="139">
        <v>3450605</v>
      </c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</row>
    <row r="115" spans="1:40" x14ac:dyDescent="0.15">
      <c r="A115" s="21" t="s">
        <v>22</v>
      </c>
      <c r="B115" s="139">
        <v>0</v>
      </c>
      <c r="C115" s="139">
        <v>0</v>
      </c>
      <c r="D115" s="139">
        <v>0</v>
      </c>
      <c r="E115" s="139">
        <v>0</v>
      </c>
      <c r="F115" s="139">
        <v>0</v>
      </c>
      <c r="G115" s="139">
        <v>0</v>
      </c>
      <c r="H115" s="139"/>
      <c r="I115" s="139">
        <f t="shared" ref="I115:N115" si="30">G115</f>
        <v>0</v>
      </c>
      <c r="J115" s="139">
        <f t="shared" si="30"/>
        <v>0</v>
      </c>
      <c r="K115" s="139">
        <f t="shared" si="30"/>
        <v>0</v>
      </c>
      <c r="L115" s="139">
        <f t="shared" si="30"/>
        <v>0</v>
      </c>
      <c r="M115" s="139">
        <f t="shared" si="30"/>
        <v>0</v>
      </c>
      <c r="N115" s="139">
        <f t="shared" si="30"/>
        <v>0</v>
      </c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</row>
    <row r="116" spans="1:40" x14ac:dyDescent="0.15">
      <c r="A116" s="21" t="s">
        <v>103</v>
      </c>
      <c r="B116" s="139">
        <v>189554</v>
      </c>
      <c r="C116" s="139">
        <v>289206</v>
      </c>
      <c r="D116" s="139">
        <v>306875</v>
      </c>
      <c r="E116" s="139">
        <v>568068</v>
      </c>
      <c r="F116" s="139">
        <v>575509</v>
      </c>
      <c r="G116" s="139">
        <v>727604</v>
      </c>
      <c r="H116" s="139"/>
      <c r="I116" s="139">
        <v>816263</v>
      </c>
      <c r="J116" s="139">
        <v>832712</v>
      </c>
      <c r="K116" s="139">
        <v>904011</v>
      </c>
      <c r="L116" s="139">
        <v>1073182</v>
      </c>
      <c r="M116" s="139">
        <v>1144481</v>
      </c>
      <c r="N116" s="139">
        <v>1239607</v>
      </c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</row>
    <row r="117" spans="1:40" x14ac:dyDescent="0.15">
      <c r="A117" s="21" t="s">
        <v>24</v>
      </c>
      <c r="B117" s="139">
        <v>17670</v>
      </c>
      <c r="C117" s="139">
        <v>31312</v>
      </c>
      <c r="D117" s="139">
        <v>35692</v>
      </c>
      <c r="E117" s="139">
        <v>57403</v>
      </c>
      <c r="F117" s="139">
        <v>81481</v>
      </c>
      <c r="G117" s="139">
        <v>90000</v>
      </c>
      <c r="H117" s="139"/>
      <c r="I117" s="139">
        <v>167924</v>
      </c>
      <c r="J117" s="139">
        <v>179389</v>
      </c>
      <c r="K117" s="139">
        <v>193337</v>
      </c>
      <c r="L117" s="139">
        <v>197495</v>
      </c>
      <c r="M117" s="139">
        <v>215238</v>
      </c>
      <c r="N117" s="139">
        <v>226477</v>
      </c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</row>
    <row r="118" spans="1:40" x14ac:dyDescent="0.15">
      <c r="A118" s="21" t="s">
        <v>104</v>
      </c>
      <c r="B118" s="139">
        <v>0</v>
      </c>
      <c r="C118" s="139">
        <v>0</v>
      </c>
      <c r="D118" s="139">
        <v>74800</v>
      </c>
      <c r="E118" s="139">
        <v>94499</v>
      </c>
      <c r="F118" s="139">
        <v>94499</v>
      </c>
      <c r="G118" s="139">
        <v>123099</v>
      </c>
      <c r="H118" s="139"/>
      <c r="I118" s="139">
        <v>123099</v>
      </c>
      <c r="J118" s="139">
        <v>177549</v>
      </c>
      <c r="K118" s="139">
        <v>177549</v>
      </c>
      <c r="L118" s="139">
        <v>177549</v>
      </c>
      <c r="M118" s="139">
        <v>177549</v>
      </c>
      <c r="N118" s="139">
        <v>177549</v>
      </c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</row>
    <row r="119" spans="1:40" x14ac:dyDescent="0.15">
      <c r="A119" s="21" t="s">
        <v>105</v>
      </c>
      <c r="B119" s="139">
        <v>0</v>
      </c>
      <c r="C119" s="139">
        <v>0</v>
      </c>
      <c r="D119" s="139">
        <v>120678</v>
      </c>
      <c r="E119" s="139">
        <v>120678</v>
      </c>
      <c r="F119" s="139">
        <v>120678</v>
      </c>
      <c r="G119" s="139">
        <v>120678</v>
      </c>
      <c r="H119" s="139"/>
      <c r="I119" s="139">
        <v>120678</v>
      </c>
      <c r="J119" s="139">
        <v>120678</v>
      </c>
      <c r="K119" s="139">
        <v>120678</v>
      </c>
      <c r="L119" s="139">
        <v>120678</v>
      </c>
      <c r="M119" s="139">
        <v>120678</v>
      </c>
      <c r="N119" s="139">
        <v>120678</v>
      </c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</row>
    <row r="120" spans="1:40" x14ac:dyDescent="0.15">
      <c r="A120" s="21" t="s">
        <v>106</v>
      </c>
      <c r="B120" s="139">
        <v>72196</v>
      </c>
      <c r="C120" s="139">
        <v>190505</v>
      </c>
      <c r="D120" s="139">
        <v>287602</v>
      </c>
      <c r="E120" s="139">
        <v>393270</v>
      </c>
      <c r="F120" s="139">
        <v>487772</v>
      </c>
      <c r="G120" s="139">
        <v>596198</v>
      </c>
      <c r="H120" s="139"/>
      <c r="I120" s="139">
        <v>650294</v>
      </c>
      <c r="J120" s="139">
        <v>724167</v>
      </c>
      <c r="K120" s="139">
        <v>797193</v>
      </c>
      <c r="L120" s="139">
        <v>880979</v>
      </c>
      <c r="M120" s="139">
        <v>981901</v>
      </c>
      <c r="N120" s="139">
        <v>1051472</v>
      </c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</row>
    <row r="121" spans="1:40" x14ac:dyDescent="0.15">
      <c r="A121" s="21" t="s">
        <v>28</v>
      </c>
      <c r="B121" s="139">
        <v>30730</v>
      </c>
      <c r="C121" s="139">
        <v>55210</v>
      </c>
      <c r="D121" s="139">
        <v>64710</v>
      </c>
      <c r="E121" s="139">
        <v>100830</v>
      </c>
      <c r="F121" s="139">
        <v>122430</v>
      </c>
      <c r="G121" s="139">
        <v>131930</v>
      </c>
      <c r="H121" s="139"/>
      <c r="I121" s="139">
        <v>141430</v>
      </c>
      <c r="J121" s="139">
        <v>177550</v>
      </c>
      <c r="K121" s="139">
        <v>217010</v>
      </c>
      <c r="L121" s="139">
        <v>225860</v>
      </c>
      <c r="M121" s="139">
        <v>235360</v>
      </c>
      <c r="N121" s="139">
        <v>244860</v>
      </c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</row>
    <row r="122" spans="1:40" x14ac:dyDescent="0.15">
      <c r="A122" s="21" t="s">
        <v>107</v>
      </c>
      <c r="B122" s="139"/>
      <c r="C122" s="139">
        <v>10000</v>
      </c>
      <c r="D122" s="139">
        <v>13600</v>
      </c>
      <c r="E122" s="139">
        <v>13600</v>
      </c>
      <c r="F122" s="139">
        <v>21100</v>
      </c>
      <c r="G122" s="139">
        <v>21500</v>
      </c>
      <c r="H122" s="139"/>
      <c r="I122" s="139">
        <v>21658</v>
      </c>
      <c r="J122" s="139">
        <v>23858</v>
      </c>
      <c r="K122" s="139">
        <v>23858</v>
      </c>
      <c r="L122" s="139">
        <v>24658</v>
      </c>
      <c r="M122" s="139">
        <v>24658</v>
      </c>
      <c r="N122" s="139">
        <v>24658</v>
      </c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</row>
    <row r="123" spans="1:40" x14ac:dyDescent="0.15">
      <c r="A123" s="21" t="s">
        <v>27</v>
      </c>
      <c r="B123" s="139">
        <v>0</v>
      </c>
      <c r="C123" s="139">
        <v>0</v>
      </c>
      <c r="D123" s="139">
        <v>17600</v>
      </c>
      <c r="E123" s="139">
        <v>17600</v>
      </c>
      <c r="F123" s="139">
        <v>17600</v>
      </c>
      <c r="G123" s="139">
        <v>17600</v>
      </c>
      <c r="H123" s="139"/>
      <c r="I123" s="139">
        <v>17600</v>
      </c>
      <c r="J123" s="139">
        <v>22000</v>
      </c>
      <c r="K123" s="139">
        <v>22000</v>
      </c>
      <c r="L123" s="139">
        <v>22000</v>
      </c>
      <c r="M123" s="139">
        <v>22000</v>
      </c>
      <c r="N123" s="139">
        <v>22000</v>
      </c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</row>
    <row r="124" spans="1:40" x14ac:dyDescent="0.15">
      <c r="A124" s="21" t="s">
        <v>32</v>
      </c>
      <c r="B124" s="139">
        <v>636671</v>
      </c>
      <c r="C124" s="139">
        <v>1108197</v>
      </c>
      <c r="D124" s="139">
        <v>1475880</v>
      </c>
      <c r="E124" s="139">
        <v>1997759</v>
      </c>
      <c r="F124" s="139">
        <v>2405667</v>
      </c>
      <c r="G124" s="139">
        <v>3124307</v>
      </c>
      <c r="H124" s="139"/>
      <c r="I124" s="139">
        <v>3671635</v>
      </c>
      <c r="J124" s="139">
        <v>4067703</v>
      </c>
      <c r="K124" s="139">
        <v>4568479</v>
      </c>
      <c r="L124" s="139">
        <v>5127470</v>
      </c>
      <c r="M124" s="139">
        <v>5757435</v>
      </c>
      <c r="N124" s="139">
        <v>6449214</v>
      </c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</row>
    <row r="125" spans="1:40" x14ac:dyDescent="0.15">
      <c r="A125" s="21" t="s">
        <v>405</v>
      </c>
      <c r="B125" s="139">
        <v>12000</v>
      </c>
      <c r="C125" s="139">
        <v>42500</v>
      </c>
      <c r="D125" s="139">
        <v>44500</v>
      </c>
      <c r="E125" s="139">
        <v>48500</v>
      </c>
      <c r="F125" s="139">
        <v>54500</v>
      </c>
      <c r="G125" s="139">
        <v>68380</v>
      </c>
      <c r="H125" s="139"/>
      <c r="I125" s="139">
        <v>74817</v>
      </c>
      <c r="J125" s="139">
        <v>79297</v>
      </c>
      <c r="K125" s="139">
        <v>82297</v>
      </c>
      <c r="L125" s="139">
        <v>110537</v>
      </c>
      <c r="M125" s="139">
        <v>110537</v>
      </c>
      <c r="N125" s="139">
        <v>121537</v>
      </c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</row>
    <row r="126" spans="1:40" x14ac:dyDescent="0.15">
      <c r="A126" s="21" t="s">
        <v>437</v>
      </c>
      <c r="B126" s="139">
        <v>3000</v>
      </c>
      <c r="C126" s="139">
        <v>3000</v>
      </c>
      <c r="D126" s="139">
        <v>3000</v>
      </c>
      <c r="E126" s="139">
        <v>14800</v>
      </c>
      <c r="F126" s="139">
        <v>44300</v>
      </c>
      <c r="G126" s="139">
        <v>44300</v>
      </c>
      <c r="H126" s="139"/>
      <c r="I126" s="139">
        <v>44300</v>
      </c>
      <c r="J126" s="139">
        <v>47300</v>
      </c>
      <c r="K126" s="139">
        <v>47300</v>
      </c>
      <c r="L126" s="139">
        <v>47300</v>
      </c>
      <c r="M126" s="139">
        <v>47300</v>
      </c>
      <c r="N126" s="139">
        <v>64300</v>
      </c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</row>
    <row r="127" spans="1:40" x14ac:dyDescent="0.15">
      <c r="A127" s="21" t="s">
        <v>109</v>
      </c>
      <c r="B127" s="139">
        <v>467646</v>
      </c>
      <c r="C127" s="139">
        <v>887335</v>
      </c>
      <c r="D127" s="139">
        <v>1347791</v>
      </c>
      <c r="E127" s="139">
        <v>1849363</v>
      </c>
      <c r="F127" s="139">
        <v>2358534</v>
      </c>
      <c r="G127" s="139">
        <v>3048741</v>
      </c>
      <c r="H127" s="139"/>
      <c r="I127" s="139">
        <v>3558185</v>
      </c>
      <c r="J127" s="139">
        <v>4072135</v>
      </c>
      <c r="K127" s="139">
        <v>4554930</v>
      </c>
      <c r="L127" s="139">
        <v>4925855</v>
      </c>
      <c r="M127" s="139">
        <v>5418619</v>
      </c>
      <c r="N127" s="139">
        <v>5776906</v>
      </c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</row>
    <row r="128" spans="1:40" x14ac:dyDescent="0.15">
      <c r="A128" s="21" t="s">
        <v>35</v>
      </c>
      <c r="B128" s="139">
        <v>13513</v>
      </c>
      <c r="C128" s="139">
        <v>21734</v>
      </c>
      <c r="D128" s="139">
        <v>30426</v>
      </c>
      <c r="E128" s="139">
        <v>33327</v>
      </c>
      <c r="F128" s="139">
        <v>53522</v>
      </c>
      <c r="G128" s="139">
        <v>75412</v>
      </c>
      <c r="H128" s="139"/>
      <c r="I128" s="139">
        <v>86587</v>
      </c>
      <c r="J128" s="139">
        <v>102033</v>
      </c>
      <c r="K128" s="139">
        <v>103276</v>
      </c>
      <c r="L128" s="139">
        <v>105696</v>
      </c>
      <c r="M128" s="139">
        <v>113616</v>
      </c>
      <c r="N128" s="139">
        <v>120535</v>
      </c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</row>
    <row r="129" spans="1:40" x14ac:dyDescent="0.15">
      <c r="A129" s="21" t="s">
        <v>110</v>
      </c>
      <c r="B129" s="139">
        <v>69706</v>
      </c>
      <c r="C129" s="139">
        <v>205276</v>
      </c>
      <c r="D129" s="139">
        <v>205276</v>
      </c>
      <c r="E129" s="139">
        <v>205276</v>
      </c>
      <c r="F129" s="139">
        <v>205276</v>
      </c>
      <c r="G129" s="139">
        <v>233806</v>
      </c>
      <c r="H129" s="139"/>
      <c r="I129" s="139">
        <v>281246</v>
      </c>
      <c r="J129" s="139">
        <v>281246</v>
      </c>
      <c r="K129" s="139">
        <v>281246</v>
      </c>
      <c r="L129" s="139">
        <v>695806</v>
      </c>
      <c r="M129" s="139">
        <v>695366</v>
      </c>
      <c r="N129" s="139">
        <v>695366</v>
      </c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</row>
    <row r="130" spans="1:40" x14ac:dyDescent="0.15">
      <c r="A130" s="21" t="s">
        <v>111</v>
      </c>
      <c r="B130" s="139">
        <v>272402</v>
      </c>
      <c r="C130" s="139">
        <v>747526</v>
      </c>
      <c r="D130" s="139">
        <v>1076563</v>
      </c>
      <c r="E130" s="139">
        <v>1689513</v>
      </c>
      <c r="F130" s="139">
        <v>2066079</v>
      </c>
      <c r="G130" s="139">
        <v>2384769</v>
      </c>
      <c r="H130" s="139"/>
      <c r="I130" s="139">
        <v>2890707</v>
      </c>
      <c r="J130" s="139">
        <v>3545688</v>
      </c>
      <c r="K130" s="139">
        <v>3877118</v>
      </c>
      <c r="L130" s="139">
        <v>4715490</v>
      </c>
      <c r="M130" s="139">
        <v>4976251</v>
      </c>
      <c r="N130" s="139">
        <v>5566409</v>
      </c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</row>
    <row r="131" spans="1:40" x14ac:dyDescent="0.15">
      <c r="A131" s="21" t="s">
        <v>112</v>
      </c>
      <c r="B131" s="139">
        <v>0</v>
      </c>
      <c r="C131" s="139">
        <v>0</v>
      </c>
      <c r="D131" s="139">
        <v>0</v>
      </c>
      <c r="E131" s="139">
        <v>277200</v>
      </c>
      <c r="F131" s="139">
        <v>277200</v>
      </c>
      <c r="G131" s="139">
        <v>277200</v>
      </c>
      <c r="H131" s="139"/>
      <c r="I131" s="139">
        <v>277200</v>
      </c>
      <c r="J131" s="139">
        <v>277200</v>
      </c>
      <c r="K131" s="139">
        <v>277200</v>
      </c>
      <c r="L131" s="139">
        <v>277200</v>
      </c>
      <c r="M131" s="139">
        <v>277200</v>
      </c>
      <c r="N131" s="139">
        <v>277200</v>
      </c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</row>
    <row r="132" spans="1:40" x14ac:dyDescent="0.15">
      <c r="A132" s="21" t="s">
        <v>113</v>
      </c>
      <c r="B132" s="139">
        <v>342948</v>
      </c>
      <c r="C132" s="139">
        <v>649388</v>
      </c>
      <c r="D132" s="139">
        <v>977046</v>
      </c>
      <c r="E132" s="139">
        <v>1281384</v>
      </c>
      <c r="F132" s="139">
        <v>1605522</v>
      </c>
      <c r="G132" s="139">
        <v>2028220</v>
      </c>
      <c r="H132" s="139"/>
      <c r="I132" s="139">
        <v>2405949</v>
      </c>
      <c r="J132" s="139">
        <v>2745487</v>
      </c>
      <c r="K132" s="139">
        <v>3055765</v>
      </c>
      <c r="L132" s="139">
        <v>3338073</v>
      </c>
      <c r="M132" s="139">
        <v>3690213</v>
      </c>
      <c r="N132" s="139">
        <v>4059557</v>
      </c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</row>
    <row r="133" spans="1:40" x14ac:dyDescent="0.15">
      <c r="A133" s="21" t="s">
        <v>121</v>
      </c>
      <c r="B133" s="139">
        <v>295000</v>
      </c>
      <c r="C133" s="139">
        <v>710000</v>
      </c>
      <c r="D133" s="139">
        <v>1005000</v>
      </c>
      <c r="E133" s="139">
        <v>1300000</v>
      </c>
      <c r="F133" s="139">
        <v>1595000</v>
      </c>
      <c r="G133" s="139">
        <v>1890000</v>
      </c>
      <c r="H133" s="139"/>
      <c r="I133" s="139">
        <v>2235000</v>
      </c>
      <c r="J133" s="139">
        <v>2580000</v>
      </c>
      <c r="K133" s="139">
        <v>2925000</v>
      </c>
      <c r="L133" s="139">
        <v>3270000</v>
      </c>
      <c r="M133" s="139">
        <v>3615000</v>
      </c>
      <c r="N133" s="139">
        <v>3960000</v>
      </c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</row>
    <row r="134" spans="1:40" x14ac:dyDescent="0.15">
      <c r="A134" s="21" t="s">
        <v>122</v>
      </c>
      <c r="B134" s="139"/>
      <c r="C134" s="139">
        <v>369700</v>
      </c>
      <c r="D134" s="139">
        <v>369700</v>
      </c>
      <c r="E134" s="139">
        <v>418300</v>
      </c>
      <c r="F134" s="139">
        <v>418484</v>
      </c>
      <c r="G134" s="139">
        <v>418488</v>
      </c>
      <c r="H134" s="139"/>
      <c r="I134" s="139">
        <v>418506</v>
      </c>
      <c r="J134" s="139">
        <v>418706</v>
      </c>
      <c r="K134" s="139">
        <v>467306</v>
      </c>
      <c r="L134" s="139">
        <v>467306</v>
      </c>
      <c r="M134" s="139">
        <v>516257</v>
      </c>
      <c r="N134" s="139">
        <v>516733</v>
      </c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</row>
    <row r="135" spans="1:40" x14ac:dyDescent="0.15">
      <c r="A135" s="21" t="s">
        <v>37</v>
      </c>
      <c r="B135" s="139">
        <v>146735</v>
      </c>
      <c r="C135" s="139">
        <v>204952</v>
      </c>
      <c r="D135" s="139">
        <v>311685</v>
      </c>
      <c r="E135" s="139">
        <v>576041</v>
      </c>
      <c r="F135" s="139">
        <v>638201</v>
      </c>
      <c r="G135" s="139">
        <v>1159171</v>
      </c>
      <c r="H135" s="139"/>
      <c r="I135" s="139">
        <v>1211247</v>
      </c>
      <c r="J135" s="139">
        <v>1223909</v>
      </c>
      <c r="K135" s="139">
        <v>1439452</v>
      </c>
      <c r="L135" s="139">
        <v>1498387</v>
      </c>
      <c r="M135" s="139">
        <v>1549875</v>
      </c>
      <c r="N135" s="139">
        <v>1710392</v>
      </c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</row>
    <row r="136" spans="1:40" x14ac:dyDescent="0.15">
      <c r="A136" s="21" t="s">
        <v>114</v>
      </c>
      <c r="B136" s="139">
        <v>0</v>
      </c>
      <c r="C136" s="139">
        <v>0</v>
      </c>
      <c r="D136" s="139">
        <v>0</v>
      </c>
      <c r="E136" s="139">
        <v>0</v>
      </c>
      <c r="F136" s="139">
        <v>0</v>
      </c>
      <c r="G136" s="139">
        <v>11435</v>
      </c>
      <c r="H136" s="139"/>
      <c r="I136" s="139">
        <v>11435</v>
      </c>
      <c r="J136" s="139">
        <v>15733</v>
      </c>
      <c r="K136" s="139">
        <v>22113</v>
      </c>
      <c r="L136" s="139">
        <v>27425</v>
      </c>
      <c r="M136" s="139">
        <v>27425</v>
      </c>
      <c r="N136" s="139">
        <v>27425</v>
      </c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</row>
    <row r="137" spans="1:40" x14ac:dyDescent="0.15">
      <c r="A137" s="127" t="s">
        <v>115</v>
      </c>
      <c r="B137" s="139">
        <v>323531</v>
      </c>
      <c r="C137" s="139">
        <v>628531</v>
      </c>
      <c r="D137" s="139">
        <v>846022</v>
      </c>
      <c r="E137" s="139">
        <v>1181635</v>
      </c>
      <c r="F137" s="139">
        <v>1489550</v>
      </c>
      <c r="G137" s="139">
        <v>1705903</v>
      </c>
      <c r="H137" s="139"/>
      <c r="I137" s="139">
        <v>2301719</v>
      </c>
      <c r="J137" s="139">
        <v>2488561</v>
      </c>
      <c r="K137" s="139">
        <v>2720986</v>
      </c>
      <c r="L137" s="139">
        <v>2995461</v>
      </c>
      <c r="M137" s="139">
        <v>3260280</v>
      </c>
      <c r="N137" s="139">
        <v>3786117</v>
      </c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</row>
    <row r="138" spans="1:40" x14ac:dyDescent="0.15">
      <c r="A138" s="21" t="s">
        <v>46</v>
      </c>
      <c r="B138" s="139">
        <v>0</v>
      </c>
      <c r="C138" s="139">
        <v>0</v>
      </c>
      <c r="D138" s="139">
        <v>0</v>
      </c>
      <c r="E138" s="139">
        <v>0</v>
      </c>
      <c r="F138" s="139">
        <v>0</v>
      </c>
      <c r="G138" s="139">
        <v>0</v>
      </c>
      <c r="H138" s="139"/>
      <c r="I138" s="139">
        <v>0</v>
      </c>
      <c r="J138" s="139">
        <v>0</v>
      </c>
      <c r="K138" s="139">
        <v>0</v>
      </c>
      <c r="L138" s="139">
        <v>0</v>
      </c>
      <c r="M138" s="139">
        <v>0</v>
      </c>
      <c r="N138" s="139">
        <v>2704602</v>
      </c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</row>
    <row r="140" spans="1:40" x14ac:dyDescent="0.15">
      <c r="A140" s="21" t="s">
        <v>380</v>
      </c>
      <c r="B140" s="136">
        <v>0</v>
      </c>
      <c r="C140" s="136">
        <v>0</v>
      </c>
      <c r="D140" s="136">
        <v>0</v>
      </c>
      <c r="E140" s="136">
        <v>42123</v>
      </c>
      <c r="F140" s="136">
        <v>35822</v>
      </c>
      <c r="G140" s="136">
        <v>31576</v>
      </c>
      <c r="I140" s="136">
        <v>29453</v>
      </c>
      <c r="J140" s="136">
        <v>95521</v>
      </c>
      <c r="K140" s="136">
        <v>95521</v>
      </c>
      <c r="L140" s="136">
        <v>87027</v>
      </c>
      <c r="M140" s="136">
        <v>87027</v>
      </c>
      <c r="N140" s="136">
        <v>87027</v>
      </c>
    </row>
    <row r="141" spans="1:40" x14ac:dyDescent="0.15">
      <c r="A141" s="21" t="s">
        <v>381</v>
      </c>
      <c r="B141" s="136">
        <v>25602</v>
      </c>
      <c r="C141" s="136">
        <v>53371</v>
      </c>
      <c r="D141" s="136">
        <v>76597</v>
      </c>
      <c r="E141" s="136">
        <v>101942</v>
      </c>
      <c r="F141" s="136">
        <v>128527</v>
      </c>
      <c r="G141" s="136">
        <v>151143</v>
      </c>
      <c r="I141" s="136">
        <v>175800</v>
      </c>
      <c r="J141" s="136">
        <v>200076</v>
      </c>
      <c r="K141" s="136">
        <v>223200</v>
      </c>
      <c r="L141" s="136">
        <v>248990</v>
      </c>
      <c r="M141" s="136">
        <v>269138</v>
      </c>
      <c r="N141" s="136">
        <v>362502</v>
      </c>
    </row>
    <row r="142" spans="1:40" x14ac:dyDescent="0.15">
      <c r="A142" s="21" t="s">
        <v>382</v>
      </c>
      <c r="B142" s="136">
        <v>38880</v>
      </c>
      <c r="C142" s="136">
        <v>38880</v>
      </c>
      <c r="D142" s="136">
        <v>38880</v>
      </c>
      <c r="E142" s="136">
        <v>114230</v>
      </c>
      <c r="F142" s="136">
        <v>115227</v>
      </c>
      <c r="G142" s="136">
        <v>118800</v>
      </c>
      <c r="I142" s="136">
        <v>119300</v>
      </c>
      <c r="J142" s="136">
        <v>119300</v>
      </c>
      <c r="K142" s="136">
        <v>119300</v>
      </c>
      <c r="L142" s="136">
        <v>119300</v>
      </c>
      <c r="M142" s="136">
        <v>119300</v>
      </c>
      <c r="N142" s="136">
        <v>119300</v>
      </c>
    </row>
  </sheetData>
  <mergeCells count="5">
    <mergeCell ref="A1:P1"/>
    <mergeCell ref="Q73:R73"/>
    <mergeCell ref="Q74:R74"/>
    <mergeCell ref="Q75:R75"/>
    <mergeCell ref="Q76:R76"/>
  </mergeCells>
  <phoneticPr fontId="3"/>
  <pageMargins left="0.70866141732283472" right="0" top="0" bottom="0" header="0.23622047244094491" footer="0.27559055118110237"/>
  <pageSetup paperSize="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6413-A60F-4FA4-81D7-50E27275E95A}">
  <dimension ref="A1:AN142"/>
  <sheetViews>
    <sheetView topLeftCell="A55" zoomScaleNormal="100" workbookViewId="0">
      <pane xSplit="1" topLeftCell="B1" activePane="topRight" state="frozen"/>
      <selection activeCell="A10" sqref="A10"/>
      <selection pane="topRight" activeCell="F76" sqref="F76"/>
    </sheetView>
  </sheetViews>
  <sheetFormatPr defaultRowHeight="13.5" x14ac:dyDescent="0.15"/>
  <cols>
    <col min="1" max="1" width="18.75" style="128" customWidth="1"/>
    <col min="2" max="6" width="11" style="128" customWidth="1"/>
    <col min="7" max="7" width="12" style="128" customWidth="1"/>
    <col min="8" max="8" width="12.25" style="128" customWidth="1"/>
    <col min="9" max="10" width="12.125" style="128" customWidth="1"/>
    <col min="11" max="11" width="12" style="128" customWidth="1"/>
    <col min="12" max="12" width="12.25" style="128" customWidth="1"/>
    <col min="13" max="13" width="12" style="128" customWidth="1"/>
    <col min="14" max="14" width="12.625" style="128" customWidth="1"/>
    <col min="15" max="15" width="12.25" style="128" customWidth="1"/>
    <col min="16" max="16" width="13.875" style="128" customWidth="1"/>
    <col min="17" max="16384" width="9" style="128"/>
  </cols>
  <sheetData>
    <row r="1" spans="1:16" ht="15.75" customHeight="1" thickBot="1" x14ac:dyDescent="0.2">
      <c r="A1" s="181" t="s">
        <v>451</v>
      </c>
      <c r="B1" s="181"/>
      <c r="C1" s="181"/>
      <c r="D1" s="181"/>
      <c r="E1" s="181"/>
      <c r="F1" s="181"/>
      <c r="G1" s="181"/>
      <c r="H1" s="182"/>
      <c r="I1" s="181"/>
      <c r="J1" s="181"/>
      <c r="K1" s="181"/>
      <c r="L1" s="181"/>
      <c r="M1" s="181"/>
      <c r="N1" s="181"/>
      <c r="O1" s="182"/>
      <c r="P1" s="182"/>
    </row>
    <row r="2" spans="1:16" ht="12" customHeight="1" x14ac:dyDescent="0.15">
      <c r="A2" s="48" t="s">
        <v>43</v>
      </c>
      <c r="B2" s="129" t="s">
        <v>452</v>
      </c>
      <c r="C2" s="48" t="s">
        <v>453</v>
      </c>
      <c r="D2" s="129" t="s">
        <v>454</v>
      </c>
      <c r="E2" s="48" t="s">
        <v>455</v>
      </c>
      <c r="F2" s="129" t="s">
        <v>456</v>
      </c>
      <c r="G2" s="148" t="s">
        <v>457</v>
      </c>
      <c r="H2" s="160" t="s">
        <v>39</v>
      </c>
      <c r="I2" s="154" t="s">
        <v>458</v>
      </c>
      <c r="J2" s="48" t="s">
        <v>459</v>
      </c>
      <c r="K2" s="48" t="s">
        <v>460</v>
      </c>
      <c r="L2" s="48" t="s">
        <v>461</v>
      </c>
      <c r="M2" s="48" t="s">
        <v>462</v>
      </c>
      <c r="N2" s="148" t="s">
        <v>463</v>
      </c>
      <c r="O2" s="160" t="s">
        <v>41</v>
      </c>
      <c r="P2" s="160" t="s">
        <v>42</v>
      </c>
    </row>
    <row r="3" spans="1:16" ht="12" customHeight="1" x14ac:dyDescent="0.15">
      <c r="A3" s="24" t="s">
        <v>259</v>
      </c>
      <c r="B3" s="130" t="s">
        <v>40</v>
      </c>
      <c r="C3" s="131"/>
      <c r="D3" s="131"/>
      <c r="E3" s="131"/>
      <c r="F3" s="131"/>
      <c r="G3" s="149"/>
      <c r="H3" s="161"/>
      <c r="I3" s="155"/>
      <c r="J3" s="131"/>
      <c r="K3" s="131"/>
      <c r="L3" s="131"/>
      <c r="M3" s="131"/>
      <c r="N3" s="149"/>
      <c r="O3" s="161"/>
      <c r="P3" s="161"/>
    </row>
    <row r="4" spans="1:16" ht="12" customHeight="1" x14ac:dyDescent="0.15">
      <c r="A4" s="24" t="s">
        <v>0</v>
      </c>
      <c r="B4" s="132">
        <f>SUM(B5:B7)</f>
        <v>65000</v>
      </c>
      <c r="C4" s="132">
        <f t="shared" ref="C4:K4" si="0">SUM(C5:C7)</f>
        <v>21000</v>
      </c>
      <c r="D4" s="132">
        <f t="shared" si="0"/>
        <v>4000</v>
      </c>
      <c r="E4" s="132">
        <f>SUM(E5:E7)</f>
        <v>2000</v>
      </c>
      <c r="F4" s="132">
        <f>SUM(F5:F7)</f>
        <v>1000</v>
      </c>
      <c r="G4" s="150">
        <f t="shared" si="0"/>
        <v>0</v>
      </c>
      <c r="H4" s="162">
        <f t="shared" ref="H4:H35" si="1">SUM(B4:G4)</f>
        <v>93000</v>
      </c>
      <c r="I4" s="156">
        <f>SUM(I5:I7)</f>
        <v>0</v>
      </c>
      <c r="J4" s="132">
        <f>SUM(J5:J7)</f>
        <v>0</v>
      </c>
      <c r="K4" s="132">
        <f t="shared" si="0"/>
        <v>0</v>
      </c>
      <c r="L4" s="132">
        <f>SUM(L5:L7)</f>
        <v>0</v>
      </c>
      <c r="M4" s="132">
        <f>SUM(M5:M7)</f>
        <v>0</v>
      </c>
      <c r="N4" s="150">
        <f>SUM(N5:N7)</f>
        <v>0</v>
      </c>
      <c r="O4" s="162">
        <f>SUM(I4:N4)</f>
        <v>0</v>
      </c>
      <c r="P4" s="162">
        <f>H4+O4</f>
        <v>93000</v>
      </c>
    </row>
    <row r="5" spans="1:16" ht="12" customHeight="1" x14ac:dyDescent="0.15">
      <c r="A5" s="21" t="s">
        <v>1</v>
      </c>
      <c r="B5" s="131">
        <f>B77</f>
        <v>63000</v>
      </c>
      <c r="C5" s="131">
        <f>C77-B77</f>
        <v>2000</v>
      </c>
      <c r="D5" s="131">
        <f>D77-C77</f>
        <v>1000</v>
      </c>
      <c r="E5" s="131">
        <f>E77-D77</f>
        <v>0</v>
      </c>
      <c r="F5" s="131">
        <f>F77-E77</f>
        <v>0</v>
      </c>
      <c r="G5" s="131"/>
      <c r="H5" s="161">
        <f t="shared" si="1"/>
        <v>66000</v>
      </c>
      <c r="I5" s="155"/>
      <c r="J5" s="131"/>
      <c r="K5" s="131"/>
      <c r="L5" s="131"/>
      <c r="M5" s="131"/>
      <c r="N5" s="131"/>
      <c r="O5" s="161">
        <f t="shared" ref="O5:O75" si="2">SUM(I5:N5)</f>
        <v>0</v>
      </c>
      <c r="P5" s="161">
        <f t="shared" ref="P5:P75" si="3">H5+O5</f>
        <v>66000</v>
      </c>
    </row>
    <row r="6" spans="1:16" ht="12" customHeight="1" x14ac:dyDescent="0.15">
      <c r="A6" s="21" t="s">
        <v>2</v>
      </c>
      <c r="B6" s="131">
        <f>B78</f>
        <v>1000</v>
      </c>
      <c r="C6" s="131">
        <f t="shared" ref="C6:D7" si="4">C78-B78</f>
        <v>18000</v>
      </c>
      <c r="D6" s="131">
        <f t="shared" si="4"/>
        <v>3000</v>
      </c>
      <c r="E6" s="131">
        <f t="shared" ref="E6:F7" si="5">E78-D78</f>
        <v>2000</v>
      </c>
      <c r="F6" s="131">
        <f t="shared" si="5"/>
        <v>1000</v>
      </c>
      <c r="G6" s="131"/>
      <c r="H6" s="161">
        <f t="shared" si="1"/>
        <v>25000</v>
      </c>
      <c r="I6" s="155"/>
      <c r="J6" s="131"/>
      <c r="K6" s="131"/>
      <c r="L6" s="131"/>
      <c r="M6" s="131"/>
      <c r="N6" s="131"/>
      <c r="O6" s="161">
        <f t="shared" si="2"/>
        <v>0</v>
      </c>
      <c r="P6" s="161">
        <f t="shared" si="3"/>
        <v>25000</v>
      </c>
    </row>
    <row r="7" spans="1:16" ht="12" customHeight="1" x14ac:dyDescent="0.15">
      <c r="A7" s="21" t="s">
        <v>3</v>
      </c>
      <c r="B7" s="131">
        <f>B79</f>
        <v>1000</v>
      </c>
      <c r="C7" s="131">
        <f t="shared" si="4"/>
        <v>1000</v>
      </c>
      <c r="D7" s="131">
        <f t="shared" si="4"/>
        <v>0</v>
      </c>
      <c r="E7" s="131">
        <f t="shared" si="5"/>
        <v>0</v>
      </c>
      <c r="F7" s="131">
        <f t="shared" si="5"/>
        <v>0</v>
      </c>
      <c r="G7" s="131"/>
      <c r="H7" s="161">
        <f t="shared" si="1"/>
        <v>2000</v>
      </c>
      <c r="I7" s="155"/>
      <c r="J7" s="131"/>
      <c r="K7" s="131"/>
      <c r="L7" s="131"/>
      <c r="M7" s="131"/>
      <c r="N7" s="131"/>
      <c r="O7" s="161">
        <f t="shared" si="2"/>
        <v>0</v>
      </c>
      <c r="P7" s="161">
        <f t="shared" si="3"/>
        <v>2000</v>
      </c>
    </row>
    <row r="8" spans="1:16" ht="12" customHeight="1" x14ac:dyDescent="0.15">
      <c r="A8" s="24" t="s">
        <v>4</v>
      </c>
      <c r="B8" s="132">
        <f t="shared" ref="B8:G8" si="6">SUM(B9:B30)</f>
        <v>13597190</v>
      </c>
      <c r="C8" s="132">
        <f t="shared" si="6"/>
        <v>14716300</v>
      </c>
      <c r="D8" s="132">
        <f t="shared" si="6"/>
        <v>13365860</v>
      </c>
      <c r="E8" s="132">
        <f t="shared" si="6"/>
        <v>14069250</v>
      </c>
      <c r="F8" s="132">
        <f t="shared" si="6"/>
        <v>13582390</v>
      </c>
      <c r="G8" s="150">
        <f t="shared" si="6"/>
        <v>0</v>
      </c>
      <c r="H8" s="162">
        <f t="shared" si="1"/>
        <v>69330990</v>
      </c>
      <c r="I8" s="156">
        <f t="shared" ref="I8:N8" si="7">SUM(I9:I30)</f>
        <v>0</v>
      </c>
      <c r="J8" s="132">
        <f t="shared" si="7"/>
        <v>0</v>
      </c>
      <c r="K8" s="132">
        <f t="shared" si="7"/>
        <v>0</v>
      </c>
      <c r="L8" s="132">
        <f t="shared" si="7"/>
        <v>0</v>
      </c>
      <c r="M8" s="132">
        <f t="shared" si="7"/>
        <v>0</v>
      </c>
      <c r="N8" s="150">
        <f t="shared" si="7"/>
        <v>0</v>
      </c>
      <c r="O8" s="162">
        <f t="shared" si="2"/>
        <v>0</v>
      </c>
      <c r="P8" s="162">
        <f t="shared" si="3"/>
        <v>69330990</v>
      </c>
    </row>
    <row r="9" spans="1:16" ht="12" customHeight="1" x14ac:dyDescent="0.15">
      <c r="A9" s="47" t="s">
        <v>94</v>
      </c>
      <c r="B9" s="131">
        <f>B81</f>
        <v>2486460</v>
      </c>
      <c r="C9" s="131">
        <f>C81-B81</f>
        <v>2721620</v>
      </c>
      <c r="D9" s="131">
        <f>D81-C81</f>
        <v>2796150</v>
      </c>
      <c r="E9" s="131">
        <f>E81-D81</f>
        <v>2701870</v>
      </c>
      <c r="F9" s="131">
        <f>F81-E81</f>
        <v>2650730</v>
      </c>
      <c r="G9" s="131"/>
      <c r="H9" s="161">
        <f t="shared" si="1"/>
        <v>13356830</v>
      </c>
      <c r="I9" s="155"/>
      <c r="J9" s="131"/>
      <c r="K9" s="131"/>
      <c r="L9" s="131"/>
      <c r="M9" s="131"/>
      <c r="N9" s="131"/>
      <c r="O9" s="161">
        <f t="shared" si="2"/>
        <v>0</v>
      </c>
      <c r="P9" s="161">
        <f t="shared" si="3"/>
        <v>13356830</v>
      </c>
    </row>
    <row r="10" spans="1:16" ht="12" customHeight="1" x14ac:dyDescent="0.15">
      <c r="A10" s="48" t="s">
        <v>247</v>
      </c>
      <c r="B10" s="133">
        <f>203800</f>
        <v>203800</v>
      </c>
      <c r="C10" s="133">
        <f>208060</f>
        <v>208060</v>
      </c>
      <c r="D10" s="133">
        <v>212320</v>
      </c>
      <c r="E10" s="133">
        <v>204900</v>
      </c>
      <c r="F10" s="133">
        <v>239000</v>
      </c>
      <c r="G10" s="151"/>
      <c r="H10" s="161">
        <f t="shared" si="1"/>
        <v>1068080</v>
      </c>
      <c r="I10" s="157"/>
      <c r="J10" s="133"/>
      <c r="K10" s="133"/>
      <c r="L10" s="133"/>
      <c r="M10" s="133"/>
      <c r="N10" s="151"/>
      <c r="O10" s="161">
        <f t="shared" si="2"/>
        <v>0</v>
      </c>
      <c r="P10" s="161">
        <f t="shared" si="3"/>
        <v>1068080</v>
      </c>
    </row>
    <row r="11" spans="1:16" ht="12" customHeight="1" x14ac:dyDescent="0.15">
      <c r="A11" s="48" t="s">
        <v>319</v>
      </c>
      <c r="B11" s="133">
        <f>3300+27720</f>
        <v>31020</v>
      </c>
      <c r="C11" s="133">
        <f>21560</f>
        <v>21560</v>
      </c>
      <c r="D11" s="133">
        <v>40260</v>
      </c>
      <c r="E11" s="133">
        <v>12320</v>
      </c>
      <c r="F11" s="133">
        <f>3300+6160</f>
        <v>9460</v>
      </c>
      <c r="G11" s="151"/>
      <c r="H11" s="161">
        <f t="shared" si="1"/>
        <v>114620</v>
      </c>
      <c r="I11" s="170"/>
      <c r="J11" s="133"/>
      <c r="K11" s="133"/>
      <c r="L11" s="133"/>
      <c r="M11" s="133"/>
      <c r="N11" s="151"/>
      <c r="O11" s="161">
        <f t="shared" si="2"/>
        <v>0</v>
      </c>
      <c r="P11" s="161">
        <f t="shared" si="3"/>
        <v>114620</v>
      </c>
    </row>
    <row r="12" spans="1:16" ht="12" customHeight="1" x14ac:dyDescent="0.15">
      <c r="A12" s="47" t="s">
        <v>95</v>
      </c>
      <c r="B12" s="134">
        <f>4073890-291200+3601270-235900-7700</f>
        <v>7140360</v>
      </c>
      <c r="C12" s="134">
        <f>8881830-4073890-312900-15400+7373920-3601270-256100-700</f>
        <v>7995490</v>
      </c>
      <c r="D12" s="133">
        <f>7227570-D13</f>
        <v>6724470</v>
      </c>
      <c r="E12" s="133">
        <f>7966140-E13</f>
        <v>7413040</v>
      </c>
      <c r="F12" s="133">
        <f>7706360-F13</f>
        <v>7174160</v>
      </c>
      <c r="G12" s="151"/>
      <c r="H12" s="161">
        <f t="shared" si="1"/>
        <v>36447520</v>
      </c>
      <c r="I12" s="157"/>
      <c r="J12" s="133"/>
      <c r="K12" s="133"/>
      <c r="L12" s="133"/>
      <c r="M12" s="133"/>
      <c r="N12" s="151"/>
      <c r="O12" s="161">
        <f t="shared" si="2"/>
        <v>0</v>
      </c>
      <c r="P12" s="161">
        <f t="shared" si="3"/>
        <v>36447520</v>
      </c>
    </row>
    <row r="13" spans="1:16" ht="12" customHeight="1" x14ac:dyDescent="0.15">
      <c r="A13" s="21" t="s">
        <v>58</v>
      </c>
      <c r="B13" s="133">
        <f>291200+235900+7700</f>
        <v>534800</v>
      </c>
      <c r="C13" s="133">
        <f>312900+15400+256100+700</f>
        <v>585100</v>
      </c>
      <c r="D13" s="133">
        <f>275700+2100+220400+4900</f>
        <v>503100</v>
      </c>
      <c r="E13" s="133">
        <v>553100</v>
      </c>
      <c r="F13" s="133">
        <v>532200</v>
      </c>
      <c r="G13" s="151"/>
      <c r="H13" s="161">
        <f t="shared" si="1"/>
        <v>2708300</v>
      </c>
      <c r="I13" s="157"/>
      <c r="J13" s="133"/>
      <c r="K13" s="133"/>
      <c r="L13" s="133"/>
      <c r="M13" s="133"/>
      <c r="N13" s="151"/>
      <c r="O13" s="161">
        <f t="shared" si="2"/>
        <v>0</v>
      </c>
      <c r="P13" s="161">
        <f t="shared" si="3"/>
        <v>2708300</v>
      </c>
    </row>
    <row r="14" spans="1:16" ht="12" customHeight="1" x14ac:dyDescent="0.15">
      <c r="A14" s="47" t="s">
        <v>96</v>
      </c>
      <c r="B14" s="133">
        <f>473850-58600+383250-50400</f>
        <v>748100</v>
      </c>
      <c r="C14" s="133">
        <f>912600-473850-62300+724230-383250-47500</f>
        <v>669930</v>
      </c>
      <c r="D14" s="133">
        <f>514390+296110-D15</f>
        <v>709700</v>
      </c>
      <c r="E14" s="133">
        <f>822390-E15</f>
        <v>708290</v>
      </c>
      <c r="F14" s="133">
        <f>682810-F15</f>
        <v>592510</v>
      </c>
      <c r="G14" s="151"/>
      <c r="H14" s="161">
        <f t="shared" si="1"/>
        <v>3428530</v>
      </c>
      <c r="I14" s="157"/>
      <c r="J14" s="133"/>
      <c r="K14" s="133"/>
      <c r="L14" s="133"/>
      <c r="M14" s="133"/>
      <c r="N14" s="151"/>
      <c r="O14" s="161">
        <f t="shared" si="2"/>
        <v>0</v>
      </c>
      <c r="P14" s="161">
        <f t="shared" si="3"/>
        <v>3428530</v>
      </c>
    </row>
    <row r="15" spans="1:16" ht="12" customHeight="1" x14ac:dyDescent="0.15">
      <c r="A15" s="21" t="s">
        <v>59</v>
      </c>
      <c r="B15" s="133">
        <f>58600+50400</f>
        <v>109000</v>
      </c>
      <c r="C15" s="133">
        <f>62300+47500</f>
        <v>109800</v>
      </c>
      <c r="D15" s="133">
        <v>100800</v>
      </c>
      <c r="E15" s="133">
        <v>114100</v>
      </c>
      <c r="F15" s="133">
        <v>90300</v>
      </c>
      <c r="G15" s="151"/>
      <c r="H15" s="161">
        <f t="shared" si="1"/>
        <v>524000</v>
      </c>
      <c r="I15" s="157"/>
      <c r="J15" s="133"/>
      <c r="K15" s="133"/>
      <c r="L15" s="133"/>
      <c r="M15" s="133"/>
      <c r="N15" s="151"/>
      <c r="O15" s="161">
        <f t="shared" si="2"/>
        <v>0</v>
      </c>
      <c r="P15" s="161">
        <f t="shared" si="3"/>
        <v>524000</v>
      </c>
    </row>
    <row r="16" spans="1:16" ht="12" customHeight="1" x14ac:dyDescent="0.15">
      <c r="A16" s="50" t="s">
        <v>120</v>
      </c>
      <c r="B16" s="167"/>
      <c r="C16" s="167"/>
      <c r="D16" s="167"/>
      <c r="E16" s="167"/>
      <c r="F16" s="167"/>
      <c r="G16" s="168"/>
      <c r="H16" s="161">
        <f t="shared" si="1"/>
        <v>0</v>
      </c>
      <c r="I16" s="169"/>
      <c r="J16" s="167"/>
      <c r="K16" s="167"/>
      <c r="L16" s="167"/>
      <c r="M16" s="167"/>
      <c r="N16" s="168"/>
      <c r="O16" s="161">
        <f t="shared" si="2"/>
        <v>0</v>
      </c>
      <c r="P16" s="161">
        <f t="shared" si="3"/>
        <v>0</v>
      </c>
    </row>
    <row r="17" spans="1:18" ht="12" customHeight="1" x14ac:dyDescent="0.15">
      <c r="A17" s="21" t="s">
        <v>59</v>
      </c>
      <c r="B17" s="167"/>
      <c r="C17" s="167"/>
      <c r="D17" s="167"/>
      <c r="E17" s="167"/>
      <c r="F17" s="167"/>
      <c r="G17" s="168"/>
      <c r="H17" s="161">
        <f t="shared" si="1"/>
        <v>0</v>
      </c>
      <c r="I17" s="169"/>
      <c r="J17" s="167"/>
      <c r="K17" s="167"/>
      <c r="L17" s="167"/>
      <c r="M17" s="167"/>
      <c r="N17" s="168"/>
      <c r="O17" s="161">
        <f t="shared" si="2"/>
        <v>0</v>
      </c>
      <c r="P17" s="161">
        <f t="shared" si="3"/>
        <v>0</v>
      </c>
    </row>
    <row r="18" spans="1:18" ht="12" customHeight="1" x14ac:dyDescent="0.15">
      <c r="A18" s="51" t="s">
        <v>245</v>
      </c>
      <c r="B18" s="131">
        <v>724790</v>
      </c>
      <c r="C18" s="131">
        <f>C90-B90</f>
        <v>795880</v>
      </c>
      <c r="D18" s="131">
        <f>D90-C90</f>
        <v>681730</v>
      </c>
      <c r="E18" s="131">
        <v>746200</v>
      </c>
      <c r="F18" s="131">
        <f>F90-E90</f>
        <v>713200</v>
      </c>
      <c r="G18" s="131"/>
      <c r="H18" s="161">
        <f t="shared" si="1"/>
        <v>3661800</v>
      </c>
      <c r="I18" s="155"/>
      <c r="J18" s="131"/>
      <c r="K18" s="131"/>
      <c r="L18" s="131"/>
      <c r="M18" s="131"/>
      <c r="N18" s="131"/>
      <c r="O18" s="161">
        <f>SUM(I18:N18)</f>
        <v>0</v>
      </c>
      <c r="P18" s="161">
        <f t="shared" si="3"/>
        <v>3661800</v>
      </c>
    </row>
    <row r="19" spans="1:18" ht="12" customHeight="1" x14ac:dyDescent="0.15">
      <c r="A19" s="51" t="s">
        <v>366</v>
      </c>
      <c r="B19" s="131">
        <f>B91</f>
        <v>0</v>
      </c>
      <c r="C19" s="131">
        <f>C91</f>
        <v>0</v>
      </c>
      <c r="D19" s="131">
        <v>0</v>
      </c>
      <c r="E19" s="131">
        <v>0</v>
      </c>
      <c r="F19" s="131">
        <v>0</v>
      </c>
      <c r="G19" s="131"/>
      <c r="H19" s="161">
        <f t="shared" si="1"/>
        <v>0</v>
      </c>
      <c r="I19" s="155"/>
      <c r="J19" s="131"/>
      <c r="K19" s="131"/>
      <c r="L19" s="131"/>
      <c r="M19" s="131"/>
      <c r="N19" s="131"/>
      <c r="O19" s="161">
        <f>SUM(I19:N19)</f>
        <v>0</v>
      </c>
      <c r="P19" s="161">
        <f t="shared" si="3"/>
        <v>0</v>
      </c>
      <c r="R19" s="128" t="s">
        <v>40</v>
      </c>
    </row>
    <row r="20" spans="1:18" ht="12" customHeight="1" x14ac:dyDescent="0.15">
      <c r="A20" s="51" t="s">
        <v>423</v>
      </c>
      <c r="B20" s="131">
        <f>B92</f>
        <v>0</v>
      </c>
      <c r="C20" s="131">
        <f>C92</f>
        <v>0</v>
      </c>
      <c r="D20" s="131">
        <v>0</v>
      </c>
      <c r="E20" s="131">
        <v>0</v>
      </c>
      <c r="F20" s="131">
        <v>0</v>
      </c>
      <c r="G20" s="131"/>
      <c r="H20" s="161">
        <f t="shared" si="1"/>
        <v>0</v>
      </c>
      <c r="I20" s="155"/>
      <c r="J20" s="131"/>
      <c r="K20" s="131"/>
      <c r="L20" s="131"/>
      <c r="M20" s="131"/>
      <c r="N20" s="131"/>
      <c r="O20" s="161">
        <f>SUM(I20:N20)</f>
        <v>0</v>
      </c>
      <c r="P20" s="161">
        <f t="shared" si="3"/>
        <v>0</v>
      </c>
    </row>
    <row r="21" spans="1:18" ht="12" customHeight="1" x14ac:dyDescent="0.15">
      <c r="A21" s="51" t="s">
        <v>338</v>
      </c>
      <c r="B21" s="133">
        <f>211360-32200</f>
        <v>179160</v>
      </c>
      <c r="C21" s="133">
        <f>412920-211360-21700</f>
        <v>179860</v>
      </c>
      <c r="D21" s="133">
        <v>164230</v>
      </c>
      <c r="E21" s="133">
        <f>201330-E22</f>
        <v>164230</v>
      </c>
      <c r="F21" s="133">
        <f>194330-F22</f>
        <v>164230</v>
      </c>
      <c r="G21" s="151"/>
      <c r="H21" s="161">
        <f t="shared" si="1"/>
        <v>851710</v>
      </c>
      <c r="I21" s="157"/>
      <c r="J21" s="133"/>
      <c r="K21" s="133"/>
      <c r="L21" s="133"/>
      <c r="M21" s="133"/>
      <c r="N21" s="151"/>
      <c r="O21" s="161">
        <f>SUM(I21:N21)</f>
        <v>0</v>
      </c>
      <c r="P21" s="161">
        <f>H21+O21</f>
        <v>851710</v>
      </c>
    </row>
    <row r="22" spans="1:18" ht="12" customHeight="1" x14ac:dyDescent="0.15">
      <c r="A22" s="21" t="s">
        <v>59</v>
      </c>
      <c r="B22" s="133">
        <f>32200</f>
        <v>32200</v>
      </c>
      <c r="C22" s="133">
        <f>21700</f>
        <v>21700</v>
      </c>
      <c r="D22" s="133">
        <v>30100</v>
      </c>
      <c r="E22" s="133">
        <v>37100</v>
      </c>
      <c r="F22" s="133">
        <v>30100</v>
      </c>
      <c r="G22" s="151"/>
      <c r="H22" s="161">
        <f t="shared" si="1"/>
        <v>151200</v>
      </c>
      <c r="I22" s="157"/>
      <c r="J22" s="133"/>
      <c r="K22" s="133"/>
      <c r="L22" s="133"/>
      <c r="M22" s="133"/>
      <c r="N22" s="151"/>
      <c r="O22" s="161">
        <f>SUM(I22:N22)</f>
        <v>0</v>
      </c>
      <c r="P22" s="161">
        <f>H22+O22</f>
        <v>151200</v>
      </c>
    </row>
    <row r="23" spans="1:18" ht="12" customHeight="1" x14ac:dyDescent="0.15">
      <c r="A23" s="47" t="s">
        <v>119</v>
      </c>
      <c r="B23" s="131">
        <f>B95</f>
        <v>74900</v>
      </c>
      <c r="C23" s="131">
        <f>C95-B95</f>
        <v>91700</v>
      </c>
      <c r="D23" s="131">
        <f>D95-C95</f>
        <v>78400</v>
      </c>
      <c r="E23" s="131">
        <v>80500</v>
      </c>
      <c r="F23" s="131">
        <f>F95-E95</f>
        <v>71400</v>
      </c>
      <c r="G23" s="131"/>
      <c r="H23" s="161">
        <f t="shared" si="1"/>
        <v>396900</v>
      </c>
      <c r="I23" s="155"/>
      <c r="J23" s="131"/>
      <c r="K23" s="131"/>
      <c r="L23" s="131"/>
      <c r="M23" s="131"/>
      <c r="N23" s="131"/>
      <c r="O23" s="161">
        <f t="shared" si="2"/>
        <v>0</v>
      </c>
      <c r="P23" s="161">
        <f t="shared" si="3"/>
        <v>396900</v>
      </c>
    </row>
    <row r="24" spans="1:18" ht="12" customHeight="1" x14ac:dyDescent="0.15">
      <c r="A24" s="47" t="s">
        <v>97</v>
      </c>
      <c r="B24" s="131">
        <f t="shared" ref="B24:B33" si="8">B96</f>
        <v>20400</v>
      </c>
      <c r="C24" s="131">
        <f t="shared" ref="C24:F33" si="9">C96-B96</f>
        <v>8300</v>
      </c>
      <c r="D24" s="131">
        <f t="shared" si="9"/>
        <v>4100</v>
      </c>
      <c r="E24" s="131">
        <v>9900</v>
      </c>
      <c r="F24" s="131">
        <f t="shared" ref="F24:F33" si="10">F96-E96</f>
        <v>3500</v>
      </c>
      <c r="G24" s="131"/>
      <c r="H24" s="161">
        <f t="shared" si="1"/>
        <v>46200</v>
      </c>
      <c r="I24" s="155"/>
      <c r="J24" s="131"/>
      <c r="K24" s="131"/>
      <c r="L24" s="131"/>
      <c r="M24" s="131"/>
      <c r="N24" s="131"/>
      <c r="O24" s="161">
        <f t="shared" si="2"/>
        <v>0</v>
      </c>
      <c r="P24" s="161">
        <f t="shared" si="3"/>
        <v>46200</v>
      </c>
    </row>
    <row r="25" spans="1:18" ht="12" customHeight="1" x14ac:dyDescent="0.15">
      <c r="A25" s="51" t="s">
        <v>407</v>
      </c>
      <c r="B25" s="131">
        <f t="shared" si="8"/>
        <v>2200</v>
      </c>
      <c r="C25" s="131">
        <f t="shared" si="9"/>
        <v>7000</v>
      </c>
      <c r="D25" s="131">
        <f t="shared" si="9"/>
        <v>17200</v>
      </c>
      <c r="E25" s="131">
        <v>7200</v>
      </c>
      <c r="F25" s="131">
        <f t="shared" si="10"/>
        <v>23600</v>
      </c>
      <c r="G25" s="131"/>
      <c r="H25" s="161">
        <f t="shared" si="1"/>
        <v>57200</v>
      </c>
      <c r="I25" s="155"/>
      <c r="J25" s="131"/>
      <c r="K25" s="131"/>
      <c r="L25" s="131"/>
      <c r="M25" s="131"/>
      <c r="N25" s="131"/>
      <c r="O25" s="161">
        <f t="shared" si="2"/>
        <v>0</v>
      </c>
      <c r="P25" s="161">
        <f t="shared" si="3"/>
        <v>57200</v>
      </c>
    </row>
    <row r="26" spans="1:18" ht="12" customHeight="1" x14ac:dyDescent="0.15">
      <c r="A26" s="47" t="s">
        <v>249</v>
      </c>
      <c r="B26" s="131">
        <f t="shared" si="8"/>
        <v>78100</v>
      </c>
      <c r="C26" s="131">
        <f t="shared" si="9"/>
        <v>75200</v>
      </c>
      <c r="D26" s="131">
        <f t="shared" si="9"/>
        <v>74500</v>
      </c>
      <c r="E26" s="131">
        <v>80900</v>
      </c>
      <c r="F26" s="131">
        <f t="shared" si="9"/>
        <v>52400</v>
      </c>
      <c r="G26" s="131"/>
      <c r="H26" s="161">
        <f t="shared" si="1"/>
        <v>361100</v>
      </c>
      <c r="I26" s="155"/>
      <c r="J26" s="131"/>
      <c r="K26" s="131"/>
      <c r="L26" s="131"/>
      <c r="M26" s="131"/>
      <c r="N26" s="131"/>
      <c r="O26" s="161">
        <f t="shared" si="2"/>
        <v>0</v>
      </c>
      <c r="P26" s="161">
        <f t="shared" si="3"/>
        <v>361100</v>
      </c>
    </row>
    <row r="27" spans="1:18" ht="12" customHeight="1" x14ac:dyDescent="0.15">
      <c r="A27" s="47" t="s">
        <v>406</v>
      </c>
      <c r="B27" s="131">
        <f t="shared" si="8"/>
        <v>9000</v>
      </c>
      <c r="C27" s="131">
        <f t="shared" si="9"/>
        <v>6900</v>
      </c>
      <c r="D27" s="131">
        <f t="shared" si="9"/>
        <v>9200</v>
      </c>
      <c r="E27" s="131">
        <v>8600</v>
      </c>
      <c r="F27" s="131">
        <f t="shared" si="9"/>
        <v>3300</v>
      </c>
      <c r="G27" s="131"/>
      <c r="H27" s="161">
        <f t="shared" si="1"/>
        <v>37000</v>
      </c>
      <c r="I27" s="155"/>
      <c r="J27" s="131"/>
      <c r="K27" s="131"/>
      <c r="L27" s="131"/>
      <c r="M27" s="131"/>
      <c r="N27" s="131"/>
      <c r="O27" s="161">
        <f t="shared" si="2"/>
        <v>0</v>
      </c>
      <c r="P27" s="161">
        <f t="shared" si="3"/>
        <v>37000</v>
      </c>
    </row>
    <row r="28" spans="1:18" ht="12" customHeight="1" x14ac:dyDescent="0.15">
      <c r="A28" s="47" t="s">
        <v>303</v>
      </c>
      <c r="B28" s="131">
        <f t="shared" si="8"/>
        <v>3400</v>
      </c>
      <c r="C28" s="131">
        <f t="shared" si="9"/>
        <v>0</v>
      </c>
      <c r="D28" s="131">
        <f t="shared" si="9"/>
        <v>0</v>
      </c>
      <c r="E28" s="131">
        <v>7400</v>
      </c>
      <c r="F28" s="131">
        <f t="shared" si="9"/>
        <v>14100</v>
      </c>
      <c r="G28" s="131"/>
      <c r="H28" s="161">
        <f t="shared" si="1"/>
        <v>24900</v>
      </c>
      <c r="I28" s="155"/>
      <c r="J28" s="131"/>
      <c r="K28" s="131"/>
      <c r="L28" s="131"/>
      <c r="M28" s="131"/>
      <c r="N28" s="131"/>
      <c r="O28" s="161">
        <f t="shared" si="2"/>
        <v>0</v>
      </c>
      <c r="P28" s="161">
        <f t="shared" si="3"/>
        <v>24900</v>
      </c>
    </row>
    <row r="29" spans="1:18" ht="12" customHeight="1" x14ac:dyDescent="0.15">
      <c r="A29" s="47" t="s">
        <v>251</v>
      </c>
      <c r="B29" s="131">
        <f t="shared" si="8"/>
        <v>5500</v>
      </c>
      <c r="C29" s="131">
        <f t="shared" si="9"/>
        <v>4200</v>
      </c>
      <c r="D29" s="131">
        <f t="shared" si="9"/>
        <v>5600</v>
      </c>
      <c r="E29" s="131">
        <v>5600</v>
      </c>
      <c r="F29" s="131">
        <f t="shared" si="9"/>
        <v>4200</v>
      </c>
      <c r="G29" s="131"/>
      <c r="H29" s="161">
        <f t="shared" si="1"/>
        <v>25100</v>
      </c>
      <c r="I29" s="155"/>
      <c r="J29" s="131"/>
      <c r="K29" s="131"/>
      <c r="L29" s="131"/>
      <c r="M29" s="131"/>
      <c r="N29" s="131"/>
      <c r="O29" s="161">
        <f>SUM(I29:N29)</f>
        <v>0</v>
      </c>
      <c r="P29" s="161">
        <f>H29+O29</f>
        <v>25100</v>
      </c>
    </row>
    <row r="30" spans="1:18" ht="12" customHeight="1" x14ac:dyDescent="0.15">
      <c r="A30" s="21" t="s">
        <v>99</v>
      </c>
      <c r="B30" s="131">
        <f t="shared" si="8"/>
        <v>1214000</v>
      </c>
      <c r="C30" s="131">
        <f t="shared" si="9"/>
        <v>1214000</v>
      </c>
      <c r="D30" s="131">
        <f t="shared" si="9"/>
        <v>1214000</v>
      </c>
      <c r="E30" s="131">
        <v>1214000</v>
      </c>
      <c r="F30" s="131">
        <f t="shared" si="10"/>
        <v>1214000</v>
      </c>
      <c r="G30" s="131"/>
      <c r="H30" s="161">
        <f t="shared" si="1"/>
        <v>6070000</v>
      </c>
      <c r="I30" s="155"/>
      <c r="J30" s="131"/>
      <c r="K30" s="131"/>
      <c r="L30" s="131"/>
      <c r="M30" s="131"/>
      <c r="N30" s="131"/>
      <c r="O30" s="161">
        <f t="shared" si="2"/>
        <v>0</v>
      </c>
      <c r="P30" s="161">
        <f t="shared" si="3"/>
        <v>6070000</v>
      </c>
    </row>
    <row r="31" spans="1:18" ht="12" customHeight="1" x14ac:dyDescent="0.15">
      <c r="A31" s="24" t="s">
        <v>11</v>
      </c>
      <c r="B31" s="131">
        <f t="shared" si="8"/>
        <v>10000</v>
      </c>
      <c r="C31" s="131">
        <f t="shared" si="9"/>
        <v>0</v>
      </c>
      <c r="D31" s="131">
        <f t="shared" si="9"/>
        <v>0</v>
      </c>
      <c r="E31" s="131">
        <v>0</v>
      </c>
      <c r="F31" s="131">
        <f t="shared" si="10"/>
        <v>0</v>
      </c>
      <c r="G31" s="131"/>
      <c r="H31" s="161">
        <f t="shared" si="1"/>
        <v>10000</v>
      </c>
      <c r="I31" s="155"/>
      <c r="J31" s="131"/>
      <c r="K31" s="131"/>
      <c r="L31" s="131"/>
      <c r="M31" s="131"/>
      <c r="N31" s="131"/>
      <c r="O31" s="161">
        <f t="shared" si="2"/>
        <v>0</v>
      </c>
      <c r="P31" s="161">
        <f t="shared" si="3"/>
        <v>10000</v>
      </c>
    </row>
    <row r="32" spans="1:18" ht="12" customHeight="1" x14ac:dyDescent="0.15">
      <c r="A32" s="24" t="s">
        <v>246</v>
      </c>
      <c r="B32" s="131">
        <f t="shared" si="8"/>
        <v>50224</v>
      </c>
      <c r="C32" s="131">
        <f t="shared" si="9"/>
        <v>71400</v>
      </c>
      <c r="D32" s="131">
        <f t="shared" si="9"/>
        <v>0</v>
      </c>
      <c r="E32" s="131">
        <v>5177</v>
      </c>
      <c r="F32" s="131">
        <f t="shared" si="10"/>
        <v>0</v>
      </c>
      <c r="G32" s="131"/>
      <c r="H32" s="161">
        <f t="shared" si="1"/>
        <v>126801</v>
      </c>
      <c r="I32" s="155"/>
      <c r="J32" s="131"/>
      <c r="K32" s="131"/>
      <c r="L32" s="131"/>
      <c r="M32" s="131"/>
      <c r="N32" s="131"/>
      <c r="O32" s="161">
        <f t="shared" si="2"/>
        <v>0</v>
      </c>
      <c r="P32" s="161">
        <f t="shared" si="3"/>
        <v>126801</v>
      </c>
    </row>
    <row r="33" spans="1:18" ht="12" customHeight="1" x14ac:dyDescent="0.15">
      <c r="A33" s="24" t="s">
        <v>12</v>
      </c>
      <c r="B33" s="131">
        <f t="shared" si="8"/>
        <v>19250</v>
      </c>
      <c r="C33" s="131">
        <f t="shared" si="9"/>
        <v>91796</v>
      </c>
      <c r="D33" s="131">
        <f t="shared" si="9"/>
        <v>424903</v>
      </c>
      <c r="E33" s="131">
        <v>30740</v>
      </c>
      <c r="F33" s="131">
        <f t="shared" si="10"/>
        <v>17825</v>
      </c>
      <c r="G33" s="131"/>
      <c r="H33" s="161">
        <f t="shared" si="1"/>
        <v>584514</v>
      </c>
      <c r="I33" s="155"/>
      <c r="J33" s="131"/>
      <c r="K33" s="131"/>
      <c r="L33" s="131"/>
      <c r="M33" s="131"/>
      <c r="N33" s="131"/>
      <c r="O33" s="161">
        <f t="shared" si="2"/>
        <v>0</v>
      </c>
      <c r="P33" s="161">
        <f t="shared" si="3"/>
        <v>584514</v>
      </c>
    </row>
    <row r="34" spans="1:18" ht="12" customHeight="1" x14ac:dyDescent="0.15">
      <c r="A34" s="24"/>
      <c r="B34" s="132"/>
      <c r="C34" s="132"/>
      <c r="D34" s="132"/>
      <c r="E34" s="132"/>
      <c r="F34" s="132"/>
      <c r="G34" s="150"/>
      <c r="H34" s="162"/>
      <c r="I34" s="156"/>
      <c r="J34" s="132"/>
      <c r="K34" s="132"/>
      <c r="L34" s="132"/>
      <c r="M34" s="132"/>
      <c r="N34" s="150"/>
      <c r="O34" s="161">
        <f t="shared" si="2"/>
        <v>0</v>
      </c>
      <c r="P34" s="161">
        <f t="shared" si="3"/>
        <v>0</v>
      </c>
    </row>
    <row r="35" spans="1:18" ht="12" customHeight="1" x14ac:dyDescent="0.15">
      <c r="A35" s="52" t="s">
        <v>13</v>
      </c>
      <c r="B35" s="132">
        <f t="shared" ref="B35:N35" si="11">B4+B8+B31+B32+B33</f>
        <v>13741664</v>
      </c>
      <c r="C35" s="132">
        <f t="shared" si="11"/>
        <v>14900496</v>
      </c>
      <c r="D35" s="132">
        <f t="shared" si="11"/>
        <v>13794763</v>
      </c>
      <c r="E35" s="132">
        <f t="shared" si="11"/>
        <v>14107167</v>
      </c>
      <c r="F35" s="132">
        <f t="shared" si="11"/>
        <v>13601215</v>
      </c>
      <c r="G35" s="150">
        <f t="shared" si="11"/>
        <v>0</v>
      </c>
      <c r="H35" s="162">
        <f t="shared" si="1"/>
        <v>70145305</v>
      </c>
      <c r="I35" s="156">
        <f>I4+I8+I31+I32+I33</f>
        <v>0</v>
      </c>
      <c r="J35" s="132">
        <f t="shared" si="11"/>
        <v>0</v>
      </c>
      <c r="K35" s="132">
        <f t="shared" si="11"/>
        <v>0</v>
      </c>
      <c r="L35" s="132">
        <f t="shared" si="11"/>
        <v>0</v>
      </c>
      <c r="M35" s="132">
        <f t="shared" si="11"/>
        <v>0</v>
      </c>
      <c r="N35" s="150">
        <f t="shared" si="11"/>
        <v>0</v>
      </c>
      <c r="O35" s="162">
        <f t="shared" si="2"/>
        <v>0</v>
      </c>
      <c r="P35" s="162">
        <f t="shared" si="3"/>
        <v>70145305</v>
      </c>
    </row>
    <row r="36" spans="1:18" ht="12" customHeight="1" x14ac:dyDescent="0.15">
      <c r="A36" s="24" t="s">
        <v>124</v>
      </c>
      <c r="B36" s="131"/>
      <c r="C36" s="131"/>
      <c r="D36" s="131"/>
      <c r="E36" s="131"/>
      <c r="F36" s="131"/>
      <c r="G36" s="149"/>
      <c r="H36" s="166"/>
      <c r="I36" s="155"/>
      <c r="J36" s="131"/>
      <c r="K36" s="131"/>
      <c r="L36" s="131"/>
      <c r="M36" s="131"/>
      <c r="N36" s="149"/>
      <c r="O36" s="166"/>
      <c r="P36" s="166"/>
    </row>
    <row r="37" spans="1:18" ht="12" customHeight="1" x14ac:dyDescent="0.15">
      <c r="A37" s="21" t="s">
        <v>15</v>
      </c>
      <c r="B37" s="131"/>
      <c r="C37" s="131"/>
      <c r="D37" s="131"/>
      <c r="E37" s="131"/>
      <c r="F37" s="131" t="s">
        <v>304</v>
      </c>
      <c r="G37" s="149"/>
      <c r="H37" s="161"/>
      <c r="I37" s="155"/>
      <c r="J37" s="131"/>
      <c r="K37" s="131"/>
      <c r="L37" s="131"/>
      <c r="M37" s="131"/>
      <c r="N37" s="149"/>
      <c r="O37" s="161"/>
      <c r="P37" s="161"/>
    </row>
    <row r="38" spans="1:18" ht="12" customHeight="1" x14ac:dyDescent="0.15">
      <c r="A38" s="24" t="s">
        <v>16</v>
      </c>
      <c r="B38" s="132">
        <f t="shared" ref="B38:N38" si="12">SUM(B39:B43)</f>
        <v>9573400</v>
      </c>
      <c r="C38" s="132">
        <f t="shared" si="12"/>
        <v>9135005</v>
      </c>
      <c r="D38" s="132">
        <f t="shared" si="12"/>
        <v>9412622</v>
      </c>
      <c r="E38" s="132">
        <f t="shared" si="12"/>
        <v>14410339</v>
      </c>
      <c r="F38" s="132">
        <f t="shared" si="12"/>
        <v>9486637</v>
      </c>
      <c r="G38" s="150">
        <f t="shared" si="12"/>
        <v>0</v>
      </c>
      <c r="H38" s="162">
        <f t="shared" ref="H38:H75" si="13">SUM(B38:G38)</f>
        <v>52018003</v>
      </c>
      <c r="I38" s="156">
        <f>SUM(I39:I43)</f>
        <v>0</v>
      </c>
      <c r="J38" s="132">
        <f t="shared" si="12"/>
        <v>0</v>
      </c>
      <c r="K38" s="132">
        <f t="shared" si="12"/>
        <v>0</v>
      </c>
      <c r="L38" s="132">
        <f t="shared" si="12"/>
        <v>0</v>
      </c>
      <c r="M38" s="132">
        <f t="shared" si="12"/>
        <v>0</v>
      </c>
      <c r="N38" s="150">
        <f t="shared" si="12"/>
        <v>0</v>
      </c>
      <c r="O38" s="162">
        <f t="shared" si="2"/>
        <v>0</v>
      </c>
      <c r="P38" s="162">
        <f t="shared" si="3"/>
        <v>52018003</v>
      </c>
    </row>
    <row r="39" spans="1:18" ht="12" customHeight="1" x14ac:dyDescent="0.15">
      <c r="A39" s="21" t="s">
        <v>100</v>
      </c>
      <c r="B39" s="131">
        <f>B108</f>
        <v>220000</v>
      </c>
      <c r="C39" s="131">
        <f>C108-B108</f>
        <v>220000</v>
      </c>
      <c r="D39" s="131">
        <f>D108-C108</f>
        <v>220000</v>
      </c>
      <c r="E39" s="131">
        <f t="shared" ref="E39:F43" si="14">E108-D108</f>
        <v>220000</v>
      </c>
      <c r="F39" s="131">
        <f t="shared" si="14"/>
        <v>198000</v>
      </c>
      <c r="G39" s="131"/>
      <c r="H39" s="161">
        <f t="shared" si="13"/>
        <v>1078000</v>
      </c>
      <c r="I39" s="155"/>
      <c r="J39" s="131"/>
      <c r="K39" s="131"/>
      <c r="L39" s="131"/>
      <c r="M39" s="131"/>
      <c r="N39" s="131"/>
      <c r="O39" s="161">
        <f t="shared" si="2"/>
        <v>0</v>
      </c>
      <c r="P39" s="161">
        <f t="shared" si="3"/>
        <v>1078000</v>
      </c>
    </row>
    <row r="40" spans="1:18" ht="12" customHeight="1" x14ac:dyDescent="0.15">
      <c r="A40" s="21" t="s">
        <v>101</v>
      </c>
      <c r="B40" s="131">
        <f>B109</f>
        <v>6897029</v>
      </c>
      <c r="C40" s="131">
        <f t="shared" ref="C40:D43" si="15">C109-B109</f>
        <v>6688313</v>
      </c>
      <c r="D40" s="131">
        <f t="shared" si="15"/>
        <v>6785865</v>
      </c>
      <c r="E40" s="131">
        <f t="shared" si="14"/>
        <v>6489996</v>
      </c>
      <c r="F40" s="131">
        <f>F109-E109</f>
        <v>6871596</v>
      </c>
      <c r="G40" s="131"/>
      <c r="H40" s="161">
        <f t="shared" si="13"/>
        <v>33732799</v>
      </c>
      <c r="I40" s="155"/>
      <c r="J40" s="131"/>
      <c r="K40" s="131"/>
      <c r="L40" s="131"/>
      <c r="M40" s="131"/>
      <c r="N40" s="131"/>
      <c r="O40" s="161">
        <f t="shared" si="2"/>
        <v>0</v>
      </c>
      <c r="P40" s="161">
        <f t="shared" si="3"/>
        <v>33732799</v>
      </c>
    </row>
    <row r="41" spans="1:18" ht="12" customHeight="1" x14ac:dyDescent="0.15">
      <c r="A41" s="21" t="s">
        <v>102</v>
      </c>
      <c r="B41" s="131">
        <f>B110</f>
        <v>1603900</v>
      </c>
      <c r="C41" s="131">
        <f t="shared" si="15"/>
        <v>1331768</v>
      </c>
      <c r="D41" s="131">
        <f t="shared" si="15"/>
        <v>1511368</v>
      </c>
      <c r="E41" s="131">
        <f t="shared" si="14"/>
        <v>1448056</v>
      </c>
      <c r="F41" s="131">
        <f>F110-E110</f>
        <v>1585219</v>
      </c>
      <c r="G41" s="131"/>
      <c r="H41" s="161">
        <f t="shared" si="13"/>
        <v>7480311</v>
      </c>
      <c r="I41" s="155"/>
      <c r="J41" s="131"/>
      <c r="K41" s="131"/>
      <c r="L41" s="131"/>
      <c r="M41" s="131"/>
      <c r="N41" s="131"/>
      <c r="O41" s="161">
        <f t="shared" si="2"/>
        <v>0</v>
      </c>
      <c r="P41" s="161">
        <f t="shared" si="3"/>
        <v>7480311</v>
      </c>
    </row>
    <row r="42" spans="1:18" ht="12" customHeight="1" x14ac:dyDescent="0.15">
      <c r="A42" s="21" t="s">
        <v>19</v>
      </c>
      <c r="B42" s="131">
        <f>B111</f>
        <v>852471</v>
      </c>
      <c r="C42" s="131">
        <f t="shared" si="15"/>
        <v>894924</v>
      </c>
      <c r="D42" s="131">
        <f t="shared" si="15"/>
        <v>895389</v>
      </c>
      <c r="E42" s="131">
        <f t="shared" si="14"/>
        <v>932287</v>
      </c>
      <c r="F42" s="131">
        <f t="shared" si="14"/>
        <v>831822</v>
      </c>
      <c r="G42" s="131"/>
      <c r="H42" s="161">
        <f t="shared" si="13"/>
        <v>4406893</v>
      </c>
      <c r="I42" s="155"/>
      <c r="J42" s="131"/>
      <c r="K42" s="131"/>
      <c r="L42" s="131"/>
      <c r="M42" s="131"/>
      <c r="N42" s="131"/>
      <c r="O42" s="161">
        <f t="shared" si="2"/>
        <v>0</v>
      </c>
      <c r="P42" s="161">
        <f t="shared" si="3"/>
        <v>4406893</v>
      </c>
    </row>
    <row r="43" spans="1:18" ht="12" customHeight="1" x14ac:dyDescent="0.15">
      <c r="A43" s="21" t="s">
        <v>117</v>
      </c>
      <c r="B43" s="131">
        <f>B112</f>
        <v>0</v>
      </c>
      <c r="C43" s="131">
        <f t="shared" si="15"/>
        <v>0</v>
      </c>
      <c r="D43" s="131">
        <f t="shared" si="15"/>
        <v>0</v>
      </c>
      <c r="E43" s="131">
        <f t="shared" si="14"/>
        <v>5320000</v>
      </c>
      <c r="F43" s="131">
        <f t="shared" si="14"/>
        <v>0</v>
      </c>
      <c r="G43" s="131"/>
      <c r="H43" s="161">
        <f t="shared" si="13"/>
        <v>5320000</v>
      </c>
      <c r="I43" s="155"/>
      <c r="J43" s="131"/>
      <c r="K43" s="131"/>
      <c r="L43" s="131"/>
      <c r="M43" s="131"/>
      <c r="N43" s="131"/>
      <c r="O43" s="161">
        <f t="shared" si="2"/>
        <v>0</v>
      </c>
      <c r="P43" s="161">
        <f t="shared" si="3"/>
        <v>5320000</v>
      </c>
    </row>
    <row r="44" spans="1:18" ht="12" customHeight="1" x14ac:dyDescent="0.15">
      <c r="A44" s="24" t="s">
        <v>20</v>
      </c>
      <c r="B44" s="132">
        <f t="shared" ref="B44:G44" si="16">SUM(B45:B69)</f>
        <v>3469183</v>
      </c>
      <c r="C44" s="132">
        <f t="shared" si="16"/>
        <v>3573066</v>
      </c>
      <c r="D44" s="132">
        <f t="shared" si="16"/>
        <v>3331529</v>
      </c>
      <c r="E44" s="132">
        <f t="shared" si="16"/>
        <v>3195426</v>
      </c>
      <c r="F44" s="132">
        <f t="shared" si="16"/>
        <v>2641692</v>
      </c>
      <c r="G44" s="132">
        <f t="shared" si="16"/>
        <v>0</v>
      </c>
      <c r="H44" s="162">
        <f t="shared" si="13"/>
        <v>16210896</v>
      </c>
      <c r="I44" s="156">
        <f t="shared" ref="I44:N44" si="17">SUM(I45:I69)</f>
        <v>0</v>
      </c>
      <c r="J44" s="132">
        <f t="shared" si="17"/>
        <v>0</v>
      </c>
      <c r="K44" s="132">
        <f t="shared" si="17"/>
        <v>0</v>
      </c>
      <c r="L44" s="132">
        <f t="shared" si="17"/>
        <v>0</v>
      </c>
      <c r="M44" s="132">
        <f t="shared" si="17"/>
        <v>0</v>
      </c>
      <c r="N44" s="150">
        <f t="shared" si="17"/>
        <v>0</v>
      </c>
      <c r="O44" s="162">
        <f t="shared" si="2"/>
        <v>0</v>
      </c>
      <c r="P44" s="162">
        <f t="shared" si="3"/>
        <v>16210896</v>
      </c>
    </row>
    <row r="45" spans="1:18" ht="12" customHeight="1" x14ac:dyDescent="0.15">
      <c r="A45" s="21" t="s">
        <v>21</v>
      </c>
      <c r="B45" s="131">
        <f>B114</f>
        <v>364347</v>
      </c>
      <c r="C45" s="131">
        <f>C114-B114</f>
        <v>222500</v>
      </c>
      <c r="D45" s="131">
        <f>D114-C114</f>
        <v>228000</v>
      </c>
      <c r="E45" s="131">
        <f t="shared" ref="E45:F69" si="18">E114-D114</f>
        <v>392634</v>
      </c>
      <c r="F45" s="131">
        <f t="shared" si="18"/>
        <v>295094</v>
      </c>
      <c r="G45" s="131"/>
      <c r="H45" s="161">
        <f t="shared" si="13"/>
        <v>1502575</v>
      </c>
      <c r="I45" s="155"/>
      <c r="J45" s="131"/>
      <c r="K45" s="131"/>
      <c r="L45" s="131"/>
      <c r="M45" s="131"/>
      <c r="N45" s="131"/>
      <c r="O45" s="161">
        <f t="shared" si="2"/>
        <v>0</v>
      </c>
      <c r="P45" s="161">
        <f t="shared" si="3"/>
        <v>1502575</v>
      </c>
    </row>
    <row r="46" spans="1:18" ht="12" customHeight="1" x14ac:dyDescent="0.15">
      <c r="A46" s="21" t="s">
        <v>22</v>
      </c>
      <c r="B46" s="131">
        <f t="shared" ref="B46:B69" si="19">B115</f>
        <v>0</v>
      </c>
      <c r="C46" s="131">
        <f t="shared" ref="C46:D69" si="20">C115-B115</f>
        <v>0</v>
      </c>
      <c r="D46" s="131">
        <f t="shared" si="20"/>
        <v>0</v>
      </c>
      <c r="E46" s="131">
        <f t="shared" si="18"/>
        <v>0</v>
      </c>
      <c r="F46" s="131">
        <f t="shared" si="18"/>
        <v>0</v>
      </c>
      <c r="G46" s="131"/>
      <c r="H46" s="161">
        <f t="shared" si="13"/>
        <v>0</v>
      </c>
      <c r="I46" s="155"/>
      <c r="J46" s="131"/>
      <c r="K46" s="131"/>
      <c r="L46" s="131"/>
      <c r="M46" s="131"/>
      <c r="N46" s="131"/>
      <c r="O46" s="161">
        <f t="shared" si="2"/>
        <v>0</v>
      </c>
      <c r="P46" s="161">
        <f t="shared" si="3"/>
        <v>0</v>
      </c>
      <c r="R46" s="128" t="s">
        <v>304</v>
      </c>
    </row>
    <row r="47" spans="1:18" ht="12" customHeight="1" x14ac:dyDescent="0.15">
      <c r="A47" s="21" t="s">
        <v>103</v>
      </c>
      <c r="B47" s="131">
        <f t="shared" si="19"/>
        <v>74115</v>
      </c>
      <c r="C47" s="131">
        <f t="shared" si="20"/>
        <v>16972</v>
      </c>
      <c r="D47" s="131">
        <f t="shared" si="20"/>
        <v>155311</v>
      </c>
      <c r="E47" s="131">
        <f t="shared" si="18"/>
        <v>147954</v>
      </c>
      <c r="F47" s="131">
        <f t="shared" si="18"/>
        <v>11500</v>
      </c>
      <c r="G47" s="131"/>
      <c r="H47" s="161">
        <f t="shared" si="13"/>
        <v>405852</v>
      </c>
      <c r="I47" s="155"/>
      <c r="J47" s="131"/>
      <c r="K47" s="131"/>
      <c r="L47" s="131"/>
      <c r="M47" s="131"/>
      <c r="N47" s="131"/>
      <c r="O47" s="161">
        <f t="shared" si="2"/>
        <v>0</v>
      </c>
      <c r="P47" s="161">
        <f t="shared" si="3"/>
        <v>405852</v>
      </c>
    </row>
    <row r="48" spans="1:18" ht="12" customHeight="1" x14ac:dyDescent="0.15">
      <c r="A48" s="21" t="s">
        <v>24</v>
      </c>
      <c r="B48" s="131">
        <f t="shared" si="19"/>
        <v>29091</v>
      </c>
      <c r="C48" s="131">
        <f t="shared" si="20"/>
        <v>15027</v>
      </c>
      <c r="D48" s="131">
        <f t="shared" si="20"/>
        <v>11016</v>
      </c>
      <c r="E48" s="131">
        <f t="shared" si="18"/>
        <v>11664</v>
      </c>
      <c r="F48" s="131">
        <f t="shared" si="18"/>
        <v>7799</v>
      </c>
      <c r="G48" s="131"/>
      <c r="H48" s="161">
        <f t="shared" si="13"/>
        <v>74597</v>
      </c>
      <c r="I48" s="155"/>
      <c r="J48" s="131"/>
      <c r="K48" s="131"/>
      <c r="L48" s="131"/>
      <c r="M48" s="131"/>
      <c r="N48" s="131"/>
      <c r="O48" s="161">
        <f t="shared" si="2"/>
        <v>0</v>
      </c>
      <c r="P48" s="161">
        <f t="shared" si="3"/>
        <v>74597</v>
      </c>
    </row>
    <row r="49" spans="1:16" ht="12" customHeight="1" x14ac:dyDescent="0.15">
      <c r="A49" s="48" t="s">
        <v>404</v>
      </c>
      <c r="B49" s="131">
        <f t="shared" si="19"/>
        <v>0</v>
      </c>
      <c r="C49" s="131">
        <f t="shared" si="20"/>
        <v>0</v>
      </c>
      <c r="D49" s="131">
        <f t="shared" si="20"/>
        <v>0</v>
      </c>
      <c r="E49" s="131">
        <f t="shared" si="18"/>
        <v>125400</v>
      </c>
      <c r="F49" s="131">
        <f t="shared" si="18"/>
        <v>12999</v>
      </c>
      <c r="G49" s="131"/>
      <c r="H49" s="161">
        <f t="shared" si="13"/>
        <v>138399</v>
      </c>
      <c r="I49" s="155"/>
      <c r="J49" s="131"/>
      <c r="K49" s="131"/>
      <c r="L49" s="131"/>
      <c r="M49" s="131"/>
      <c r="N49" s="131"/>
      <c r="O49" s="161">
        <f t="shared" si="2"/>
        <v>0</v>
      </c>
      <c r="P49" s="161">
        <f t="shared" si="3"/>
        <v>138399</v>
      </c>
    </row>
    <row r="50" spans="1:16" ht="12" customHeight="1" x14ac:dyDescent="0.15">
      <c r="A50" s="21" t="s">
        <v>105</v>
      </c>
      <c r="B50" s="131">
        <f t="shared" si="19"/>
        <v>3200</v>
      </c>
      <c r="C50" s="131">
        <f t="shared" si="20"/>
        <v>0</v>
      </c>
      <c r="D50" s="131">
        <f t="shared" si="20"/>
        <v>105242</v>
      </c>
      <c r="E50" s="131">
        <f t="shared" si="18"/>
        <v>0</v>
      </c>
      <c r="F50" s="131">
        <f t="shared" si="18"/>
        <v>6152</v>
      </c>
      <c r="G50" s="131"/>
      <c r="H50" s="161">
        <f t="shared" si="13"/>
        <v>114594</v>
      </c>
      <c r="I50" s="155"/>
      <c r="J50" s="131"/>
      <c r="K50" s="131"/>
      <c r="L50" s="131"/>
      <c r="M50" s="131"/>
      <c r="N50" s="131"/>
      <c r="O50" s="161">
        <f t="shared" si="2"/>
        <v>0</v>
      </c>
      <c r="P50" s="161">
        <f t="shared" si="3"/>
        <v>114594</v>
      </c>
    </row>
    <row r="51" spans="1:16" ht="12" customHeight="1" x14ac:dyDescent="0.15">
      <c r="A51" s="21" t="s">
        <v>106</v>
      </c>
      <c r="B51" s="131">
        <f t="shared" si="19"/>
        <v>68376</v>
      </c>
      <c r="C51" s="131">
        <f t="shared" si="20"/>
        <v>95163</v>
      </c>
      <c r="D51" s="131">
        <f t="shared" si="20"/>
        <v>84500</v>
      </c>
      <c r="E51" s="131">
        <f t="shared" si="18"/>
        <v>98429</v>
      </c>
      <c r="F51" s="131">
        <f t="shared" si="18"/>
        <v>90600</v>
      </c>
      <c r="G51" s="131"/>
      <c r="H51" s="161">
        <f t="shared" si="13"/>
        <v>437068</v>
      </c>
      <c r="I51" s="155"/>
      <c r="J51" s="131"/>
      <c r="K51" s="131"/>
      <c r="L51" s="131"/>
      <c r="M51" s="131"/>
      <c r="N51" s="131"/>
      <c r="O51" s="161">
        <f t="shared" si="2"/>
        <v>0</v>
      </c>
      <c r="P51" s="161">
        <f t="shared" si="3"/>
        <v>437068</v>
      </c>
    </row>
    <row r="52" spans="1:16" ht="12" customHeight="1" x14ac:dyDescent="0.15">
      <c r="A52" s="21" t="s">
        <v>28</v>
      </c>
      <c r="B52" s="131">
        <f t="shared" si="19"/>
        <v>25600</v>
      </c>
      <c r="C52" s="131">
        <f t="shared" si="20"/>
        <v>9500</v>
      </c>
      <c r="D52" s="131">
        <f t="shared" si="20"/>
        <v>9500</v>
      </c>
      <c r="E52" s="131">
        <f t="shared" si="18"/>
        <v>39860</v>
      </c>
      <c r="F52" s="131">
        <f t="shared" si="18"/>
        <v>23250</v>
      </c>
      <c r="G52" s="131"/>
      <c r="H52" s="161">
        <f t="shared" si="13"/>
        <v>107710</v>
      </c>
      <c r="I52" s="155"/>
      <c r="J52" s="131"/>
      <c r="K52" s="131"/>
      <c r="L52" s="131"/>
      <c r="M52" s="131"/>
      <c r="N52" s="131"/>
      <c r="O52" s="161">
        <f t="shared" si="2"/>
        <v>0</v>
      </c>
      <c r="P52" s="161">
        <f t="shared" si="3"/>
        <v>107710</v>
      </c>
    </row>
    <row r="53" spans="1:16" ht="12" customHeight="1" x14ac:dyDescent="0.15">
      <c r="A53" s="21" t="s">
        <v>107</v>
      </c>
      <c r="B53" s="131">
        <f t="shared" si="19"/>
        <v>0</v>
      </c>
      <c r="C53" s="131">
        <f t="shared" si="20"/>
        <v>0</v>
      </c>
      <c r="D53" s="131">
        <f t="shared" si="20"/>
        <v>0</v>
      </c>
      <c r="E53" s="131">
        <f t="shared" si="18"/>
        <v>2000</v>
      </c>
      <c r="F53" s="131">
        <f t="shared" si="18"/>
        <v>2200</v>
      </c>
      <c r="G53" s="131"/>
      <c r="H53" s="161">
        <f t="shared" si="13"/>
        <v>4200</v>
      </c>
      <c r="I53" s="155"/>
      <c r="J53" s="131"/>
      <c r="K53" s="131"/>
      <c r="L53" s="131"/>
      <c r="M53" s="131"/>
      <c r="N53" s="131"/>
      <c r="O53" s="161">
        <f t="shared" si="2"/>
        <v>0</v>
      </c>
      <c r="P53" s="161">
        <f t="shared" si="3"/>
        <v>4200</v>
      </c>
    </row>
    <row r="54" spans="1:16" ht="12" customHeight="1" x14ac:dyDescent="0.15">
      <c r="A54" s="21" t="s">
        <v>27</v>
      </c>
      <c r="B54" s="131">
        <f t="shared" si="19"/>
        <v>0</v>
      </c>
      <c r="C54" s="131">
        <f t="shared" si="20"/>
        <v>0</v>
      </c>
      <c r="D54" s="131">
        <f t="shared" si="20"/>
        <v>17600</v>
      </c>
      <c r="E54" s="131">
        <f t="shared" si="18"/>
        <v>0</v>
      </c>
      <c r="F54" s="131">
        <f t="shared" si="18"/>
        <v>0</v>
      </c>
      <c r="G54" s="131"/>
      <c r="H54" s="161">
        <f t="shared" si="13"/>
        <v>17600</v>
      </c>
      <c r="I54" s="155"/>
      <c r="J54" s="131"/>
      <c r="K54" s="131"/>
      <c r="L54" s="131"/>
      <c r="M54" s="131"/>
      <c r="N54" s="131"/>
      <c r="O54" s="161">
        <f t="shared" si="2"/>
        <v>0</v>
      </c>
      <c r="P54" s="161">
        <f t="shared" si="3"/>
        <v>17600</v>
      </c>
    </row>
    <row r="55" spans="1:16" ht="12" customHeight="1" x14ac:dyDescent="0.15">
      <c r="A55" s="21" t="s">
        <v>32</v>
      </c>
      <c r="B55" s="131">
        <f t="shared" si="19"/>
        <v>637824</v>
      </c>
      <c r="C55" s="131">
        <f t="shared" si="20"/>
        <v>472017</v>
      </c>
      <c r="D55" s="131">
        <f t="shared" si="20"/>
        <v>525595</v>
      </c>
      <c r="E55" s="131">
        <f t="shared" si="18"/>
        <v>427481</v>
      </c>
      <c r="F55" s="131">
        <f t="shared" si="18"/>
        <v>367669</v>
      </c>
      <c r="G55" s="131"/>
      <c r="H55" s="161">
        <f t="shared" si="13"/>
        <v>2430586</v>
      </c>
      <c r="I55" s="155"/>
      <c r="J55" s="131"/>
      <c r="K55" s="131"/>
      <c r="L55" s="131"/>
      <c r="M55" s="131"/>
      <c r="N55" s="131"/>
      <c r="O55" s="161">
        <f t="shared" si="2"/>
        <v>0</v>
      </c>
      <c r="P55" s="161">
        <f t="shared" si="3"/>
        <v>2430586</v>
      </c>
    </row>
    <row r="56" spans="1:16" ht="12" customHeight="1" x14ac:dyDescent="0.15">
      <c r="A56" s="21" t="s">
        <v>405</v>
      </c>
      <c r="B56" s="131">
        <f t="shared" si="19"/>
        <v>4000</v>
      </c>
      <c r="C56" s="131">
        <f t="shared" si="20"/>
        <v>2000</v>
      </c>
      <c r="D56" s="131">
        <f t="shared" si="20"/>
        <v>2000</v>
      </c>
      <c r="E56" s="131">
        <f t="shared" si="18"/>
        <v>0</v>
      </c>
      <c r="F56" s="131">
        <f t="shared" si="18"/>
        <v>2000</v>
      </c>
      <c r="G56" s="131"/>
      <c r="H56" s="161">
        <f t="shared" si="13"/>
        <v>10000</v>
      </c>
      <c r="I56" s="155"/>
      <c r="J56" s="131"/>
      <c r="K56" s="131"/>
      <c r="L56" s="131"/>
      <c r="M56" s="131"/>
      <c r="N56" s="131"/>
      <c r="O56" s="161">
        <f t="shared" si="2"/>
        <v>0</v>
      </c>
      <c r="P56" s="161">
        <f t="shared" si="3"/>
        <v>10000</v>
      </c>
    </row>
    <row r="57" spans="1:16" ht="12" customHeight="1" x14ac:dyDescent="0.15">
      <c r="A57" s="21" t="s">
        <v>34</v>
      </c>
      <c r="B57" s="131">
        <f t="shared" si="19"/>
        <v>9475</v>
      </c>
      <c r="C57" s="131">
        <f t="shared" si="20"/>
        <v>0</v>
      </c>
      <c r="D57" s="131">
        <f t="shared" si="20"/>
        <v>0</v>
      </c>
      <c r="E57" s="131">
        <f t="shared" si="18"/>
        <v>17000</v>
      </c>
      <c r="F57" s="131">
        <f t="shared" si="18"/>
        <v>15500</v>
      </c>
      <c r="G57" s="131"/>
      <c r="H57" s="161">
        <f t="shared" si="13"/>
        <v>41975</v>
      </c>
      <c r="I57" s="155"/>
      <c r="J57" s="131"/>
      <c r="K57" s="131"/>
      <c r="L57" s="131"/>
      <c r="M57" s="131"/>
      <c r="N57" s="131"/>
      <c r="O57" s="161">
        <f t="shared" si="2"/>
        <v>0</v>
      </c>
      <c r="P57" s="161">
        <f t="shared" si="3"/>
        <v>41975</v>
      </c>
    </row>
    <row r="58" spans="1:16" ht="12" customHeight="1" x14ac:dyDescent="0.15">
      <c r="A58" s="21" t="s">
        <v>109</v>
      </c>
      <c r="B58" s="131">
        <f t="shared" si="19"/>
        <v>515296</v>
      </c>
      <c r="C58" s="131">
        <f t="shared" si="20"/>
        <v>434426</v>
      </c>
      <c r="D58" s="131">
        <f t="shared" si="20"/>
        <v>524755</v>
      </c>
      <c r="E58" s="131">
        <f t="shared" si="18"/>
        <v>436037</v>
      </c>
      <c r="F58" s="131">
        <f t="shared" si="18"/>
        <v>413154</v>
      </c>
      <c r="G58" s="131"/>
      <c r="H58" s="161">
        <f t="shared" si="13"/>
        <v>2323668</v>
      </c>
      <c r="I58" s="155"/>
      <c r="J58" s="131"/>
      <c r="K58" s="131"/>
      <c r="L58" s="131"/>
      <c r="M58" s="131"/>
      <c r="N58" s="131"/>
      <c r="O58" s="161">
        <f t="shared" si="2"/>
        <v>0</v>
      </c>
      <c r="P58" s="161">
        <f t="shared" si="3"/>
        <v>2323668</v>
      </c>
    </row>
    <row r="59" spans="1:16" ht="12" customHeight="1" x14ac:dyDescent="0.15">
      <c r="A59" s="21" t="s">
        <v>35</v>
      </c>
      <c r="B59" s="131">
        <f t="shared" si="19"/>
        <v>13332</v>
      </c>
      <c r="C59" s="131">
        <f t="shared" si="20"/>
        <v>46442</v>
      </c>
      <c r="D59" s="131">
        <f t="shared" si="20"/>
        <v>2310</v>
      </c>
      <c r="E59" s="131">
        <f t="shared" si="18"/>
        <v>0</v>
      </c>
      <c r="F59" s="131">
        <f t="shared" si="18"/>
        <v>28171</v>
      </c>
      <c r="G59" s="131"/>
      <c r="H59" s="161">
        <f t="shared" si="13"/>
        <v>90255</v>
      </c>
      <c r="I59" s="155"/>
      <c r="J59" s="131"/>
      <c r="K59" s="131"/>
      <c r="L59" s="131"/>
      <c r="M59" s="131"/>
      <c r="N59" s="131"/>
      <c r="O59" s="161">
        <f t="shared" si="2"/>
        <v>0</v>
      </c>
      <c r="P59" s="161">
        <f t="shared" si="3"/>
        <v>90255</v>
      </c>
    </row>
    <row r="60" spans="1:16" ht="12" customHeight="1" x14ac:dyDescent="0.15">
      <c r="A60" s="21" t="s">
        <v>110</v>
      </c>
      <c r="B60" s="131">
        <f t="shared" si="19"/>
        <v>68412</v>
      </c>
      <c r="C60" s="131">
        <f t="shared" si="20"/>
        <v>243870</v>
      </c>
      <c r="D60" s="131">
        <f t="shared" si="20"/>
        <v>0</v>
      </c>
      <c r="E60" s="131">
        <f t="shared" si="18"/>
        <v>0</v>
      </c>
      <c r="F60" s="131">
        <f t="shared" si="18"/>
        <v>32160</v>
      </c>
      <c r="G60" s="131"/>
      <c r="H60" s="161">
        <f t="shared" si="13"/>
        <v>344442</v>
      </c>
      <c r="I60" s="155"/>
      <c r="J60" s="131"/>
      <c r="K60" s="131"/>
      <c r="L60" s="131"/>
      <c r="M60" s="131"/>
      <c r="N60" s="131"/>
      <c r="O60" s="161">
        <f t="shared" si="2"/>
        <v>0</v>
      </c>
      <c r="P60" s="161">
        <f t="shared" si="3"/>
        <v>344442</v>
      </c>
    </row>
    <row r="61" spans="1:16" ht="12" customHeight="1" x14ac:dyDescent="0.15">
      <c r="A61" s="21" t="s">
        <v>111</v>
      </c>
      <c r="B61" s="131">
        <f t="shared" si="19"/>
        <v>645770</v>
      </c>
      <c r="C61" s="131">
        <f t="shared" si="20"/>
        <v>809884</v>
      </c>
      <c r="D61" s="131">
        <f t="shared" si="20"/>
        <v>254612</v>
      </c>
      <c r="E61" s="131">
        <f t="shared" si="18"/>
        <v>281358</v>
      </c>
      <c r="F61" s="131">
        <f t="shared" si="18"/>
        <v>320440</v>
      </c>
      <c r="G61" s="131"/>
      <c r="H61" s="161">
        <f t="shared" si="13"/>
        <v>2312064</v>
      </c>
      <c r="I61" s="155"/>
      <c r="J61" s="131"/>
      <c r="K61" s="131"/>
      <c r="L61" s="131"/>
      <c r="M61" s="131"/>
      <c r="N61" s="131"/>
      <c r="O61" s="161">
        <f t="shared" si="2"/>
        <v>0</v>
      </c>
      <c r="P61" s="161">
        <f t="shared" si="3"/>
        <v>2312064</v>
      </c>
    </row>
    <row r="62" spans="1:16" ht="12" customHeight="1" x14ac:dyDescent="0.15">
      <c r="A62" s="21" t="s">
        <v>112</v>
      </c>
      <c r="B62" s="131">
        <f t="shared" si="19"/>
        <v>0</v>
      </c>
      <c r="C62" s="131">
        <f t="shared" si="20"/>
        <v>11726</v>
      </c>
      <c r="D62" s="131">
        <f t="shared" si="20"/>
        <v>35002</v>
      </c>
      <c r="E62" s="131">
        <f t="shared" si="18"/>
        <v>21824</v>
      </c>
      <c r="F62" s="131">
        <f t="shared" si="18"/>
        <v>0</v>
      </c>
      <c r="G62" s="131"/>
      <c r="H62" s="161">
        <f t="shared" si="13"/>
        <v>68552</v>
      </c>
      <c r="I62" s="155"/>
      <c r="J62" s="131"/>
      <c r="K62" s="131"/>
      <c r="L62" s="131"/>
      <c r="M62" s="131"/>
      <c r="N62" s="131"/>
      <c r="O62" s="161">
        <f t="shared" si="2"/>
        <v>0</v>
      </c>
      <c r="P62" s="161">
        <f t="shared" si="3"/>
        <v>68552</v>
      </c>
    </row>
    <row r="63" spans="1:16" ht="12" customHeight="1" x14ac:dyDescent="0.15">
      <c r="A63" s="21" t="s">
        <v>113</v>
      </c>
      <c r="B63" s="131">
        <f t="shared" si="19"/>
        <v>372204</v>
      </c>
      <c r="C63" s="131">
        <f t="shared" si="20"/>
        <v>323536</v>
      </c>
      <c r="D63" s="131">
        <f t="shared" si="20"/>
        <v>344754</v>
      </c>
      <c r="E63" s="131">
        <f t="shared" si="18"/>
        <v>348332</v>
      </c>
      <c r="F63" s="131">
        <f t="shared" si="18"/>
        <v>310683</v>
      </c>
      <c r="G63" s="131"/>
      <c r="H63" s="161">
        <f t="shared" si="13"/>
        <v>1699509</v>
      </c>
      <c r="I63" s="155"/>
      <c r="J63" s="131"/>
      <c r="K63" s="131"/>
      <c r="L63" s="131"/>
      <c r="M63" s="131"/>
      <c r="N63" s="131"/>
      <c r="O63" s="161">
        <f t="shared" si="2"/>
        <v>0</v>
      </c>
      <c r="P63" s="161">
        <f t="shared" si="3"/>
        <v>1699509</v>
      </c>
    </row>
    <row r="64" spans="1:16" ht="12" customHeight="1" x14ac:dyDescent="0.15">
      <c r="A64" s="21" t="s">
        <v>121</v>
      </c>
      <c r="B64" s="131">
        <f t="shared" si="19"/>
        <v>345000</v>
      </c>
      <c r="C64" s="131">
        <f t="shared" si="20"/>
        <v>465000</v>
      </c>
      <c r="D64" s="131">
        <f t="shared" si="20"/>
        <v>345000</v>
      </c>
      <c r="E64" s="131">
        <f t="shared" si="18"/>
        <v>345000</v>
      </c>
      <c r="F64" s="131">
        <f t="shared" si="18"/>
        <v>345000</v>
      </c>
      <c r="G64" s="131"/>
      <c r="H64" s="161">
        <f t="shared" si="13"/>
        <v>1845000</v>
      </c>
      <c r="I64" s="155"/>
      <c r="J64" s="131"/>
      <c r="K64" s="131"/>
      <c r="L64" s="131"/>
      <c r="M64" s="131"/>
      <c r="N64" s="131"/>
      <c r="O64" s="161">
        <f t="shared" si="2"/>
        <v>0</v>
      </c>
      <c r="P64" s="161">
        <f t="shared" si="3"/>
        <v>1845000</v>
      </c>
    </row>
    <row r="65" spans="1:18" ht="12" customHeight="1" x14ac:dyDescent="0.15">
      <c r="A65" s="21" t="s">
        <v>122</v>
      </c>
      <c r="B65" s="131">
        <f t="shared" si="19"/>
        <v>544</v>
      </c>
      <c r="C65" s="131">
        <f t="shared" si="20"/>
        <v>81700</v>
      </c>
      <c r="D65" s="131">
        <f t="shared" si="20"/>
        <v>275800</v>
      </c>
      <c r="E65" s="131">
        <f t="shared" si="18"/>
        <v>46200</v>
      </c>
      <c r="F65" s="131">
        <f t="shared" si="18"/>
        <v>-3827</v>
      </c>
      <c r="G65" s="131"/>
      <c r="H65" s="161">
        <f t="shared" si="13"/>
        <v>400417</v>
      </c>
      <c r="I65" s="155"/>
      <c r="J65" s="131"/>
      <c r="K65" s="131"/>
      <c r="L65" s="131"/>
      <c r="M65" s="131"/>
      <c r="N65" s="131"/>
      <c r="O65" s="161">
        <f t="shared" si="2"/>
        <v>0</v>
      </c>
      <c r="P65" s="161">
        <f t="shared" si="3"/>
        <v>400417</v>
      </c>
    </row>
    <row r="66" spans="1:18" ht="12" customHeight="1" x14ac:dyDescent="0.15">
      <c r="A66" s="21" t="s">
        <v>37</v>
      </c>
      <c r="B66" s="131">
        <f t="shared" si="19"/>
        <v>57742</v>
      </c>
      <c r="C66" s="131">
        <f t="shared" si="20"/>
        <v>139376</v>
      </c>
      <c r="D66" s="131">
        <f t="shared" si="20"/>
        <v>204458</v>
      </c>
      <c r="E66" s="131">
        <f t="shared" si="18"/>
        <v>137875</v>
      </c>
      <c r="F66" s="131">
        <f t="shared" si="18"/>
        <v>12663</v>
      </c>
      <c r="G66" s="131"/>
      <c r="H66" s="161">
        <f t="shared" si="13"/>
        <v>552114</v>
      </c>
      <c r="I66" s="155"/>
      <c r="J66" s="131"/>
      <c r="K66" s="131"/>
      <c r="L66" s="131"/>
      <c r="M66" s="131"/>
      <c r="N66" s="131"/>
      <c r="O66" s="161">
        <f t="shared" si="2"/>
        <v>0</v>
      </c>
      <c r="P66" s="161">
        <f t="shared" si="3"/>
        <v>552114</v>
      </c>
    </row>
    <row r="67" spans="1:18" ht="12" customHeight="1" x14ac:dyDescent="0.15">
      <c r="A67" s="21" t="s">
        <v>114</v>
      </c>
      <c r="B67" s="131">
        <f t="shared" si="19"/>
        <v>0</v>
      </c>
      <c r="C67" s="131">
        <f t="shared" si="20"/>
        <v>0</v>
      </c>
      <c r="D67" s="131">
        <f t="shared" si="20"/>
        <v>0</v>
      </c>
      <c r="E67" s="131">
        <f t="shared" si="18"/>
        <v>0</v>
      </c>
      <c r="F67" s="131">
        <f t="shared" si="18"/>
        <v>1366</v>
      </c>
      <c r="G67" s="131"/>
      <c r="H67" s="161">
        <f t="shared" si="13"/>
        <v>1366</v>
      </c>
      <c r="I67" s="155"/>
      <c r="J67" s="131"/>
      <c r="K67" s="131"/>
      <c r="L67" s="131"/>
      <c r="M67" s="131"/>
      <c r="N67" s="131"/>
      <c r="O67" s="161">
        <f t="shared" si="2"/>
        <v>0</v>
      </c>
      <c r="P67" s="161">
        <f t="shared" si="3"/>
        <v>1366</v>
      </c>
    </row>
    <row r="68" spans="1:18" ht="12" customHeight="1" x14ac:dyDescent="0.15">
      <c r="A68" s="127" t="s">
        <v>115</v>
      </c>
      <c r="B68" s="131">
        <f t="shared" si="19"/>
        <v>234855</v>
      </c>
      <c r="C68" s="131">
        <f t="shared" si="20"/>
        <v>183927</v>
      </c>
      <c r="D68" s="131">
        <f t="shared" si="20"/>
        <v>206074</v>
      </c>
      <c r="E68" s="131">
        <f t="shared" si="18"/>
        <v>316378</v>
      </c>
      <c r="F68" s="131">
        <f t="shared" si="18"/>
        <v>347119</v>
      </c>
      <c r="G68" s="131"/>
      <c r="H68" s="161">
        <f t="shared" si="13"/>
        <v>1288353</v>
      </c>
      <c r="I68" s="155"/>
      <c r="J68" s="131"/>
      <c r="K68" s="131"/>
      <c r="L68" s="131"/>
      <c r="M68" s="131"/>
      <c r="N68" s="131"/>
      <c r="O68" s="161">
        <f t="shared" si="2"/>
        <v>0</v>
      </c>
      <c r="P68" s="161">
        <f t="shared" si="3"/>
        <v>1288353</v>
      </c>
    </row>
    <row r="69" spans="1:18" ht="12" customHeight="1" x14ac:dyDescent="0.15">
      <c r="A69" s="21" t="s">
        <v>46</v>
      </c>
      <c r="B69" s="131">
        <f t="shared" si="19"/>
        <v>0</v>
      </c>
      <c r="C69" s="131">
        <f t="shared" si="20"/>
        <v>0</v>
      </c>
      <c r="D69" s="131">
        <f t="shared" si="20"/>
        <v>0</v>
      </c>
      <c r="E69" s="131">
        <f t="shared" si="18"/>
        <v>0</v>
      </c>
      <c r="F69" s="131">
        <f t="shared" si="18"/>
        <v>0</v>
      </c>
      <c r="G69" s="131"/>
      <c r="H69" s="161">
        <f t="shared" si="13"/>
        <v>0</v>
      </c>
      <c r="I69" s="155"/>
      <c r="J69" s="131"/>
      <c r="K69" s="131"/>
      <c r="L69" s="131"/>
      <c r="M69" s="131"/>
      <c r="N69" s="131"/>
      <c r="O69" s="161">
        <f t="shared" si="2"/>
        <v>0</v>
      </c>
      <c r="P69" s="161">
        <f t="shared" si="3"/>
        <v>0</v>
      </c>
    </row>
    <row r="70" spans="1:18" ht="12" customHeight="1" x14ac:dyDescent="0.15">
      <c r="A70" s="52" t="s">
        <v>29</v>
      </c>
      <c r="B70" s="132">
        <f t="shared" ref="B70:N70" si="21">B38+B44</f>
        <v>13042583</v>
      </c>
      <c r="C70" s="132">
        <f t="shared" si="21"/>
        <v>12708071</v>
      </c>
      <c r="D70" s="132">
        <f t="shared" si="21"/>
        <v>12744151</v>
      </c>
      <c r="E70" s="132">
        <f t="shared" si="21"/>
        <v>17605765</v>
      </c>
      <c r="F70" s="132">
        <f t="shared" si="21"/>
        <v>12128329</v>
      </c>
      <c r="G70" s="150">
        <f t="shared" si="21"/>
        <v>0</v>
      </c>
      <c r="H70" s="162">
        <f t="shared" si="13"/>
        <v>68228899</v>
      </c>
      <c r="I70" s="156">
        <f>I38+I44</f>
        <v>0</v>
      </c>
      <c r="J70" s="132">
        <f t="shared" si="21"/>
        <v>0</v>
      </c>
      <c r="K70" s="132">
        <f t="shared" si="21"/>
        <v>0</v>
      </c>
      <c r="L70" s="132">
        <f t="shared" si="21"/>
        <v>0</v>
      </c>
      <c r="M70" s="132">
        <f t="shared" si="21"/>
        <v>0</v>
      </c>
      <c r="N70" s="150">
        <f t="shared" si="21"/>
        <v>0</v>
      </c>
      <c r="O70" s="162">
        <f t="shared" si="2"/>
        <v>0</v>
      </c>
      <c r="P70" s="162">
        <f t="shared" si="3"/>
        <v>68228899</v>
      </c>
    </row>
    <row r="71" spans="1:18" ht="12" customHeight="1" x14ac:dyDescent="0.15">
      <c r="A71" s="52" t="s">
        <v>61</v>
      </c>
      <c r="B71" s="132">
        <f t="shared" ref="B71:G71" si="22">B35-B70</f>
        <v>699081</v>
      </c>
      <c r="C71" s="132">
        <f t="shared" si="22"/>
        <v>2192425</v>
      </c>
      <c r="D71" s="145">
        <f t="shared" si="22"/>
        <v>1050612</v>
      </c>
      <c r="E71" s="145">
        <f t="shared" si="22"/>
        <v>-3498598</v>
      </c>
      <c r="F71" s="145">
        <f t="shared" si="22"/>
        <v>1472886</v>
      </c>
      <c r="G71" s="150">
        <f t="shared" si="22"/>
        <v>0</v>
      </c>
      <c r="H71" s="162">
        <f t="shared" si="13"/>
        <v>1916406</v>
      </c>
      <c r="I71" s="156">
        <f t="shared" ref="I71:N71" si="23">I35-I70</f>
        <v>0</v>
      </c>
      <c r="J71" s="132">
        <f t="shared" si="23"/>
        <v>0</v>
      </c>
      <c r="K71" s="132">
        <f t="shared" si="23"/>
        <v>0</v>
      </c>
      <c r="L71" s="132">
        <f t="shared" si="23"/>
        <v>0</v>
      </c>
      <c r="M71" s="132">
        <f t="shared" si="23"/>
        <v>0</v>
      </c>
      <c r="N71" s="150">
        <f t="shared" si="23"/>
        <v>0</v>
      </c>
      <c r="O71" s="162">
        <f t="shared" si="2"/>
        <v>0</v>
      </c>
      <c r="P71" s="162">
        <f t="shared" si="3"/>
        <v>1916406</v>
      </c>
    </row>
    <row r="72" spans="1:18" ht="12" customHeight="1" x14ac:dyDescent="0.15">
      <c r="A72" s="24" t="s">
        <v>126</v>
      </c>
      <c r="B72" s="131">
        <f>B106</f>
        <v>617</v>
      </c>
      <c r="C72" s="131">
        <f>C106-B106</f>
        <v>0</v>
      </c>
      <c r="D72" s="131">
        <f>D106-C106</f>
        <v>0</v>
      </c>
      <c r="E72" s="131">
        <f>E106-D106</f>
        <v>0</v>
      </c>
      <c r="F72" s="131">
        <f>F106-E106</f>
        <v>13562</v>
      </c>
      <c r="G72" s="131"/>
      <c r="H72" s="161">
        <f t="shared" si="13"/>
        <v>14179</v>
      </c>
      <c r="I72" s="155"/>
      <c r="J72" s="131"/>
      <c r="K72" s="131"/>
      <c r="L72" s="131"/>
      <c r="M72" s="131"/>
      <c r="N72" s="131"/>
      <c r="O72" s="162">
        <f t="shared" si="2"/>
        <v>0</v>
      </c>
      <c r="P72" s="161">
        <f t="shared" si="3"/>
        <v>14179</v>
      </c>
    </row>
    <row r="73" spans="1:18" ht="12" customHeight="1" x14ac:dyDescent="0.15">
      <c r="A73" s="24" t="s">
        <v>127</v>
      </c>
      <c r="B73" s="131">
        <f>SUM(B140:B142)</f>
        <v>20201</v>
      </c>
      <c r="C73" s="131">
        <f>C140+C141+C142-B140-B141-B142</f>
        <v>528612</v>
      </c>
      <c r="D73" s="131">
        <f>D140+D141+D142-C140-C141-C142</f>
        <v>36512</v>
      </c>
      <c r="E73" s="131">
        <f>E140+E141+E142-D140-D141-D142</f>
        <v>70243</v>
      </c>
      <c r="F73" s="131">
        <f>F140+F141+F142-E140-E141-E142</f>
        <v>42698</v>
      </c>
      <c r="G73" s="131"/>
      <c r="H73" s="161">
        <f t="shared" si="13"/>
        <v>698266</v>
      </c>
      <c r="I73" s="155"/>
      <c r="J73" s="131"/>
      <c r="K73" s="131"/>
      <c r="L73" s="131"/>
      <c r="M73" s="131"/>
      <c r="N73" s="131"/>
      <c r="O73" s="162">
        <f t="shared" si="2"/>
        <v>0</v>
      </c>
      <c r="P73" s="161">
        <f t="shared" si="3"/>
        <v>698266</v>
      </c>
      <c r="Q73" s="183" t="s">
        <v>386</v>
      </c>
      <c r="R73" s="183"/>
    </row>
    <row r="74" spans="1:18" ht="12" customHeight="1" x14ac:dyDescent="0.15">
      <c r="A74" s="52" t="s">
        <v>60</v>
      </c>
      <c r="B74" s="135">
        <f t="shared" ref="B74:G74" si="24">B71+B72-B73</f>
        <v>679497</v>
      </c>
      <c r="C74" s="135">
        <f t="shared" si="24"/>
        <v>1663813</v>
      </c>
      <c r="D74" s="146">
        <f t="shared" si="24"/>
        <v>1014100</v>
      </c>
      <c r="E74" s="146">
        <f t="shared" si="24"/>
        <v>-3568841</v>
      </c>
      <c r="F74" s="146">
        <f t="shared" si="24"/>
        <v>1443750</v>
      </c>
      <c r="G74" s="152">
        <f t="shared" si="24"/>
        <v>0</v>
      </c>
      <c r="H74" s="162">
        <f t="shared" si="13"/>
        <v>1232319</v>
      </c>
      <c r="I74" s="158">
        <f t="shared" ref="I74:N74" si="25">I71+I72-I73</f>
        <v>0</v>
      </c>
      <c r="J74" s="135">
        <f t="shared" si="25"/>
        <v>0</v>
      </c>
      <c r="K74" s="135">
        <f t="shared" si="25"/>
        <v>0</v>
      </c>
      <c r="L74" s="135">
        <f t="shared" si="25"/>
        <v>0</v>
      </c>
      <c r="M74" s="135">
        <f t="shared" si="25"/>
        <v>0</v>
      </c>
      <c r="N74" s="152">
        <f t="shared" si="25"/>
        <v>0</v>
      </c>
      <c r="O74" s="162">
        <f t="shared" si="2"/>
        <v>0</v>
      </c>
      <c r="P74" s="164">
        <f>H74+O74</f>
        <v>1232319</v>
      </c>
      <c r="Q74" s="184">
        <f>P74-'[3]7.５月'!$D$63</f>
        <v>1308028</v>
      </c>
      <c r="R74" s="184"/>
    </row>
    <row r="75" spans="1:18" ht="12" customHeight="1" thickBot="1" x14ac:dyDescent="0.2">
      <c r="A75" s="48" t="s">
        <v>116</v>
      </c>
      <c r="B75" s="137">
        <v>321000</v>
      </c>
      <c r="C75" s="137">
        <v>321000</v>
      </c>
      <c r="D75" s="137">
        <v>321000</v>
      </c>
      <c r="E75" s="137">
        <v>321000</v>
      </c>
      <c r="F75" s="137">
        <v>321000</v>
      </c>
      <c r="G75" s="153"/>
      <c r="H75" s="165">
        <f t="shared" si="13"/>
        <v>1605000</v>
      </c>
      <c r="I75" s="159"/>
      <c r="J75" s="137"/>
      <c r="K75" s="137"/>
      <c r="L75" s="137"/>
      <c r="M75" s="137"/>
      <c r="N75" s="153"/>
      <c r="O75" s="165">
        <f t="shared" si="2"/>
        <v>0</v>
      </c>
      <c r="P75" s="165">
        <f t="shared" si="3"/>
        <v>1605000</v>
      </c>
      <c r="Q75" s="185"/>
      <c r="R75" s="185"/>
    </row>
    <row r="76" spans="1:18" x14ac:dyDescent="0.15">
      <c r="G76" s="138"/>
      <c r="Q76" s="186"/>
      <c r="R76" s="186"/>
    </row>
    <row r="77" spans="1:18" x14ac:dyDescent="0.15">
      <c r="A77" s="21" t="s">
        <v>1</v>
      </c>
      <c r="B77" s="139">
        <v>63000</v>
      </c>
      <c r="C77" s="139">
        <v>65000</v>
      </c>
      <c r="D77" s="139">
        <v>66000</v>
      </c>
      <c r="E77" s="139">
        <v>66000</v>
      </c>
      <c r="F77" s="139">
        <v>66000</v>
      </c>
      <c r="G77" s="139"/>
      <c r="H77" s="139"/>
      <c r="I77" s="139"/>
      <c r="J77" s="139"/>
      <c r="K77" s="139"/>
      <c r="L77" s="139"/>
      <c r="M77" s="139"/>
      <c r="N77" s="139"/>
      <c r="O77" s="139"/>
      <c r="P77" s="139"/>
    </row>
    <row r="78" spans="1:18" x14ac:dyDescent="0.15">
      <c r="A78" s="21" t="s">
        <v>2</v>
      </c>
      <c r="B78" s="139">
        <v>1000</v>
      </c>
      <c r="C78" s="139">
        <v>19000</v>
      </c>
      <c r="D78" s="139">
        <v>22000</v>
      </c>
      <c r="E78" s="139">
        <v>24000</v>
      </c>
      <c r="F78" s="139">
        <v>25000</v>
      </c>
      <c r="G78" s="139"/>
      <c r="H78" s="139"/>
      <c r="I78" s="139"/>
      <c r="J78" s="139"/>
      <c r="K78" s="139"/>
      <c r="L78" s="139"/>
      <c r="M78" s="139"/>
      <c r="N78" s="139"/>
      <c r="O78" s="139"/>
      <c r="P78" s="139"/>
    </row>
    <row r="79" spans="1:18" x14ac:dyDescent="0.15">
      <c r="A79" s="21" t="s">
        <v>3</v>
      </c>
      <c r="B79" s="139">
        <v>1000</v>
      </c>
      <c r="C79" s="139">
        <v>2000</v>
      </c>
      <c r="D79" s="139">
        <v>2000</v>
      </c>
      <c r="E79" s="139">
        <v>2000</v>
      </c>
      <c r="F79" s="139">
        <v>2000</v>
      </c>
      <c r="G79" s="139"/>
      <c r="H79" s="139"/>
      <c r="I79" s="139"/>
      <c r="J79" s="139"/>
      <c r="K79" s="139"/>
      <c r="L79" s="139"/>
      <c r="M79" s="139"/>
      <c r="N79" s="139"/>
      <c r="O79" s="139"/>
      <c r="P79" s="139"/>
    </row>
    <row r="80" spans="1:18" x14ac:dyDescent="0.15">
      <c r="A80" s="118" t="s">
        <v>387</v>
      </c>
      <c r="B80" s="140"/>
      <c r="C80" s="140"/>
      <c r="D80" s="140"/>
      <c r="E80" s="140"/>
      <c r="F80" s="140"/>
      <c r="G80" s="141"/>
      <c r="H80" s="140"/>
      <c r="I80" s="141"/>
      <c r="J80" s="140"/>
      <c r="K80" s="140"/>
      <c r="L80" s="140"/>
      <c r="M80" s="140"/>
      <c r="N80" s="140"/>
      <c r="O80" s="140"/>
      <c r="P80" s="140"/>
    </row>
    <row r="81" spans="1:17" x14ac:dyDescent="0.15">
      <c r="A81" s="47" t="s">
        <v>94</v>
      </c>
      <c r="B81" s="139">
        <v>2486460</v>
      </c>
      <c r="C81" s="139">
        <v>5208080</v>
      </c>
      <c r="D81" s="139">
        <v>8004230</v>
      </c>
      <c r="E81" s="139">
        <v>10706100</v>
      </c>
      <c r="F81" s="139">
        <v>13356830</v>
      </c>
      <c r="G81" s="139"/>
      <c r="H81" s="139"/>
      <c r="I81" s="139"/>
      <c r="J81" s="139"/>
      <c r="K81" s="139"/>
      <c r="L81" s="139"/>
      <c r="M81" s="139"/>
      <c r="N81" s="139"/>
      <c r="O81" s="139"/>
      <c r="P81" s="139"/>
    </row>
    <row r="82" spans="1:17" x14ac:dyDescent="0.15">
      <c r="A82" s="48" t="s">
        <v>247</v>
      </c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</row>
    <row r="83" spans="1:17" x14ac:dyDescent="0.15">
      <c r="A83" s="48" t="s">
        <v>319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</row>
    <row r="84" spans="1:17" x14ac:dyDescent="0.15">
      <c r="A84" s="47" t="s">
        <v>95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</row>
    <row r="85" spans="1:17" x14ac:dyDescent="0.15">
      <c r="A85" s="21" t="s">
        <v>58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</row>
    <row r="86" spans="1:17" x14ac:dyDescent="0.15">
      <c r="A86" s="47" t="s">
        <v>96</v>
      </c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</row>
    <row r="87" spans="1:17" x14ac:dyDescent="0.15">
      <c r="A87" s="21" t="s">
        <v>59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</row>
    <row r="88" spans="1:17" x14ac:dyDescent="0.15">
      <c r="A88" s="50" t="s">
        <v>120</v>
      </c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</row>
    <row r="89" spans="1:17" x14ac:dyDescent="0.15">
      <c r="A89" s="21" t="s">
        <v>59</v>
      </c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</row>
    <row r="90" spans="1:17" x14ac:dyDescent="0.15">
      <c r="A90" s="51" t="s">
        <v>245</v>
      </c>
      <c r="B90" s="139">
        <v>724790</v>
      </c>
      <c r="C90" s="139">
        <v>1520670</v>
      </c>
      <c r="D90" s="139">
        <v>2202400</v>
      </c>
      <c r="E90" s="139">
        <v>2948600</v>
      </c>
      <c r="F90" s="139">
        <v>3661800</v>
      </c>
      <c r="G90" s="139"/>
      <c r="H90" s="139"/>
      <c r="I90" s="139"/>
      <c r="J90" s="139"/>
      <c r="K90" s="139"/>
      <c r="L90" s="139"/>
      <c r="M90" s="139"/>
      <c r="N90" s="139"/>
      <c r="O90" s="139"/>
      <c r="P90" s="139"/>
    </row>
    <row r="91" spans="1:17" x14ac:dyDescent="0.15">
      <c r="A91" s="51" t="s">
        <v>366</v>
      </c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</row>
    <row r="92" spans="1:17" x14ac:dyDescent="0.15">
      <c r="A92" s="51" t="s">
        <v>423</v>
      </c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</row>
    <row r="93" spans="1:17" x14ac:dyDescent="0.15">
      <c r="A93" s="51" t="s">
        <v>338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 t="s">
        <v>390</v>
      </c>
      <c r="O93" s="140"/>
      <c r="P93" s="140"/>
    </row>
    <row r="94" spans="1:17" x14ac:dyDescent="0.15">
      <c r="A94" s="21" t="s">
        <v>59</v>
      </c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</row>
    <row r="95" spans="1:17" x14ac:dyDescent="0.15">
      <c r="A95" s="47" t="s">
        <v>119</v>
      </c>
      <c r="B95" s="139">
        <v>74900</v>
      </c>
      <c r="C95" s="139">
        <v>166600</v>
      </c>
      <c r="D95" s="139">
        <v>245000</v>
      </c>
      <c r="E95" s="139">
        <v>325500</v>
      </c>
      <c r="F95" s="139">
        <v>396900</v>
      </c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</row>
    <row r="96" spans="1:17" x14ac:dyDescent="0.15">
      <c r="A96" s="47" t="s">
        <v>97</v>
      </c>
      <c r="B96" s="139">
        <v>20400</v>
      </c>
      <c r="C96" s="139">
        <v>28700</v>
      </c>
      <c r="D96" s="139">
        <v>32800</v>
      </c>
      <c r="E96" s="139">
        <v>42700</v>
      </c>
      <c r="F96" s="139">
        <v>46200</v>
      </c>
      <c r="G96" s="139"/>
      <c r="H96" s="139"/>
      <c r="I96" s="139"/>
      <c r="J96" s="139"/>
      <c r="K96" s="139"/>
      <c r="L96" s="139"/>
      <c r="M96" s="139"/>
      <c r="N96" s="139"/>
      <c r="O96" s="139"/>
    </row>
    <row r="97" spans="1:40" x14ac:dyDescent="0.15">
      <c r="A97" s="51" t="s">
        <v>407</v>
      </c>
      <c r="B97" s="139">
        <v>2200</v>
      </c>
      <c r="C97" s="139">
        <v>9200</v>
      </c>
      <c r="D97" s="139">
        <v>26400</v>
      </c>
      <c r="E97" s="139">
        <v>33600</v>
      </c>
      <c r="F97" s="139">
        <v>57200</v>
      </c>
      <c r="G97" s="139"/>
      <c r="H97" s="139"/>
      <c r="I97" s="139"/>
      <c r="J97" s="139"/>
      <c r="K97" s="139"/>
      <c r="L97" s="139"/>
      <c r="M97" s="139"/>
      <c r="N97" s="139"/>
      <c r="O97" s="139"/>
      <c r="P97" s="139"/>
    </row>
    <row r="98" spans="1:40" x14ac:dyDescent="0.15">
      <c r="A98" s="47" t="s">
        <v>249</v>
      </c>
      <c r="B98" s="139">
        <v>78100</v>
      </c>
      <c r="C98" s="139">
        <v>153300</v>
      </c>
      <c r="D98" s="139">
        <v>227800</v>
      </c>
      <c r="E98" s="139">
        <v>308700</v>
      </c>
      <c r="F98" s="139">
        <v>361100</v>
      </c>
      <c r="G98" s="139"/>
      <c r="H98" s="139"/>
      <c r="I98" s="139"/>
      <c r="J98" s="139"/>
      <c r="K98" s="139"/>
      <c r="L98" s="139"/>
      <c r="M98" s="139"/>
      <c r="N98" s="139"/>
      <c r="O98" s="139"/>
      <c r="P98" s="139"/>
    </row>
    <row r="99" spans="1:40" x14ac:dyDescent="0.15">
      <c r="A99" s="47" t="s">
        <v>406</v>
      </c>
      <c r="B99" s="139">
        <v>9000</v>
      </c>
      <c r="C99" s="139">
        <v>15900</v>
      </c>
      <c r="D99" s="139">
        <v>25100</v>
      </c>
      <c r="E99" s="139">
        <v>33700</v>
      </c>
      <c r="F99" s="139">
        <v>37000</v>
      </c>
      <c r="G99" s="139"/>
      <c r="H99" s="139"/>
      <c r="I99" s="139"/>
      <c r="J99" s="139"/>
      <c r="K99" s="139"/>
      <c r="L99" s="139"/>
      <c r="M99" s="139"/>
      <c r="N99" s="139"/>
      <c r="O99" s="139"/>
      <c r="P99" s="139"/>
    </row>
    <row r="100" spans="1:40" x14ac:dyDescent="0.15">
      <c r="A100" s="47" t="s">
        <v>303</v>
      </c>
      <c r="B100" s="139">
        <v>3400</v>
      </c>
      <c r="C100" s="139">
        <v>3400</v>
      </c>
      <c r="D100" s="139">
        <v>3400</v>
      </c>
      <c r="E100" s="139">
        <v>10800</v>
      </c>
      <c r="F100" s="139">
        <v>24900</v>
      </c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</row>
    <row r="101" spans="1:40" x14ac:dyDescent="0.15">
      <c r="A101" s="47" t="s">
        <v>251</v>
      </c>
      <c r="B101" s="139">
        <v>5500</v>
      </c>
      <c r="C101" s="139">
        <v>9700</v>
      </c>
      <c r="D101" s="139">
        <v>15300</v>
      </c>
      <c r="E101" s="139">
        <v>20900</v>
      </c>
      <c r="F101" s="139">
        <v>25100</v>
      </c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</row>
    <row r="102" spans="1:40" x14ac:dyDescent="0.15">
      <c r="A102" s="21" t="s">
        <v>99</v>
      </c>
      <c r="B102" s="139">
        <v>1214000</v>
      </c>
      <c r="C102" s="139">
        <v>2428000</v>
      </c>
      <c r="D102" s="139">
        <v>3642000</v>
      </c>
      <c r="E102" s="139">
        <v>4856000</v>
      </c>
      <c r="F102" s="139">
        <v>6070000</v>
      </c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</row>
    <row r="103" spans="1:40" x14ac:dyDescent="0.15">
      <c r="A103" s="21" t="s">
        <v>383</v>
      </c>
      <c r="B103" s="139">
        <v>10000</v>
      </c>
      <c r="C103" s="139">
        <v>10000</v>
      </c>
      <c r="D103" s="139">
        <v>10000</v>
      </c>
      <c r="E103" s="139">
        <v>10000</v>
      </c>
      <c r="F103" s="139">
        <v>10000</v>
      </c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</row>
    <row r="104" spans="1:40" x14ac:dyDescent="0.15">
      <c r="A104" s="21" t="s">
        <v>384</v>
      </c>
      <c r="B104" s="139">
        <v>50224</v>
      </c>
      <c r="C104" s="139">
        <v>121624</v>
      </c>
      <c r="D104" s="139">
        <v>121624</v>
      </c>
      <c r="E104" s="139">
        <v>126801</v>
      </c>
      <c r="F104" s="139">
        <v>126801</v>
      </c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</row>
    <row r="105" spans="1:40" x14ac:dyDescent="0.15">
      <c r="A105" s="21" t="s">
        <v>385</v>
      </c>
      <c r="B105" s="139">
        <v>19250</v>
      </c>
      <c r="C105" s="139">
        <v>111046</v>
      </c>
      <c r="D105" s="139">
        <v>535949</v>
      </c>
      <c r="E105" s="139">
        <v>566689</v>
      </c>
      <c r="F105" s="139">
        <v>584514</v>
      </c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</row>
    <row r="106" spans="1:40" x14ac:dyDescent="0.15">
      <c r="A106" s="21" t="s">
        <v>388</v>
      </c>
      <c r="B106" s="136">
        <v>617</v>
      </c>
      <c r="C106" s="136">
        <v>617</v>
      </c>
      <c r="D106" s="136">
        <v>617</v>
      </c>
      <c r="E106" s="136">
        <v>617</v>
      </c>
      <c r="F106" s="136">
        <v>14179</v>
      </c>
      <c r="G106" s="136"/>
      <c r="I106" s="136"/>
      <c r="J106" s="136"/>
      <c r="K106" s="136"/>
      <c r="L106" s="136"/>
      <c r="M106" s="136"/>
      <c r="N106" s="136"/>
    </row>
    <row r="108" spans="1:40" x14ac:dyDescent="0.15">
      <c r="A108" s="21" t="s">
        <v>100</v>
      </c>
      <c r="B108" s="139">
        <v>220000</v>
      </c>
      <c r="C108" s="139">
        <v>440000</v>
      </c>
      <c r="D108" s="139">
        <v>660000</v>
      </c>
      <c r="E108" s="139">
        <v>880000</v>
      </c>
      <c r="F108" s="139">
        <v>1078000</v>
      </c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</row>
    <row r="109" spans="1:40" x14ac:dyDescent="0.15">
      <c r="A109" s="21" t="s">
        <v>101</v>
      </c>
      <c r="B109" s="139">
        <v>6897029</v>
      </c>
      <c r="C109" s="139">
        <v>13585342</v>
      </c>
      <c r="D109" s="139">
        <v>20371207</v>
      </c>
      <c r="E109" s="139">
        <v>26861203</v>
      </c>
      <c r="F109" s="139">
        <v>33732799</v>
      </c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</row>
    <row r="110" spans="1:40" x14ac:dyDescent="0.15">
      <c r="A110" s="21" t="s">
        <v>102</v>
      </c>
      <c r="B110" s="139">
        <v>1603900</v>
      </c>
      <c r="C110" s="139">
        <v>2935668</v>
      </c>
      <c r="D110" s="139">
        <v>4447036</v>
      </c>
      <c r="E110" s="139">
        <v>5895092</v>
      </c>
      <c r="F110" s="139">
        <v>7480311</v>
      </c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</row>
    <row r="111" spans="1:40" x14ac:dyDescent="0.15">
      <c r="A111" s="21" t="s">
        <v>19</v>
      </c>
      <c r="B111" s="139">
        <v>852471</v>
      </c>
      <c r="C111" s="139">
        <v>1747395</v>
      </c>
      <c r="D111" s="139">
        <v>2642784</v>
      </c>
      <c r="E111" s="139">
        <v>3575071</v>
      </c>
      <c r="F111" s="139">
        <v>4406893</v>
      </c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</row>
    <row r="112" spans="1:40" x14ac:dyDescent="0.15">
      <c r="A112" s="48" t="s">
        <v>408</v>
      </c>
      <c r="B112" s="139">
        <v>0</v>
      </c>
      <c r="C112" s="139"/>
      <c r="D112" s="139">
        <v>0</v>
      </c>
      <c r="E112" s="139">
        <v>5320000</v>
      </c>
      <c r="F112" s="139">
        <v>5320000</v>
      </c>
      <c r="G112" s="139"/>
      <c r="H112" s="142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</row>
    <row r="113" spans="1:40" x14ac:dyDescent="0.15"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</row>
    <row r="114" spans="1:40" x14ac:dyDescent="0.15">
      <c r="A114" s="21" t="s">
        <v>21</v>
      </c>
      <c r="B114" s="139">
        <v>364347</v>
      </c>
      <c r="C114" s="139">
        <v>586847</v>
      </c>
      <c r="D114" s="139">
        <v>814847</v>
      </c>
      <c r="E114" s="139">
        <v>1207481</v>
      </c>
      <c r="F114" s="139">
        <v>1502575</v>
      </c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</row>
    <row r="115" spans="1:40" x14ac:dyDescent="0.15">
      <c r="A115" s="21" t="s">
        <v>22</v>
      </c>
      <c r="B115" s="139">
        <v>0</v>
      </c>
      <c r="C115" s="139"/>
      <c r="D115" s="139">
        <v>0</v>
      </c>
      <c r="E115" s="139">
        <v>0</v>
      </c>
      <c r="F115" s="139">
        <v>0</v>
      </c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</row>
    <row r="116" spans="1:40" x14ac:dyDescent="0.15">
      <c r="A116" s="21" t="s">
        <v>103</v>
      </c>
      <c r="B116" s="139">
        <v>74115</v>
      </c>
      <c r="C116" s="139">
        <v>91087</v>
      </c>
      <c r="D116" s="139">
        <v>246398</v>
      </c>
      <c r="E116" s="139">
        <v>394352</v>
      </c>
      <c r="F116" s="139">
        <v>405852</v>
      </c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</row>
    <row r="117" spans="1:40" x14ac:dyDescent="0.15">
      <c r="A117" s="21" t="s">
        <v>24</v>
      </c>
      <c r="B117" s="139">
        <v>29091</v>
      </c>
      <c r="C117" s="139">
        <v>44118</v>
      </c>
      <c r="D117" s="139">
        <v>55134</v>
      </c>
      <c r="E117" s="139">
        <v>66798</v>
      </c>
      <c r="F117" s="139">
        <v>74597</v>
      </c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</row>
    <row r="118" spans="1:40" x14ac:dyDescent="0.15">
      <c r="A118" s="21" t="s">
        <v>104</v>
      </c>
      <c r="B118" s="139">
        <v>0</v>
      </c>
      <c r="C118" s="139"/>
      <c r="D118" s="139">
        <v>0</v>
      </c>
      <c r="E118" s="139">
        <v>125400</v>
      </c>
      <c r="F118" s="139">
        <v>138399</v>
      </c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</row>
    <row r="119" spans="1:40" x14ac:dyDescent="0.15">
      <c r="A119" s="21" t="s">
        <v>105</v>
      </c>
      <c r="B119" s="139">
        <v>3200</v>
      </c>
      <c r="C119" s="139">
        <v>3200</v>
      </c>
      <c r="D119" s="139">
        <v>108442</v>
      </c>
      <c r="E119" s="139">
        <v>108442</v>
      </c>
      <c r="F119" s="139">
        <v>114594</v>
      </c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</row>
    <row r="120" spans="1:40" x14ac:dyDescent="0.15">
      <c r="A120" s="21" t="s">
        <v>106</v>
      </c>
      <c r="B120" s="139">
        <v>68376</v>
      </c>
      <c r="C120" s="139">
        <v>163539</v>
      </c>
      <c r="D120" s="139">
        <v>248039</v>
      </c>
      <c r="E120" s="139">
        <v>346468</v>
      </c>
      <c r="F120" s="139">
        <v>437068</v>
      </c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</row>
    <row r="121" spans="1:40" x14ac:dyDescent="0.15">
      <c r="A121" s="21" t="s">
        <v>28</v>
      </c>
      <c r="B121" s="139">
        <v>25600</v>
      </c>
      <c r="C121" s="139">
        <v>35100</v>
      </c>
      <c r="D121" s="139">
        <v>44600</v>
      </c>
      <c r="E121" s="139">
        <v>84460</v>
      </c>
      <c r="F121" s="139">
        <v>107710</v>
      </c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</row>
    <row r="122" spans="1:40" x14ac:dyDescent="0.15">
      <c r="A122" s="21" t="s">
        <v>107</v>
      </c>
      <c r="B122" s="139">
        <v>0</v>
      </c>
      <c r="C122" s="139"/>
      <c r="D122" s="139">
        <v>0</v>
      </c>
      <c r="E122" s="139">
        <v>2000</v>
      </c>
      <c r="F122" s="139">
        <v>4200</v>
      </c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</row>
    <row r="123" spans="1:40" x14ac:dyDescent="0.15">
      <c r="A123" s="21" t="s">
        <v>27</v>
      </c>
      <c r="B123" s="139">
        <v>0</v>
      </c>
      <c r="C123" s="139"/>
      <c r="D123" s="139">
        <v>17600</v>
      </c>
      <c r="E123" s="139">
        <v>17600</v>
      </c>
      <c r="F123" s="139">
        <v>17600</v>
      </c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  <c r="AG123" s="139"/>
      <c r="AH123" s="139"/>
      <c r="AI123" s="139"/>
      <c r="AJ123" s="139"/>
      <c r="AK123" s="139"/>
      <c r="AL123" s="139"/>
      <c r="AM123" s="139"/>
      <c r="AN123" s="139"/>
    </row>
    <row r="124" spans="1:40" x14ac:dyDescent="0.15">
      <c r="A124" s="21" t="s">
        <v>32</v>
      </c>
      <c r="B124" s="139">
        <v>637824</v>
      </c>
      <c r="C124" s="139">
        <v>1109841</v>
      </c>
      <c r="D124" s="139">
        <v>1635436</v>
      </c>
      <c r="E124" s="139">
        <v>2062917</v>
      </c>
      <c r="F124" s="139">
        <v>2430586</v>
      </c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</row>
    <row r="125" spans="1:40" x14ac:dyDescent="0.15">
      <c r="A125" s="21" t="s">
        <v>405</v>
      </c>
      <c r="B125" s="139">
        <v>4000</v>
      </c>
      <c r="C125" s="139">
        <v>6000</v>
      </c>
      <c r="D125" s="139">
        <v>8000</v>
      </c>
      <c r="E125" s="139">
        <v>8000</v>
      </c>
      <c r="F125" s="139">
        <v>10000</v>
      </c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</row>
    <row r="126" spans="1:40" x14ac:dyDescent="0.15">
      <c r="A126" s="21" t="s">
        <v>437</v>
      </c>
      <c r="B126" s="139">
        <v>9475</v>
      </c>
      <c r="C126" s="139">
        <v>9475</v>
      </c>
      <c r="D126" s="139">
        <v>9475</v>
      </c>
      <c r="E126" s="139">
        <v>26475</v>
      </c>
      <c r="F126" s="139">
        <v>41975</v>
      </c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</row>
    <row r="127" spans="1:40" x14ac:dyDescent="0.15">
      <c r="A127" s="21" t="s">
        <v>109</v>
      </c>
      <c r="B127" s="139">
        <v>515296</v>
      </c>
      <c r="C127" s="139">
        <v>949722</v>
      </c>
      <c r="D127" s="139">
        <v>1474477</v>
      </c>
      <c r="E127" s="139">
        <v>1910514</v>
      </c>
      <c r="F127" s="139">
        <v>2323668</v>
      </c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</row>
    <row r="128" spans="1:40" x14ac:dyDescent="0.15">
      <c r="A128" s="21" t="s">
        <v>35</v>
      </c>
      <c r="B128" s="139">
        <v>13332</v>
      </c>
      <c r="C128" s="139">
        <v>59774</v>
      </c>
      <c r="D128" s="139">
        <v>62084</v>
      </c>
      <c r="E128" s="139">
        <v>62084</v>
      </c>
      <c r="F128" s="139">
        <v>90255</v>
      </c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</row>
    <row r="129" spans="1:40" x14ac:dyDescent="0.15">
      <c r="A129" s="21" t="s">
        <v>110</v>
      </c>
      <c r="B129" s="139">
        <v>68412</v>
      </c>
      <c r="C129" s="139">
        <v>312282</v>
      </c>
      <c r="D129" s="139">
        <v>312282</v>
      </c>
      <c r="E129" s="139">
        <v>312282</v>
      </c>
      <c r="F129" s="139">
        <v>344442</v>
      </c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</row>
    <row r="130" spans="1:40" x14ac:dyDescent="0.15">
      <c r="A130" s="21" t="s">
        <v>111</v>
      </c>
      <c r="B130" s="139">
        <v>645770</v>
      </c>
      <c r="C130" s="139">
        <v>1455654</v>
      </c>
      <c r="D130" s="139">
        <v>1710266</v>
      </c>
      <c r="E130" s="139">
        <v>1991624</v>
      </c>
      <c r="F130" s="139">
        <v>2312064</v>
      </c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</row>
    <row r="131" spans="1:40" x14ac:dyDescent="0.15">
      <c r="A131" s="21" t="s">
        <v>112</v>
      </c>
      <c r="B131" s="139">
        <v>0</v>
      </c>
      <c r="C131" s="139">
        <v>11726</v>
      </c>
      <c r="D131" s="139">
        <v>46728</v>
      </c>
      <c r="E131" s="139">
        <v>68552</v>
      </c>
      <c r="F131" s="139">
        <v>68552</v>
      </c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</row>
    <row r="132" spans="1:40" x14ac:dyDescent="0.15">
      <c r="A132" s="21" t="s">
        <v>113</v>
      </c>
      <c r="B132" s="139">
        <v>372204</v>
      </c>
      <c r="C132" s="139">
        <v>695740</v>
      </c>
      <c r="D132" s="139">
        <v>1040494</v>
      </c>
      <c r="E132" s="139">
        <v>1388826</v>
      </c>
      <c r="F132" s="139">
        <v>1699509</v>
      </c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</row>
    <row r="133" spans="1:40" x14ac:dyDescent="0.15">
      <c r="A133" s="21" t="s">
        <v>121</v>
      </c>
      <c r="B133" s="139">
        <v>345000</v>
      </c>
      <c r="C133" s="139">
        <v>810000</v>
      </c>
      <c r="D133" s="139">
        <v>1155000</v>
      </c>
      <c r="E133" s="139">
        <v>1500000</v>
      </c>
      <c r="F133" s="139">
        <v>1845000</v>
      </c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</row>
    <row r="134" spans="1:40" x14ac:dyDescent="0.15">
      <c r="A134" s="21" t="s">
        <v>122</v>
      </c>
      <c r="B134" s="139">
        <v>544</v>
      </c>
      <c r="C134" s="139">
        <v>82244</v>
      </c>
      <c r="D134" s="139">
        <v>358044</v>
      </c>
      <c r="E134" s="139">
        <v>404244</v>
      </c>
      <c r="F134" s="139">
        <v>400417</v>
      </c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</row>
    <row r="135" spans="1:40" x14ac:dyDescent="0.15">
      <c r="A135" s="21" t="s">
        <v>37</v>
      </c>
      <c r="B135" s="139">
        <v>57742</v>
      </c>
      <c r="C135" s="139">
        <v>197118</v>
      </c>
      <c r="D135" s="139">
        <v>401576</v>
      </c>
      <c r="E135" s="139">
        <v>539451</v>
      </c>
      <c r="F135" s="139">
        <v>552114</v>
      </c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</row>
    <row r="136" spans="1:40" x14ac:dyDescent="0.15">
      <c r="A136" s="21" t="s">
        <v>114</v>
      </c>
      <c r="B136" s="139">
        <v>0</v>
      </c>
      <c r="C136" s="139">
        <v>0</v>
      </c>
      <c r="D136" s="139">
        <v>0</v>
      </c>
      <c r="E136" s="139">
        <v>0</v>
      </c>
      <c r="F136" s="139">
        <v>1366</v>
      </c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39"/>
      <c r="AJ136" s="139"/>
      <c r="AK136" s="139"/>
      <c r="AL136" s="139"/>
      <c r="AM136" s="139"/>
      <c r="AN136" s="139"/>
    </row>
    <row r="137" spans="1:40" x14ac:dyDescent="0.15">
      <c r="A137" s="127" t="s">
        <v>115</v>
      </c>
      <c r="B137" s="139">
        <v>234855</v>
      </c>
      <c r="C137" s="139">
        <v>418782</v>
      </c>
      <c r="D137" s="139">
        <v>624856</v>
      </c>
      <c r="E137" s="139">
        <v>941234</v>
      </c>
      <c r="F137" s="139">
        <v>1288353</v>
      </c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</row>
    <row r="138" spans="1:40" x14ac:dyDescent="0.15">
      <c r="A138" s="21" t="s">
        <v>46</v>
      </c>
      <c r="B138" s="139">
        <v>0</v>
      </c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</row>
    <row r="140" spans="1:40" x14ac:dyDescent="0.15">
      <c r="A140" s="21" t="s">
        <v>380</v>
      </c>
      <c r="B140" s="136">
        <v>-2032</v>
      </c>
      <c r="C140" s="136">
        <v>12746</v>
      </c>
      <c r="D140" s="136">
        <v>10442</v>
      </c>
      <c r="E140" s="136">
        <v>58907</v>
      </c>
      <c r="F140" s="136">
        <v>58907</v>
      </c>
      <c r="G140" s="136"/>
      <c r="I140" s="136"/>
      <c r="J140" s="136"/>
      <c r="K140" s="136"/>
      <c r="L140" s="136"/>
      <c r="M140" s="136"/>
      <c r="N140" s="136"/>
    </row>
    <row r="141" spans="1:40" x14ac:dyDescent="0.15">
      <c r="A141" s="21" t="s">
        <v>381</v>
      </c>
      <c r="B141" s="136">
        <v>22233</v>
      </c>
      <c r="C141" s="136">
        <v>45537</v>
      </c>
      <c r="D141" s="136">
        <v>66283</v>
      </c>
      <c r="E141" s="136">
        <v>88061</v>
      </c>
      <c r="F141" s="136">
        <v>109439</v>
      </c>
      <c r="G141" s="136"/>
      <c r="I141" s="136"/>
      <c r="J141" s="136"/>
      <c r="K141" s="136"/>
      <c r="L141" s="136"/>
      <c r="M141" s="136"/>
      <c r="N141" s="136"/>
    </row>
    <row r="142" spans="1:40" x14ac:dyDescent="0.15">
      <c r="A142" s="21" t="s">
        <v>382</v>
      </c>
      <c r="B142" s="136">
        <v>0</v>
      </c>
      <c r="C142" s="136">
        <v>490530</v>
      </c>
      <c r="D142" s="136">
        <v>508600</v>
      </c>
      <c r="E142" s="136">
        <v>508600</v>
      </c>
      <c r="F142" s="136">
        <v>529920</v>
      </c>
      <c r="G142" s="136"/>
      <c r="I142" s="136"/>
      <c r="J142" s="136"/>
      <c r="K142" s="136"/>
      <c r="L142" s="136"/>
      <c r="M142" s="136"/>
      <c r="N142" s="136"/>
    </row>
  </sheetData>
  <mergeCells count="5">
    <mergeCell ref="A1:P1"/>
    <mergeCell ref="Q73:R73"/>
    <mergeCell ref="Q74:R74"/>
    <mergeCell ref="Q75:R75"/>
    <mergeCell ref="Q76:R76"/>
  </mergeCells>
  <phoneticPr fontId="3"/>
  <pageMargins left="0.70866141732283472" right="0" top="0" bottom="0" header="0.23622047244094491" footer="0.27559055118110237"/>
  <pageSetup paperSize="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8899-E835-4030-8154-CB827A18983B}">
  <dimension ref="A1:J46"/>
  <sheetViews>
    <sheetView workbookViewId="0">
      <selection activeCell="H48" sqref="H48"/>
    </sheetView>
  </sheetViews>
  <sheetFormatPr defaultRowHeight="13.5" x14ac:dyDescent="0.15"/>
  <cols>
    <col min="1" max="1" width="15.375" customWidth="1"/>
    <col min="2" max="8" width="10.75" customWidth="1"/>
  </cols>
  <sheetData>
    <row r="1" spans="1:10" x14ac:dyDescent="0.15">
      <c r="A1" t="s">
        <v>187</v>
      </c>
    </row>
    <row r="2" spans="1:10" ht="14.25" thickBot="1" x14ac:dyDescent="0.2">
      <c r="E2" s="34"/>
      <c r="F2" s="34"/>
      <c r="G2" s="34"/>
      <c r="H2" s="34"/>
      <c r="J2" s="34" t="s">
        <v>197</v>
      </c>
    </row>
    <row r="3" spans="1:10" ht="14.25" thickBot="1" x14ac:dyDescent="0.2">
      <c r="A3" s="59"/>
      <c r="B3" s="60" t="s">
        <v>277</v>
      </c>
      <c r="C3" s="60" t="s">
        <v>276</v>
      </c>
      <c r="D3" s="60" t="s">
        <v>253</v>
      </c>
      <c r="E3" s="61" t="s">
        <v>252</v>
      </c>
      <c r="F3" s="61" t="s">
        <v>275</v>
      </c>
      <c r="G3" s="61" t="s">
        <v>282</v>
      </c>
      <c r="H3" s="61" t="s">
        <v>283</v>
      </c>
      <c r="I3" s="72" t="s">
        <v>279</v>
      </c>
      <c r="J3" s="72" t="s">
        <v>325</v>
      </c>
    </row>
    <row r="4" spans="1:10" ht="14.25" thickBot="1" x14ac:dyDescent="0.2">
      <c r="A4" s="62" t="s">
        <v>189</v>
      </c>
      <c r="B4" s="11">
        <v>193404.6</v>
      </c>
      <c r="C4" s="11">
        <v>211738.6</v>
      </c>
      <c r="D4" s="11">
        <v>213580.5</v>
      </c>
      <c r="E4" s="56">
        <v>224766.4</v>
      </c>
      <c r="F4" s="56">
        <v>216126</v>
      </c>
      <c r="G4" s="11">
        <v>213675.7</v>
      </c>
      <c r="H4" s="56">
        <v>220718</v>
      </c>
      <c r="I4" s="105">
        <f t="shared" ref="I4:I10" si="0">+H4-G4</f>
        <v>7042.2999999999884</v>
      </c>
      <c r="J4" s="77">
        <f>SUM(B4:H4)/7</f>
        <v>213429.97142857144</v>
      </c>
    </row>
    <row r="5" spans="1:10" ht="14.25" thickBot="1" x14ac:dyDescent="0.2">
      <c r="A5" s="39" t="s">
        <v>191</v>
      </c>
      <c r="B5" s="38">
        <v>180730.2</v>
      </c>
      <c r="C5" s="38">
        <v>194217.9</v>
      </c>
      <c r="D5" s="38">
        <v>207289.9</v>
      </c>
      <c r="E5" s="55">
        <v>216737.9</v>
      </c>
      <c r="F5" s="55">
        <v>213725</v>
      </c>
      <c r="G5" s="38">
        <v>211622.2</v>
      </c>
      <c r="H5" s="55">
        <v>217801</v>
      </c>
      <c r="I5" s="106">
        <f t="shared" si="0"/>
        <v>6178.7999999999884</v>
      </c>
      <c r="J5" s="77">
        <f t="shared" ref="J5:J10" si="1">SUM(B5:H5)/7</f>
        <v>206017.7285714286</v>
      </c>
    </row>
    <row r="6" spans="1:10" ht="14.25" thickBot="1" x14ac:dyDescent="0.2">
      <c r="A6" s="63" t="s">
        <v>199</v>
      </c>
      <c r="B6" s="57">
        <f t="shared" ref="B6:H6" si="2">B5/12</f>
        <v>15060.85</v>
      </c>
      <c r="C6" s="57">
        <f t="shared" si="2"/>
        <v>16184.824999999999</v>
      </c>
      <c r="D6" s="57">
        <f t="shared" si="2"/>
        <v>17274.158333333333</v>
      </c>
      <c r="E6" s="58">
        <f t="shared" si="2"/>
        <v>18061.491666666665</v>
      </c>
      <c r="F6" s="58">
        <f t="shared" si="2"/>
        <v>17810.416666666668</v>
      </c>
      <c r="G6" s="58">
        <f t="shared" si="2"/>
        <v>17635.183333333334</v>
      </c>
      <c r="H6" s="58">
        <f t="shared" si="2"/>
        <v>18150.083333333332</v>
      </c>
      <c r="I6" s="107">
        <f t="shared" si="0"/>
        <v>514.89999999999782</v>
      </c>
      <c r="J6" s="77">
        <f t="shared" si="1"/>
        <v>17168.144047619047</v>
      </c>
    </row>
    <row r="7" spans="1:10" ht="14.25" thickBot="1" x14ac:dyDescent="0.2">
      <c r="A7" s="62" t="s">
        <v>190</v>
      </c>
      <c r="B7" s="11">
        <v>179753</v>
      </c>
      <c r="C7" s="11">
        <v>193770.8</v>
      </c>
      <c r="D7" s="11">
        <v>210104.7</v>
      </c>
      <c r="E7" s="56">
        <v>216696.2</v>
      </c>
      <c r="F7" s="56">
        <v>212779</v>
      </c>
      <c r="G7" s="11">
        <v>211229.4</v>
      </c>
      <c r="H7" s="56">
        <v>217438</v>
      </c>
      <c r="I7" s="105">
        <f t="shared" si="0"/>
        <v>6208.6000000000058</v>
      </c>
      <c r="J7" s="77">
        <f t="shared" si="1"/>
        <v>205967.3</v>
      </c>
    </row>
    <row r="8" spans="1:10" ht="14.25" thickBot="1" x14ac:dyDescent="0.2">
      <c r="A8" s="64" t="s">
        <v>192</v>
      </c>
      <c r="B8" s="65">
        <v>132980.9</v>
      </c>
      <c r="C8" s="65">
        <v>138828.4</v>
      </c>
      <c r="D8" s="65">
        <v>151852.1</v>
      </c>
      <c r="E8" s="66">
        <v>163937</v>
      </c>
      <c r="F8" s="66">
        <v>159868</v>
      </c>
      <c r="G8" s="65">
        <v>159041.9</v>
      </c>
      <c r="H8" s="66">
        <v>165748</v>
      </c>
      <c r="I8" s="108">
        <f t="shared" si="0"/>
        <v>6706.1000000000058</v>
      </c>
      <c r="J8" s="77">
        <f t="shared" si="1"/>
        <v>153179.47142857144</v>
      </c>
    </row>
    <row r="9" spans="1:10" ht="14.25" thickBot="1" x14ac:dyDescent="0.2">
      <c r="A9" s="67" t="s">
        <v>193</v>
      </c>
      <c r="B9" s="68">
        <v>930.7</v>
      </c>
      <c r="C9" s="68">
        <v>2063.6999999999998</v>
      </c>
      <c r="D9" s="68">
        <v>1261</v>
      </c>
      <c r="E9" s="69">
        <v>2567.5</v>
      </c>
      <c r="F9" s="69">
        <v>719</v>
      </c>
      <c r="G9" s="68">
        <v>294</v>
      </c>
      <c r="H9" s="69">
        <v>655</v>
      </c>
      <c r="I9" s="70">
        <f t="shared" si="0"/>
        <v>361</v>
      </c>
      <c r="J9" s="77">
        <f t="shared" si="1"/>
        <v>1212.9857142857143</v>
      </c>
    </row>
    <row r="10" spans="1:10" ht="14.25" thickBot="1" x14ac:dyDescent="0.2">
      <c r="A10" s="74" t="s">
        <v>198</v>
      </c>
      <c r="B10" s="75">
        <v>12903.1</v>
      </c>
      <c r="C10" s="75">
        <v>16566.900000000001</v>
      </c>
      <c r="D10" s="75">
        <v>2104.1</v>
      </c>
      <c r="E10" s="76">
        <v>6857</v>
      </c>
      <c r="F10" s="76">
        <v>2302</v>
      </c>
      <c r="G10" s="75">
        <v>1470.8</v>
      </c>
      <c r="H10" s="76">
        <v>2525</v>
      </c>
      <c r="I10" s="109">
        <f t="shared" si="0"/>
        <v>1054.2</v>
      </c>
      <c r="J10" s="77">
        <f t="shared" si="1"/>
        <v>6389.8428571428576</v>
      </c>
    </row>
    <row r="11" spans="1:10" ht="6.75" customHeight="1" x14ac:dyDescent="0.15">
      <c r="A11" s="84"/>
      <c r="B11" s="86"/>
      <c r="C11" s="86"/>
      <c r="D11" s="86"/>
      <c r="E11" s="86"/>
      <c r="F11" s="40"/>
      <c r="G11" s="40"/>
      <c r="H11" s="40"/>
      <c r="I11" s="85"/>
      <c r="J11" s="40"/>
    </row>
    <row r="12" spans="1:10" x14ac:dyDescent="0.15">
      <c r="B12" s="35" t="s">
        <v>200</v>
      </c>
      <c r="C12" s="35" t="s">
        <v>200</v>
      </c>
      <c r="D12" s="35" t="s">
        <v>202</v>
      </c>
      <c r="E12" s="35" t="s">
        <v>200</v>
      </c>
      <c r="F12" s="88" t="s">
        <v>280</v>
      </c>
      <c r="G12" s="35" t="s">
        <v>286</v>
      </c>
      <c r="H12" s="35" t="s">
        <v>321</v>
      </c>
    </row>
    <row r="13" spans="1:10" x14ac:dyDescent="0.15">
      <c r="B13" s="12">
        <v>531</v>
      </c>
      <c r="C13" s="12" t="s">
        <v>201</v>
      </c>
      <c r="D13" s="12" t="s">
        <v>203</v>
      </c>
      <c r="E13" s="12" t="s">
        <v>204</v>
      </c>
      <c r="F13" s="87" t="s">
        <v>281</v>
      </c>
      <c r="G13" s="12" t="s">
        <v>287</v>
      </c>
      <c r="H13" s="11">
        <v>285</v>
      </c>
    </row>
    <row r="14" spans="1:10" x14ac:dyDescent="0.15">
      <c r="B14" s="36"/>
      <c r="C14" s="37">
        <v>1680</v>
      </c>
      <c r="D14" s="37">
        <v>1161</v>
      </c>
      <c r="E14" s="37">
        <v>1646</v>
      </c>
      <c r="F14" s="89">
        <f>147+142.8</f>
        <v>289.8</v>
      </c>
      <c r="G14" s="11" t="s">
        <v>288</v>
      </c>
      <c r="H14" s="11" t="s">
        <v>322</v>
      </c>
    </row>
    <row r="15" spans="1:10" x14ac:dyDescent="0.15">
      <c r="C15" s="40"/>
      <c r="D15" s="40"/>
      <c r="E15" s="40"/>
      <c r="F15" s="40"/>
      <c r="G15" s="11" t="s">
        <v>289</v>
      </c>
      <c r="H15" s="11" t="s">
        <v>323</v>
      </c>
    </row>
    <row r="16" spans="1:10" x14ac:dyDescent="0.15">
      <c r="C16" s="40"/>
      <c r="D16" s="40"/>
      <c r="E16" s="40"/>
      <c r="F16" s="40"/>
      <c r="G16" s="11" t="s">
        <v>290</v>
      </c>
      <c r="H16" s="11" t="s">
        <v>324</v>
      </c>
    </row>
    <row r="17" spans="1:10" x14ac:dyDescent="0.15">
      <c r="C17" s="40"/>
      <c r="D17" s="40"/>
      <c r="E17" s="40"/>
      <c r="F17" s="40"/>
      <c r="G17" s="37" t="s">
        <v>291</v>
      </c>
      <c r="H17" s="37">
        <v>119</v>
      </c>
    </row>
    <row r="18" spans="1:10" ht="14.25" thickBot="1" x14ac:dyDescent="0.2"/>
    <row r="19" spans="1:10" ht="14.25" thickBot="1" x14ac:dyDescent="0.2">
      <c r="A19" s="99"/>
      <c r="B19" s="100" t="s">
        <v>188</v>
      </c>
      <c r="C19" s="100" t="s">
        <v>194</v>
      </c>
      <c r="D19" s="100" t="s">
        <v>195</v>
      </c>
      <c r="E19" s="100" t="s">
        <v>196</v>
      </c>
      <c r="F19" s="101" t="s">
        <v>278</v>
      </c>
      <c r="G19" s="101" t="s">
        <v>284</v>
      </c>
      <c r="H19" s="71" t="s">
        <v>285</v>
      </c>
      <c r="I19" s="72" t="s">
        <v>279</v>
      </c>
      <c r="J19" s="72" t="s">
        <v>325</v>
      </c>
    </row>
    <row r="20" spans="1:10" x14ac:dyDescent="0.15">
      <c r="A20" s="91" t="s">
        <v>205</v>
      </c>
      <c r="B20" s="42">
        <v>132980.9</v>
      </c>
      <c r="C20" s="42">
        <v>138828.4</v>
      </c>
      <c r="D20" s="42">
        <v>151852.1</v>
      </c>
      <c r="E20" s="42">
        <v>163936.6</v>
      </c>
      <c r="F20" s="78">
        <v>159867.79999999999</v>
      </c>
      <c r="G20" s="42">
        <v>159041.9</v>
      </c>
      <c r="H20" s="98">
        <v>165748</v>
      </c>
      <c r="I20" s="102">
        <f>H20-G20</f>
        <v>6706.1000000000058</v>
      </c>
      <c r="J20" s="73">
        <f>SUM(B20:B20:H20)/7</f>
        <v>153179.38571428575</v>
      </c>
    </row>
    <row r="21" spans="1:10" x14ac:dyDescent="0.15">
      <c r="A21" s="91" t="s">
        <v>206</v>
      </c>
      <c r="B21" s="42">
        <v>4226.8999999999996</v>
      </c>
      <c r="C21" s="42">
        <v>4507.8</v>
      </c>
      <c r="D21" s="42">
        <v>4204.5</v>
      </c>
      <c r="E21" s="42">
        <v>4505.8</v>
      </c>
      <c r="F21" s="78">
        <v>4201.8</v>
      </c>
      <c r="G21" s="41">
        <v>4212</v>
      </c>
      <c r="H21" s="81">
        <v>4728</v>
      </c>
      <c r="I21" s="102">
        <f t="shared" ref="I21:I45" si="3">H21-G21</f>
        <v>516</v>
      </c>
      <c r="J21" s="103">
        <f>SUM(B21:B21:H21)/7</f>
        <v>4369.5428571428574</v>
      </c>
    </row>
    <row r="22" spans="1:10" x14ac:dyDescent="0.15">
      <c r="A22" s="92" t="s">
        <v>207</v>
      </c>
      <c r="B22" s="41">
        <v>27.4</v>
      </c>
      <c r="C22" s="41">
        <v>63.1</v>
      </c>
      <c r="D22" s="41">
        <v>0</v>
      </c>
      <c r="E22" s="41">
        <v>53</v>
      </c>
      <c r="F22" s="79">
        <v>0</v>
      </c>
      <c r="G22" s="41">
        <v>0</v>
      </c>
      <c r="H22" s="81">
        <v>59</v>
      </c>
      <c r="I22" s="102">
        <f t="shared" si="3"/>
        <v>59</v>
      </c>
      <c r="J22" s="103">
        <f>SUM(B22:B22:H22)/7</f>
        <v>28.928571428571427</v>
      </c>
    </row>
    <row r="23" spans="1:10" x14ac:dyDescent="0.15">
      <c r="A23" s="92" t="s">
        <v>208</v>
      </c>
      <c r="B23" s="41">
        <v>759.3</v>
      </c>
      <c r="C23" s="41">
        <v>905.4</v>
      </c>
      <c r="D23" s="41">
        <v>741.8</v>
      </c>
      <c r="E23" s="41">
        <v>801.8</v>
      </c>
      <c r="F23" s="79">
        <v>828.3</v>
      </c>
      <c r="G23" s="41">
        <v>870</v>
      </c>
      <c r="H23" s="81">
        <v>857</v>
      </c>
      <c r="I23" s="102">
        <f t="shared" si="3"/>
        <v>-13</v>
      </c>
      <c r="J23" s="103">
        <f>SUM(B23:B23:H23)/7</f>
        <v>823.37142857142862</v>
      </c>
    </row>
    <row r="24" spans="1:10" x14ac:dyDescent="0.15">
      <c r="A24" s="92" t="s">
        <v>209</v>
      </c>
      <c r="B24" s="41">
        <v>222.1</v>
      </c>
      <c r="C24" s="41">
        <v>218.7</v>
      </c>
      <c r="D24" s="41">
        <v>204</v>
      </c>
      <c r="E24" s="41">
        <v>366.8</v>
      </c>
      <c r="F24" s="79">
        <v>521</v>
      </c>
      <c r="G24" s="41">
        <v>460.8</v>
      </c>
      <c r="H24" s="81">
        <v>278</v>
      </c>
      <c r="I24" s="102">
        <f t="shared" si="3"/>
        <v>-182.8</v>
      </c>
      <c r="J24" s="103">
        <f>SUM(B24:B24:H24)/7</f>
        <v>324.48571428571421</v>
      </c>
    </row>
    <row r="25" spans="1:10" x14ac:dyDescent="0.15">
      <c r="A25" s="92" t="s">
        <v>210</v>
      </c>
      <c r="B25" s="41">
        <v>3023</v>
      </c>
      <c r="C25" s="41">
        <v>2399.1</v>
      </c>
      <c r="D25" s="41">
        <v>1518.2</v>
      </c>
      <c r="E25" s="41">
        <v>801.4</v>
      </c>
      <c r="F25" s="79">
        <v>1060.8</v>
      </c>
      <c r="G25" s="41">
        <v>1365</v>
      </c>
      <c r="H25" s="81">
        <v>1470</v>
      </c>
      <c r="I25" s="102">
        <f t="shared" si="3"/>
        <v>105</v>
      </c>
      <c r="J25" s="103">
        <f>SUM(B25:B25:H25)/7</f>
        <v>1662.5</v>
      </c>
    </row>
    <row r="26" spans="1:10" x14ac:dyDescent="0.15">
      <c r="A26" s="92" t="s">
        <v>211</v>
      </c>
      <c r="B26" s="41">
        <v>252.8</v>
      </c>
      <c r="C26" s="41">
        <v>242.2</v>
      </c>
      <c r="D26" s="44">
        <v>261.8</v>
      </c>
      <c r="E26" s="44">
        <v>229.3</v>
      </c>
      <c r="F26" s="79">
        <v>240.1</v>
      </c>
      <c r="G26" s="41">
        <v>188.8</v>
      </c>
      <c r="H26" s="81">
        <v>196</v>
      </c>
      <c r="I26" s="102">
        <f t="shared" si="3"/>
        <v>7.1999999999999886</v>
      </c>
      <c r="J26" s="103">
        <f>SUM(B26:B26:H26)/7</f>
        <v>230.14285714285711</v>
      </c>
    </row>
    <row r="27" spans="1:10" x14ac:dyDescent="0.15">
      <c r="A27" s="92" t="s">
        <v>212</v>
      </c>
      <c r="B27" s="41">
        <v>469.3</v>
      </c>
      <c r="C27" s="41">
        <v>685.6</v>
      </c>
      <c r="D27" s="41">
        <v>765.5</v>
      </c>
      <c r="E27" s="41">
        <v>716.9</v>
      </c>
      <c r="F27" s="79">
        <v>661.5</v>
      </c>
      <c r="G27" s="41">
        <v>702.9</v>
      </c>
      <c r="H27" s="81">
        <v>909</v>
      </c>
      <c r="I27" s="102">
        <f t="shared" si="3"/>
        <v>206.10000000000002</v>
      </c>
      <c r="J27" s="103">
        <f>SUM(B27:B27:H27)/7</f>
        <v>701.52857142857158</v>
      </c>
    </row>
    <row r="28" spans="1:10" x14ac:dyDescent="0.15">
      <c r="A28" s="92" t="s">
        <v>213</v>
      </c>
      <c r="B28" s="41">
        <v>250.1</v>
      </c>
      <c r="C28" s="41">
        <v>279.5</v>
      </c>
      <c r="D28" s="41">
        <v>257.60000000000002</v>
      </c>
      <c r="E28" s="41">
        <v>352.6</v>
      </c>
      <c r="F28" s="79">
        <v>299.10000000000002</v>
      </c>
      <c r="G28" s="41">
        <v>318.8</v>
      </c>
      <c r="H28" s="81">
        <v>394</v>
      </c>
      <c r="I28" s="102">
        <f t="shared" si="3"/>
        <v>75.199999999999989</v>
      </c>
      <c r="J28" s="103">
        <f>SUM(B28:B28:H28)/7</f>
        <v>307.38571428571424</v>
      </c>
    </row>
    <row r="29" spans="1:10" x14ac:dyDescent="0.15">
      <c r="A29" s="92" t="s">
        <v>214</v>
      </c>
      <c r="B29" s="41">
        <v>156.6</v>
      </c>
      <c r="C29" s="41">
        <v>202.8</v>
      </c>
      <c r="D29" s="41">
        <v>161.9</v>
      </c>
      <c r="E29" s="41">
        <v>271.7</v>
      </c>
      <c r="F29" s="79">
        <v>214.4</v>
      </c>
      <c r="G29" s="41">
        <v>208.3</v>
      </c>
      <c r="H29" s="81">
        <v>237</v>
      </c>
      <c r="I29" s="102">
        <f t="shared" si="3"/>
        <v>28.699999999999989</v>
      </c>
      <c r="J29" s="103">
        <f>SUM(B29:B29:H29)/7</f>
        <v>207.52857142857144</v>
      </c>
    </row>
    <row r="30" spans="1:10" x14ac:dyDescent="0.15">
      <c r="A30" s="92" t="s">
        <v>215</v>
      </c>
      <c r="B30" s="41">
        <v>176.2</v>
      </c>
      <c r="C30" s="41">
        <v>154.80000000000001</v>
      </c>
      <c r="D30" s="41">
        <v>117.9</v>
      </c>
      <c r="E30" s="41">
        <v>136.80000000000001</v>
      </c>
      <c r="F30" s="79">
        <v>94.5</v>
      </c>
      <c r="G30" s="41">
        <v>120.2</v>
      </c>
      <c r="H30" s="81">
        <v>321</v>
      </c>
      <c r="I30" s="102">
        <f t="shared" si="3"/>
        <v>200.8</v>
      </c>
      <c r="J30" s="103">
        <f>SUM(B30:B30:H30)/7</f>
        <v>160.20000000000002</v>
      </c>
    </row>
    <row r="31" spans="1:10" x14ac:dyDescent="0.15">
      <c r="A31" s="92" t="s">
        <v>216</v>
      </c>
      <c r="B31" s="41">
        <v>3906.6</v>
      </c>
      <c r="C31" s="41">
        <v>4860</v>
      </c>
      <c r="D31" s="41">
        <v>5571.9</v>
      </c>
      <c r="E31" s="41">
        <v>5889.1</v>
      </c>
      <c r="F31" s="79">
        <v>6539.1</v>
      </c>
      <c r="G31" s="41">
        <v>6608.5</v>
      </c>
      <c r="H31" s="81">
        <v>6291</v>
      </c>
      <c r="I31" s="102">
        <f t="shared" si="3"/>
        <v>-317.5</v>
      </c>
      <c r="J31" s="103">
        <f>SUM(B31:B31:H31)/7</f>
        <v>5666.5999999999995</v>
      </c>
    </row>
    <row r="32" spans="1:10" x14ac:dyDescent="0.15">
      <c r="A32" s="92" t="s">
        <v>217</v>
      </c>
      <c r="B32" s="41">
        <v>390</v>
      </c>
      <c r="C32" s="41">
        <v>171.1</v>
      </c>
      <c r="D32" s="41">
        <v>124.4</v>
      </c>
      <c r="E32" s="41">
        <v>128</v>
      </c>
      <c r="F32" s="79">
        <v>172.7</v>
      </c>
      <c r="G32" s="41">
        <v>180.1</v>
      </c>
      <c r="H32" s="81">
        <v>179</v>
      </c>
      <c r="I32" s="102">
        <f t="shared" si="3"/>
        <v>-1.0999999999999943</v>
      </c>
      <c r="J32" s="103">
        <f>SUM(B32:B32:H32)/7</f>
        <v>192.18571428571428</v>
      </c>
    </row>
    <row r="33" spans="1:10" x14ac:dyDescent="0.15">
      <c r="A33" s="92" t="s">
        <v>218</v>
      </c>
      <c r="B33" s="41">
        <v>101.4</v>
      </c>
      <c r="C33" s="41">
        <v>91.6</v>
      </c>
      <c r="D33" s="41">
        <v>49.6</v>
      </c>
      <c r="E33" s="41">
        <v>160.6</v>
      </c>
      <c r="F33" s="79">
        <v>100.8</v>
      </c>
      <c r="G33" s="41">
        <v>114.1</v>
      </c>
      <c r="H33" s="81">
        <v>89</v>
      </c>
      <c r="I33" s="102">
        <f t="shared" si="3"/>
        <v>-25.099999999999994</v>
      </c>
      <c r="J33" s="103">
        <f>SUM(B33:B33:H33)/7</f>
        <v>101.01428571428572</v>
      </c>
    </row>
    <row r="34" spans="1:10" x14ac:dyDescent="0.15">
      <c r="A34" s="92" t="s">
        <v>219</v>
      </c>
      <c r="B34" s="41">
        <v>6886.4</v>
      </c>
      <c r="C34" s="41">
        <v>7261.7</v>
      </c>
      <c r="D34" s="41">
        <v>7007.7</v>
      </c>
      <c r="E34" s="41">
        <v>6541.2</v>
      </c>
      <c r="F34" s="79">
        <v>6064.8</v>
      </c>
      <c r="G34" s="41">
        <v>5371</v>
      </c>
      <c r="H34" s="81">
        <v>5961</v>
      </c>
      <c r="I34" s="102">
        <f t="shared" si="3"/>
        <v>590</v>
      </c>
      <c r="J34" s="103">
        <f>SUM(B34:B34:H34)/7</f>
        <v>6441.971428571429</v>
      </c>
    </row>
    <row r="35" spans="1:10" x14ac:dyDescent="0.15">
      <c r="A35" s="92" t="s">
        <v>220</v>
      </c>
      <c r="B35" s="41">
        <v>202.2</v>
      </c>
      <c r="C35" s="41">
        <v>269.39999999999998</v>
      </c>
      <c r="D35" s="41">
        <v>151.4</v>
      </c>
      <c r="E35" s="41">
        <v>85.5</v>
      </c>
      <c r="F35" s="79">
        <v>104.5</v>
      </c>
      <c r="G35" s="41">
        <v>143.19999999999999</v>
      </c>
      <c r="H35" s="81">
        <v>97</v>
      </c>
      <c r="I35" s="102">
        <f t="shared" si="3"/>
        <v>-46.199999999999989</v>
      </c>
      <c r="J35" s="103">
        <f>SUM(B35:B35:H35)/7</f>
        <v>150.45714285714286</v>
      </c>
    </row>
    <row r="36" spans="1:10" x14ac:dyDescent="0.15">
      <c r="A36" s="92" t="s">
        <v>221</v>
      </c>
      <c r="B36" s="41">
        <v>1039.9000000000001</v>
      </c>
      <c r="C36" s="41">
        <v>1023.2</v>
      </c>
      <c r="D36" s="41">
        <v>683.9</v>
      </c>
      <c r="E36" s="41">
        <v>897.3</v>
      </c>
      <c r="F36" s="79">
        <v>1017.1</v>
      </c>
      <c r="G36" s="41">
        <v>841.4</v>
      </c>
      <c r="H36" s="81">
        <v>761</v>
      </c>
      <c r="I36" s="102">
        <f t="shared" si="3"/>
        <v>-80.399999999999977</v>
      </c>
      <c r="J36" s="103">
        <f>SUM(B36:B36:H36)/7</f>
        <v>894.82857142857142</v>
      </c>
    </row>
    <row r="37" spans="1:10" x14ac:dyDescent="0.15">
      <c r="A37" s="92" t="s">
        <v>222</v>
      </c>
      <c r="B37" s="41">
        <v>4713.5</v>
      </c>
      <c r="C37" s="41">
        <v>5390.5</v>
      </c>
      <c r="D37" s="41">
        <v>6833.6</v>
      </c>
      <c r="E37" s="41">
        <v>6123.3</v>
      </c>
      <c r="F37" s="79">
        <v>6539.5</v>
      </c>
      <c r="G37" s="41">
        <v>7732</v>
      </c>
      <c r="H37" s="81">
        <v>6703</v>
      </c>
      <c r="I37" s="102">
        <f t="shared" si="3"/>
        <v>-1029</v>
      </c>
      <c r="J37" s="103">
        <f>SUM(B37:B37:H37)/7</f>
        <v>6290.7714285714274</v>
      </c>
    </row>
    <row r="38" spans="1:10" x14ac:dyDescent="0.15">
      <c r="A38" s="92" t="s">
        <v>223</v>
      </c>
      <c r="B38" s="41">
        <v>930.7</v>
      </c>
      <c r="C38" s="41">
        <v>2063.6999999999998</v>
      </c>
      <c r="D38" s="41">
        <v>1261</v>
      </c>
      <c r="E38" s="41">
        <v>921.1</v>
      </c>
      <c r="F38" s="79">
        <v>719</v>
      </c>
      <c r="G38" s="41">
        <v>294.3</v>
      </c>
      <c r="H38" s="81">
        <v>655</v>
      </c>
      <c r="I38" s="102">
        <f t="shared" si="3"/>
        <v>360.7</v>
      </c>
      <c r="J38" s="103">
        <f>SUM(B38:B38:H38)/7</f>
        <v>977.82857142857142</v>
      </c>
    </row>
    <row r="39" spans="1:10" x14ac:dyDescent="0.15">
      <c r="A39" s="92" t="s">
        <v>224</v>
      </c>
      <c r="B39" s="41">
        <v>3299.9</v>
      </c>
      <c r="C39" s="41">
        <v>4293.3</v>
      </c>
      <c r="D39" s="41">
        <v>4736.8</v>
      </c>
      <c r="E39" s="41">
        <v>4917.5</v>
      </c>
      <c r="F39" s="79">
        <v>4698.2</v>
      </c>
      <c r="G39" s="41">
        <v>4601.8</v>
      </c>
      <c r="H39" s="81">
        <v>4197</v>
      </c>
      <c r="I39" s="102">
        <f t="shared" si="3"/>
        <v>-404.80000000000018</v>
      </c>
      <c r="J39" s="103">
        <f>SUM(B39:B39:H39)/7</f>
        <v>4392.0714285714284</v>
      </c>
    </row>
    <row r="40" spans="1:10" x14ac:dyDescent="0.15">
      <c r="A40" s="92" t="s">
        <v>225</v>
      </c>
      <c r="B40" s="41">
        <v>3250</v>
      </c>
      <c r="C40" s="41">
        <v>2720</v>
      </c>
      <c r="D40" s="41">
        <v>3120</v>
      </c>
      <c r="E40" s="41">
        <v>3255</v>
      </c>
      <c r="F40" s="79">
        <v>3660</v>
      </c>
      <c r="G40" s="41">
        <v>3660</v>
      </c>
      <c r="H40" s="81">
        <v>3660</v>
      </c>
      <c r="I40" s="102">
        <f t="shared" si="3"/>
        <v>0</v>
      </c>
      <c r="J40" s="103">
        <f>SUM(B40:B40:H40)/7</f>
        <v>3332.1428571428573</v>
      </c>
    </row>
    <row r="41" spans="1:10" x14ac:dyDescent="0.15">
      <c r="A41" s="92" t="s">
        <v>226</v>
      </c>
      <c r="B41" s="41">
        <v>1969.6</v>
      </c>
      <c r="C41" s="41">
        <v>4581.3999999999996</v>
      </c>
      <c r="D41" s="41">
        <v>7280</v>
      </c>
      <c r="E41" s="41">
        <v>2396.5</v>
      </c>
      <c r="F41" s="79">
        <v>1462.6</v>
      </c>
      <c r="G41" s="41">
        <v>1219.2</v>
      </c>
      <c r="H41" s="81">
        <v>973</v>
      </c>
      <c r="I41" s="102">
        <f t="shared" si="3"/>
        <v>-246.20000000000005</v>
      </c>
      <c r="J41" s="103">
        <f>SUM(B41:B41:H41)/7</f>
        <v>2840.3285714285712</v>
      </c>
    </row>
    <row r="42" spans="1:10" x14ac:dyDescent="0.15">
      <c r="A42" s="92" t="s">
        <v>227</v>
      </c>
      <c r="B42" s="41">
        <v>1946.1</v>
      </c>
      <c r="C42" s="41">
        <v>1556</v>
      </c>
      <c r="D42" s="41">
        <v>1805.4</v>
      </c>
      <c r="E42" s="41">
        <v>1943.6</v>
      </c>
      <c r="F42" s="79">
        <v>1975.5</v>
      </c>
      <c r="G42" s="41">
        <v>1997.4</v>
      </c>
      <c r="H42" s="81">
        <v>1974</v>
      </c>
      <c r="I42" s="102">
        <f t="shared" si="3"/>
        <v>-23.400000000000091</v>
      </c>
      <c r="J42" s="103">
        <f>SUM(B42:B42:H42)/7</f>
        <v>1885.4285714285713</v>
      </c>
    </row>
    <row r="43" spans="1:10" x14ac:dyDescent="0.15">
      <c r="A43" s="92" t="s">
        <v>228</v>
      </c>
      <c r="B43" s="41">
        <v>299.5</v>
      </c>
      <c r="C43" s="41">
        <v>163.69999999999999</v>
      </c>
      <c r="D43" s="41">
        <v>104.9</v>
      </c>
      <c r="E43" s="41">
        <v>209.8</v>
      </c>
      <c r="F43" s="79">
        <v>154.5</v>
      </c>
      <c r="G43" s="41">
        <v>144.9</v>
      </c>
      <c r="H43" s="81">
        <v>146</v>
      </c>
      <c r="I43" s="102">
        <f t="shared" si="3"/>
        <v>1.0999999999999943</v>
      </c>
      <c r="J43" s="103">
        <f>SUM(B43:B43:H43)/7</f>
        <v>174.7571428571429</v>
      </c>
    </row>
    <row r="44" spans="1:10" x14ac:dyDescent="0.15">
      <c r="A44" s="92" t="s">
        <v>229</v>
      </c>
      <c r="B44" s="41">
        <v>3733.1</v>
      </c>
      <c r="C44" s="41">
        <v>4539.8999999999996</v>
      </c>
      <c r="D44" s="41">
        <v>3718.3</v>
      </c>
      <c r="E44" s="41">
        <v>4754.8</v>
      </c>
      <c r="F44" s="79">
        <v>4003.9</v>
      </c>
      <c r="G44" s="41">
        <v>4359.8</v>
      </c>
      <c r="H44" s="81">
        <v>4673</v>
      </c>
      <c r="I44" s="102">
        <f t="shared" si="3"/>
        <v>313.19999999999982</v>
      </c>
      <c r="J44" s="103">
        <f>SUM(B44:B44:H44)/7</f>
        <v>4254.6857142857143</v>
      </c>
    </row>
    <row r="45" spans="1:10" x14ac:dyDescent="0.15">
      <c r="A45" s="93" t="s">
        <v>230</v>
      </c>
      <c r="B45" s="43">
        <v>4538.3</v>
      </c>
      <c r="C45" s="43">
        <v>6296.9</v>
      </c>
      <c r="D45" s="43">
        <v>7569.5</v>
      </c>
      <c r="E45" s="43">
        <v>6299.2</v>
      </c>
      <c r="F45" s="80">
        <v>7576.8</v>
      </c>
      <c r="G45" s="82">
        <v>6472</v>
      </c>
      <c r="H45" s="83">
        <v>5880</v>
      </c>
      <c r="I45" s="102">
        <f t="shared" si="3"/>
        <v>-592</v>
      </c>
      <c r="J45" s="103">
        <f>SUM(B45:B45:H45)/7</f>
        <v>6376.0999999999995</v>
      </c>
    </row>
    <row r="46" spans="1:10" ht="14.25" thickBot="1" x14ac:dyDescent="0.2">
      <c r="A46" s="94" t="s">
        <v>231</v>
      </c>
      <c r="B46" s="95">
        <f>SUM(B21:B45)</f>
        <v>46770.9</v>
      </c>
      <c r="C46" s="95">
        <f>SUM(C21:C45)</f>
        <v>54941.400000000009</v>
      </c>
      <c r="D46" s="95">
        <f>SUM(D21:D45)</f>
        <v>58251.600000000013</v>
      </c>
      <c r="E46" s="95">
        <f>SUM(E21:E45)</f>
        <v>52758.6</v>
      </c>
      <c r="F46" s="96">
        <f>SUM(F21:F45)</f>
        <v>52910.5</v>
      </c>
      <c r="G46" s="97">
        <v>52187.4</v>
      </c>
      <c r="H46" s="90">
        <v>51690</v>
      </c>
      <c r="I46" s="70">
        <f>H46-G46</f>
        <v>-497.40000000000146</v>
      </c>
      <c r="J46" s="104">
        <f>SUM(B46:B46:H46)/7</f>
        <v>52787.200000000004</v>
      </c>
    </row>
  </sheetData>
  <phoneticPr fontId="3"/>
  <pageMargins left="0.70866141732283472" right="0.70866141732283472" top="0.15748031496062992" bottom="0.15748031496062992" header="0.31496062992125984" footer="0.31496062992125984"/>
  <pageSetup paperSize="9" orientation="landscape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33EC-C323-4261-A938-48C144C653C3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A79C-8526-4A9A-BA0A-DC0A102C0128}">
  <dimension ref="A1:P67"/>
  <sheetViews>
    <sheetView topLeftCell="D10" workbookViewId="0">
      <selection activeCell="B1" sqref="B1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72" t="s">
        <v>144</v>
      </c>
      <c r="D1" s="172"/>
      <c r="E1" s="172"/>
      <c r="F1" s="172"/>
      <c r="G1" s="172"/>
      <c r="H1" s="172"/>
    </row>
    <row r="2" spans="1:16" ht="12" customHeight="1" x14ac:dyDescent="0.15">
      <c r="A2" s="1" t="s">
        <v>43</v>
      </c>
      <c r="B2" s="2" t="s">
        <v>145</v>
      </c>
      <c r="C2" s="1" t="s">
        <v>146</v>
      </c>
      <c r="D2" s="2" t="s">
        <v>147</v>
      </c>
      <c r="E2" s="1" t="s">
        <v>148</v>
      </c>
      <c r="F2" s="2" t="s">
        <v>149</v>
      </c>
      <c r="G2" s="1" t="s">
        <v>150</v>
      </c>
      <c r="H2" s="1" t="s">
        <v>39</v>
      </c>
      <c r="I2" s="18" t="s">
        <v>151</v>
      </c>
      <c r="J2" s="1" t="s">
        <v>152</v>
      </c>
      <c r="K2" s="18" t="s">
        <v>153</v>
      </c>
      <c r="L2" s="1" t="s">
        <v>154</v>
      </c>
      <c r="M2" s="1" t="s">
        <v>155</v>
      </c>
      <c r="N2" s="1" t="s">
        <v>156</v>
      </c>
      <c r="O2" s="1" t="s">
        <v>41</v>
      </c>
      <c r="P2" s="1" t="s">
        <v>42</v>
      </c>
    </row>
    <row r="3" spans="1:16" x14ac:dyDescent="0.15">
      <c r="A3" s="24" t="s">
        <v>123</v>
      </c>
      <c r="B3" s="5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15">
      <c r="A4" s="19" t="s">
        <v>0</v>
      </c>
      <c r="B4" s="10">
        <f>SUM(B5:B7)</f>
        <v>120000</v>
      </c>
      <c r="C4" s="10">
        <f t="shared" ref="C4:N4" si="0">SUM(C5:C7)</f>
        <v>32000</v>
      </c>
      <c r="D4" s="10">
        <f t="shared" si="0"/>
        <v>19000</v>
      </c>
      <c r="E4" s="10">
        <f t="shared" si="0"/>
        <v>5000</v>
      </c>
      <c r="F4" s="10">
        <f t="shared" si="0"/>
        <v>5000</v>
      </c>
      <c r="G4" s="10">
        <f t="shared" si="0"/>
        <v>5000</v>
      </c>
      <c r="H4" s="10">
        <f t="shared" ref="H4:H17" si="1">SUM(B4:G4)</f>
        <v>186000</v>
      </c>
      <c r="I4" s="10">
        <f t="shared" si="0"/>
        <v>4000</v>
      </c>
      <c r="J4" s="10">
        <f t="shared" si="0"/>
        <v>4000</v>
      </c>
      <c r="K4" s="10">
        <f t="shared" si="0"/>
        <v>4000</v>
      </c>
      <c r="L4" s="10">
        <f t="shared" si="0"/>
        <v>4000</v>
      </c>
      <c r="M4" s="10">
        <f t="shared" si="0"/>
        <v>4000</v>
      </c>
      <c r="N4" s="10">
        <f t="shared" si="0"/>
        <v>4000</v>
      </c>
      <c r="O4" s="10">
        <f>SUM(I4:N4)</f>
        <v>24000</v>
      </c>
      <c r="P4" s="10">
        <f>H4+O4</f>
        <v>210000</v>
      </c>
    </row>
    <row r="5" spans="1:16" ht="12.95" customHeight="1" x14ac:dyDescent="0.15">
      <c r="A5" s="21" t="s">
        <v>1</v>
      </c>
      <c r="B5" s="14">
        <v>80000</v>
      </c>
      <c r="C5" s="14">
        <v>2000</v>
      </c>
      <c r="D5" s="14">
        <v>2000</v>
      </c>
      <c r="E5" s="14">
        <v>1000</v>
      </c>
      <c r="F5" s="14">
        <v>1000</v>
      </c>
      <c r="G5" s="14">
        <v>1000</v>
      </c>
      <c r="H5" s="14">
        <f t="shared" si="1"/>
        <v>87000</v>
      </c>
      <c r="I5" s="9">
        <v>1000</v>
      </c>
      <c r="J5" s="9">
        <v>1000</v>
      </c>
      <c r="K5" s="9">
        <v>1000</v>
      </c>
      <c r="L5" s="9">
        <v>1000</v>
      </c>
      <c r="M5" s="9">
        <v>1000</v>
      </c>
      <c r="N5" s="9">
        <v>1000</v>
      </c>
      <c r="O5" s="9">
        <f t="shared" ref="O5:O67" si="2">SUM(I5:N5)</f>
        <v>6000</v>
      </c>
      <c r="P5" s="9">
        <f t="shared" ref="P5:P67" si="3">H5+O5</f>
        <v>93000</v>
      </c>
    </row>
    <row r="6" spans="1:16" ht="12.95" customHeight="1" x14ac:dyDescent="0.15">
      <c r="A6" s="21" t="s">
        <v>2</v>
      </c>
      <c r="B6" s="14">
        <v>35000</v>
      </c>
      <c r="C6" s="14">
        <v>25000</v>
      </c>
      <c r="D6" s="14">
        <v>15000</v>
      </c>
      <c r="E6" s="14">
        <v>2000</v>
      </c>
      <c r="F6" s="14">
        <v>2000</v>
      </c>
      <c r="G6" s="14">
        <v>2000</v>
      </c>
      <c r="H6" s="14">
        <f t="shared" si="1"/>
        <v>81000</v>
      </c>
      <c r="I6" s="9">
        <v>2000</v>
      </c>
      <c r="J6" s="9">
        <v>2000</v>
      </c>
      <c r="K6" s="9">
        <v>2000</v>
      </c>
      <c r="L6" s="9">
        <v>2000</v>
      </c>
      <c r="M6" s="9">
        <v>2000</v>
      </c>
      <c r="N6" s="9">
        <v>2000</v>
      </c>
      <c r="O6" s="9">
        <f t="shared" si="2"/>
        <v>12000</v>
      </c>
      <c r="P6" s="9">
        <f t="shared" si="3"/>
        <v>93000</v>
      </c>
    </row>
    <row r="7" spans="1:16" ht="12.95" customHeight="1" x14ac:dyDescent="0.15">
      <c r="A7" s="21" t="s">
        <v>3</v>
      </c>
      <c r="B7" s="14">
        <v>5000</v>
      </c>
      <c r="C7" s="14">
        <v>5000</v>
      </c>
      <c r="D7" s="14">
        <v>2000</v>
      </c>
      <c r="E7" s="14">
        <v>2000</v>
      </c>
      <c r="F7" s="14">
        <v>2000</v>
      </c>
      <c r="G7" s="14">
        <v>2000</v>
      </c>
      <c r="H7" s="14">
        <f t="shared" si="1"/>
        <v>18000</v>
      </c>
      <c r="I7" s="9">
        <v>1000</v>
      </c>
      <c r="J7" s="9">
        <v>1000</v>
      </c>
      <c r="K7" s="9">
        <v>1000</v>
      </c>
      <c r="L7" s="9">
        <v>1000</v>
      </c>
      <c r="M7" s="9">
        <v>1000</v>
      </c>
      <c r="N7" s="9">
        <v>1000</v>
      </c>
      <c r="O7" s="9">
        <f t="shared" si="2"/>
        <v>6000</v>
      </c>
      <c r="P7" s="9">
        <f t="shared" si="3"/>
        <v>24000</v>
      </c>
    </row>
    <row r="8" spans="1:16" x14ac:dyDescent="0.15">
      <c r="A8" s="19" t="s">
        <v>4</v>
      </c>
      <c r="B8" s="10">
        <f t="shared" ref="B8:N8" si="4">SUM(B9:B23)</f>
        <v>17465800</v>
      </c>
      <c r="C8" s="10">
        <f t="shared" si="4"/>
        <v>17431100</v>
      </c>
      <c r="D8" s="10">
        <f t="shared" si="4"/>
        <v>17688000</v>
      </c>
      <c r="E8" s="10">
        <f t="shared" si="4"/>
        <v>18325500</v>
      </c>
      <c r="F8" s="10">
        <f t="shared" si="4"/>
        <v>19279500</v>
      </c>
      <c r="G8" s="10">
        <f t="shared" si="4"/>
        <v>17989200</v>
      </c>
      <c r="H8" s="10">
        <f t="shared" si="1"/>
        <v>108179100</v>
      </c>
      <c r="I8" s="10">
        <f t="shared" si="4"/>
        <v>18056250</v>
      </c>
      <c r="J8" s="10">
        <f t="shared" si="4"/>
        <v>17994000</v>
      </c>
      <c r="K8" s="10">
        <f t="shared" si="4"/>
        <v>17609250</v>
      </c>
      <c r="L8" s="10">
        <f t="shared" si="4"/>
        <v>16210500</v>
      </c>
      <c r="M8" s="10">
        <f t="shared" si="4"/>
        <v>17139500</v>
      </c>
      <c r="N8" s="10">
        <f t="shared" si="4"/>
        <v>19020500</v>
      </c>
      <c r="O8" s="10">
        <f t="shared" si="2"/>
        <v>106030000</v>
      </c>
      <c r="P8" s="10">
        <f t="shared" si="3"/>
        <v>214209100</v>
      </c>
    </row>
    <row r="9" spans="1:16" ht="12.95" customHeight="1" x14ac:dyDescent="0.15">
      <c r="A9" s="27" t="s">
        <v>94</v>
      </c>
      <c r="B9" s="14">
        <v>2550000</v>
      </c>
      <c r="C9" s="14">
        <v>2550000</v>
      </c>
      <c r="D9" s="14">
        <v>2550000</v>
      </c>
      <c r="E9" s="14">
        <v>2550000</v>
      </c>
      <c r="F9" s="14">
        <v>2550000</v>
      </c>
      <c r="G9" s="14">
        <v>2550000</v>
      </c>
      <c r="H9" s="14">
        <f t="shared" si="1"/>
        <v>15300000</v>
      </c>
      <c r="I9" s="9">
        <v>2625000</v>
      </c>
      <c r="J9" s="9">
        <v>2625000</v>
      </c>
      <c r="K9" s="9">
        <v>2625000</v>
      </c>
      <c r="L9" s="9">
        <v>2550000</v>
      </c>
      <c r="M9" s="9">
        <v>2550000</v>
      </c>
      <c r="N9" s="9">
        <v>2550000</v>
      </c>
      <c r="O9" s="9">
        <f t="shared" si="2"/>
        <v>15525000</v>
      </c>
      <c r="P9" s="9">
        <f t="shared" si="3"/>
        <v>30825000</v>
      </c>
    </row>
    <row r="10" spans="1:16" ht="12.95" customHeight="1" x14ac:dyDescent="0.15">
      <c r="A10" s="20" t="s">
        <v>128</v>
      </c>
      <c r="B10" s="14">
        <v>50000</v>
      </c>
      <c r="C10" s="14">
        <v>60000</v>
      </c>
      <c r="D10" s="14">
        <v>62500</v>
      </c>
      <c r="E10" s="14">
        <v>62500</v>
      </c>
      <c r="F10" s="14">
        <v>65000</v>
      </c>
      <c r="G10" s="14">
        <v>65000</v>
      </c>
      <c r="H10" s="14">
        <f t="shared" si="1"/>
        <v>365000</v>
      </c>
      <c r="I10" s="9">
        <v>65000</v>
      </c>
      <c r="J10" s="9">
        <v>65000</v>
      </c>
      <c r="K10" s="9">
        <v>65000</v>
      </c>
      <c r="L10" s="9">
        <v>55000</v>
      </c>
      <c r="M10" s="9" ph="1">
        <v>50000</v>
      </c>
      <c r="N10" s="9">
        <v>60000</v>
      </c>
      <c r="O10" s="9">
        <f t="shared" si="2"/>
        <v>360000</v>
      </c>
      <c r="P10" s="9">
        <f t="shared" si="3"/>
        <v>725000</v>
      </c>
    </row>
    <row r="11" spans="1:16" ht="12.95" customHeight="1" x14ac:dyDescent="0.15">
      <c r="A11" s="20" t="s">
        <v>129</v>
      </c>
      <c r="B11" s="14">
        <v>170000</v>
      </c>
      <c r="C11" s="14">
        <v>170000</v>
      </c>
      <c r="D11" s="14">
        <v>170000</v>
      </c>
      <c r="E11" s="14">
        <v>175000</v>
      </c>
      <c r="F11" s="14">
        <v>175000</v>
      </c>
      <c r="G11" s="14">
        <v>175000</v>
      </c>
      <c r="H11" s="14">
        <f t="shared" si="1"/>
        <v>1035000</v>
      </c>
      <c r="I11" s="9">
        <v>180000</v>
      </c>
      <c r="J11" s="9">
        <v>180000</v>
      </c>
      <c r="K11" s="9">
        <v>180000</v>
      </c>
      <c r="L11" s="9">
        <v>185000</v>
      </c>
      <c r="M11" s="9">
        <v>185000</v>
      </c>
      <c r="N11" s="9">
        <v>185000</v>
      </c>
      <c r="O11" s="9">
        <f t="shared" si="2"/>
        <v>1095000</v>
      </c>
      <c r="P11" s="9">
        <f t="shared" si="3"/>
        <v>2130000</v>
      </c>
    </row>
    <row r="12" spans="1:16" ht="12.95" customHeight="1" x14ac:dyDescent="0.15">
      <c r="A12" s="27" t="s">
        <v>95</v>
      </c>
      <c r="B12" s="29">
        <v>9396800</v>
      </c>
      <c r="C12" s="14">
        <v>9639600</v>
      </c>
      <c r="D12" s="14">
        <v>9679000</v>
      </c>
      <c r="E12" s="14">
        <v>9766500</v>
      </c>
      <c r="F12" s="14">
        <v>10252000</v>
      </c>
      <c r="G12" s="14">
        <v>9720200</v>
      </c>
      <c r="H12" s="14">
        <f t="shared" si="1"/>
        <v>58454100</v>
      </c>
      <c r="I12" s="9">
        <v>9605750</v>
      </c>
      <c r="J12" s="14">
        <v>9562000</v>
      </c>
      <c r="K12" s="9">
        <v>9252750</v>
      </c>
      <c r="L12" s="9">
        <v>8320000</v>
      </c>
      <c r="M12" s="9">
        <v>9117000</v>
      </c>
      <c r="N12" s="9">
        <v>10439000</v>
      </c>
      <c r="O12" s="9">
        <f t="shared" si="2"/>
        <v>56296500</v>
      </c>
      <c r="P12" s="9">
        <f t="shared" si="3"/>
        <v>114750600</v>
      </c>
    </row>
    <row r="13" spans="1:16" ht="12.95" customHeight="1" x14ac:dyDescent="0.15">
      <c r="A13" s="20" t="s">
        <v>58</v>
      </c>
      <c r="B13" s="14">
        <v>532500</v>
      </c>
      <c r="C13" s="14">
        <v>545000</v>
      </c>
      <c r="D13" s="14">
        <v>547500</v>
      </c>
      <c r="E13" s="14">
        <v>552500</v>
      </c>
      <c r="F13" s="14">
        <v>580000</v>
      </c>
      <c r="G13" s="14">
        <v>550000</v>
      </c>
      <c r="H13" s="14">
        <f t="shared" si="1"/>
        <v>3307500</v>
      </c>
      <c r="I13" s="9">
        <v>542500</v>
      </c>
      <c r="J13" s="9">
        <v>540000</v>
      </c>
      <c r="K13" s="9">
        <v>522500</v>
      </c>
      <c r="L13" s="9">
        <v>470000</v>
      </c>
      <c r="M13" s="9">
        <v>515000</v>
      </c>
      <c r="N13" s="9">
        <v>590000</v>
      </c>
      <c r="O13" s="9">
        <f t="shared" si="2"/>
        <v>3180000</v>
      </c>
      <c r="P13" s="9">
        <f t="shared" si="3"/>
        <v>6487500</v>
      </c>
    </row>
    <row r="14" spans="1:16" ht="12.95" customHeight="1" x14ac:dyDescent="0.15">
      <c r="A14" s="27" t="s">
        <v>96</v>
      </c>
      <c r="B14" s="14">
        <v>1151000</v>
      </c>
      <c r="C14" s="14">
        <v>1165000</v>
      </c>
      <c r="D14" s="14">
        <v>1175000</v>
      </c>
      <c r="E14" s="14">
        <v>1327000</v>
      </c>
      <c r="F14" s="14">
        <v>1339000</v>
      </c>
      <c r="G14" s="14">
        <v>1351000</v>
      </c>
      <c r="H14" s="14">
        <f t="shared" si="1"/>
        <v>7508000</v>
      </c>
      <c r="I14" s="9">
        <v>1356000</v>
      </c>
      <c r="J14" s="9">
        <v>1356000</v>
      </c>
      <c r="K14" s="9">
        <v>1356000</v>
      </c>
      <c r="L14" s="9">
        <v>1373000</v>
      </c>
      <c r="M14" s="9">
        <v>1373000</v>
      </c>
      <c r="N14" s="9">
        <v>1373000</v>
      </c>
      <c r="O14" s="9">
        <f t="shared" si="2"/>
        <v>8187000</v>
      </c>
      <c r="P14" s="9">
        <f t="shared" si="3"/>
        <v>15695000</v>
      </c>
    </row>
    <row r="15" spans="1:16" ht="12.95" customHeight="1" x14ac:dyDescent="0.15">
      <c r="A15" s="20" t="s">
        <v>59</v>
      </c>
      <c r="B15" s="14">
        <v>91500</v>
      </c>
      <c r="C15" s="14">
        <v>87500</v>
      </c>
      <c r="D15" s="14">
        <v>90000</v>
      </c>
      <c r="E15" s="14">
        <v>99000</v>
      </c>
      <c r="F15" s="14">
        <v>98500</v>
      </c>
      <c r="G15" s="14">
        <v>96000</v>
      </c>
      <c r="H15" s="14">
        <f t="shared" si="1"/>
        <v>562500</v>
      </c>
      <c r="I15" s="9">
        <v>96000</v>
      </c>
      <c r="J15" s="9">
        <v>98000</v>
      </c>
      <c r="K15" s="9">
        <v>100000</v>
      </c>
      <c r="L15" s="9">
        <v>99500</v>
      </c>
      <c r="M15" s="9">
        <v>99500</v>
      </c>
      <c r="N15" s="9">
        <v>98500</v>
      </c>
      <c r="O15" s="9">
        <f t="shared" si="2"/>
        <v>591500</v>
      </c>
      <c r="P15" s="9">
        <f t="shared" si="3"/>
        <v>1154000</v>
      </c>
    </row>
    <row r="16" spans="1:16" ht="12.95" customHeight="1" x14ac:dyDescent="0.15">
      <c r="A16" s="28" t="s">
        <v>120</v>
      </c>
      <c r="B16" s="14">
        <v>2093000</v>
      </c>
      <c r="C16" s="14">
        <v>2185000</v>
      </c>
      <c r="D16" s="14">
        <v>2300000</v>
      </c>
      <c r="E16" s="14">
        <v>2392000</v>
      </c>
      <c r="F16" s="14">
        <v>2415000</v>
      </c>
      <c r="G16" s="14">
        <v>2415000</v>
      </c>
      <c r="H16" s="14">
        <f t="shared" si="1"/>
        <v>13800000</v>
      </c>
      <c r="I16" s="9">
        <v>2541000</v>
      </c>
      <c r="J16" s="9">
        <v>2541000</v>
      </c>
      <c r="K16" s="9">
        <v>2436000</v>
      </c>
      <c r="L16" s="9">
        <v>2204000</v>
      </c>
      <c r="M16" s="9">
        <v>2300000</v>
      </c>
      <c r="N16" s="9">
        <v>2702500</v>
      </c>
      <c r="O16" s="9">
        <f t="shared" si="2"/>
        <v>14724500</v>
      </c>
      <c r="P16" s="9">
        <f t="shared" si="3"/>
        <v>28524500</v>
      </c>
    </row>
    <row r="17" spans="1:16" ht="12.95" customHeight="1" x14ac:dyDescent="0.15">
      <c r="A17" s="20" t="s">
        <v>59</v>
      </c>
      <c r="B17" s="14">
        <v>91000</v>
      </c>
      <c r="C17" s="14">
        <v>95000</v>
      </c>
      <c r="D17" s="14">
        <v>100000</v>
      </c>
      <c r="E17" s="14">
        <v>104000</v>
      </c>
      <c r="F17" s="14">
        <v>105000</v>
      </c>
      <c r="G17" s="14">
        <v>105000</v>
      </c>
      <c r="H17" s="14">
        <f t="shared" si="1"/>
        <v>600000</v>
      </c>
      <c r="I17" s="9">
        <v>110000</v>
      </c>
      <c r="J17" s="9">
        <v>110000</v>
      </c>
      <c r="K17" s="9">
        <v>105000</v>
      </c>
      <c r="L17" s="9">
        <v>95000</v>
      </c>
      <c r="M17" s="9">
        <v>100000</v>
      </c>
      <c r="N17" s="9">
        <v>117500</v>
      </c>
      <c r="O17" s="9">
        <f t="shared" si="2"/>
        <v>637500</v>
      </c>
      <c r="P17" s="9">
        <f t="shared" si="3"/>
        <v>1237500</v>
      </c>
    </row>
    <row r="18" spans="1:16" ht="12.95" customHeight="1" x14ac:dyDescent="0.15">
      <c r="A18" s="27" t="s">
        <v>119</v>
      </c>
      <c r="B18" s="14">
        <v>52000</v>
      </c>
      <c r="C18" s="14">
        <v>39000</v>
      </c>
      <c r="D18" s="14">
        <v>65000</v>
      </c>
      <c r="E18" s="14">
        <v>52000</v>
      </c>
      <c r="F18" s="14">
        <v>65000</v>
      </c>
      <c r="G18" s="14">
        <v>52000</v>
      </c>
      <c r="H18" s="14">
        <f t="shared" ref="H18:H27" si="5">SUM(B18:G18)</f>
        <v>325000</v>
      </c>
      <c r="I18" s="9">
        <v>65000</v>
      </c>
      <c r="J18" s="9">
        <v>52000</v>
      </c>
      <c r="K18" s="9">
        <v>52000</v>
      </c>
      <c r="L18" s="9">
        <v>39000</v>
      </c>
      <c r="M18" s="9">
        <v>65000</v>
      </c>
      <c r="N18" s="9">
        <v>65000</v>
      </c>
      <c r="O18" s="9">
        <f t="shared" si="2"/>
        <v>338000</v>
      </c>
      <c r="P18" s="9">
        <f t="shared" si="3"/>
        <v>663000</v>
      </c>
    </row>
    <row r="19" spans="1:16" ht="12.95" customHeight="1" x14ac:dyDescent="0.15">
      <c r="A19" s="27" t="s">
        <v>97</v>
      </c>
      <c r="B19" s="14">
        <v>5000</v>
      </c>
      <c r="C19" s="14">
        <v>5000</v>
      </c>
      <c r="D19" s="14">
        <v>5000</v>
      </c>
      <c r="E19" s="14">
        <v>10000</v>
      </c>
      <c r="F19" s="14">
        <v>10000</v>
      </c>
      <c r="G19" s="14">
        <v>10000</v>
      </c>
      <c r="H19" s="14">
        <f t="shared" si="5"/>
        <v>45000</v>
      </c>
      <c r="I19" s="14">
        <v>5000</v>
      </c>
      <c r="J19" s="14">
        <v>5000</v>
      </c>
      <c r="K19" s="14">
        <v>20000</v>
      </c>
      <c r="L19" s="14">
        <v>5000</v>
      </c>
      <c r="M19" s="14">
        <v>5000</v>
      </c>
      <c r="N19" s="14">
        <v>5000</v>
      </c>
      <c r="O19" s="14">
        <f t="shared" si="2"/>
        <v>45000</v>
      </c>
      <c r="P19" s="14">
        <f t="shared" si="3"/>
        <v>90000</v>
      </c>
    </row>
    <row r="20" spans="1:16" ht="12.95" customHeight="1" x14ac:dyDescent="0.15">
      <c r="A20" s="27" t="s">
        <v>98</v>
      </c>
      <c r="B20" s="14">
        <v>100000</v>
      </c>
      <c r="C20" s="14">
        <v>110000</v>
      </c>
      <c r="D20" s="14">
        <v>120000</v>
      </c>
      <c r="E20" s="14">
        <v>120000</v>
      </c>
      <c r="F20" s="14">
        <v>120000</v>
      </c>
      <c r="G20" s="14">
        <v>120000</v>
      </c>
      <c r="H20" s="14">
        <f t="shared" si="5"/>
        <v>690000</v>
      </c>
      <c r="I20" s="14">
        <v>120000</v>
      </c>
      <c r="J20" s="14">
        <v>130000</v>
      </c>
      <c r="K20" s="14">
        <v>130000</v>
      </c>
      <c r="L20" s="14">
        <v>120000</v>
      </c>
      <c r="M20" s="14">
        <v>100000</v>
      </c>
      <c r="N20" s="14">
        <v>110000</v>
      </c>
      <c r="O20" s="9">
        <f t="shared" si="2"/>
        <v>710000</v>
      </c>
      <c r="P20" s="14">
        <f t="shared" si="3"/>
        <v>1400000</v>
      </c>
    </row>
    <row r="21" spans="1:16" ht="12.95" customHeight="1" x14ac:dyDescent="0.15">
      <c r="A21" s="27" t="s">
        <v>118</v>
      </c>
      <c r="B21" s="14">
        <v>155000</v>
      </c>
      <c r="C21" s="14">
        <v>140000</v>
      </c>
      <c r="D21" s="14">
        <v>160000</v>
      </c>
      <c r="E21" s="14">
        <v>215000</v>
      </c>
      <c r="F21" s="14">
        <v>285000</v>
      </c>
      <c r="G21" s="14">
        <v>140000</v>
      </c>
      <c r="H21" s="14">
        <f t="shared" si="5"/>
        <v>1095000</v>
      </c>
      <c r="I21" s="14">
        <v>150000</v>
      </c>
      <c r="J21" s="14">
        <v>135000</v>
      </c>
      <c r="K21" s="14">
        <v>140000</v>
      </c>
      <c r="L21" s="14">
        <v>120000</v>
      </c>
      <c r="M21" s="14">
        <v>125000</v>
      </c>
      <c r="N21" s="14">
        <v>135000</v>
      </c>
      <c r="O21" s="9">
        <f t="shared" si="2"/>
        <v>805000</v>
      </c>
      <c r="P21" s="14">
        <f t="shared" si="3"/>
        <v>1900000</v>
      </c>
    </row>
    <row r="22" spans="1:16" ht="12.95" customHeight="1" x14ac:dyDescent="0.15">
      <c r="A22" s="27" t="s">
        <v>130</v>
      </c>
      <c r="B22" s="14">
        <v>528000</v>
      </c>
      <c r="C22" s="14">
        <v>340000</v>
      </c>
      <c r="D22" s="14">
        <v>364000</v>
      </c>
      <c r="E22" s="14">
        <v>600000</v>
      </c>
      <c r="F22" s="14">
        <v>920000</v>
      </c>
      <c r="G22" s="14">
        <v>340000</v>
      </c>
      <c r="H22" s="14">
        <f t="shared" si="5"/>
        <v>3092000</v>
      </c>
      <c r="I22" s="14">
        <v>295000</v>
      </c>
      <c r="J22" s="14">
        <v>295000</v>
      </c>
      <c r="K22" s="14">
        <v>325000</v>
      </c>
      <c r="L22" s="14">
        <v>275000</v>
      </c>
      <c r="M22" s="14">
        <v>255000</v>
      </c>
      <c r="N22" s="14">
        <v>290000</v>
      </c>
      <c r="O22" s="9">
        <f t="shared" si="2"/>
        <v>1735000</v>
      </c>
      <c r="P22" s="14">
        <f t="shared" si="3"/>
        <v>4827000</v>
      </c>
    </row>
    <row r="23" spans="1:16" ht="12.95" customHeight="1" x14ac:dyDescent="0.15">
      <c r="A23" s="20" t="s">
        <v>99</v>
      </c>
      <c r="B23" s="14">
        <v>500000</v>
      </c>
      <c r="C23" s="14">
        <v>300000</v>
      </c>
      <c r="D23" s="14">
        <v>300000</v>
      </c>
      <c r="E23" s="14">
        <v>300000</v>
      </c>
      <c r="F23" s="14">
        <v>300000</v>
      </c>
      <c r="G23" s="14">
        <v>300000</v>
      </c>
      <c r="H23" s="14">
        <f t="shared" si="5"/>
        <v>2000000</v>
      </c>
      <c r="I23" s="14">
        <v>300000</v>
      </c>
      <c r="J23" s="14">
        <v>300000</v>
      </c>
      <c r="K23" s="14">
        <v>300000</v>
      </c>
      <c r="L23" s="14">
        <v>300000</v>
      </c>
      <c r="M23" s="14">
        <v>300000</v>
      </c>
      <c r="N23" s="14">
        <v>300000</v>
      </c>
      <c r="O23" s="14">
        <f t="shared" si="2"/>
        <v>1800000</v>
      </c>
      <c r="P23" s="14">
        <f t="shared" si="3"/>
        <v>3800000</v>
      </c>
    </row>
    <row r="24" spans="1:16" x14ac:dyDescent="0.15">
      <c r="A24" s="19" t="s">
        <v>11</v>
      </c>
      <c r="B24" s="10">
        <v>30000</v>
      </c>
      <c r="C24" s="10">
        <v>30000</v>
      </c>
      <c r="D24" s="10">
        <v>30000</v>
      </c>
      <c r="E24" s="10">
        <v>30000</v>
      </c>
      <c r="F24" s="10">
        <v>30000</v>
      </c>
      <c r="G24" s="10">
        <v>30000</v>
      </c>
      <c r="H24" s="10">
        <f t="shared" si="5"/>
        <v>180000</v>
      </c>
      <c r="I24" s="10">
        <v>30000</v>
      </c>
      <c r="J24" s="10">
        <v>30000</v>
      </c>
      <c r="K24" s="10">
        <v>30000</v>
      </c>
      <c r="L24" s="10">
        <v>30000</v>
      </c>
      <c r="M24" s="10">
        <v>30000</v>
      </c>
      <c r="N24" s="10">
        <v>30000</v>
      </c>
      <c r="O24" s="10">
        <f t="shared" si="2"/>
        <v>180000</v>
      </c>
      <c r="P24" s="10">
        <f t="shared" si="3"/>
        <v>360000</v>
      </c>
    </row>
    <row r="25" spans="1:16" x14ac:dyDescent="0.15">
      <c r="A25" s="19" t="s">
        <v>125</v>
      </c>
      <c r="B25" s="10">
        <v>250000</v>
      </c>
      <c r="C25" s="10">
        <v>250000</v>
      </c>
      <c r="D25" s="10">
        <v>250000</v>
      </c>
      <c r="E25" s="10">
        <v>550000</v>
      </c>
      <c r="F25" s="10">
        <v>250000</v>
      </c>
      <c r="G25" s="10">
        <v>250000</v>
      </c>
      <c r="H25" s="10">
        <f t="shared" si="5"/>
        <v>1800000</v>
      </c>
      <c r="I25" s="10">
        <v>250000</v>
      </c>
      <c r="J25" s="10">
        <v>250000</v>
      </c>
      <c r="K25" s="10">
        <v>250000</v>
      </c>
      <c r="L25" s="10">
        <v>250000</v>
      </c>
      <c r="M25" s="10">
        <v>250000</v>
      </c>
      <c r="N25" s="10">
        <v>250000</v>
      </c>
      <c r="O25" s="10">
        <f t="shared" si="2"/>
        <v>1500000</v>
      </c>
      <c r="P25" s="10">
        <f t="shared" si="3"/>
        <v>3300000</v>
      </c>
    </row>
    <row r="26" spans="1:16" x14ac:dyDescent="0.15">
      <c r="A26" s="19" t="s">
        <v>12</v>
      </c>
      <c r="B26" s="10">
        <v>350000</v>
      </c>
      <c r="C26" s="10">
        <v>100000</v>
      </c>
      <c r="D26" s="10">
        <v>100000</v>
      </c>
      <c r="E26" s="10">
        <v>100000</v>
      </c>
      <c r="F26" s="10">
        <v>100000</v>
      </c>
      <c r="G26" s="10">
        <v>100000</v>
      </c>
      <c r="H26" s="10">
        <f t="shared" si="5"/>
        <v>850000</v>
      </c>
      <c r="I26" s="10">
        <v>100000</v>
      </c>
      <c r="J26" s="10">
        <v>100000</v>
      </c>
      <c r="K26" s="10">
        <v>100000</v>
      </c>
      <c r="L26" s="10">
        <v>100000</v>
      </c>
      <c r="M26" s="10">
        <v>100000</v>
      </c>
      <c r="N26" s="10">
        <v>100000</v>
      </c>
      <c r="O26" s="10">
        <f t="shared" si="2"/>
        <v>600000</v>
      </c>
      <c r="P26" s="10">
        <f t="shared" si="3"/>
        <v>1450000</v>
      </c>
    </row>
    <row r="27" spans="1:16" x14ac:dyDescent="0.15">
      <c r="A27" s="22" t="s">
        <v>13</v>
      </c>
      <c r="B27" s="10">
        <f t="shared" ref="B27:G27" si="6">B4+B8+B24+B25+B26</f>
        <v>18215800</v>
      </c>
      <c r="C27" s="10">
        <f t="shared" si="6"/>
        <v>17843100</v>
      </c>
      <c r="D27" s="10">
        <f t="shared" si="6"/>
        <v>18087000</v>
      </c>
      <c r="E27" s="10">
        <f t="shared" si="6"/>
        <v>19010500</v>
      </c>
      <c r="F27" s="10">
        <f t="shared" si="6"/>
        <v>19664500</v>
      </c>
      <c r="G27" s="10">
        <f t="shared" si="6"/>
        <v>18374200</v>
      </c>
      <c r="H27" s="10">
        <f t="shared" si="5"/>
        <v>111195100</v>
      </c>
      <c r="I27" s="10">
        <f t="shared" ref="I27:N27" si="7">I4+I8+I24+I25+I26</f>
        <v>18440250</v>
      </c>
      <c r="J27" s="10">
        <f t="shared" si="7"/>
        <v>18378000</v>
      </c>
      <c r="K27" s="10">
        <f t="shared" si="7"/>
        <v>17993250</v>
      </c>
      <c r="L27" s="10">
        <f t="shared" si="7"/>
        <v>16594500</v>
      </c>
      <c r="M27" s="10">
        <f t="shared" si="7"/>
        <v>17523500</v>
      </c>
      <c r="N27" s="10">
        <f t="shared" si="7"/>
        <v>19404500</v>
      </c>
      <c r="O27" s="10">
        <f t="shared" si="2"/>
        <v>108334000</v>
      </c>
      <c r="P27" s="10">
        <f t="shared" si="3"/>
        <v>219529100</v>
      </c>
    </row>
    <row r="28" spans="1:16" x14ac:dyDescent="0.15">
      <c r="A28" s="7" t="s">
        <v>124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15">
      <c r="A29" s="4" t="s">
        <v>15</v>
      </c>
      <c r="B29" s="2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15">
      <c r="A30" s="7" t="s">
        <v>16</v>
      </c>
      <c r="B30" s="10">
        <f t="shared" ref="B30:N30" si="8">SUM(B31:B35)</f>
        <v>10960000</v>
      </c>
      <c r="C30" s="10">
        <f t="shared" si="8"/>
        <v>10960000</v>
      </c>
      <c r="D30" s="10">
        <f t="shared" si="8"/>
        <v>11160000</v>
      </c>
      <c r="E30" s="10">
        <f t="shared" si="8"/>
        <v>22530000</v>
      </c>
      <c r="F30" s="10">
        <f t="shared" si="8"/>
        <v>11460000</v>
      </c>
      <c r="G30" s="10">
        <f t="shared" si="8"/>
        <v>11460000</v>
      </c>
      <c r="H30" s="10">
        <f t="shared" ref="H30:H67" si="9">SUM(B30:G30)</f>
        <v>78530000</v>
      </c>
      <c r="I30" s="10">
        <f t="shared" si="8"/>
        <v>11570000</v>
      </c>
      <c r="J30" s="10">
        <f t="shared" si="8"/>
        <v>11570000</v>
      </c>
      <c r="K30" s="10">
        <f t="shared" si="8"/>
        <v>22670000</v>
      </c>
      <c r="L30" s="10">
        <f t="shared" si="8"/>
        <v>11570000</v>
      </c>
      <c r="M30" s="10">
        <f t="shared" si="8"/>
        <v>11570000</v>
      </c>
      <c r="N30" s="10">
        <f t="shared" si="8"/>
        <v>11670000</v>
      </c>
      <c r="O30" s="10">
        <f t="shared" si="2"/>
        <v>80620000</v>
      </c>
      <c r="P30" s="10">
        <f t="shared" si="3"/>
        <v>159150000</v>
      </c>
    </row>
    <row r="31" spans="1:16" ht="12.95" customHeight="1" x14ac:dyDescent="0.15">
      <c r="A31" s="4" t="s">
        <v>100</v>
      </c>
      <c r="B31" s="9">
        <v>30000</v>
      </c>
      <c r="C31" s="9">
        <v>30000</v>
      </c>
      <c r="D31" s="9">
        <v>30000</v>
      </c>
      <c r="E31" s="9">
        <v>30000</v>
      </c>
      <c r="F31" s="9">
        <v>30000</v>
      </c>
      <c r="G31" s="9">
        <v>30000</v>
      </c>
      <c r="H31" s="9">
        <f t="shared" si="9"/>
        <v>180000</v>
      </c>
      <c r="I31" s="9">
        <v>30000</v>
      </c>
      <c r="J31" s="9">
        <v>30000</v>
      </c>
      <c r="K31" s="9">
        <v>30000</v>
      </c>
      <c r="L31" s="9">
        <v>30000</v>
      </c>
      <c r="M31" s="9">
        <v>30000</v>
      </c>
      <c r="N31" s="9">
        <v>30000</v>
      </c>
      <c r="O31" s="9">
        <f t="shared" si="2"/>
        <v>180000</v>
      </c>
      <c r="P31" s="9">
        <f t="shared" si="3"/>
        <v>360000</v>
      </c>
    </row>
    <row r="32" spans="1:16" ht="12.95" customHeight="1" x14ac:dyDescent="0.15">
      <c r="A32" s="4" t="s">
        <v>101</v>
      </c>
      <c r="B32" s="9">
        <v>8600000</v>
      </c>
      <c r="C32" s="9">
        <v>8600000</v>
      </c>
      <c r="D32" s="9">
        <v>8800000</v>
      </c>
      <c r="E32" s="9">
        <v>8800000</v>
      </c>
      <c r="F32" s="9">
        <v>9000000</v>
      </c>
      <c r="G32" s="9">
        <v>9000000</v>
      </c>
      <c r="H32" s="9">
        <f t="shared" si="9"/>
        <v>52800000</v>
      </c>
      <c r="I32" s="9">
        <v>9100000</v>
      </c>
      <c r="J32" s="9">
        <v>9100000</v>
      </c>
      <c r="K32" s="9">
        <v>9200000</v>
      </c>
      <c r="L32" s="9">
        <v>9100000</v>
      </c>
      <c r="M32" s="9">
        <v>9100000</v>
      </c>
      <c r="N32" s="9">
        <v>9200000</v>
      </c>
      <c r="O32" s="9">
        <f t="shared" si="2"/>
        <v>54800000</v>
      </c>
      <c r="P32" s="9">
        <f t="shared" si="3"/>
        <v>107600000</v>
      </c>
    </row>
    <row r="33" spans="1:16" ht="12.95" customHeight="1" x14ac:dyDescent="0.15">
      <c r="A33" s="4" t="s">
        <v>102</v>
      </c>
      <c r="B33" s="14">
        <v>1500000</v>
      </c>
      <c r="C33" s="14">
        <v>1500000</v>
      </c>
      <c r="D33" s="14">
        <v>1500000</v>
      </c>
      <c r="E33" s="14">
        <v>1500000</v>
      </c>
      <c r="F33" s="14">
        <v>1600000</v>
      </c>
      <c r="G33" s="14">
        <v>1600000</v>
      </c>
      <c r="H33" s="14">
        <f t="shared" si="9"/>
        <v>9200000</v>
      </c>
      <c r="I33" s="14">
        <v>1600000</v>
      </c>
      <c r="J33" s="14">
        <v>1600000</v>
      </c>
      <c r="K33" s="14">
        <v>1600000</v>
      </c>
      <c r="L33" s="14">
        <v>1600000</v>
      </c>
      <c r="M33" s="14">
        <v>1600000</v>
      </c>
      <c r="N33" s="14">
        <v>1600000</v>
      </c>
      <c r="O33" s="14">
        <f t="shared" si="2"/>
        <v>9600000</v>
      </c>
      <c r="P33" s="14">
        <f t="shared" si="3"/>
        <v>18800000</v>
      </c>
    </row>
    <row r="34" spans="1:16" ht="12.95" customHeight="1" x14ac:dyDescent="0.15">
      <c r="A34" s="4" t="s">
        <v>19</v>
      </c>
      <c r="B34" s="9">
        <v>830000</v>
      </c>
      <c r="C34" s="9">
        <v>830000</v>
      </c>
      <c r="D34" s="9">
        <v>830000</v>
      </c>
      <c r="E34" s="9">
        <v>1200000</v>
      </c>
      <c r="F34" s="9">
        <v>830000</v>
      </c>
      <c r="G34" s="9">
        <v>830000</v>
      </c>
      <c r="H34" s="9">
        <f t="shared" si="9"/>
        <v>5350000</v>
      </c>
      <c r="I34" s="9">
        <v>840000</v>
      </c>
      <c r="J34" s="9">
        <v>840000</v>
      </c>
      <c r="K34" s="9">
        <v>840000</v>
      </c>
      <c r="L34" s="9">
        <v>840000</v>
      </c>
      <c r="M34" s="9">
        <v>840000</v>
      </c>
      <c r="N34" s="9">
        <v>840000</v>
      </c>
      <c r="O34" s="13">
        <f t="shared" si="2"/>
        <v>5040000</v>
      </c>
      <c r="P34" s="9">
        <f t="shared" si="3"/>
        <v>10390000</v>
      </c>
    </row>
    <row r="35" spans="1:16" ht="12.95" customHeight="1" x14ac:dyDescent="0.15">
      <c r="A35" s="4" t="s">
        <v>117</v>
      </c>
      <c r="B35" s="9">
        <v>0</v>
      </c>
      <c r="C35" s="9">
        <v>0</v>
      </c>
      <c r="D35" s="9">
        <v>0</v>
      </c>
      <c r="E35" s="9">
        <v>11000000</v>
      </c>
      <c r="F35" s="9">
        <v>0</v>
      </c>
      <c r="G35" s="9">
        <v>0</v>
      </c>
      <c r="H35" s="9">
        <f t="shared" si="9"/>
        <v>11000000</v>
      </c>
      <c r="I35" s="9"/>
      <c r="J35" s="9"/>
      <c r="K35" s="9">
        <v>11000000</v>
      </c>
      <c r="L35" s="9"/>
      <c r="M35" s="9"/>
      <c r="N35" s="9"/>
      <c r="O35" s="13">
        <f t="shared" si="2"/>
        <v>11000000</v>
      </c>
      <c r="P35" s="9">
        <f t="shared" si="3"/>
        <v>22000000</v>
      </c>
    </row>
    <row r="36" spans="1:16" x14ac:dyDescent="0.15">
      <c r="A36" s="7" t="s">
        <v>20</v>
      </c>
      <c r="B36" s="10">
        <f t="shared" ref="B36:N36" si="10">SUM(B37:B61)</f>
        <v>3402000</v>
      </c>
      <c r="C36" s="10">
        <f t="shared" si="10"/>
        <v>9255000</v>
      </c>
      <c r="D36" s="10">
        <f t="shared" si="10"/>
        <v>3465000</v>
      </c>
      <c r="E36" s="10">
        <f t="shared" si="10"/>
        <v>3455000</v>
      </c>
      <c r="F36" s="10">
        <f t="shared" si="10"/>
        <v>3362000</v>
      </c>
      <c r="G36" s="10">
        <f t="shared" si="10"/>
        <v>5760000</v>
      </c>
      <c r="H36" s="10">
        <f t="shared" si="9"/>
        <v>28699000</v>
      </c>
      <c r="I36" s="10">
        <f t="shared" si="10"/>
        <v>3963000</v>
      </c>
      <c r="J36" s="10">
        <f t="shared" si="10"/>
        <v>3482000</v>
      </c>
      <c r="K36" s="10">
        <f t="shared" si="10"/>
        <v>4830000</v>
      </c>
      <c r="L36" s="10">
        <f t="shared" si="10"/>
        <v>4315000</v>
      </c>
      <c r="M36" s="10">
        <f t="shared" si="10"/>
        <v>3575000</v>
      </c>
      <c r="N36" s="10">
        <f t="shared" si="10"/>
        <v>6892000</v>
      </c>
      <c r="O36" s="10">
        <f t="shared" si="2"/>
        <v>27057000</v>
      </c>
      <c r="P36" s="10">
        <f t="shared" si="3"/>
        <v>55756000</v>
      </c>
    </row>
    <row r="37" spans="1:16" ht="12.95" customHeight="1" x14ac:dyDescent="0.15">
      <c r="A37" s="4" t="s">
        <v>21</v>
      </c>
      <c r="B37" s="9">
        <v>330000</v>
      </c>
      <c r="C37" s="9">
        <v>300000</v>
      </c>
      <c r="D37" s="9">
        <v>320000</v>
      </c>
      <c r="E37" s="9">
        <v>360000</v>
      </c>
      <c r="F37" s="9">
        <v>360000</v>
      </c>
      <c r="G37" s="9">
        <v>360000</v>
      </c>
      <c r="H37" s="9">
        <f t="shared" si="9"/>
        <v>2030000</v>
      </c>
      <c r="I37" s="9">
        <v>340000</v>
      </c>
      <c r="J37" s="9">
        <v>300000</v>
      </c>
      <c r="K37" s="9">
        <v>550000</v>
      </c>
      <c r="L37" s="9">
        <v>340000</v>
      </c>
      <c r="M37" s="9">
        <v>330000</v>
      </c>
      <c r="N37" s="9">
        <v>850000</v>
      </c>
      <c r="O37" s="13">
        <f t="shared" si="2"/>
        <v>2710000</v>
      </c>
      <c r="P37" s="9">
        <f t="shared" si="3"/>
        <v>4740000</v>
      </c>
    </row>
    <row r="38" spans="1:16" ht="12.95" customHeight="1" x14ac:dyDescent="0.15">
      <c r="A38" s="4" t="s">
        <v>22</v>
      </c>
      <c r="B38" s="9">
        <v>10000</v>
      </c>
      <c r="C38" s="9">
        <v>5000</v>
      </c>
      <c r="D38" s="9">
        <v>5000</v>
      </c>
      <c r="E38" s="9">
        <v>5000</v>
      </c>
      <c r="F38" s="9">
        <v>5000</v>
      </c>
      <c r="G38" s="9">
        <v>5000</v>
      </c>
      <c r="H38" s="9">
        <f t="shared" si="9"/>
        <v>35000</v>
      </c>
      <c r="I38" s="9">
        <v>10000</v>
      </c>
      <c r="J38" s="9">
        <v>0</v>
      </c>
      <c r="K38" s="9">
        <v>5000</v>
      </c>
      <c r="L38" s="9">
        <v>0</v>
      </c>
      <c r="M38" s="9">
        <v>5000</v>
      </c>
      <c r="N38" s="9">
        <v>10000</v>
      </c>
      <c r="O38" s="13">
        <f t="shared" si="2"/>
        <v>30000</v>
      </c>
      <c r="P38" s="9">
        <f t="shared" si="3"/>
        <v>65000</v>
      </c>
    </row>
    <row r="39" spans="1:16" ht="12.95" customHeight="1" x14ac:dyDescent="0.15">
      <c r="A39" s="4" t="s">
        <v>103</v>
      </c>
      <c r="B39" s="9">
        <v>90000</v>
      </c>
      <c r="C39" s="9">
        <v>90000</v>
      </c>
      <c r="D39" s="9">
        <v>90000</v>
      </c>
      <c r="E39" s="9">
        <v>90000</v>
      </c>
      <c r="F39" s="9">
        <v>90000</v>
      </c>
      <c r="G39" s="9">
        <v>90000</v>
      </c>
      <c r="H39" s="9">
        <f t="shared" si="9"/>
        <v>540000</v>
      </c>
      <c r="I39" s="9">
        <v>100000</v>
      </c>
      <c r="J39" s="9">
        <v>100000</v>
      </c>
      <c r="K39" s="9">
        <v>100000</v>
      </c>
      <c r="L39" s="9">
        <v>100000</v>
      </c>
      <c r="M39" s="9">
        <v>100000</v>
      </c>
      <c r="N39" s="9">
        <v>100000</v>
      </c>
      <c r="O39" s="13">
        <f t="shared" si="2"/>
        <v>600000</v>
      </c>
      <c r="P39" s="9">
        <f t="shared" si="3"/>
        <v>1140000</v>
      </c>
    </row>
    <row r="40" spans="1:16" ht="12.95" customHeight="1" x14ac:dyDescent="0.15">
      <c r="A40" s="4" t="s">
        <v>24</v>
      </c>
      <c r="B40" s="9">
        <v>20000</v>
      </c>
      <c r="C40" s="9">
        <v>10000</v>
      </c>
      <c r="D40" s="9">
        <v>20000</v>
      </c>
      <c r="E40" s="9">
        <v>10000</v>
      </c>
      <c r="F40" s="9">
        <v>10000</v>
      </c>
      <c r="G40" s="9">
        <v>10000</v>
      </c>
      <c r="H40" s="9">
        <f t="shared" si="9"/>
        <v>80000</v>
      </c>
      <c r="I40" s="9">
        <v>20000</v>
      </c>
      <c r="J40" s="9">
        <v>20000</v>
      </c>
      <c r="K40" s="9">
        <v>20000</v>
      </c>
      <c r="L40" s="9">
        <v>20000</v>
      </c>
      <c r="M40" s="9">
        <v>20000</v>
      </c>
      <c r="N40" s="9">
        <v>20000</v>
      </c>
      <c r="O40" s="13">
        <f t="shared" si="2"/>
        <v>120000</v>
      </c>
      <c r="P40" s="9">
        <f t="shared" si="3"/>
        <v>200000</v>
      </c>
    </row>
    <row r="41" spans="1:16" ht="12.95" customHeight="1" x14ac:dyDescent="0.15">
      <c r="A41" s="4" t="s">
        <v>104</v>
      </c>
      <c r="B41" s="9">
        <v>50000</v>
      </c>
      <c r="C41" s="9">
        <v>0</v>
      </c>
      <c r="D41" s="9">
        <v>0</v>
      </c>
      <c r="E41" s="9">
        <v>30000</v>
      </c>
      <c r="F41" s="9">
        <v>0</v>
      </c>
      <c r="G41" s="9">
        <v>50000</v>
      </c>
      <c r="H41" s="9">
        <f t="shared" si="9"/>
        <v>130000</v>
      </c>
      <c r="I41" s="9">
        <v>150000</v>
      </c>
      <c r="J41" s="9">
        <v>50000</v>
      </c>
      <c r="K41" s="9">
        <v>200000</v>
      </c>
      <c r="L41" s="9">
        <v>100000</v>
      </c>
      <c r="M41" s="9">
        <v>100000</v>
      </c>
      <c r="N41" s="9">
        <v>100000</v>
      </c>
      <c r="O41" s="13">
        <f t="shared" si="2"/>
        <v>700000</v>
      </c>
      <c r="P41" s="9">
        <f t="shared" si="3"/>
        <v>830000</v>
      </c>
    </row>
    <row r="42" spans="1:16" ht="12.95" customHeight="1" x14ac:dyDescent="0.15">
      <c r="A42" s="4" t="s">
        <v>105</v>
      </c>
      <c r="B42" s="9">
        <v>50000</v>
      </c>
      <c r="C42" s="9">
        <v>0</v>
      </c>
      <c r="D42" s="9">
        <v>85000</v>
      </c>
      <c r="E42" s="9">
        <v>20000</v>
      </c>
      <c r="F42" s="9">
        <v>0</v>
      </c>
      <c r="G42" s="9">
        <v>30000</v>
      </c>
      <c r="H42" s="9">
        <f t="shared" si="9"/>
        <v>185000</v>
      </c>
      <c r="I42" s="9">
        <v>20000</v>
      </c>
      <c r="J42" s="9">
        <v>5000</v>
      </c>
      <c r="K42" s="9">
        <v>20000</v>
      </c>
      <c r="L42" s="9">
        <v>5000</v>
      </c>
      <c r="M42" s="9">
        <v>20000</v>
      </c>
      <c r="N42" s="9">
        <v>5000</v>
      </c>
      <c r="O42" s="13">
        <f t="shared" si="2"/>
        <v>75000</v>
      </c>
      <c r="P42" s="9">
        <f t="shared" si="3"/>
        <v>260000</v>
      </c>
    </row>
    <row r="43" spans="1:16" ht="12.95" customHeight="1" x14ac:dyDescent="0.15">
      <c r="A43" s="4" t="s">
        <v>106</v>
      </c>
      <c r="B43" s="9">
        <v>50000</v>
      </c>
      <c r="C43" s="9">
        <v>50000</v>
      </c>
      <c r="D43" s="9">
        <v>50000</v>
      </c>
      <c r="E43" s="9">
        <v>50000</v>
      </c>
      <c r="F43" s="9">
        <v>50000</v>
      </c>
      <c r="G43" s="9">
        <v>50000</v>
      </c>
      <c r="H43" s="9">
        <f t="shared" si="9"/>
        <v>300000</v>
      </c>
      <c r="I43" s="9">
        <v>100000</v>
      </c>
      <c r="J43" s="9">
        <v>55000</v>
      </c>
      <c r="K43" s="9">
        <v>65000</v>
      </c>
      <c r="L43" s="9">
        <v>100000</v>
      </c>
      <c r="M43" s="9">
        <v>55000</v>
      </c>
      <c r="N43" s="9">
        <v>65000</v>
      </c>
      <c r="O43" s="13">
        <f t="shared" si="2"/>
        <v>440000</v>
      </c>
      <c r="P43" s="9">
        <f t="shared" si="3"/>
        <v>740000</v>
      </c>
    </row>
    <row r="44" spans="1:16" ht="12.95" customHeight="1" x14ac:dyDescent="0.15">
      <c r="A44" s="4" t="s">
        <v>28</v>
      </c>
      <c r="B44" s="9">
        <v>20000</v>
      </c>
      <c r="C44" s="9">
        <v>30000</v>
      </c>
      <c r="D44" s="9">
        <v>20000</v>
      </c>
      <c r="E44" s="9">
        <v>20000</v>
      </c>
      <c r="F44" s="9">
        <v>20000</v>
      </c>
      <c r="G44" s="9">
        <v>20000</v>
      </c>
      <c r="H44" s="9">
        <f t="shared" si="9"/>
        <v>130000</v>
      </c>
      <c r="I44" s="9">
        <v>25000</v>
      </c>
      <c r="J44" s="9">
        <v>25000</v>
      </c>
      <c r="K44" s="9">
        <v>25000</v>
      </c>
      <c r="L44" s="9">
        <v>25000</v>
      </c>
      <c r="M44" s="9">
        <v>25000</v>
      </c>
      <c r="N44" s="9">
        <v>25000</v>
      </c>
      <c r="O44" s="13">
        <f t="shared" si="2"/>
        <v>150000</v>
      </c>
      <c r="P44" s="9">
        <f t="shared" si="3"/>
        <v>280000</v>
      </c>
    </row>
    <row r="45" spans="1:16" ht="12.95" customHeight="1" x14ac:dyDescent="0.15">
      <c r="A45" s="4" t="s">
        <v>107</v>
      </c>
      <c r="B45" s="9">
        <v>20000</v>
      </c>
      <c r="C45" s="9">
        <v>20000</v>
      </c>
      <c r="D45" s="9">
        <v>20000</v>
      </c>
      <c r="E45" s="9">
        <v>20000</v>
      </c>
      <c r="F45" s="9">
        <v>20000</v>
      </c>
      <c r="G45" s="9">
        <v>20000</v>
      </c>
      <c r="H45" s="9">
        <f t="shared" si="9"/>
        <v>120000</v>
      </c>
      <c r="I45" s="9">
        <v>20000</v>
      </c>
      <c r="J45" s="9">
        <v>20000</v>
      </c>
      <c r="K45" s="9">
        <v>20000</v>
      </c>
      <c r="L45" s="9">
        <v>20000</v>
      </c>
      <c r="M45" s="9">
        <v>20000</v>
      </c>
      <c r="N45" s="9">
        <v>20000</v>
      </c>
      <c r="O45" s="13">
        <f t="shared" si="2"/>
        <v>120000</v>
      </c>
      <c r="P45" s="9">
        <f t="shared" si="3"/>
        <v>240000</v>
      </c>
    </row>
    <row r="46" spans="1:16" ht="12.95" customHeight="1" x14ac:dyDescent="0.15">
      <c r="A46" s="4" t="s">
        <v>27</v>
      </c>
      <c r="B46" s="9">
        <v>35000</v>
      </c>
      <c r="C46" s="9">
        <v>0</v>
      </c>
      <c r="D46" s="9">
        <v>0</v>
      </c>
      <c r="E46" s="9">
        <v>10000</v>
      </c>
      <c r="F46" s="9">
        <v>0</v>
      </c>
      <c r="G46" s="9">
        <v>10000</v>
      </c>
      <c r="H46" s="9">
        <f t="shared" si="9"/>
        <v>55000</v>
      </c>
      <c r="I46" s="9">
        <v>50000</v>
      </c>
      <c r="J46" s="9">
        <v>10000</v>
      </c>
      <c r="K46" s="9">
        <v>0</v>
      </c>
      <c r="L46" s="9">
        <v>30000</v>
      </c>
      <c r="M46" s="9">
        <v>10000</v>
      </c>
      <c r="N46" s="9">
        <v>10000</v>
      </c>
      <c r="O46" s="13">
        <f t="shared" si="2"/>
        <v>110000</v>
      </c>
      <c r="P46" s="9">
        <f t="shared" si="3"/>
        <v>165000</v>
      </c>
    </row>
    <row r="47" spans="1:16" ht="12.95" customHeight="1" x14ac:dyDescent="0.15">
      <c r="A47" s="4" t="s">
        <v>32</v>
      </c>
      <c r="B47" s="9">
        <v>580000</v>
      </c>
      <c r="C47" s="9">
        <v>560000</v>
      </c>
      <c r="D47" s="9">
        <v>550000</v>
      </c>
      <c r="E47" s="9">
        <v>550000</v>
      </c>
      <c r="F47" s="9">
        <v>550000</v>
      </c>
      <c r="G47" s="9">
        <v>600000</v>
      </c>
      <c r="H47" s="9">
        <f t="shared" si="9"/>
        <v>3390000</v>
      </c>
      <c r="I47" s="9">
        <v>385000</v>
      </c>
      <c r="J47" s="9">
        <v>520000</v>
      </c>
      <c r="K47" s="9">
        <v>560000</v>
      </c>
      <c r="L47" s="9">
        <v>610000</v>
      </c>
      <c r="M47" s="9">
        <v>650000</v>
      </c>
      <c r="N47" s="9">
        <v>650000</v>
      </c>
      <c r="O47" s="13">
        <f t="shared" si="2"/>
        <v>3375000</v>
      </c>
      <c r="P47" s="9">
        <f t="shared" si="3"/>
        <v>6765000</v>
      </c>
    </row>
    <row r="48" spans="1:16" ht="12.95" customHeight="1" x14ac:dyDescent="0.15">
      <c r="A48" s="4" t="s">
        <v>108</v>
      </c>
      <c r="B48" s="9">
        <v>15000</v>
      </c>
      <c r="C48" s="9">
        <v>15000</v>
      </c>
      <c r="D48" s="9">
        <v>20000</v>
      </c>
      <c r="E48" s="9">
        <v>15000</v>
      </c>
      <c r="F48" s="9">
        <v>15000</v>
      </c>
      <c r="G48" s="9">
        <v>15000</v>
      </c>
      <c r="H48" s="9">
        <f t="shared" si="9"/>
        <v>95000</v>
      </c>
      <c r="I48" s="9">
        <v>10000</v>
      </c>
      <c r="J48" s="9">
        <v>10000</v>
      </c>
      <c r="K48" s="9">
        <v>30000</v>
      </c>
      <c r="L48" s="9">
        <v>20000</v>
      </c>
      <c r="M48" s="9">
        <v>20000</v>
      </c>
      <c r="N48" s="9">
        <v>10000</v>
      </c>
      <c r="O48" s="13">
        <f t="shared" si="2"/>
        <v>100000</v>
      </c>
      <c r="P48" s="9">
        <f t="shared" si="3"/>
        <v>195000</v>
      </c>
    </row>
    <row r="49" spans="1:16" ht="12.95" customHeight="1" x14ac:dyDescent="0.15">
      <c r="A49" s="4" t="s">
        <v>34</v>
      </c>
      <c r="B49" s="9">
        <v>10000</v>
      </c>
      <c r="C49" s="9">
        <v>5000</v>
      </c>
      <c r="D49" s="9">
        <v>10000</v>
      </c>
      <c r="E49" s="9">
        <v>5000</v>
      </c>
      <c r="F49" s="9">
        <v>0</v>
      </c>
      <c r="G49" s="9">
        <v>10000</v>
      </c>
      <c r="H49" s="9">
        <f t="shared" si="9"/>
        <v>40000</v>
      </c>
      <c r="I49" s="9">
        <v>0</v>
      </c>
      <c r="J49" s="9">
        <v>0</v>
      </c>
      <c r="K49" s="9">
        <v>20000</v>
      </c>
      <c r="L49" s="9">
        <v>0</v>
      </c>
      <c r="M49" s="9">
        <v>0</v>
      </c>
      <c r="N49" s="9">
        <v>30000</v>
      </c>
      <c r="O49" s="13">
        <f t="shared" si="2"/>
        <v>50000</v>
      </c>
      <c r="P49" s="9">
        <f t="shared" si="3"/>
        <v>90000</v>
      </c>
    </row>
    <row r="50" spans="1:16" ht="12.95" customHeight="1" x14ac:dyDescent="0.15">
      <c r="A50" s="4" t="s">
        <v>109</v>
      </c>
      <c r="B50" s="9">
        <v>600000</v>
      </c>
      <c r="C50" s="9">
        <v>600000</v>
      </c>
      <c r="D50" s="9">
        <v>600000</v>
      </c>
      <c r="E50" s="9">
        <v>650000</v>
      </c>
      <c r="F50" s="9">
        <v>650000</v>
      </c>
      <c r="G50" s="9">
        <v>650000</v>
      </c>
      <c r="H50" s="9">
        <f t="shared" si="9"/>
        <v>3750000</v>
      </c>
      <c r="I50" s="9">
        <v>650000</v>
      </c>
      <c r="J50" s="9">
        <v>600000</v>
      </c>
      <c r="K50" s="9">
        <v>650000</v>
      </c>
      <c r="L50" s="9">
        <v>600000</v>
      </c>
      <c r="M50" s="14">
        <v>620000</v>
      </c>
      <c r="N50" s="9">
        <v>660000</v>
      </c>
      <c r="O50" s="13">
        <f t="shared" si="2"/>
        <v>3780000</v>
      </c>
      <c r="P50" s="9">
        <f t="shared" si="3"/>
        <v>7530000</v>
      </c>
    </row>
    <row r="51" spans="1:16" ht="12.95" customHeight="1" x14ac:dyDescent="0.15">
      <c r="A51" s="4" t="s">
        <v>35</v>
      </c>
      <c r="B51" s="9">
        <v>5000</v>
      </c>
      <c r="C51" s="9">
        <v>5000</v>
      </c>
      <c r="D51" s="9">
        <v>5000</v>
      </c>
      <c r="E51" s="9">
        <v>5000</v>
      </c>
      <c r="F51" s="9">
        <v>5000</v>
      </c>
      <c r="G51" s="9">
        <v>5000</v>
      </c>
      <c r="H51" s="9">
        <f t="shared" si="9"/>
        <v>30000</v>
      </c>
      <c r="I51" s="9">
        <v>20000</v>
      </c>
      <c r="J51" s="9">
        <v>5000</v>
      </c>
      <c r="K51" s="9">
        <v>120000</v>
      </c>
      <c r="L51" s="9">
        <v>20000</v>
      </c>
      <c r="M51" s="9">
        <v>20000</v>
      </c>
      <c r="N51" s="9">
        <v>20000</v>
      </c>
      <c r="O51" s="13">
        <f t="shared" si="2"/>
        <v>205000</v>
      </c>
      <c r="P51" s="9">
        <f t="shared" si="3"/>
        <v>235000</v>
      </c>
    </row>
    <row r="52" spans="1:16" ht="12.95" customHeight="1" x14ac:dyDescent="0.15">
      <c r="A52" s="4" t="s">
        <v>110</v>
      </c>
      <c r="B52" s="9">
        <v>30000</v>
      </c>
      <c r="C52" s="9">
        <v>0</v>
      </c>
      <c r="D52" s="9">
        <v>0</v>
      </c>
      <c r="E52" s="9">
        <v>30000</v>
      </c>
      <c r="F52" s="9">
        <v>0</v>
      </c>
      <c r="G52" s="9">
        <v>50000</v>
      </c>
      <c r="H52" s="9">
        <f t="shared" si="9"/>
        <v>110000</v>
      </c>
      <c r="I52" s="9">
        <v>0</v>
      </c>
      <c r="J52" s="9">
        <v>0</v>
      </c>
      <c r="K52" s="9">
        <v>0</v>
      </c>
      <c r="L52" s="9">
        <v>700000</v>
      </c>
      <c r="M52" s="9">
        <v>0</v>
      </c>
      <c r="N52" s="9">
        <v>280000</v>
      </c>
      <c r="O52" s="13">
        <f t="shared" si="2"/>
        <v>980000</v>
      </c>
      <c r="P52" s="9">
        <f t="shared" si="3"/>
        <v>1090000</v>
      </c>
    </row>
    <row r="53" spans="1:16" ht="12.95" customHeight="1" x14ac:dyDescent="0.15">
      <c r="A53" s="4" t="s">
        <v>111</v>
      </c>
      <c r="B53" s="9">
        <v>450000</v>
      </c>
      <c r="C53" s="9">
        <v>450000</v>
      </c>
      <c r="D53" s="9">
        <v>400000</v>
      </c>
      <c r="E53" s="9">
        <v>400000</v>
      </c>
      <c r="F53" s="9">
        <v>450000</v>
      </c>
      <c r="G53" s="9">
        <v>450000</v>
      </c>
      <c r="H53" s="9">
        <f t="shared" si="9"/>
        <v>2600000</v>
      </c>
      <c r="I53" s="9">
        <v>600000</v>
      </c>
      <c r="J53" s="9">
        <v>450000</v>
      </c>
      <c r="K53" s="9">
        <v>450000</v>
      </c>
      <c r="L53" s="9">
        <v>450000</v>
      </c>
      <c r="M53" s="9">
        <v>450000</v>
      </c>
      <c r="N53" s="9">
        <v>500000</v>
      </c>
      <c r="O53" s="13">
        <f t="shared" si="2"/>
        <v>2900000</v>
      </c>
      <c r="P53" s="9">
        <f t="shared" si="3"/>
        <v>5500000</v>
      </c>
    </row>
    <row r="54" spans="1:16" ht="12.95" customHeight="1" x14ac:dyDescent="0.15">
      <c r="A54" s="4" t="s">
        <v>112</v>
      </c>
      <c r="B54" s="9">
        <v>0</v>
      </c>
      <c r="C54" s="9">
        <v>0</v>
      </c>
      <c r="D54" s="9">
        <v>0</v>
      </c>
      <c r="E54" s="9">
        <v>100000</v>
      </c>
      <c r="F54" s="9">
        <v>0</v>
      </c>
      <c r="G54" s="9">
        <v>0</v>
      </c>
      <c r="H54" s="9">
        <f t="shared" si="9"/>
        <v>100000</v>
      </c>
      <c r="I54" s="9">
        <v>0</v>
      </c>
      <c r="J54" s="9">
        <v>0</v>
      </c>
      <c r="K54" s="9">
        <v>250000</v>
      </c>
      <c r="L54" s="9">
        <v>0</v>
      </c>
      <c r="M54" s="9">
        <v>0</v>
      </c>
      <c r="N54" s="9">
        <v>150000</v>
      </c>
      <c r="O54" s="13">
        <f t="shared" si="2"/>
        <v>400000</v>
      </c>
      <c r="P54" s="9">
        <f t="shared" si="3"/>
        <v>500000</v>
      </c>
    </row>
    <row r="55" spans="1:16" ht="12.95" customHeight="1" x14ac:dyDescent="0.15">
      <c r="A55" s="4" t="s">
        <v>113</v>
      </c>
      <c r="B55" s="9">
        <v>375000</v>
      </c>
      <c r="C55" s="9">
        <v>375000</v>
      </c>
      <c r="D55" s="9">
        <v>375000</v>
      </c>
      <c r="E55" s="9">
        <v>375000</v>
      </c>
      <c r="F55" s="9">
        <v>375000</v>
      </c>
      <c r="G55" s="9">
        <v>375000</v>
      </c>
      <c r="H55" s="9">
        <f t="shared" si="9"/>
        <v>2250000</v>
      </c>
      <c r="I55" s="9">
        <v>375000</v>
      </c>
      <c r="J55" s="9">
        <v>375000</v>
      </c>
      <c r="K55" s="9">
        <v>375000</v>
      </c>
      <c r="L55" s="9">
        <v>375000</v>
      </c>
      <c r="M55" s="9">
        <v>375000</v>
      </c>
      <c r="N55" s="9">
        <v>375000</v>
      </c>
      <c r="O55" s="13">
        <f t="shared" si="2"/>
        <v>2250000</v>
      </c>
      <c r="P55" s="9">
        <f t="shared" si="3"/>
        <v>4500000</v>
      </c>
    </row>
    <row r="56" spans="1:16" ht="12.95" customHeight="1" x14ac:dyDescent="0.15">
      <c r="A56" s="4" t="s">
        <v>121</v>
      </c>
      <c r="B56" s="9">
        <v>250000</v>
      </c>
      <c r="C56" s="9">
        <v>330000</v>
      </c>
      <c r="D56" s="9">
        <v>250000</v>
      </c>
      <c r="E56" s="9">
        <v>250000</v>
      </c>
      <c r="F56" s="9">
        <v>250000</v>
      </c>
      <c r="G56" s="9">
        <v>250000</v>
      </c>
      <c r="H56" s="9">
        <f t="shared" si="9"/>
        <v>1580000</v>
      </c>
      <c r="I56" s="9">
        <v>250000</v>
      </c>
      <c r="J56" s="9">
        <v>250000</v>
      </c>
      <c r="K56" s="9">
        <v>250000</v>
      </c>
      <c r="L56" s="9">
        <v>250000</v>
      </c>
      <c r="M56" s="9">
        <v>250000</v>
      </c>
      <c r="N56" s="9">
        <v>250000</v>
      </c>
      <c r="O56" s="13">
        <f t="shared" si="2"/>
        <v>1500000</v>
      </c>
      <c r="P56" s="9">
        <f t="shared" si="3"/>
        <v>3080000</v>
      </c>
    </row>
    <row r="57" spans="1:16" ht="12.95" customHeight="1" x14ac:dyDescent="0.15">
      <c r="A57" s="4" t="s">
        <v>122</v>
      </c>
      <c r="B57" s="11">
        <v>2000</v>
      </c>
      <c r="C57" s="9">
        <v>6000000</v>
      </c>
      <c r="D57" s="9">
        <v>185000</v>
      </c>
      <c r="E57" s="9">
        <v>0</v>
      </c>
      <c r="F57" s="9">
        <v>2000</v>
      </c>
      <c r="G57" s="9">
        <v>0</v>
      </c>
      <c r="H57" s="9">
        <f t="shared" si="9"/>
        <v>6189000</v>
      </c>
      <c r="I57" s="9">
        <v>3000</v>
      </c>
      <c r="J57" s="9">
        <v>2000</v>
      </c>
      <c r="K57" s="9">
        <v>50000</v>
      </c>
      <c r="L57" s="9">
        <v>0</v>
      </c>
      <c r="M57" s="9">
        <v>45000</v>
      </c>
      <c r="N57" s="9">
        <v>2000</v>
      </c>
      <c r="O57" s="13">
        <f t="shared" si="2"/>
        <v>102000</v>
      </c>
      <c r="P57" s="9">
        <f t="shared" si="3"/>
        <v>6291000</v>
      </c>
    </row>
    <row r="58" spans="1:16" ht="12.95" customHeight="1" x14ac:dyDescent="0.15">
      <c r="A58" s="4" t="s">
        <v>37</v>
      </c>
      <c r="B58" s="9">
        <v>150000</v>
      </c>
      <c r="C58" s="9">
        <v>150000</v>
      </c>
      <c r="D58" s="9">
        <v>150000</v>
      </c>
      <c r="E58" s="9">
        <v>150000</v>
      </c>
      <c r="F58" s="9">
        <v>150000</v>
      </c>
      <c r="G58" s="9">
        <v>150000</v>
      </c>
      <c r="H58" s="9">
        <f t="shared" si="9"/>
        <v>900000</v>
      </c>
      <c r="I58" s="9">
        <v>180000</v>
      </c>
      <c r="J58" s="9">
        <v>160000</v>
      </c>
      <c r="K58" s="9">
        <v>160000</v>
      </c>
      <c r="L58" s="9">
        <v>160000</v>
      </c>
      <c r="M58" s="9">
        <v>160000</v>
      </c>
      <c r="N58" s="9">
        <v>160000</v>
      </c>
      <c r="O58" s="13">
        <f t="shared" si="2"/>
        <v>980000</v>
      </c>
      <c r="P58" s="9">
        <f t="shared" si="3"/>
        <v>1880000</v>
      </c>
    </row>
    <row r="59" spans="1:16" ht="12.95" customHeight="1" x14ac:dyDescent="0.15">
      <c r="A59" s="4" t="s">
        <v>114</v>
      </c>
      <c r="B59" s="14">
        <v>10000</v>
      </c>
      <c r="C59" s="14">
        <v>10000</v>
      </c>
      <c r="D59" s="14">
        <v>10000</v>
      </c>
      <c r="E59" s="14">
        <v>10000</v>
      </c>
      <c r="F59" s="14">
        <v>10000</v>
      </c>
      <c r="G59" s="14">
        <v>10000</v>
      </c>
      <c r="H59" s="14">
        <f t="shared" si="9"/>
        <v>60000</v>
      </c>
      <c r="I59" s="14">
        <v>5000</v>
      </c>
      <c r="J59" s="14">
        <v>5000</v>
      </c>
      <c r="K59" s="14">
        <v>60000</v>
      </c>
      <c r="L59" s="14">
        <v>40000</v>
      </c>
      <c r="M59" s="14">
        <v>0</v>
      </c>
      <c r="N59" s="14">
        <v>20000</v>
      </c>
      <c r="O59" s="14">
        <f t="shared" si="2"/>
        <v>130000</v>
      </c>
      <c r="P59" s="14">
        <f t="shared" si="3"/>
        <v>190000</v>
      </c>
    </row>
    <row r="60" spans="1:16" ht="12.95" customHeight="1" x14ac:dyDescent="0.15">
      <c r="A60" s="12" t="s">
        <v>115</v>
      </c>
      <c r="B60" s="14">
        <v>250000</v>
      </c>
      <c r="C60" s="14">
        <v>250000</v>
      </c>
      <c r="D60" s="14">
        <v>300000</v>
      </c>
      <c r="E60" s="14">
        <v>300000</v>
      </c>
      <c r="F60" s="14">
        <v>350000</v>
      </c>
      <c r="G60" s="14">
        <v>350000</v>
      </c>
      <c r="H60" s="14">
        <f t="shared" si="9"/>
        <v>1800000</v>
      </c>
      <c r="I60" s="14">
        <v>650000</v>
      </c>
      <c r="J60" s="14">
        <v>520000</v>
      </c>
      <c r="K60" s="14">
        <v>850000</v>
      </c>
      <c r="L60" s="14">
        <v>350000</v>
      </c>
      <c r="M60" s="14">
        <v>300000</v>
      </c>
      <c r="N60" s="14">
        <v>380000</v>
      </c>
      <c r="O60" s="14">
        <f t="shared" si="2"/>
        <v>3050000</v>
      </c>
      <c r="P60" s="14">
        <f t="shared" si="3"/>
        <v>4850000</v>
      </c>
    </row>
    <row r="61" spans="1:16" ht="12.95" customHeight="1" x14ac:dyDescent="0.15">
      <c r="A61" s="4" t="s">
        <v>46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2200000</v>
      </c>
      <c r="H61" s="9">
        <f t="shared" si="9"/>
        <v>2200000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2200000</v>
      </c>
      <c r="O61" s="13">
        <f t="shared" si="2"/>
        <v>2200000</v>
      </c>
      <c r="P61" s="9">
        <f t="shared" si="3"/>
        <v>4400000</v>
      </c>
    </row>
    <row r="62" spans="1:16" x14ac:dyDescent="0.15">
      <c r="A62" s="8" t="s">
        <v>29</v>
      </c>
      <c r="B62" s="10">
        <f t="shared" ref="B62:N62" si="11">B30+B36</f>
        <v>14362000</v>
      </c>
      <c r="C62" s="10">
        <f t="shared" si="11"/>
        <v>20215000</v>
      </c>
      <c r="D62" s="10">
        <f t="shared" si="11"/>
        <v>14625000</v>
      </c>
      <c r="E62" s="10">
        <f t="shared" si="11"/>
        <v>25985000</v>
      </c>
      <c r="F62" s="10">
        <f t="shared" si="11"/>
        <v>14822000</v>
      </c>
      <c r="G62" s="10">
        <f t="shared" si="11"/>
        <v>17220000</v>
      </c>
      <c r="H62" s="10">
        <f t="shared" si="9"/>
        <v>107229000</v>
      </c>
      <c r="I62" s="10">
        <f t="shared" si="11"/>
        <v>15533000</v>
      </c>
      <c r="J62" s="10">
        <f t="shared" si="11"/>
        <v>15052000</v>
      </c>
      <c r="K62" s="10">
        <f t="shared" si="11"/>
        <v>27500000</v>
      </c>
      <c r="L62" s="10">
        <f t="shared" si="11"/>
        <v>15885000</v>
      </c>
      <c r="M62" s="10">
        <f t="shared" si="11"/>
        <v>15145000</v>
      </c>
      <c r="N62" s="10">
        <f t="shared" si="11"/>
        <v>18562000</v>
      </c>
      <c r="O62" s="10">
        <f t="shared" si="2"/>
        <v>107677000</v>
      </c>
      <c r="P62" s="10">
        <f t="shared" si="3"/>
        <v>214906000</v>
      </c>
    </row>
    <row r="63" spans="1:16" x14ac:dyDescent="0.15">
      <c r="A63" s="8" t="s">
        <v>61</v>
      </c>
      <c r="B63" s="10">
        <f t="shared" ref="B63:G63" si="12">B27-B62</f>
        <v>3853800</v>
      </c>
      <c r="C63" s="10">
        <f t="shared" si="12"/>
        <v>-2371900</v>
      </c>
      <c r="D63" s="10">
        <f t="shared" si="12"/>
        <v>3462000</v>
      </c>
      <c r="E63" s="10">
        <f t="shared" si="12"/>
        <v>-6974500</v>
      </c>
      <c r="F63" s="10">
        <f t="shared" si="12"/>
        <v>4842500</v>
      </c>
      <c r="G63" s="10">
        <f t="shared" si="12"/>
        <v>1154200</v>
      </c>
      <c r="H63" s="10">
        <f t="shared" si="9"/>
        <v>3966100</v>
      </c>
      <c r="I63" s="10">
        <f t="shared" ref="I63:N63" si="13">I27-I62</f>
        <v>2907250</v>
      </c>
      <c r="J63" s="10">
        <f t="shared" si="13"/>
        <v>3326000</v>
      </c>
      <c r="K63" s="10">
        <f t="shared" si="13"/>
        <v>-9506750</v>
      </c>
      <c r="L63" s="10">
        <f t="shared" si="13"/>
        <v>709500</v>
      </c>
      <c r="M63" s="10">
        <f t="shared" si="13"/>
        <v>2378500</v>
      </c>
      <c r="N63" s="10">
        <f t="shared" si="13"/>
        <v>842500</v>
      </c>
      <c r="O63" s="10">
        <f t="shared" si="2"/>
        <v>657000</v>
      </c>
      <c r="P63" s="10">
        <f t="shared" si="3"/>
        <v>4623100</v>
      </c>
    </row>
    <row r="64" spans="1:16" x14ac:dyDescent="0.15">
      <c r="A64" s="23" t="s">
        <v>126</v>
      </c>
      <c r="B64" s="14">
        <v>300</v>
      </c>
      <c r="C64" s="14">
        <v>0</v>
      </c>
      <c r="D64" s="14">
        <v>0</v>
      </c>
      <c r="E64" s="14">
        <v>0</v>
      </c>
      <c r="F64" s="14">
        <v>1200</v>
      </c>
      <c r="G64" s="14">
        <v>0</v>
      </c>
      <c r="H64" s="10">
        <f t="shared" si="9"/>
        <v>1500</v>
      </c>
      <c r="I64" s="14">
        <v>0</v>
      </c>
      <c r="J64" s="14">
        <v>0</v>
      </c>
      <c r="K64" s="14">
        <v>0</v>
      </c>
      <c r="L64" s="14">
        <v>0</v>
      </c>
      <c r="M64" s="14">
        <v>1200</v>
      </c>
      <c r="N64" s="14">
        <v>0</v>
      </c>
      <c r="O64" s="10">
        <f t="shared" si="2"/>
        <v>1200</v>
      </c>
      <c r="P64" s="10">
        <f t="shared" si="3"/>
        <v>2700</v>
      </c>
    </row>
    <row r="65" spans="1:16" x14ac:dyDescent="0.15">
      <c r="A65" s="23" t="s">
        <v>127</v>
      </c>
      <c r="B65" s="14">
        <v>100000</v>
      </c>
      <c r="C65" s="9">
        <v>100000</v>
      </c>
      <c r="D65" s="9">
        <v>100000</v>
      </c>
      <c r="E65" s="9">
        <v>170000</v>
      </c>
      <c r="F65" s="9">
        <v>100000</v>
      </c>
      <c r="G65" s="9">
        <v>100000</v>
      </c>
      <c r="H65" s="10">
        <f t="shared" si="9"/>
        <v>670000</v>
      </c>
      <c r="I65" s="14">
        <v>80000</v>
      </c>
      <c r="J65" s="14">
        <v>80000</v>
      </c>
      <c r="K65" s="14">
        <v>150000</v>
      </c>
      <c r="L65" s="14">
        <v>80000</v>
      </c>
      <c r="M65" s="14">
        <v>80000</v>
      </c>
      <c r="N65" s="14">
        <v>80000</v>
      </c>
      <c r="O65" s="10">
        <f t="shared" si="2"/>
        <v>550000</v>
      </c>
      <c r="P65" s="10">
        <f t="shared" si="3"/>
        <v>1220000</v>
      </c>
    </row>
    <row r="66" spans="1:16" x14ac:dyDescent="0.15">
      <c r="A66" s="8" t="s">
        <v>60</v>
      </c>
      <c r="B66" s="15">
        <f t="shared" ref="B66:G66" si="14">B63+B64-B65</f>
        <v>3754100</v>
      </c>
      <c r="C66" s="15">
        <f t="shared" si="14"/>
        <v>-2471900</v>
      </c>
      <c r="D66" s="15">
        <f t="shared" si="14"/>
        <v>3362000</v>
      </c>
      <c r="E66" s="15">
        <f t="shared" si="14"/>
        <v>-7144500</v>
      </c>
      <c r="F66" s="15">
        <f t="shared" si="14"/>
        <v>4743700</v>
      </c>
      <c r="G66" s="15">
        <f t="shared" si="14"/>
        <v>1054200</v>
      </c>
      <c r="H66" s="10">
        <f t="shared" si="9"/>
        <v>3297600</v>
      </c>
      <c r="I66" s="15">
        <f t="shared" ref="I66:N66" si="15">I63+I64-I65</f>
        <v>2827250</v>
      </c>
      <c r="J66" s="15">
        <f t="shared" si="15"/>
        <v>3246000</v>
      </c>
      <c r="K66" s="15">
        <f t="shared" si="15"/>
        <v>-9656750</v>
      </c>
      <c r="L66" s="15">
        <f t="shared" si="15"/>
        <v>629500</v>
      </c>
      <c r="M66" s="15">
        <f t="shared" si="15"/>
        <v>2299700</v>
      </c>
      <c r="N66" s="15">
        <f t="shared" si="15"/>
        <v>762500</v>
      </c>
      <c r="O66" s="10">
        <f t="shared" si="2"/>
        <v>108200</v>
      </c>
      <c r="P66" s="10">
        <f t="shared" si="3"/>
        <v>3405800</v>
      </c>
    </row>
    <row r="67" spans="1:16" x14ac:dyDescent="0.15">
      <c r="A67" s="26" t="s">
        <v>116</v>
      </c>
      <c r="B67" s="14">
        <v>416000</v>
      </c>
      <c r="C67" s="14">
        <v>416000</v>
      </c>
      <c r="D67" s="14">
        <v>416000</v>
      </c>
      <c r="E67" s="14">
        <v>416000</v>
      </c>
      <c r="F67" s="14">
        <v>416000</v>
      </c>
      <c r="G67" s="14">
        <v>416000</v>
      </c>
      <c r="H67" s="10">
        <f t="shared" si="9"/>
        <v>2496000</v>
      </c>
      <c r="I67" s="4">
        <v>416000</v>
      </c>
      <c r="J67" s="4">
        <v>416000</v>
      </c>
      <c r="K67" s="9">
        <v>416000</v>
      </c>
      <c r="L67" s="9">
        <v>416000</v>
      </c>
      <c r="M67" s="9">
        <v>416000</v>
      </c>
      <c r="N67" s="9">
        <v>416000</v>
      </c>
      <c r="O67" s="14">
        <f t="shared" si="2"/>
        <v>2496000</v>
      </c>
      <c r="P67" s="9">
        <f t="shared" si="3"/>
        <v>4992000</v>
      </c>
    </row>
  </sheetData>
  <mergeCells count="1">
    <mergeCell ref="C1:H1"/>
  </mergeCells>
  <phoneticPr fontId="3"/>
  <pageMargins left="0.51181102362204722" right="0.19685039370078741" top="0.27559055118110237" bottom="0.35433070866141736" header="0.23622047244094491" footer="0.27559055118110237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75A7C-33A1-46E4-8416-F11826D0E139}">
  <dimension ref="A1:P68"/>
  <sheetViews>
    <sheetView topLeftCell="A16" workbookViewId="0">
      <pane xSplit="3" topLeftCell="H1" activePane="topRight" state="frozenSplit"/>
      <selection pane="topRight" activeCell="B18" sqref="B18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72" t="s">
        <v>143</v>
      </c>
      <c r="D1" s="172"/>
      <c r="E1" s="172"/>
      <c r="F1" s="172"/>
      <c r="G1" s="172"/>
      <c r="H1" s="172"/>
    </row>
    <row r="2" spans="1:16" ht="12" customHeight="1" x14ac:dyDescent="0.15">
      <c r="A2" s="1" t="s">
        <v>43</v>
      </c>
      <c r="B2" s="2" t="s">
        <v>131</v>
      </c>
      <c r="C2" s="1" t="s">
        <v>132</v>
      </c>
      <c r="D2" s="1" t="s">
        <v>133</v>
      </c>
      <c r="E2" s="1" t="s">
        <v>134</v>
      </c>
      <c r="F2" s="1" t="s">
        <v>135</v>
      </c>
      <c r="G2" s="1" t="s">
        <v>136</v>
      </c>
      <c r="H2" s="1" t="s">
        <v>39</v>
      </c>
      <c r="I2" s="1" t="s">
        <v>137</v>
      </c>
      <c r="J2" s="1" t="s">
        <v>138</v>
      </c>
      <c r="K2" s="1" t="s">
        <v>139</v>
      </c>
      <c r="L2" s="1" t="s">
        <v>140</v>
      </c>
      <c r="M2" s="1" t="s">
        <v>141</v>
      </c>
      <c r="N2" s="1" t="s">
        <v>142</v>
      </c>
      <c r="O2" s="1" t="s">
        <v>41</v>
      </c>
      <c r="P2" s="1" t="s">
        <v>42</v>
      </c>
    </row>
    <row r="3" spans="1:16" x14ac:dyDescent="0.15">
      <c r="A3" s="24" t="s">
        <v>123</v>
      </c>
      <c r="B3" s="5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15">
      <c r="A4" s="19" t="s">
        <v>0</v>
      </c>
      <c r="B4" s="10">
        <f>SUM(B5:B7)</f>
        <v>124000</v>
      </c>
      <c r="C4" s="10">
        <f t="shared" ref="C4:N4" si="0">SUM(C5:C7)</f>
        <v>19000</v>
      </c>
      <c r="D4" s="10">
        <f t="shared" si="0"/>
        <v>10000</v>
      </c>
      <c r="E4" s="10">
        <f t="shared" si="0"/>
        <v>7000</v>
      </c>
      <c r="F4" s="10">
        <f t="shared" si="0"/>
        <v>11000</v>
      </c>
      <c r="G4" s="10">
        <f t="shared" si="0"/>
        <v>8000</v>
      </c>
      <c r="H4" s="10">
        <f t="shared" ref="H4:H17" si="1">SUM(B4:G4)</f>
        <v>179000</v>
      </c>
      <c r="I4" s="10">
        <f t="shared" si="0"/>
        <v>5000</v>
      </c>
      <c r="J4" s="10">
        <f t="shared" si="0"/>
        <v>4000</v>
      </c>
      <c r="K4" s="10">
        <f t="shared" si="0"/>
        <v>7000</v>
      </c>
      <c r="L4" s="10">
        <f t="shared" si="0"/>
        <v>3000</v>
      </c>
      <c r="M4" s="10">
        <f t="shared" si="0"/>
        <v>5000</v>
      </c>
      <c r="N4" s="10">
        <f t="shared" si="0"/>
        <v>6000</v>
      </c>
      <c r="O4" s="10">
        <f>SUM(I4:N4)</f>
        <v>30000</v>
      </c>
      <c r="P4" s="10">
        <f>H4+O4</f>
        <v>209000</v>
      </c>
    </row>
    <row r="5" spans="1:16" ht="12.95" customHeight="1" x14ac:dyDescent="0.15">
      <c r="A5" s="21" t="s">
        <v>1</v>
      </c>
      <c r="B5" s="14">
        <v>84000</v>
      </c>
      <c r="C5" s="14">
        <v>2000</v>
      </c>
      <c r="D5" s="14">
        <v>0</v>
      </c>
      <c r="E5" s="14">
        <v>2000</v>
      </c>
      <c r="F5" s="14"/>
      <c r="G5" s="14">
        <v>2000</v>
      </c>
      <c r="H5" s="14">
        <f t="shared" si="1"/>
        <v>90000</v>
      </c>
      <c r="I5" s="9">
        <v>2000</v>
      </c>
      <c r="J5" s="9"/>
      <c r="K5" s="9"/>
      <c r="L5" s="9"/>
      <c r="M5" s="9"/>
      <c r="N5" s="9"/>
      <c r="O5" s="9">
        <f t="shared" ref="O5:O68" si="2">SUM(I5:N5)</f>
        <v>2000</v>
      </c>
      <c r="P5" s="9">
        <f t="shared" ref="P5:P68" si="3">H5+O5</f>
        <v>92000</v>
      </c>
    </row>
    <row r="6" spans="1:16" ht="12.95" customHeight="1" x14ac:dyDescent="0.15">
      <c r="A6" s="21" t="s">
        <v>2</v>
      </c>
      <c r="B6" s="14">
        <v>30000</v>
      </c>
      <c r="C6" s="14">
        <v>16000</v>
      </c>
      <c r="D6" s="14">
        <f>52000-46000</f>
        <v>6000</v>
      </c>
      <c r="E6" s="14">
        <v>4000</v>
      </c>
      <c r="F6" s="14">
        <f>64000-56000</f>
        <v>8000</v>
      </c>
      <c r="G6" s="14">
        <v>5000</v>
      </c>
      <c r="H6" s="14">
        <f t="shared" si="1"/>
        <v>69000</v>
      </c>
      <c r="I6" s="9">
        <v>1000</v>
      </c>
      <c r="J6" s="9">
        <v>3000</v>
      </c>
      <c r="K6" s="9">
        <f>80000-73000</f>
        <v>7000</v>
      </c>
      <c r="L6" s="9">
        <v>3000</v>
      </c>
      <c r="M6" s="9">
        <v>4000</v>
      </c>
      <c r="N6" s="9">
        <v>4000</v>
      </c>
      <c r="O6" s="9">
        <f t="shared" si="2"/>
        <v>22000</v>
      </c>
      <c r="P6" s="9">
        <f t="shared" si="3"/>
        <v>91000</v>
      </c>
    </row>
    <row r="7" spans="1:16" ht="12.95" customHeight="1" x14ac:dyDescent="0.15">
      <c r="A7" s="21" t="s">
        <v>3</v>
      </c>
      <c r="B7" s="14">
        <v>10000</v>
      </c>
      <c r="C7" s="14">
        <v>1000</v>
      </c>
      <c r="D7" s="14">
        <v>4000</v>
      </c>
      <c r="E7" s="14">
        <v>1000</v>
      </c>
      <c r="F7" s="14">
        <v>3000</v>
      </c>
      <c r="G7" s="14">
        <v>1000</v>
      </c>
      <c r="H7" s="14">
        <f t="shared" si="1"/>
        <v>20000</v>
      </c>
      <c r="I7" s="9">
        <v>2000</v>
      </c>
      <c r="J7" s="9">
        <v>1000</v>
      </c>
      <c r="K7" s="9"/>
      <c r="L7" s="9"/>
      <c r="M7" s="9">
        <v>1000</v>
      </c>
      <c r="N7" s="9">
        <v>2000</v>
      </c>
      <c r="O7" s="9">
        <f t="shared" si="2"/>
        <v>6000</v>
      </c>
      <c r="P7" s="9">
        <f t="shared" si="3"/>
        <v>26000</v>
      </c>
    </row>
    <row r="8" spans="1:16" x14ac:dyDescent="0.15">
      <c r="A8" s="19" t="s">
        <v>4</v>
      </c>
      <c r="B8" s="10">
        <f t="shared" ref="B8:N8" si="4">SUM(B9:B24)</f>
        <v>18113283</v>
      </c>
      <c r="C8" s="10">
        <f t="shared" si="4"/>
        <v>17140160</v>
      </c>
      <c r="D8" s="10">
        <f t="shared" si="4"/>
        <v>17484790</v>
      </c>
      <c r="E8" s="10">
        <f t="shared" si="4"/>
        <v>17847230</v>
      </c>
      <c r="F8" s="10">
        <f t="shared" si="4"/>
        <v>18951260</v>
      </c>
      <c r="G8" s="10">
        <f t="shared" si="4"/>
        <v>17095250</v>
      </c>
      <c r="H8" s="10">
        <f t="shared" si="1"/>
        <v>106631973</v>
      </c>
      <c r="I8" s="10">
        <f t="shared" si="4"/>
        <v>17690980</v>
      </c>
      <c r="J8" s="10">
        <f t="shared" si="4"/>
        <v>16480160</v>
      </c>
      <c r="K8" s="10">
        <f t="shared" si="4"/>
        <v>16156440</v>
      </c>
      <c r="L8" s="10">
        <f t="shared" si="4"/>
        <v>15802645</v>
      </c>
      <c r="M8" s="10">
        <f t="shared" si="4"/>
        <v>16142655</v>
      </c>
      <c r="N8" s="10">
        <f t="shared" si="4"/>
        <v>18385140</v>
      </c>
      <c r="O8" s="10">
        <f t="shared" si="2"/>
        <v>100658020</v>
      </c>
      <c r="P8" s="10">
        <f t="shared" si="3"/>
        <v>207289993</v>
      </c>
    </row>
    <row r="9" spans="1:16" ht="12.95" customHeight="1" x14ac:dyDescent="0.15">
      <c r="A9" s="27" t="s">
        <v>94</v>
      </c>
      <c r="B9" s="14">
        <v>2595500</v>
      </c>
      <c r="C9" s="14">
        <v>2557500</v>
      </c>
      <c r="D9" s="14">
        <v>2661500</v>
      </c>
      <c r="E9" s="14">
        <f>10478000-7814500</f>
        <v>2663500</v>
      </c>
      <c r="F9" s="14">
        <f>13242000-10478000</f>
        <v>2764000</v>
      </c>
      <c r="G9" s="14">
        <f>15860500-13242000</f>
        <v>2618500</v>
      </c>
      <c r="H9" s="14">
        <f t="shared" si="1"/>
        <v>15860500</v>
      </c>
      <c r="I9" s="9">
        <f>18498000-15860500</f>
        <v>2637500</v>
      </c>
      <c r="J9" s="9">
        <f>21119500-18498000</f>
        <v>2621500</v>
      </c>
      <c r="K9" s="9">
        <f>23706500-21119500</f>
        <v>2587000</v>
      </c>
      <c r="L9" s="9">
        <f>26230500-23706500</f>
        <v>2524000</v>
      </c>
      <c r="M9" s="9">
        <f>28708000-26230500</f>
        <v>2477500</v>
      </c>
      <c r="N9" s="9">
        <f>31226500-28708000</f>
        <v>2518500</v>
      </c>
      <c r="O9" s="9">
        <f t="shared" si="2"/>
        <v>15366000</v>
      </c>
      <c r="P9" s="9">
        <f t="shared" si="3"/>
        <v>31226500</v>
      </c>
    </row>
    <row r="10" spans="1:16" ht="12.95" customHeight="1" x14ac:dyDescent="0.15">
      <c r="A10" s="20" t="s">
        <v>128</v>
      </c>
      <c r="B10" s="14">
        <v>47500</v>
      </c>
      <c r="C10" s="14">
        <v>65000</v>
      </c>
      <c r="D10" s="14">
        <v>57500</v>
      </c>
      <c r="E10" s="14">
        <v>62500</v>
      </c>
      <c r="F10" s="14">
        <v>82500</v>
      </c>
      <c r="G10" s="14">
        <v>62500</v>
      </c>
      <c r="H10" s="14">
        <f t="shared" si="1"/>
        <v>377500</v>
      </c>
      <c r="I10" s="9">
        <v>30000</v>
      </c>
      <c r="J10" s="9">
        <v>55000</v>
      </c>
      <c r="K10" s="9">
        <v>32500</v>
      </c>
      <c r="L10" s="9">
        <v>65000</v>
      </c>
      <c r="M10" s="9" ph="1">
        <v>50000</v>
      </c>
      <c r="N10" s="9">
        <v>65000</v>
      </c>
      <c r="O10" s="9">
        <f t="shared" si="2"/>
        <v>297500</v>
      </c>
      <c r="P10" s="9">
        <f t="shared" si="3"/>
        <v>675000</v>
      </c>
    </row>
    <row r="11" spans="1:16" ht="12.95" customHeight="1" x14ac:dyDescent="0.15">
      <c r="A11" s="20" t="s">
        <v>129</v>
      </c>
      <c r="B11" s="14">
        <v>165560</v>
      </c>
      <c r="C11" s="14">
        <v>172680</v>
      </c>
      <c r="D11" s="14">
        <v>140080</v>
      </c>
      <c r="E11" s="14">
        <v>159560</v>
      </c>
      <c r="F11" s="14">
        <v>148320</v>
      </c>
      <c r="G11" s="14">
        <v>159560</v>
      </c>
      <c r="H11" s="14">
        <f t="shared" si="1"/>
        <v>945760</v>
      </c>
      <c r="I11" s="9">
        <v>140080</v>
      </c>
      <c r="J11" s="9">
        <v>141960</v>
      </c>
      <c r="K11" s="9">
        <v>154320</v>
      </c>
      <c r="L11" s="9">
        <v>147200</v>
      </c>
      <c r="M11" s="9">
        <v>161440</v>
      </c>
      <c r="N11" s="9">
        <v>171920</v>
      </c>
      <c r="O11" s="9">
        <f t="shared" si="2"/>
        <v>916920</v>
      </c>
      <c r="P11" s="9">
        <f t="shared" si="3"/>
        <v>1862680</v>
      </c>
    </row>
    <row r="12" spans="1:16" ht="12.95" customHeight="1" x14ac:dyDescent="0.15">
      <c r="A12" s="27" t="s">
        <v>95</v>
      </c>
      <c r="B12" s="29">
        <v>9446920</v>
      </c>
      <c r="C12" s="14">
        <f>4026393+447377+1114+5436+4012317+422025+23788+29990+1600</f>
        <v>8970040</v>
      </c>
      <c r="D12" s="14">
        <f>4214295+455061+13194+12450+4159215+433793+28342+17930+19242+2138</f>
        <v>9355660</v>
      </c>
      <c r="E12" s="14">
        <f>4498884+483750+16126+14850+4050837+427775+22318+7900</f>
        <v>9522440</v>
      </c>
      <c r="F12" s="14">
        <f>4927158+531336+8747+16126+14823+4163418+440503+22099+31810+55800+6200</f>
        <v>10218020</v>
      </c>
      <c r="G12" s="14">
        <f>4677453+504324+15393+536+4824+3788172+387370+33538+10600+800</f>
        <v>9423010</v>
      </c>
      <c r="H12" s="14">
        <f t="shared" si="1"/>
        <v>56936090</v>
      </c>
      <c r="I12" s="9">
        <f>4649967+500537+16126+7296+4824+800+3997530+416450+27720+20230+2400+38484+4276</f>
        <v>9686640</v>
      </c>
      <c r="J12" s="14">
        <f>42181080+37414910-33227130-37083100-269500-8500-3000-216500-500</f>
        <v>8787760</v>
      </c>
      <c r="K12" s="9">
        <f>46986030+41317750-37414910-42181080-264000-194500-4500-4500</f>
        <v>8240290</v>
      </c>
      <c r="L12" s="9">
        <f>3828105+410685+14660+3229272+350745+8063+9596+24174</f>
        <v>7875300</v>
      </c>
      <c r="M12" s="9">
        <f>3771693+419077+3542+1728+35541+3949+3291588+358402+7330+14620</f>
        <v>7907470</v>
      </c>
      <c r="N12" s="9">
        <f>4237650+468651+2199+21737+29043+3482505+382547+4398+21240+800</f>
        <v>8650770</v>
      </c>
      <c r="O12" s="9">
        <f t="shared" si="2"/>
        <v>51148230</v>
      </c>
      <c r="P12" s="9">
        <f t="shared" si="3"/>
        <v>108084320</v>
      </c>
    </row>
    <row r="13" spans="1:16" ht="12.95" customHeight="1" x14ac:dyDescent="0.15">
      <c r="A13" s="20" t="s">
        <v>58</v>
      </c>
      <c r="B13" s="14">
        <f>275000+1500+248000</f>
        <v>524500</v>
      </c>
      <c r="C13" s="14">
        <f>247000+252000</f>
        <v>499000</v>
      </c>
      <c r="D13" s="14">
        <f>259500+259000</f>
        <v>518500</v>
      </c>
      <c r="E13" s="14">
        <v>525000</v>
      </c>
      <c r="F13" s="14">
        <f>309500+250000+4000</f>
        <v>563500</v>
      </c>
      <c r="G13" s="14">
        <f>290000+230500</f>
        <v>520500</v>
      </c>
      <c r="H13" s="14">
        <f t="shared" si="1"/>
        <v>3151000</v>
      </c>
      <c r="I13" s="9">
        <f>296000+240500</f>
        <v>536500</v>
      </c>
      <c r="J13" s="9">
        <f>269500+8500+3000+216500+500</f>
        <v>498000</v>
      </c>
      <c r="K13" s="9">
        <f>194500+4500+4500+264000</f>
        <v>467500</v>
      </c>
      <c r="L13" s="9">
        <f>196500+245500</f>
        <v>442000</v>
      </c>
      <c r="M13" s="9">
        <f>197000+243500+2500</f>
        <v>443000</v>
      </c>
      <c r="N13" s="9">
        <f>210500+277500</f>
        <v>488000</v>
      </c>
      <c r="O13" s="9">
        <f t="shared" si="2"/>
        <v>2875000</v>
      </c>
      <c r="P13" s="9">
        <f t="shared" si="3"/>
        <v>6026000</v>
      </c>
    </row>
    <row r="14" spans="1:16" ht="12.95" customHeight="1" x14ac:dyDescent="0.15">
      <c r="A14" s="27" t="s">
        <v>96</v>
      </c>
      <c r="B14" s="14">
        <v>1297730</v>
      </c>
      <c r="C14" s="14">
        <f>878418+92976+4626+353619+39291</f>
        <v>1368930</v>
      </c>
      <c r="D14" s="14">
        <f>838332+88522+4626+349452+38828</f>
        <v>1319760</v>
      </c>
      <c r="E14" s="14">
        <f>818973+86371+4626+353619+39291</f>
        <v>1302880</v>
      </c>
      <c r="F14" s="14">
        <f>692703+72341+4626+353619+39291</f>
        <v>1162580</v>
      </c>
      <c r="G14" s="14">
        <f>353619+39291+691155+72169+4626</f>
        <v>1160860</v>
      </c>
      <c r="H14" s="14">
        <f t="shared" si="1"/>
        <v>7612740</v>
      </c>
      <c r="I14" s="9">
        <f>671796+70018+4626+313533+34837</f>
        <v>1094810</v>
      </c>
      <c r="J14" s="9">
        <f>7243820+3332320-6418850-2926200-55500-33000</f>
        <v>1142590</v>
      </c>
      <c r="K14" s="9">
        <f>8067290-7243820+3812450-3332320-54000-36000</f>
        <v>1213600</v>
      </c>
      <c r="L14" s="9">
        <f>8833000-8067290-42500+4338990-3812450-38500</f>
        <v>1211250</v>
      </c>
      <c r="M14" s="9">
        <f>630162+65392+4626+433062+48118</f>
        <v>1181360</v>
      </c>
      <c r="N14" s="9">
        <f>588528+60766+4626+473958+52662</f>
        <v>1180540</v>
      </c>
      <c r="O14" s="9">
        <f t="shared" si="2"/>
        <v>7024150</v>
      </c>
      <c r="P14" s="9">
        <f t="shared" si="3"/>
        <v>14636890</v>
      </c>
    </row>
    <row r="15" spans="1:16" ht="12.95" customHeight="1" x14ac:dyDescent="0.15">
      <c r="A15" s="20" t="s">
        <v>59</v>
      </c>
      <c r="B15" s="14">
        <f>60000+1000+32500</f>
        <v>93500</v>
      </c>
      <c r="C15" s="14">
        <f>69500+33000</f>
        <v>102500</v>
      </c>
      <c r="D15" s="14">
        <f>65500+32500</f>
        <v>98000</v>
      </c>
      <c r="E15" s="14">
        <f>62500+32500</f>
        <v>95000</v>
      </c>
      <c r="F15" s="14">
        <f>51000+33000</f>
        <v>84000</v>
      </c>
      <c r="G15" s="14">
        <f>51500+32000</f>
        <v>83500</v>
      </c>
      <c r="H15" s="14">
        <f t="shared" si="1"/>
        <v>556500</v>
      </c>
      <c r="I15" s="9">
        <f>51500+29500</f>
        <v>81000</v>
      </c>
      <c r="J15" s="9">
        <f>55500+33000</f>
        <v>88500</v>
      </c>
      <c r="K15" s="9">
        <f>54000+36000</f>
        <v>90000</v>
      </c>
      <c r="L15" s="9">
        <f>38500+42500</f>
        <v>81000</v>
      </c>
      <c r="M15" s="9">
        <f>38500+43500</f>
        <v>82000</v>
      </c>
      <c r="N15" s="9">
        <f>44500+45500</f>
        <v>90000</v>
      </c>
      <c r="O15" s="9">
        <f t="shared" si="2"/>
        <v>512500</v>
      </c>
      <c r="P15" s="9">
        <f t="shared" si="3"/>
        <v>1069000</v>
      </c>
    </row>
    <row r="16" spans="1:16" ht="12.95" customHeight="1" x14ac:dyDescent="0.15">
      <c r="A16" s="28" t="s">
        <v>120</v>
      </c>
      <c r="B16" s="14">
        <f>2263223-85000</f>
        <v>2178223</v>
      </c>
      <c r="C16" s="14">
        <f>2004543+222727+26332+33138+80973+8997</f>
        <v>2376710</v>
      </c>
      <c r="D16" s="14">
        <f>2034774+226086+3958+35622+2400</f>
        <v>2302840</v>
      </c>
      <c r="E16" s="14">
        <f>1905903+211767+7329+45711+42921+4769</f>
        <v>2218400</v>
      </c>
      <c r="F16" s="14">
        <f>1840932+204548+52539+56421</f>
        <v>2154440</v>
      </c>
      <c r="G16" s="14">
        <f>1801755+200195+6452+58068</f>
        <v>2066470</v>
      </c>
      <c r="H16" s="14">
        <f t="shared" si="1"/>
        <v>13297083</v>
      </c>
      <c r="I16" s="9">
        <f>2005974+222886+27422+63468+142290+15810</f>
        <v>2477850</v>
      </c>
      <c r="J16" s="9">
        <f>1914534+212726+14535+46755+1600</f>
        <v>2190150</v>
      </c>
      <c r="K16" s="9">
        <f>21134463-18676583-90500</f>
        <v>2367380</v>
      </c>
      <c r="L16" s="9">
        <f>23391933-21134463-79500-4000</f>
        <v>2173970</v>
      </c>
      <c r="M16" s="9">
        <f>2169558+241062+53139+53181+9153+1017</f>
        <v>2527110</v>
      </c>
      <c r="N16" s="9">
        <f>2180448+242272+228021+112869+191520+21280</f>
        <v>2976410</v>
      </c>
      <c r="O16" s="9">
        <f t="shared" si="2"/>
        <v>14712870</v>
      </c>
      <c r="P16" s="9">
        <f t="shared" si="3"/>
        <v>28009953</v>
      </c>
    </row>
    <row r="17" spans="1:16" ht="12.95" customHeight="1" x14ac:dyDescent="0.15">
      <c r="A17" s="20" t="s">
        <v>59</v>
      </c>
      <c r="B17" s="14">
        <v>85000</v>
      </c>
      <c r="C17" s="14">
        <f>96500+3500</f>
        <v>100000</v>
      </c>
      <c r="D17" s="14">
        <v>98500</v>
      </c>
      <c r="E17" s="14">
        <v>86500</v>
      </c>
      <c r="F17" s="14">
        <v>85500</v>
      </c>
      <c r="G17" s="14">
        <v>78500</v>
      </c>
      <c r="H17" s="14">
        <f t="shared" si="1"/>
        <v>534000</v>
      </c>
      <c r="I17" s="9">
        <f>88500+7000</f>
        <v>95500</v>
      </c>
      <c r="J17" s="9">
        <v>82000</v>
      </c>
      <c r="K17" s="9">
        <v>90500</v>
      </c>
      <c r="L17" s="9">
        <f>79500+4000</f>
        <v>83500</v>
      </c>
      <c r="M17" s="9">
        <v>99000</v>
      </c>
      <c r="N17" s="9">
        <f>108000+8000</f>
        <v>116000</v>
      </c>
      <c r="O17" s="9">
        <f t="shared" si="2"/>
        <v>566500</v>
      </c>
      <c r="P17" s="9">
        <f t="shared" si="3"/>
        <v>1100500</v>
      </c>
    </row>
    <row r="18" spans="1:16" ht="12.95" customHeight="1" x14ac:dyDescent="0.15">
      <c r="A18" s="31" t="s">
        <v>185</v>
      </c>
      <c r="B18" s="14"/>
      <c r="C18" s="14"/>
      <c r="D18" s="14"/>
      <c r="E18" s="14"/>
      <c r="F18" s="14"/>
      <c r="G18" s="14"/>
      <c r="H18" s="14"/>
      <c r="I18" s="9"/>
      <c r="J18" s="9"/>
      <c r="K18" s="9"/>
      <c r="L18" s="9"/>
      <c r="M18" s="9"/>
      <c r="N18" s="9"/>
      <c r="O18" s="9"/>
      <c r="P18" s="9"/>
    </row>
    <row r="19" spans="1:16" ht="12.95" customHeight="1" x14ac:dyDescent="0.15">
      <c r="A19" s="27" t="s">
        <v>119</v>
      </c>
      <c r="B19" s="14">
        <v>57000</v>
      </c>
      <c r="C19" s="14">
        <f>13000+14000+15000</f>
        <v>42000</v>
      </c>
      <c r="D19" s="14">
        <f>162000-99000</f>
        <v>63000</v>
      </c>
      <c r="E19" s="14">
        <f>204000-162000</f>
        <v>42000</v>
      </c>
      <c r="F19" s="14">
        <f>260000-204000</f>
        <v>56000</v>
      </c>
      <c r="G19" s="14">
        <f>313000-260000</f>
        <v>53000</v>
      </c>
      <c r="H19" s="14">
        <f t="shared" ref="H19:H28" si="5">SUM(B19:G19)</f>
        <v>313000</v>
      </c>
      <c r="I19" s="9">
        <f>359000-313000</f>
        <v>46000</v>
      </c>
      <c r="J19" s="9">
        <f>408400-359000</f>
        <v>49400</v>
      </c>
      <c r="K19" s="9">
        <f>461200-408400</f>
        <v>52800</v>
      </c>
      <c r="L19" s="9">
        <f>489600-461200</f>
        <v>28400</v>
      </c>
      <c r="M19" s="9">
        <f>537600-489600</f>
        <v>48000</v>
      </c>
      <c r="N19" s="9">
        <f>576400-537600</f>
        <v>38800</v>
      </c>
      <c r="O19" s="9">
        <f t="shared" si="2"/>
        <v>263400</v>
      </c>
      <c r="P19" s="9">
        <f t="shared" si="3"/>
        <v>576400</v>
      </c>
    </row>
    <row r="20" spans="1:16" ht="12.95" customHeight="1" x14ac:dyDescent="0.15">
      <c r="A20" s="27" t="s">
        <v>97</v>
      </c>
      <c r="B20" s="14">
        <v>30550</v>
      </c>
      <c r="C20" s="14">
        <f>1700+3200+11200</f>
        <v>16100</v>
      </c>
      <c r="D20" s="14"/>
      <c r="E20" s="14">
        <f>61800-46650</f>
        <v>15150</v>
      </c>
      <c r="F20" s="14">
        <f>73650-61800</f>
        <v>11850</v>
      </c>
      <c r="G20" s="14">
        <f>118550-73650</f>
        <v>44900</v>
      </c>
      <c r="H20" s="14">
        <f t="shared" si="5"/>
        <v>118550</v>
      </c>
      <c r="I20" s="14">
        <v>2800</v>
      </c>
      <c r="J20" s="14">
        <f>133450-121350</f>
        <v>12100</v>
      </c>
      <c r="K20" s="14">
        <f>147150-133450</f>
        <v>13700</v>
      </c>
      <c r="L20" s="14">
        <v>5200</v>
      </c>
      <c r="M20" s="14">
        <f>162100-152350</f>
        <v>9750</v>
      </c>
      <c r="N20" s="14">
        <f>172450-162100</f>
        <v>10350</v>
      </c>
      <c r="O20" s="14">
        <f t="shared" si="2"/>
        <v>53900</v>
      </c>
      <c r="P20" s="14">
        <f t="shared" si="3"/>
        <v>172450</v>
      </c>
    </row>
    <row r="21" spans="1:16" ht="12.95" customHeight="1" x14ac:dyDescent="0.15">
      <c r="A21" s="27" t="s">
        <v>98</v>
      </c>
      <c r="B21" s="14">
        <v>121100</v>
      </c>
      <c r="C21" s="14">
        <f>255150-121100</f>
        <v>134050</v>
      </c>
      <c r="D21" s="14">
        <f>369200-255150</f>
        <v>114050</v>
      </c>
      <c r="E21" s="14">
        <f>475800-369200</f>
        <v>106600</v>
      </c>
      <c r="F21" s="14">
        <f>592000-475800</f>
        <v>116200</v>
      </c>
      <c r="G21" s="14">
        <f>700200-592000</f>
        <v>108200</v>
      </c>
      <c r="H21" s="14">
        <f t="shared" si="5"/>
        <v>700200</v>
      </c>
      <c r="I21" s="14">
        <f>837100-700200</f>
        <v>136900</v>
      </c>
      <c r="J21" s="14">
        <f>925900-837100</f>
        <v>88800</v>
      </c>
      <c r="K21" s="14">
        <f>1008300-925900</f>
        <v>82400</v>
      </c>
      <c r="L21" s="14">
        <f>1092200-1008300</f>
        <v>83900</v>
      </c>
      <c r="M21" s="14">
        <f>1153400-1092200</f>
        <v>61200</v>
      </c>
      <c r="N21" s="14">
        <f>1227400-1153400</f>
        <v>74000</v>
      </c>
      <c r="O21" s="9">
        <f t="shared" si="2"/>
        <v>527200</v>
      </c>
      <c r="P21" s="14">
        <f t="shared" si="3"/>
        <v>1227400</v>
      </c>
    </row>
    <row r="22" spans="1:16" ht="12.95" customHeight="1" x14ac:dyDescent="0.15">
      <c r="A22" s="27" t="s">
        <v>118</v>
      </c>
      <c r="B22" s="14">
        <v>134500</v>
      </c>
      <c r="C22" s="14">
        <f>246300-134500</f>
        <v>111800</v>
      </c>
      <c r="D22" s="14">
        <f>382400-246300</f>
        <v>136100</v>
      </c>
      <c r="E22" s="14">
        <v>205200</v>
      </c>
      <c r="F22" s="14">
        <f>868850-587600</f>
        <v>281250</v>
      </c>
      <c r="G22" s="14">
        <f>994400-868850</f>
        <v>125550</v>
      </c>
      <c r="H22" s="14">
        <f t="shared" si="5"/>
        <v>994400</v>
      </c>
      <c r="I22" s="14">
        <f>1135000-994400</f>
        <v>140600</v>
      </c>
      <c r="J22" s="14">
        <v>147350</v>
      </c>
      <c r="K22" s="14">
        <f>1416900-1282350</f>
        <v>134550</v>
      </c>
      <c r="L22" s="14">
        <f>1541150-1416900</f>
        <v>124250</v>
      </c>
      <c r="M22" s="14">
        <f>1684200-1541150</f>
        <v>143050</v>
      </c>
      <c r="N22" s="14">
        <f>1902950-1684200</f>
        <v>218750</v>
      </c>
      <c r="O22" s="9">
        <f t="shared" si="2"/>
        <v>908550</v>
      </c>
      <c r="P22" s="14">
        <f t="shared" si="3"/>
        <v>1902950</v>
      </c>
    </row>
    <row r="23" spans="1:16" ht="12.95" customHeight="1" x14ac:dyDescent="0.15">
      <c r="A23" s="27" t="s">
        <v>130</v>
      </c>
      <c r="B23" s="14">
        <v>530700</v>
      </c>
      <c r="C23" s="14">
        <f>859550-530700</f>
        <v>328850</v>
      </c>
      <c r="D23" s="14">
        <f>1183850-859550</f>
        <v>324300</v>
      </c>
      <c r="E23" s="14">
        <v>547500</v>
      </c>
      <c r="F23" s="14">
        <f>2659450-1731350</f>
        <v>928100</v>
      </c>
      <c r="G23" s="14">
        <f>2954650-2659450</f>
        <v>295200</v>
      </c>
      <c r="H23" s="14">
        <f t="shared" si="5"/>
        <v>2954650</v>
      </c>
      <c r="I23" s="14">
        <f>3244450-2954650</f>
        <v>289800</v>
      </c>
      <c r="J23" s="14">
        <v>280050</v>
      </c>
      <c r="K23" s="14">
        <f>3859400-3524500</f>
        <v>334900</v>
      </c>
      <c r="L23" s="14">
        <f>4100700-3859400</f>
        <v>241300</v>
      </c>
      <c r="M23" s="14">
        <f>4336100-4100700</f>
        <v>235400</v>
      </c>
      <c r="N23" s="14">
        <f>4689450-4336100</f>
        <v>353350</v>
      </c>
      <c r="O23" s="9">
        <f t="shared" si="2"/>
        <v>1734800</v>
      </c>
      <c r="P23" s="14">
        <f t="shared" si="3"/>
        <v>4689450</v>
      </c>
    </row>
    <row r="24" spans="1:16" ht="12.95" customHeight="1" x14ac:dyDescent="0.15">
      <c r="A24" s="20" t="s">
        <v>99</v>
      </c>
      <c r="B24" s="14">
        <v>805000</v>
      </c>
      <c r="C24" s="14">
        <v>295000</v>
      </c>
      <c r="D24" s="14">
        <v>295000</v>
      </c>
      <c r="E24" s="14">
        <v>295000</v>
      </c>
      <c r="F24" s="14">
        <v>295000</v>
      </c>
      <c r="G24" s="14">
        <v>295000</v>
      </c>
      <c r="H24" s="14">
        <f t="shared" si="5"/>
        <v>2280000</v>
      </c>
      <c r="I24" s="14">
        <v>295000</v>
      </c>
      <c r="J24" s="14">
        <v>295000</v>
      </c>
      <c r="K24" s="14">
        <v>295000</v>
      </c>
      <c r="L24" s="14">
        <v>716375</v>
      </c>
      <c r="M24" s="14">
        <v>716375</v>
      </c>
      <c r="N24" s="14">
        <v>1432750</v>
      </c>
      <c r="O24" s="14">
        <f t="shared" si="2"/>
        <v>3750500</v>
      </c>
      <c r="P24" s="14">
        <f t="shared" si="3"/>
        <v>6030500</v>
      </c>
    </row>
    <row r="25" spans="1:16" x14ac:dyDescent="0.15">
      <c r="A25" s="19" t="s">
        <v>11</v>
      </c>
      <c r="B25" s="10">
        <v>5000</v>
      </c>
      <c r="C25" s="10">
        <f>87000-5000</f>
        <v>82000</v>
      </c>
      <c r="D25" s="10">
        <f>112000-87000</f>
        <v>25000</v>
      </c>
      <c r="E25" s="10">
        <f>263000-112000</f>
        <v>151000</v>
      </c>
      <c r="F25" s="10">
        <f>333000-263000</f>
        <v>70000</v>
      </c>
      <c r="G25" s="10"/>
      <c r="H25" s="10">
        <f t="shared" si="5"/>
        <v>333000</v>
      </c>
      <c r="I25" s="10"/>
      <c r="J25" s="10">
        <v>55000</v>
      </c>
      <c r="K25" s="10">
        <f>493000-388000</f>
        <v>105000</v>
      </c>
      <c r="L25" s="10">
        <v>3000</v>
      </c>
      <c r="M25" s="10">
        <v>30000</v>
      </c>
      <c r="N25" s="10"/>
      <c r="O25" s="10">
        <f t="shared" si="2"/>
        <v>193000</v>
      </c>
      <c r="P25" s="10">
        <f t="shared" si="3"/>
        <v>526000</v>
      </c>
    </row>
    <row r="26" spans="1:16" x14ac:dyDescent="0.15">
      <c r="A26" s="19" t="s">
        <v>125</v>
      </c>
      <c r="B26" s="10">
        <v>240616</v>
      </c>
      <c r="C26" s="10">
        <f>500826-240616</f>
        <v>260210</v>
      </c>
      <c r="D26" s="10">
        <f>766401-500826</f>
        <v>265575</v>
      </c>
      <c r="E26" s="10">
        <f>1031259-766401</f>
        <v>264858</v>
      </c>
      <c r="F26" s="10">
        <f>106628+95559+65558</f>
        <v>267745</v>
      </c>
      <c r="G26" s="10">
        <f>112223+91266+62788+250000</f>
        <v>516277</v>
      </c>
      <c r="H26" s="10">
        <f t="shared" si="5"/>
        <v>1815281</v>
      </c>
      <c r="I26" s="10">
        <f>118603+98174+59309</f>
        <v>276086</v>
      </c>
      <c r="J26" s="10">
        <f>113295+87409+58050+500000</f>
        <v>758754</v>
      </c>
      <c r="K26" s="10">
        <f>69213+90503+112312</f>
        <v>272028</v>
      </c>
      <c r="L26" s="10">
        <f>2620841-2372149</f>
        <v>248692</v>
      </c>
      <c r="M26" s="10">
        <f>2868886-2620841</f>
        <v>248045</v>
      </c>
      <c r="N26" s="10">
        <f>3102170-2868886</f>
        <v>233284</v>
      </c>
      <c r="O26" s="10">
        <f t="shared" si="2"/>
        <v>2036889</v>
      </c>
      <c r="P26" s="10">
        <f t="shared" si="3"/>
        <v>3852170</v>
      </c>
    </row>
    <row r="27" spans="1:16" x14ac:dyDescent="0.15">
      <c r="A27" s="19" t="s">
        <v>12</v>
      </c>
      <c r="B27" s="10">
        <v>498581</v>
      </c>
      <c r="C27" s="10">
        <f>605026-498581</f>
        <v>106445</v>
      </c>
      <c r="D27" s="10">
        <f>722716-605026</f>
        <v>117690</v>
      </c>
      <c r="E27" s="10">
        <f>813976-722716</f>
        <v>91260</v>
      </c>
      <c r="F27" s="10">
        <v>119429</v>
      </c>
      <c r="G27" s="10">
        <f>1054785-933405</f>
        <v>121380</v>
      </c>
      <c r="H27" s="10">
        <f t="shared" si="5"/>
        <v>1054785</v>
      </c>
      <c r="I27" s="10">
        <f>1184455-1054785</f>
        <v>129670</v>
      </c>
      <c r="J27" s="10">
        <f>1278895-1184455</f>
        <v>94440</v>
      </c>
      <c r="K27" s="10">
        <f>1393900-1278895</f>
        <v>115005</v>
      </c>
      <c r="L27" s="10">
        <f>1481410-1393900</f>
        <v>87510</v>
      </c>
      <c r="M27" s="10">
        <f>1605210-1481410</f>
        <v>123800</v>
      </c>
      <c r="N27" s="10">
        <f>1703400-1605210</f>
        <v>98190</v>
      </c>
      <c r="O27" s="10">
        <f t="shared" si="2"/>
        <v>648615</v>
      </c>
      <c r="P27" s="10">
        <f t="shared" si="3"/>
        <v>1703400</v>
      </c>
    </row>
    <row r="28" spans="1:16" x14ac:dyDescent="0.15">
      <c r="A28" s="22" t="s">
        <v>13</v>
      </c>
      <c r="B28" s="10">
        <f t="shared" ref="B28:G28" si="6">B4+B8+B25+B26+B27</f>
        <v>18981480</v>
      </c>
      <c r="C28" s="10">
        <f t="shared" si="6"/>
        <v>17607815</v>
      </c>
      <c r="D28" s="10">
        <f t="shared" si="6"/>
        <v>17903055</v>
      </c>
      <c r="E28" s="10">
        <f t="shared" si="6"/>
        <v>18361348</v>
      </c>
      <c r="F28" s="10">
        <f t="shared" si="6"/>
        <v>19419434</v>
      </c>
      <c r="G28" s="10">
        <f t="shared" si="6"/>
        <v>17740907</v>
      </c>
      <c r="H28" s="10">
        <f t="shared" si="5"/>
        <v>110014039</v>
      </c>
      <c r="I28" s="10">
        <f t="shared" ref="I28:N28" si="7">I4+I8+I25+I26+I27</f>
        <v>18101736</v>
      </c>
      <c r="J28" s="10">
        <f t="shared" si="7"/>
        <v>17392354</v>
      </c>
      <c r="K28" s="10">
        <f t="shared" si="7"/>
        <v>16655473</v>
      </c>
      <c r="L28" s="10">
        <f t="shared" si="7"/>
        <v>16144847</v>
      </c>
      <c r="M28" s="10">
        <f t="shared" si="7"/>
        <v>16549500</v>
      </c>
      <c r="N28" s="10">
        <f t="shared" si="7"/>
        <v>18722614</v>
      </c>
      <c r="O28" s="10">
        <f t="shared" si="2"/>
        <v>103566524</v>
      </c>
      <c r="P28" s="10">
        <f t="shared" si="3"/>
        <v>213580563</v>
      </c>
    </row>
    <row r="29" spans="1:16" x14ac:dyDescent="0.15">
      <c r="A29" s="7" t="s">
        <v>124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15">
      <c r="A30" s="4" t="s">
        <v>15</v>
      </c>
      <c r="B30" s="2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15">
      <c r="A31" s="7" t="s">
        <v>16</v>
      </c>
      <c r="B31" s="10">
        <f t="shared" ref="B31:N31" si="8">SUM(B32:B36)</f>
        <v>11796706</v>
      </c>
      <c r="C31" s="10">
        <f t="shared" si="8"/>
        <v>11226021</v>
      </c>
      <c r="D31" s="10">
        <f t="shared" si="8"/>
        <v>11256094</v>
      </c>
      <c r="E31" s="10">
        <f t="shared" si="8"/>
        <v>20821408</v>
      </c>
      <c r="F31" s="10">
        <f t="shared" si="8"/>
        <v>12410236</v>
      </c>
      <c r="G31" s="10">
        <f t="shared" si="8"/>
        <v>11746513</v>
      </c>
      <c r="H31" s="10">
        <f t="shared" ref="H31:H68" si="9">SUM(B31:G31)</f>
        <v>79256978</v>
      </c>
      <c r="I31" s="10">
        <f t="shared" si="8"/>
        <v>11671852</v>
      </c>
      <c r="J31" s="10">
        <f t="shared" si="8"/>
        <v>11544138</v>
      </c>
      <c r="K31" s="10">
        <f t="shared" si="8"/>
        <v>16098678</v>
      </c>
      <c r="L31" s="10">
        <f t="shared" si="8"/>
        <v>10854917</v>
      </c>
      <c r="M31" s="10">
        <f t="shared" si="8"/>
        <v>11364942</v>
      </c>
      <c r="N31" s="10">
        <f t="shared" si="8"/>
        <v>11060686</v>
      </c>
      <c r="O31" s="10">
        <f t="shared" si="2"/>
        <v>72595213</v>
      </c>
      <c r="P31" s="10">
        <f t="shared" si="3"/>
        <v>151852191</v>
      </c>
    </row>
    <row r="32" spans="1:16" ht="12.95" customHeight="1" x14ac:dyDescent="0.15">
      <c r="A32" s="4" t="s">
        <v>100</v>
      </c>
      <c r="B32" s="9">
        <v>30000</v>
      </c>
      <c r="C32" s="9">
        <v>30000</v>
      </c>
      <c r="D32" s="9">
        <v>30000</v>
      </c>
      <c r="E32" s="9">
        <v>30000</v>
      </c>
      <c r="F32" s="9">
        <v>30000</v>
      </c>
      <c r="G32" s="9">
        <v>30000</v>
      </c>
      <c r="H32" s="9">
        <f t="shared" si="9"/>
        <v>180000</v>
      </c>
      <c r="I32" s="9">
        <v>30000</v>
      </c>
      <c r="J32" s="9">
        <v>30000</v>
      </c>
      <c r="K32" s="9">
        <v>30000</v>
      </c>
      <c r="L32" s="9">
        <v>30000</v>
      </c>
      <c r="M32" s="9">
        <v>30000</v>
      </c>
      <c r="N32" s="9">
        <v>30000</v>
      </c>
      <c r="O32" s="9">
        <f t="shared" si="2"/>
        <v>180000</v>
      </c>
      <c r="P32" s="9">
        <f t="shared" si="3"/>
        <v>360000</v>
      </c>
    </row>
    <row r="33" spans="1:16" ht="12.95" customHeight="1" x14ac:dyDescent="0.15">
      <c r="A33" s="4" t="s">
        <v>101</v>
      </c>
      <c r="B33" s="9">
        <v>9348150</v>
      </c>
      <c r="C33" s="9">
        <f>18312800-B33</f>
        <v>8964650</v>
      </c>
      <c r="D33" s="9">
        <f>27238100-18312800</f>
        <v>8925300</v>
      </c>
      <c r="E33" s="9">
        <f>44349388-27238100</f>
        <v>17111288</v>
      </c>
      <c r="F33" s="9">
        <f>54189138-44349388</f>
        <v>9839750</v>
      </c>
      <c r="G33" s="9">
        <f>63619638-54189138</f>
        <v>9430500</v>
      </c>
      <c r="H33" s="9">
        <f t="shared" si="9"/>
        <v>63619638</v>
      </c>
      <c r="I33" s="9">
        <f>72865588-63619638</f>
        <v>9245950</v>
      </c>
      <c r="J33" s="9">
        <f>82049338-72865588</f>
        <v>9183750</v>
      </c>
      <c r="K33" s="9">
        <f>95825936-82049338</f>
        <v>13776598</v>
      </c>
      <c r="L33" s="9">
        <f>104552636-95825936</f>
        <v>8726700</v>
      </c>
      <c r="M33" s="9">
        <f>113648886-104552636</f>
        <v>9096250</v>
      </c>
      <c r="N33" s="9">
        <f>122468036-113648886</f>
        <v>8819150</v>
      </c>
      <c r="O33" s="9">
        <f t="shared" si="2"/>
        <v>58848398</v>
      </c>
      <c r="P33" s="9">
        <f t="shared" si="3"/>
        <v>122468036</v>
      </c>
    </row>
    <row r="34" spans="1:16" ht="12.95" customHeight="1" x14ac:dyDescent="0.15">
      <c r="A34" s="4" t="s">
        <v>102</v>
      </c>
      <c r="B34" s="14">
        <v>1544400</v>
      </c>
      <c r="C34" s="14">
        <f>2916080-1544400</f>
        <v>1371680</v>
      </c>
      <c r="D34" s="14">
        <f>4338920-2916080</f>
        <v>1422840</v>
      </c>
      <c r="E34" s="14">
        <f>7051787-4338920</f>
        <v>2712867</v>
      </c>
      <c r="F34" s="14">
        <f>8714567-7051787</f>
        <v>1662780</v>
      </c>
      <c r="G34" s="14">
        <f>10121307-8714567</f>
        <v>1406740</v>
      </c>
      <c r="H34" s="14">
        <f t="shared" si="9"/>
        <v>10121307</v>
      </c>
      <c r="I34" s="14">
        <f>11516847-10121307</f>
        <v>1395540</v>
      </c>
      <c r="J34" s="14">
        <f>12845177-11516847</f>
        <v>1328330</v>
      </c>
      <c r="K34" s="14">
        <f>14136357-12845177</f>
        <v>1291180</v>
      </c>
      <c r="L34" s="13">
        <f>15264337-14136357</f>
        <v>1127980</v>
      </c>
      <c r="M34" s="14">
        <f>16530717-15264337</f>
        <v>1266380</v>
      </c>
      <c r="N34" s="14">
        <f>17772817-16530717</f>
        <v>1242100</v>
      </c>
      <c r="O34" s="14">
        <f t="shared" si="2"/>
        <v>7651510</v>
      </c>
      <c r="P34" s="14">
        <f t="shared" si="3"/>
        <v>17772817</v>
      </c>
    </row>
    <row r="35" spans="1:16" ht="12.95" customHeight="1" x14ac:dyDescent="0.15">
      <c r="A35" s="4" t="s">
        <v>19</v>
      </c>
      <c r="B35" s="9">
        <v>874156</v>
      </c>
      <c r="C35" s="9">
        <f>1733847-874156</f>
        <v>859691</v>
      </c>
      <c r="D35" s="9">
        <f>2611801-1733847</f>
        <v>877954</v>
      </c>
      <c r="E35" s="9">
        <f>3579054-2611801</f>
        <v>967253</v>
      </c>
      <c r="F35" s="9">
        <f>4456760-3579054</f>
        <v>877706</v>
      </c>
      <c r="G35" s="9">
        <f>5336033-4456760</f>
        <v>879273</v>
      </c>
      <c r="H35" s="9">
        <f t="shared" si="9"/>
        <v>5336033</v>
      </c>
      <c r="I35" s="9">
        <f>6336395-5336033</f>
        <v>1000362</v>
      </c>
      <c r="J35" s="9">
        <f>7338453-6336395</f>
        <v>1002058</v>
      </c>
      <c r="K35" s="9">
        <f>8339353-7338453</f>
        <v>1000900</v>
      </c>
      <c r="L35" s="9">
        <f>9309590-8339353</f>
        <v>970237</v>
      </c>
      <c r="M35" s="9">
        <f>10281902-9309590</f>
        <v>972312</v>
      </c>
      <c r="N35" s="9">
        <f>11251338-10281902</f>
        <v>969436</v>
      </c>
      <c r="O35" s="13">
        <f t="shared" si="2"/>
        <v>5915305</v>
      </c>
      <c r="P35" s="9">
        <f t="shared" si="3"/>
        <v>11251338</v>
      </c>
    </row>
    <row r="36" spans="1:16" ht="12.95" customHeight="1" x14ac:dyDescent="0.15">
      <c r="A36" s="4" t="s">
        <v>117</v>
      </c>
      <c r="B36" s="9"/>
      <c r="C36" s="9"/>
      <c r="D36" s="9"/>
      <c r="E36" s="9"/>
      <c r="F36" s="9"/>
      <c r="G36" s="9"/>
      <c r="H36" s="9">
        <f t="shared" si="9"/>
        <v>0</v>
      </c>
      <c r="I36" s="9"/>
      <c r="J36" s="9"/>
      <c r="K36" s="9"/>
      <c r="L36" s="9"/>
      <c r="M36" s="9"/>
      <c r="N36" s="9"/>
      <c r="O36" s="13">
        <f t="shared" si="2"/>
        <v>0</v>
      </c>
      <c r="P36" s="9">
        <f t="shared" si="3"/>
        <v>0</v>
      </c>
    </row>
    <row r="37" spans="1:16" x14ac:dyDescent="0.15">
      <c r="A37" s="7" t="s">
        <v>20</v>
      </c>
      <c r="B37" s="10">
        <f t="shared" ref="B37:N37" si="10">SUM(B38:B62)</f>
        <v>3065126</v>
      </c>
      <c r="C37" s="10">
        <f t="shared" si="10"/>
        <v>10582260</v>
      </c>
      <c r="D37" s="10">
        <f t="shared" si="10"/>
        <v>3490380</v>
      </c>
      <c r="E37" s="10">
        <f t="shared" si="10"/>
        <v>3403099</v>
      </c>
      <c r="F37" s="10">
        <f t="shared" si="10"/>
        <v>4456050</v>
      </c>
      <c r="G37" s="10">
        <f t="shared" si="10"/>
        <v>7465696</v>
      </c>
      <c r="H37" s="10">
        <f t="shared" si="9"/>
        <v>32462611</v>
      </c>
      <c r="I37" s="10">
        <f t="shared" si="10"/>
        <v>3538532</v>
      </c>
      <c r="J37" s="10">
        <f t="shared" si="10"/>
        <v>3939937</v>
      </c>
      <c r="K37" s="10">
        <f t="shared" si="10"/>
        <v>3922696</v>
      </c>
      <c r="L37" s="10">
        <f t="shared" si="10"/>
        <v>3120066</v>
      </c>
      <c r="M37" s="10">
        <f t="shared" si="10"/>
        <v>3442669</v>
      </c>
      <c r="N37" s="10">
        <f t="shared" si="10"/>
        <v>7826069</v>
      </c>
      <c r="O37" s="10">
        <f t="shared" si="2"/>
        <v>25789969</v>
      </c>
      <c r="P37" s="10">
        <f t="shared" si="3"/>
        <v>58252580</v>
      </c>
    </row>
    <row r="38" spans="1:16" ht="12.95" customHeight="1" x14ac:dyDescent="0.15">
      <c r="A38" s="4" t="s">
        <v>21</v>
      </c>
      <c r="B38" s="9">
        <v>298500</v>
      </c>
      <c r="C38" s="9">
        <f>600500-298500</f>
        <v>302000</v>
      </c>
      <c r="D38" s="9">
        <f>880283-600500</f>
        <v>279783</v>
      </c>
      <c r="E38" s="9">
        <f>1207643-880283</f>
        <v>327360</v>
      </c>
      <c r="F38" s="9">
        <f>1568121-1207643</f>
        <v>360478</v>
      </c>
      <c r="G38" s="9">
        <f>1869121-1568121</f>
        <v>301000</v>
      </c>
      <c r="H38" s="9">
        <f t="shared" si="9"/>
        <v>1869121</v>
      </c>
      <c r="I38" s="9">
        <f>2207004-1869121</f>
        <v>337883</v>
      </c>
      <c r="J38" s="9">
        <f>2517887-2207004</f>
        <v>310883</v>
      </c>
      <c r="K38" s="9">
        <f>3111828-2517887</f>
        <v>593941</v>
      </c>
      <c r="L38" s="9">
        <f>3398828-3111828</f>
        <v>287000</v>
      </c>
      <c r="M38" s="9">
        <f>3730828-3398828</f>
        <v>332000</v>
      </c>
      <c r="N38" s="9">
        <f>4204548-3730828</f>
        <v>473720</v>
      </c>
      <c r="O38" s="13">
        <f t="shared" si="2"/>
        <v>2335427</v>
      </c>
      <c r="P38" s="9">
        <f t="shared" si="3"/>
        <v>4204548</v>
      </c>
    </row>
    <row r="39" spans="1:16" ht="12.95" customHeight="1" x14ac:dyDescent="0.15">
      <c r="A39" s="4" t="s">
        <v>22</v>
      </c>
      <c r="B39" s="9"/>
      <c r="C39" s="9"/>
      <c r="D39" s="9"/>
      <c r="E39" s="9"/>
      <c r="F39" s="9"/>
      <c r="G39" s="9"/>
      <c r="H39" s="9">
        <f t="shared" si="9"/>
        <v>0</v>
      </c>
      <c r="I39" s="9"/>
      <c r="J39" s="9"/>
      <c r="K39" s="9"/>
      <c r="L39" s="9"/>
      <c r="M39" s="9"/>
      <c r="N39" s="9"/>
      <c r="O39" s="13">
        <f t="shared" si="2"/>
        <v>0</v>
      </c>
      <c r="P39" s="9">
        <f t="shared" si="3"/>
        <v>0</v>
      </c>
    </row>
    <row r="40" spans="1:16" ht="12.95" customHeight="1" x14ac:dyDescent="0.15">
      <c r="A40" s="4" t="s">
        <v>103</v>
      </c>
      <c r="B40" s="9">
        <v>42688</v>
      </c>
      <c r="C40" s="9">
        <f>121752-42688</f>
        <v>79064</v>
      </c>
      <c r="D40" s="9">
        <f>176019-121752</f>
        <v>54267</v>
      </c>
      <c r="E40" s="9">
        <f>225367-176019</f>
        <v>49348</v>
      </c>
      <c r="F40" s="9">
        <f>305884-225367</f>
        <v>80517</v>
      </c>
      <c r="G40" s="9">
        <f>365442-305884</f>
        <v>59558</v>
      </c>
      <c r="H40" s="9">
        <f t="shared" si="9"/>
        <v>365442</v>
      </c>
      <c r="I40" s="9">
        <f>423620-365442</f>
        <v>58178</v>
      </c>
      <c r="J40" s="9">
        <f>494993-423620</f>
        <v>71373</v>
      </c>
      <c r="K40" s="9">
        <f>547619-494993</f>
        <v>52626</v>
      </c>
      <c r="L40" s="9">
        <f>623653-547619</f>
        <v>76034</v>
      </c>
      <c r="M40" s="9">
        <f>687896-623653</f>
        <v>64243</v>
      </c>
      <c r="N40" s="9">
        <f>741848-687896</f>
        <v>53952</v>
      </c>
      <c r="O40" s="13">
        <f t="shared" si="2"/>
        <v>376406</v>
      </c>
      <c r="P40" s="9">
        <f t="shared" si="3"/>
        <v>741848</v>
      </c>
    </row>
    <row r="41" spans="1:16" ht="12.95" customHeight="1" x14ac:dyDescent="0.15">
      <c r="A41" s="4" t="s">
        <v>24</v>
      </c>
      <c r="B41" s="9">
        <v>27314</v>
      </c>
      <c r="C41" s="9">
        <f>55616-27314</f>
        <v>28302</v>
      </c>
      <c r="D41" s="9">
        <f>61277-55616</f>
        <v>5661</v>
      </c>
      <c r="E41" s="9">
        <v>28039</v>
      </c>
      <c r="F41" s="9">
        <f>120236-89316</f>
        <v>30920</v>
      </c>
      <c r="G41" s="9">
        <f>133063-120236</f>
        <v>12827</v>
      </c>
      <c r="H41" s="9">
        <f t="shared" si="9"/>
        <v>133063</v>
      </c>
      <c r="I41" s="9">
        <v>8911</v>
      </c>
      <c r="J41" s="9">
        <v>11857</v>
      </c>
      <c r="K41" s="9">
        <v>10883</v>
      </c>
      <c r="L41" s="9">
        <v>10119</v>
      </c>
      <c r="M41" s="9">
        <v>12392</v>
      </c>
      <c r="N41" s="9">
        <f>204019-187225</f>
        <v>16794</v>
      </c>
      <c r="O41" s="13">
        <f t="shared" si="2"/>
        <v>70956</v>
      </c>
      <c r="P41" s="9">
        <f t="shared" si="3"/>
        <v>204019</v>
      </c>
    </row>
    <row r="42" spans="1:16" ht="12.95" customHeight="1" x14ac:dyDescent="0.15">
      <c r="A42" s="4" t="s">
        <v>104</v>
      </c>
      <c r="B42" s="9">
        <v>128803</v>
      </c>
      <c r="C42" s="9">
        <v>9975</v>
      </c>
      <c r="D42" s="9">
        <f>148753-138778</f>
        <v>9975</v>
      </c>
      <c r="E42" s="9">
        <f>378853-148753</f>
        <v>230100</v>
      </c>
      <c r="F42" s="9">
        <v>10240</v>
      </c>
      <c r="G42" s="9">
        <f>512398-389093</f>
        <v>123305</v>
      </c>
      <c r="H42" s="9">
        <f t="shared" si="9"/>
        <v>512398</v>
      </c>
      <c r="I42" s="9">
        <f>717033-512398</f>
        <v>204635</v>
      </c>
      <c r="J42" s="9">
        <f>329000+10800</f>
        <v>339800</v>
      </c>
      <c r="K42" s="9">
        <f>55545+64800</f>
        <v>120345</v>
      </c>
      <c r="L42" s="9"/>
      <c r="M42" s="9">
        <f>1458257-1177178</f>
        <v>281079</v>
      </c>
      <c r="N42" s="9">
        <f>1518257-1458257</f>
        <v>60000</v>
      </c>
      <c r="O42" s="13">
        <f t="shared" si="2"/>
        <v>1005859</v>
      </c>
      <c r="P42" s="9">
        <f t="shared" si="3"/>
        <v>1518257</v>
      </c>
    </row>
    <row r="43" spans="1:16" ht="12.95" customHeight="1" x14ac:dyDescent="0.15">
      <c r="A43" s="4" t="s">
        <v>105</v>
      </c>
      <c r="B43" s="9"/>
      <c r="C43" s="9">
        <v>28875</v>
      </c>
      <c r="D43" s="9">
        <f>114254-28875</f>
        <v>85379</v>
      </c>
      <c r="E43" s="9">
        <v>21004</v>
      </c>
      <c r="F43" s="9"/>
      <c r="G43" s="9"/>
      <c r="H43" s="9">
        <f t="shared" si="9"/>
        <v>135258</v>
      </c>
      <c r="I43" s="9"/>
      <c r="J43" s="9">
        <v>40320</v>
      </c>
      <c r="K43" s="9"/>
      <c r="L43" s="9"/>
      <c r="M43" s="9">
        <f>47093+39200</f>
        <v>86293</v>
      </c>
      <c r="N43" s="9"/>
      <c r="O43" s="13">
        <f t="shared" si="2"/>
        <v>126613</v>
      </c>
      <c r="P43" s="9">
        <f t="shared" si="3"/>
        <v>261871</v>
      </c>
    </row>
    <row r="44" spans="1:16" ht="12.95" customHeight="1" x14ac:dyDescent="0.15">
      <c r="A44" s="4" t="s">
        <v>106</v>
      </c>
      <c r="B44" s="9">
        <v>75443</v>
      </c>
      <c r="C44" s="9">
        <f>19845+15041</f>
        <v>34886</v>
      </c>
      <c r="D44" s="9">
        <f>170177-110329</f>
        <v>59848</v>
      </c>
      <c r="E44" s="9">
        <f>245324-170177</f>
        <v>75147</v>
      </c>
      <c r="F44" s="9">
        <f>400794-245324</f>
        <v>155470</v>
      </c>
      <c r="G44" s="9">
        <f>453645-400794</f>
        <v>52851</v>
      </c>
      <c r="H44" s="9">
        <f t="shared" si="9"/>
        <v>453645</v>
      </c>
      <c r="I44" s="9">
        <f>521946-453645</f>
        <v>68301</v>
      </c>
      <c r="J44" s="9">
        <v>26661</v>
      </c>
      <c r="K44" s="9">
        <f>649652-548607</f>
        <v>101045</v>
      </c>
      <c r="L44" s="9">
        <v>31233</v>
      </c>
      <c r="M44" s="9">
        <f>22050+17623</f>
        <v>39673</v>
      </c>
      <c r="N44" s="9">
        <f>765541-720558</f>
        <v>44983</v>
      </c>
      <c r="O44" s="13">
        <f t="shared" si="2"/>
        <v>311896</v>
      </c>
      <c r="P44" s="9">
        <f t="shared" si="3"/>
        <v>765541</v>
      </c>
    </row>
    <row r="45" spans="1:16" ht="12.95" customHeight="1" x14ac:dyDescent="0.15">
      <c r="A45" s="4" t="s">
        <v>28</v>
      </c>
      <c r="B45" s="9">
        <v>14880</v>
      </c>
      <c r="C45" s="9">
        <f>27720-14880</f>
        <v>12840</v>
      </c>
      <c r="D45" s="9">
        <f>50430-27720</f>
        <v>22710</v>
      </c>
      <c r="E45" s="9">
        <v>26410</v>
      </c>
      <c r="F45" s="9">
        <f>95300-76840</f>
        <v>18460</v>
      </c>
      <c r="G45" s="9">
        <f>134610-95300</f>
        <v>39310</v>
      </c>
      <c r="H45" s="9">
        <f t="shared" si="9"/>
        <v>134610</v>
      </c>
      <c r="I45" s="9">
        <f>152270-134610</f>
        <v>17660</v>
      </c>
      <c r="J45" s="9">
        <f>193525-152270</f>
        <v>41255</v>
      </c>
      <c r="K45" s="9">
        <f>210735-193525</f>
        <v>17210</v>
      </c>
      <c r="L45" s="9">
        <f>230945-210735</f>
        <v>20210</v>
      </c>
      <c r="M45" s="9">
        <f>238655-230945</f>
        <v>7710</v>
      </c>
      <c r="N45" s="9">
        <f>257615-238655</f>
        <v>18960</v>
      </c>
      <c r="O45" s="13">
        <f t="shared" si="2"/>
        <v>123005</v>
      </c>
      <c r="P45" s="9">
        <f t="shared" si="3"/>
        <v>257615</v>
      </c>
    </row>
    <row r="46" spans="1:16" ht="12.95" customHeight="1" x14ac:dyDescent="0.15">
      <c r="A46" s="4" t="s">
        <v>107</v>
      </c>
      <c r="B46" s="9"/>
      <c r="C46" s="9">
        <v>16000</v>
      </c>
      <c r="D46" s="9">
        <f>55640-16000</f>
        <v>39640</v>
      </c>
      <c r="E46" s="9">
        <f>73840-55640</f>
        <v>18200</v>
      </c>
      <c r="F46" s="9">
        <f>4500+78</f>
        <v>4578</v>
      </c>
      <c r="G46" s="9">
        <f>102418-78418</f>
        <v>24000</v>
      </c>
      <c r="H46" s="9">
        <f t="shared" si="9"/>
        <v>102418</v>
      </c>
      <c r="I46" s="9">
        <f>134918-102418</f>
        <v>32500</v>
      </c>
      <c r="J46" s="9">
        <v>9000</v>
      </c>
      <c r="K46" s="9">
        <v>18000</v>
      </c>
      <c r="L46" s="9"/>
      <c r="M46" s="9"/>
      <c r="N46" s="9"/>
      <c r="O46" s="13">
        <f t="shared" si="2"/>
        <v>59500</v>
      </c>
      <c r="P46" s="9">
        <f t="shared" si="3"/>
        <v>161918</v>
      </c>
    </row>
    <row r="47" spans="1:16" ht="12.95" customHeight="1" x14ac:dyDescent="0.15">
      <c r="A47" s="4" t="s">
        <v>27</v>
      </c>
      <c r="B47" s="9">
        <v>34650</v>
      </c>
      <c r="C47" s="9">
        <v>6300</v>
      </c>
      <c r="D47" s="9">
        <f>51450-40950</f>
        <v>10500</v>
      </c>
      <c r="E47" s="9"/>
      <c r="F47" s="9"/>
      <c r="G47" s="9"/>
      <c r="H47" s="9">
        <f t="shared" si="9"/>
        <v>51450</v>
      </c>
      <c r="I47" s="9">
        <v>9450</v>
      </c>
      <c r="J47" s="9">
        <v>42000</v>
      </c>
      <c r="K47" s="9"/>
      <c r="L47" s="9">
        <f>117950-102900</f>
        <v>15050</v>
      </c>
      <c r="M47" s="9"/>
      <c r="N47" s="9"/>
      <c r="O47" s="13">
        <f t="shared" si="2"/>
        <v>66500</v>
      </c>
      <c r="P47" s="9">
        <f t="shared" si="3"/>
        <v>117950</v>
      </c>
    </row>
    <row r="48" spans="1:16" ht="12.95" customHeight="1" x14ac:dyDescent="0.15">
      <c r="A48" s="4" t="s">
        <v>32</v>
      </c>
      <c r="B48" s="9">
        <v>479842</v>
      </c>
      <c r="C48" s="9">
        <f>1092487-479842</f>
        <v>612645</v>
      </c>
      <c r="D48" s="9">
        <f>1498063-1092487</f>
        <v>405576</v>
      </c>
      <c r="E48" s="9">
        <f>1824183-1498063</f>
        <v>326120</v>
      </c>
      <c r="F48" s="9">
        <f>2332727-1824183</f>
        <v>508544</v>
      </c>
      <c r="G48" s="9">
        <f>2768863-2332727</f>
        <v>436136</v>
      </c>
      <c r="H48" s="9">
        <f t="shared" si="9"/>
        <v>2768863</v>
      </c>
      <c r="I48" s="9">
        <f>3135959-2768863</f>
        <v>367096</v>
      </c>
      <c r="J48" s="9">
        <f>3533624-3135959</f>
        <v>397665</v>
      </c>
      <c r="K48" s="9">
        <f>3960509-3533624</f>
        <v>426885</v>
      </c>
      <c r="L48" s="9">
        <f>4479060-3960509</f>
        <v>518551</v>
      </c>
      <c r="M48" s="9">
        <f>5059897-4479060</f>
        <v>580837</v>
      </c>
      <c r="N48" s="9">
        <f>5571911-5059897</f>
        <v>512014</v>
      </c>
      <c r="O48" s="13">
        <f t="shared" si="2"/>
        <v>2803048</v>
      </c>
      <c r="P48" s="9">
        <f t="shared" si="3"/>
        <v>5571911</v>
      </c>
    </row>
    <row r="49" spans="1:16" ht="12.95" customHeight="1" x14ac:dyDescent="0.15">
      <c r="A49" s="4" t="s">
        <v>108</v>
      </c>
      <c r="B49" s="9">
        <v>7000</v>
      </c>
      <c r="C49" s="9">
        <f>21000-7000</f>
        <v>14000</v>
      </c>
      <c r="D49" s="9">
        <f>6000</f>
        <v>6000</v>
      </c>
      <c r="E49" s="9">
        <v>10000</v>
      </c>
      <c r="F49" s="9">
        <v>8000</v>
      </c>
      <c r="G49" s="9">
        <v>4400</v>
      </c>
      <c r="H49" s="9">
        <f t="shared" si="9"/>
        <v>49400</v>
      </c>
      <c r="I49" s="9">
        <v>22000</v>
      </c>
      <c r="J49" s="9">
        <f>82400-71400</f>
        <v>11000</v>
      </c>
      <c r="K49" s="9">
        <f>97400-82400</f>
        <v>15000</v>
      </c>
      <c r="L49" s="9">
        <f>116400-97400</f>
        <v>19000</v>
      </c>
      <c r="M49" s="9">
        <f>124400-116400</f>
        <v>8000</v>
      </c>
      <c r="N49" s="9"/>
      <c r="O49" s="13">
        <f t="shared" si="2"/>
        <v>75000</v>
      </c>
      <c r="P49" s="9">
        <f t="shared" si="3"/>
        <v>124400</v>
      </c>
    </row>
    <row r="50" spans="1:16" ht="12.95" customHeight="1" x14ac:dyDescent="0.15">
      <c r="A50" s="4" t="s">
        <v>34</v>
      </c>
      <c r="B50" s="9">
        <v>8100</v>
      </c>
      <c r="C50" s="9"/>
      <c r="D50" s="9">
        <v>10000</v>
      </c>
      <c r="E50" s="9"/>
      <c r="F50" s="9">
        <f>46600-18100</f>
        <v>28500</v>
      </c>
      <c r="G50" s="9"/>
      <c r="H50" s="9">
        <f t="shared" si="9"/>
        <v>46600</v>
      </c>
      <c r="I50" s="9">
        <v>3000</v>
      </c>
      <c r="J50" s="9"/>
      <c r="K50" s="9"/>
      <c r="L50" s="9"/>
      <c r="M50" s="9"/>
      <c r="N50" s="9"/>
      <c r="O50" s="13">
        <f t="shared" si="2"/>
        <v>3000</v>
      </c>
      <c r="P50" s="9">
        <f t="shared" si="3"/>
        <v>49600</v>
      </c>
    </row>
    <row r="51" spans="1:16" ht="12.95" customHeight="1" x14ac:dyDescent="0.15">
      <c r="A51" s="4" t="s">
        <v>109</v>
      </c>
      <c r="B51" s="9">
        <v>564579</v>
      </c>
      <c r="C51" s="9">
        <f>1132668-564579</f>
        <v>568089</v>
      </c>
      <c r="D51" s="9">
        <f>1807743-1132668</f>
        <v>675075</v>
      </c>
      <c r="E51" s="9">
        <f>2377504-1807743</f>
        <v>569761</v>
      </c>
      <c r="F51" s="9">
        <f>2963500-2377504</f>
        <v>585996</v>
      </c>
      <c r="G51" s="9">
        <f>3555953-2963500</f>
        <v>592453</v>
      </c>
      <c r="H51" s="9">
        <f t="shared" si="9"/>
        <v>3555953</v>
      </c>
      <c r="I51" s="9">
        <f>4464920-3555953</f>
        <v>908967</v>
      </c>
      <c r="J51" s="9">
        <f>5000577-4464920</f>
        <v>535657</v>
      </c>
      <c r="K51" s="9">
        <f>5512240-5000577</f>
        <v>511663</v>
      </c>
      <c r="L51" s="9">
        <f>5963340-5512240</f>
        <v>451100</v>
      </c>
      <c r="M51" s="14">
        <f>6406208-5963340</f>
        <v>442868</v>
      </c>
      <c r="N51" s="9">
        <f>7007789-6406208</f>
        <v>601581</v>
      </c>
      <c r="O51" s="13">
        <f t="shared" si="2"/>
        <v>3451836</v>
      </c>
      <c r="P51" s="9">
        <f t="shared" si="3"/>
        <v>7007789</v>
      </c>
    </row>
    <row r="52" spans="1:16" ht="12.95" customHeight="1" x14ac:dyDescent="0.15">
      <c r="A52" s="4" t="s">
        <v>35</v>
      </c>
      <c r="B52" s="9">
        <v>8738</v>
      </c>
      <c r="C52" s="9">
        <v>5990</v>
      </c>
      <c r="D52" s="9">
        <f>32478-14728</f>
        <v>17750</v>
      </c>
      <c r="E52" s="9">
        <f>40074-32478</f>
        <v>7596</v>
      </c>
      <c r="F52" s="9">
        <f>46011-40074</f>
        <v>5937</v>
      </c>
      <c r="G52" s="9">
        <f>125853-46011</f>
        <v>79842</v>
      </c>
      <c r="H52" s="9">
        <f t="shared" si="9"/>
        <v>125853</v>
      </c>
      <c r="I52" s="9">
        <f>132047-125853</f>
        <v>6194</v>
      </c>
      <c r="J52" s="9">
        <f>7200+1008</f>
        <v>8208</v>
      </c>
      <c r="K52" s="9">
        <f>146956-140255</f>
        <v>6701</v>
      </c>
      <c r="L52" s="9">
        <f>148783-146956</f>
        <v>1827</v>
      </c>
      <c r="M52" s="9">
        <v>2300</v>
      </c>
      <c r="N52" s="9">
        <v>320</v>
      </c>
      <c r="O52" s="13">
        <f t="shared" si="2"/>
        <v>25550</v>
      </c>
      <c r="P52" s="9">
        <f t="shared" si="3"/>
        <v>151403</v>
      </c>
    </row>
    <row r="53" spans="1:16" ht="12.95" customHeight="1" x14ac:dyDescent="0.15">
      <c r="A53" s="4" t="s">
        <v>110</v>
      </c>
      <c r="B53" s="9"/>
      <c r="C53" s="9">
        <v>19232</v>
      </c>
      <c r="D53" s="9"/>
      <c r="E53" s="9">
        <v>31080</v>
      </c>
      <c r="F53" s="9"/>
      <c r="G53" s="9">
        <v>54560</v>
      </c>
      <c r="H53" s="9">
        <f t="shared" si="9"/>
        <v>104872</v>
      </c>
      <c r="I53" s="9">
        <v>8800</v>
      </c>
      <c r="J53" s="9"/>
      <c r="K53" s="9">
        <v>470270</v>
      </c>
      <c r="L53" s="9"/>
      <c r="M53" s="9"/>
      <c r="N53" s="9">
        <f>683962-583942</f>
        <v>100020</v>
      </c>
      <c r="O53" s="13">
        <f t="shared" si="2"/>
        <v>579090</v>
      </c>
      <c r="P53" s="9">
        <f t="shared" si="3"/>
        <v>683962</v>
      </c>
    </row>
    <row r="54" spans="1:16" ht="12.95" customHeight="1" x14ac:dyDescent="0.15">
      <c r="A54" s="4" t="s">
        <v>111</v>
      </c>
      <c r="B54" s="9">
        <v>288485</v>
      </c>
      <c r="C54" s="9">
        <f>1031250-288485</f>
        <v>742765</v>
      </c>
      <c r="D54" s="9">
        <f>1437291-1031250</f>
        <v>406041</v>
      </c>
      <c r="E54" s="9">
        <f>2001544-1437291</f>
        <v>564253</v>
      </c>
      <c r="F54" s="9">
        <f>2350596-2001544</f>
        <v>349052</v>
      </c>
      <c r="G54" s="9">
        <f>2952542-2350596</f>
        <v>601946</v>
      </c>
      <c r="H54" s="9">
        <f t="shared" si="9"/>
        <v>2952542</v>
      </c>
      <c r="I54" s="9">
        <f>3426205-2952542</f>
        <v>473663</v>
      </c>
      <c r="J54" s="9">
        <f>4336334-3426205</f>
        <v>910129</v>
      </c>
      <c r="K54" s="9">
        <f>4633169-4336334</f>
        <v>296835</v>
      </c>
      <c r="L54" s="9">
        <f>5216219-4633169</f>
        <v>583050</v>
      </c>
      <c r="M54" s="9">
        <f>5739978-5216219</f>
        <v>523759</v>
      </c>
      <c r="N54" s="9">
        <f>6833668-5739978</f>
        <v>1093690</v>
      </c>
      <c r="O54" s="13">
        <f t="shared" si="2"/>
        <v>3881126</v>
      </c>
      <c r="P54" s="9">
        <f t="shared" si="3"/>
        <v>6833668</v>
      </c>
    </row>
    <row r="55" spans="1:16" ht="12.95" customHeight="1" x14ac:dyDescent="0.15">
      <c r="A55" s="4" t="s">
        <v>112</v>
      </c>
      <c r="B55" s="9"/>
      <c r="C55" s="9"/>
      <c r="D55" s="9"/>
      <c r="E55" s="9"/>
      <c r="F55" s="9">
        <v>1161300</v>
      </c>
      <c r="G55" s="9"/>
      <c r="H55" s="9">
        <f t="shared" si="9"/>
        <v>1161300</v>
      </c>
      <c r="I55" s="9">
        <v>50400</v>
      </c>
      <c r="J55" s="9"/>
      <c r="K55" s="9">
        <v>49350</v>
      </c>
      <c r="L55" s="9"/>
      <c r="M55" s="9"/>
      <c r="N55" s="9"/>
      <c r="O55" s="13">
        <f t="shared" si="2"/>
        <v>99750</v>
      </c>
      <c r="P55" s="9">
        <f t="shared" si="3"/>
        <v>1261050</v>
      </c>
    </row>
    <row r="56" spans="1:16" ht="12.95" customHeight="1" x14ac:dyDescent="0.15">
      <c r="A56" s="4" t="s">
        <v>113</v>
      </c>
      <c r="B56" s="9">
        <v>372365</v>
      </c>
      <c r="C56" s="9">
        <f>744730-372365</f>
        <v>372365</v>
      </c>
      <c r="D56" s="9">
        <f>1117095-744730</f>
        <v>372365</v>
      </c>
      <c r="E56" s="9">
        <f>1489460-1117095</f>
        <v>372365</v>
      </c>
      <c r="F56" s="9">
        <f>1861825-1489460</f>
        <v>372365</v>
      </c>
      <c r="G56" s="9">
        <f>2232195-1861825</f>
        <v>370370</v>
      </c>
      <c r="H56" s="9">
        <f t="shared" si="9"/>
        <v>2232195</v>
      </c>
      <c r="I56" s="9">
        <f>2642765-2232195</f>
        <v>410570</v>
      </c>
      <c r="J56" s="9">
        <f>3107665-2642765</f>
        <v>464900</v>
      </c>
      <c r="K56" s="9">
        <f>3518910-3107665</f>
        <v>411245</v>
      </c>
      <c r="L56" s="9">
        <f>3924905-3518910</f>
        <v>405995</v>
      </c>
      <c r="M56" s="9">
        <f>4330900-3924905</f>
        <v>405995</v>
      </c>
      <c r="N56" s="9">
        <f>4736895-4330900</f>
        <v>405995</v>
      </c>
      <c r="O56" s="13">
        <f t="shared" si="2"/>
        <v>2504700</v>
      </c>
      <c r="P56" s="9">
        <f t="shared" si="3"/>
        <v>4736895</v>
      </c>
    </row>
    <row r="57" spans="1:16" ht="12.95" customHeight="1" x14ac:dyDescent="0.15">
      <c r="A57" s="4" t="s">
        <v>121</v>
      </c>
      <c r="B57" s="9">
        <v>250000</v>
      </c>
      <c r="C57" s="9">
        <f>570000-250000</f>
        <v>320000</v>
      </c>
      <c r="D57" s="9">
        <f>870000-570000</f>
        <v>300000</v>
      </c>
      <c r="E57" s="9">
        <f>1120000-870000</f>
        <v>250000</v>
      </c>
      <c r="F57" s="14">
        <v>250000</v>
      </c>
      <c r="G57" s="9">
        <v>250000</v>
      </c>
      <c r="H57" s="9">
        <f t="shared" si="9"/>
        <v>1620000</v>
      </c>
      <c r="I57" s="9">
        <v>250000</v>
      </c>
      <c r="J57" s="9">
        <v>250000</v>
      </c>
      <c r="K57" s="9">
        <v>250000</v>
      </c>
      <c r="L57" s="9">
        <v>250000</v>
      </c>
      <c r="M57" s="9">
        <v>250000</v>
      </c>
      <c r="N57" s="9">
        <v>250000</v>
      </c>
      <c r="O57" s="13">
        <f t="shared" si="2"/>
        <v>1500000</v>
      </c>
      <c r="P57" s="9">
        <f t="shared" si="3"/>
        <v>3120000</v>
      </c>
    </row>
    <row r="58" spans="1:16" ht="12.95" customHeight="1" x14ac:dyDescent="0.15">
      <c r="A58" s="4" t="s">
        <v>122</v>
      </c>
      <c r="B58" s="11">
        <v>160000</v>
      </c>
      <c r="C58" s="9">
        <f>7121200-160000</f>
        <v>6961200</v>
      </c>
      <c r="D58" s="9">
        <v>1400</v>
      </c>
      <c r="E58" s="9">
        <f>7127600-7122600</f>
        <v>5000</v>
      </c>
      <c r="F58" s="9">
        <f>7158830-7127600</f>
        <v>31230</v>
      </c>
      <c r="G58" s="9"/>
      <c r="H58" s="9">
        <f t="shared" si="9"/>
        <v>7158830</v>
      </c>
      <c r="I58" s="9">
        <f>500+2710</f>
        <v>3210</v>
      </c>
      <c r="J58" s="9"/>
      <c r="K58" s="9">
        <f>7222040-7162040</f>
        <v>60000</v>
      </c>
      <c r="L58" s="9"/>
      <c r="M58" s="9">
        <v>56000</v>
      </c>
      <c r="N58" s="9">
        <v>2000</v>
      </c>
      <c r="O58" s="13">
        <f t="shared" si="2"/>
        <v>121210</v>
      </c>
      <c r="P58" s="9">
        <f t="shared" si="3"/>
        <v>7280040</v>
      </c>
    </row>
    <row r="59" spans="1:16" ht="12.95" customHeight="1" x14ac:dyDescent="0.15">
      <c r="A59" s="4" t="s">
        <v>37</v>
      </c>
      <c r="B59" s="9"/>
      <c r="C59" s="9">
        <v>174757</v>
      </c>
      <c r="D59" s="9">
        <f>441266-174757</f>
        <v>266509</v>
      </c>
      <c r="E59" s="9">
        <f>513716-441266</f>
        <v>72450</v>
      </c>
      <c r="F59" s="9">
        <f>646641-513716</f>
        <v>132925</v>
      </c>
      <c r="G59" s="9">
        <f>1096595-646641</f>
        <v>449954</v>
      </c>
      <c r="H59" s="9">
        <f t="shared" si="9"/>
        <v>1096595</v>
      </c>
      <c r="I59" s="9">
        <v>60425</v>
      </c>
      <c r="J59" s="9">
        <f>26040+71051</f>
        <v>97091</v>
      </c>
      <c r="K59" s="9">
        <f>1439350-1254111</f>
        <v>185239</v>
      </c>
      <c r="L59" s="9">
        <f>1615601-1439350</f>
        <v>176251</v>
      </c>
      <c r="M59" s="9">
        <v>57527</v>
      </c>
      <c r="N59" s="9">
        <f>1805428-1673128</f>
        <v>132300</v>
      </c>
      <c r="O59" s="13">
        <f t="shared" si="2"/>
        <v>708833</v>
      </c>
      <c r="P59" s="9">
        <f t="shared" si="3"/>
        <v>1805428</v>
      </c>
    </row>
    <row r="60" spans="1:16" ht="12.95" customHeight="1" x14ac:dyDescent="0.15">
      <c r="A60" s="4" t="s">
        <v>114</v>
      </c>
      <c r="B60" s="14">
        <v>19950</v>
      </c>
      <c r="C60" s="14"/>
      <c r="D60" s="14"/>
      <c r="E60" s="14">
        <v>945</v>
      </c>
      <c r="F60" s="14"/>
      <c r="G60" s="14">
        <f>97409-20895</f>
        <v>76514</v>
      </c>
      <c r="H60" s="14">
        <f t="shared" si="9"/>
        <v>97409</v>
      </c>
      <c r="I60" s="14"/>
      <c r="J60" s="14"/>
      <c r="K60" s="14">
        <v>6195</v>
      </c>
      <c r="L60" s="14"/>
      <c r="M60" s="14">
        <v>1300</v>
      </c>
      <c r="N60" s="14"/>
      <c r="O60" s="14">
        <f t="shared" si="2"/>
        <v>7495</v>
      </c>
      <c r="P60" s="14">
        <f t="shared" si="3"/>
        <v>104904</v>
      </c>
    </row>
    <row r="61" spans="1:16" ht="12.95" customHeight="1" x14ac:dyDescent="0.15">
      <c r="A61" s="12" t="s">
        <v>115</v>
      </c>
      <c r="B61" s="14">
        <v>283789</v>
      </c>
      <c r="C61" s="14">
        <f>556764-283789</f>
        <v>272975</v>
      </c>
      <c r="D61" s="14">
        <f>1018665-556764</f>
        <v>461901</v>
      </c>
      <c r="E61" s="14">
        <f>1436586-1018665</f>
        <v>417921</v>
      </c>
      <c r="F61" s="14">
        <f>1798124-1436586</f>
        <v>361538</v>
      </c>
      <c r="G61" s="14">
        <f>1950003-1798124</f>
        <v>151879</v>
      </c>
      <c r="H61" s="14">
        <f t="shared" si="9"/>
        <v>1950003</v>
      </c>
      <c r="I61" s="14">
        <f>2186692-1950003</f>
        <v>236689</v>
      </c>
      <c r="J61" s="14">
        <f>2558830-2186692</f>
        <v>372138</v>
      </c>
      <c r="K61" s="14">
        <f>2878093-2558830</f>
        <v>319263</v>
      </c>
      <c r="L61" s="14">
        <f>3152739-2878093</f>
        <v>274646</v>
      </c>
      <c r="M61" s="14">
        <f>3443432-3152739</f>
        <v>290693</v>
      </c>
      <c r="N61" s="14">
        <f>3718374-3443432</f>
        <v>274942</v>
      </c>
      <c r="O61" s="14">
        <f t="shared" si="2"/>
        <v>1768371</v>
      </c>
      <c r="P61" s="14">
        <f t="shared" si="3"/>
        <v>3718374</v>
      </c>
    </row>
    <row r="62" spans="1:16" ht="12.95" customHeight="1" x14ac:dyDescent="0.15">
      <c r="A62" s="4" t="s">
        <v>46</v>
      </c>
      <c r="B62" s="9"/>
      <c r="C62" s="9"/>
      <c r="D62" s="9"/>
      <c r="E62" s="9"/>
      <c r="F62" s="9"/>
      <c r="G62" s="9">
        <v>3784791</v>
      </c>
      <c r="H62" s="9">
        <f t="shared" si="9"/>
        <v>3784791</v>
      </c>
      <c r="I62" s="9"/>
      <c r="J62" s="9"/>
      <c r="K62" s="9"/>
      <c r="L62" s="9"/>
      <c r="M62" s="9"/>
      <c r="N62" s="9">
        <f>7569589-3784791</f>
        <v>3784798</v>
      </c>
      <c r="O62" s="13">
        <f t="shared" si="2"/>
        <v>3784798</v>
      </c>
      <c r="P62" s="9">
        <f t="shared" si="3"/>
        <v>7569589</v>
      </c>
    </row>
    <row r="63" spans="1:16" x14ac:dyDescent="0.15">
      <c r="A63" s="8" t="s">
        <v>29</v>
      </c>
      <c r="B63" s="10">
        <f t="shared" ref="B63:N63" si="11">B31+B37</f>
        <v>14861832</v>
      </c>
      <c r="C63" s="10">
        <f t="shared" si="11"/>
        <v>21808281</v>
      </c>
      <c r="D63" s="10">
        <f t="shared" si="11"/>
        <v>14746474</v>
      </c>
      <c r="E63" s="10">
        <f t="shared" si="11"/>
        <v>24224507</v>
      </c>
      <c r="F63" s="10">
        <f t="shared" si="11"/>
        <v>16866286</v>
      </c>
      <c r="G63" s="10">
        <f t="shared" si="11"/>
        <v>19212209</v>
      </c>
      <c r="H63" s="10">
        <f t="shared" si="9"/>
        <v>111719589</v>
      </c>
      <c r="I63" s="10">
        <f t="shared" si="11"/>
        <v>15210384</v>
      </c>
      <c r="J63" s="10">
        <f t="shared" si="11"/>
        <v>15484075</v>
      </c>
      <c r="K63" s="10">
        <f t="shared" si="11"/>
        <v>20021374</v>
      </c>
      <c r="L63" s="10">
        <f t="shared" si="11"/>
        <v>13974983</v>
      </c>
      <c r="M63" s="10">
        <f t="shared" si="11"/>
        <v>14807611</v>
      </c>
      <c r="N63" s="10">
        <f t="shared" si="11"/>
        <v>18886755</v>
      </c>
      <c r="O63" s="10">
        <f t="shared" si="2"/>
        <v>98385182</v>
      </c>
      <c r="P63" s="10">
        <f t="shared" si="3"/>
        <v>210104771</v>
      </c>
    </row>
    <row r="64" spans="1:16" x14ac:dyDescent="0.15">
      <c r="A64" s="8" t="s">
        <v>61</v>
      </c>
      <c r="B64" s="10">
        <f t="shared" ref="B64:G64" si="12">B28-B63</f>
        <v>4119648</v>
      </c>
      <c r="C64" s="10">
        <f t="shared" si="12"/>
        <v>-4200466</v>
      </c>
      <c r="D64" s="10">
        <f t="shared" si="12"/>
        <v>3156581</v>
      </c>
      <c r="E64" s="10">
        <f t="shared" si="12"/>
        <v>-5863159</v>
      </c>
      <c r="F64" s="10">
        <f t="shared" si="12"/>
        <v>2553148</v>
      </c>
      <c r="G64" s="10">
        <f t="shared" si="12"/>
        <v>-1471302</v>
      </c>
      <c r="H64" s="10">
        <f t="shared" si="9"/>
        <v>-1705550</v>
      </c>
      <c r="I64" s="10">
        <f t="shared" ref="I64:N64" si="13">I28-I63</f>
        <v>2891352</v>
      </c>
      <c r="J64" s="10">
        <f t="shared" si="13"/>
        <v>1908279</v>
      </c>
      <c r="K64" s="10">
        <f t="shared" si="13"/>
        <v>-3365901</v>
      </c>
      <c r="L64" s="10">
        <f t="shared" si="13"/>
        <v>2169864</v>
      </c>
      <c r="M64" s="10">
        <f t="shared" si="13"/>
        <v>1741889</v>
      </c>
      <c r="N64" s="10">
        <f t="shared" si="13"/>
        <v>-164141</v>
      </c>
      <c r="O64" s="10">
        <f t="shared" si="2"/>
        <v>5181342</v>
      </c>
      <c r="P64" s="10">
        <f t="shared" si="3"/>
        <v>3475792</v>
      </c>
    </row>
    <row r="65" spans="1:16" x14ac:dyDescent="0.15">
      <c r="A65" s="23" t="s">
        <v>126</v>
      </c>
      <c r="B65" s="14">
        <v>41</v>
      </c>
      <c r="C65" s="14">
        <v>6</v>
      </c>
      <c r="D65" s="14"/>
      <c r="E65" s="14"/>
      <c r="F65" s="14">
        <v>670</v>
      </c>
      <c r="G65" s="14">
        <v>25</v>
      </c>
      <c r="H65" s="10">
        <f t="shared" si="9"/>
        <v>742</v>
      </c>
      <c r="I65" s="14">
        <v>97</v>
      </c>
      <c r="J65" s="14"/>
      <c r="K65" s="14"/>
      <c r="L65" s="14"/>
      <c r="M65" s="14">
        <f>1807-839</f>
        <v>968</v>
      </c>
      <c r="N65" s="14">
        <v>22</v>
      </c>
      <c r="O65" s="10">
        <f t="shared" si="2"/>
        <v>1087</v>
      </c>
      <c r="P65" s="10">
        <f t="shared" si="3"/>
        <v>1829</v>
      </c>
    </row>
    <row r="66" spans="1:16" x14ac:dyDescent="0.15">
      <c r="A66" s="23" t="s">
        <v>127</v>
      </c>
      <c r="B66" s="14">
        <v>93098</v>
      </c>
      <c r="C66" s="9">
        <f>52054+49357+8000+1593</f>
        <v>111004</v>
      </c>
      <c r="D66" s="9">
        <f>43697+41503+5000</f>
        <v>90200</v>
      </c>
      <c r="E66" s="9">
        <f>47858+45534-643+140815</f>
        <v>233564</v>
      </c>
      <c r="F66" s="9">
        <f>48865+46574</f>
        <v>95439</v>
      </c>
      <c r="G66" s="9">
        <f>43797+41818</f>
        <v>85615</v>
      </c>
      <c r="H66" s="10">
        <f t="shared" si="9"/>
        <v>708920</v>
      </c>
      <c r="I66" s="14">
        <f>46298+44286+6000</f>
        <v>96584</v>
      </c>
      <c r="J66" s="14">
        <f>45778+43870+3000</f>
        <v>92648</v>
      </c>
      <c r="K66" s="14">
        <f>43797+42053+9000+83208</f>
        <v>178058</v>
      </c>
      <c r="L66" s="14">
        <f>47623+45815-21640</f>
        <v>71798</v>
      </c>
      <c r="M66" s="14">
        <f>39938+38498</f>
        <v>78436</v>
      </c>
      <c r="N66" s="14">
        <f>42287+40845+63868</f>
        <v>147000</v>
      </c>
      <c r="O66" s="10">
        <f t="shared" si="2"/>
        <v>664524</v>
      </c>
      <c r="P66" s="10">
        <f t="shared" si="3"/>
        <v>1373444</v>
      </c>
    </row>
    <row r="67" spans="1:16" x14ac:dyDescent="0.15">
      <c r="A67" s="8" t="s">
        <v>60</v>
      </c>
      <c r="B67" s="15">
        <f t="shared" ref="B67:G67" si="14">B64+B65-B66</f>
        <v>4026591</v>
      </c>
      <c r="C67" s="15">
        <f t="shared" si="14"/>
        <v>-4311464</v>
      </c>
      <c r="D67" s="15">
        <f t="shared" si="14"/>
        <v>3066381</v>
      </c>
      <c r="E67" s="15">
        <f t="shared" si="14"/>
        <v>-6096723</v>
      </c>
      <c r="F67" s="15">
        <f t="shared" si="14"/>
        <v>2458379</v>
      </c>
      <c r="G67" s="15">
        <f t="shared" si="14"/>
        <v>-1556892</v>
      </c>
      <c r="H67" s="10">
        <f t="shared" si="9"/>
        <v>-2413728</v>
      </c>
      <c r="I67" s="15">
        <f t="shared" ref="I67:N67" si="15">I64+I65-I66</f>
        <v>2794865</v>
      </c>
      <c r="J67" s="15">
        <f t="shared" si="15"/>
        <v>1815631</v>
      </c>
      <c r="K67" s="15">
        <f t="shared" si="15"/>
        <v>-3543959</v>
      </c>
      <c r="L67" s="15">
        <f t="shared" si="15"/>
        <v>2098066</v>
      </c>
      <c r="M67" s="15">
        <f t="shared" si="15"/>
        <v>1664421</v>
      </c>
      <c r="N67" s="15">
        <f t="shared" si="15"/>
        <v>-311119</v>
      </c>
      <c r="O67" s="10">
        <f t="shared" si="2"/>
        <v>4517905</v>
      </c>
      <c r="P67" s="10">
        <f t="shared" si="3"/>
        <v>2104177</v>
      </c>
    </row>
    <row r="68" spans="1:16" x14ac:dyDescent="0.15">
      <c r="A68" s="26" t="s">
        <v>116</v>
      </c>
      <c r="B68" s="14">
        <v>416000</v>
      </c>
      <c r="C68" s="14">
        <v>416000</v>
      </c>
      <c r="D68" s="14">
        <v>416000</v>
      </c>
      <c r="E68" s="14">
        <v>416000</v>
      </c>
      <c r="F68" s="14">
        <v>416000</v>
      </c>
      <c r="G68" s="14">
        <v>416000</v>
      </c>
      <c r="H68" s="10">
        <f t="shared" si="9"/>
        <v>2496000</v>
      </c>
      <c r="I68" s="4">
        <v>416000</v>
      </c>
      <c r="J68" s="4">
        <v>416000</v>
      </c>
      <c r="K68" s="9">
        <v>416000</v>
      </c>
      <c r="L68" s="9">
        <v>416000</v>
      </c>
      <c r="M68" s="9">
        <v>416000</v>
      </c>
      <c r="N68" s="9">
        <v>416000</v>
      </c>
      <c r="O68" s="14">
        <f t="shared" si="2"/>
        <v>2496000</v>
      </c>
      <c r="P68" s="9">
        <f t="shared" si="3"/>
        <v>4992000</v>
      </c>
    </row>
  </sheetData>
  <mergeCells count="1">
    <mergeCell ref="C1:H1"/>
  </mergeCells>
  <phoneticPr fontId="3"/>
  <pageMargins left="0.51181102362204722" right="0.19685039370078741" top="0.27559055118110237" bottom="0.35433070866141736" header="0.23622047244094491" footer="0.27559055118110237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D435-A2F4-4B25-856A-9227BCA91C40}">
  <dimension ref="A1:P67"/>
  <sheetViews>
    <sheetView workbookViewId="0">
      <pane xSplit="3" topLeftCell="G1" activePane="topRight" state="frozenSplit"/>
      <selection pane="topRight" activeCell="K3" sqref="K3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72" t="s">
        <v>157</v>
      </c>
      <c r="D1" s="172"/>
      <c r="E1" s="172"/>
      <c r="F1" s="172"/>
      <c r="G1" s="172"/>
      <c r="H1" s="172"/>
    </row>
    <row r="2" spans="1:16" ht="12" customHeight="1" x14ac:dyDescent="0.15">
      <c r="A2" s="1" t="s">
        <v>43</v>
      </c>
      <c r="B2" s="2" t="s">
        <v>131</v>
      </c>
      <c r="C2" s="1" t="s">
        <v>132</v>
      </c>
      <c r="D2" s="1" t="s">
        <v>133</v>
      </c>
      <c r="E2" s="1" t="s">
        <v>134</v>
      </c>
      <c r="F2" s="1" t="s">
        <v>135</v>
      </c>
      <c r="G2" s="1" t="s">
        <v>136</v>
      </c>
      <c r="H2" s="1" t="s">
        <v>39</v>
      </c>
      <c r="I2" s="1" t="s">
        <v>137</v>
      </c>
      <c r="J2" s="1" t="s">
        <v>138</v>
      </c>
      <c r="K2" s="1" t="s">
        <v>139</v>
      </c>
      <c r="L2" s="1" t="s">
        <v>140</v>
      </c>
      <c r="M2" s="1" t="s">
        <v>141</v>
      </c>
      <c r="N2" s="1" t="s">
        <v>142</v>
      </c>
      <c r="O2" s="1" t="s">
        <v>41</v>
      </c>
      <c r="P2" s="1" t="s">
        <v>42</v>
      </c>
    </row>
    <row r="3" spans="1:16" x14ac:dyDescent="0.15">
      <c r="A3" s="24" t="s">
        <v>123</v>
      </c>
      <c r="B3" s="5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15">
      <c r="A4" s="19" t="s">
        <v>0</v>
      </c>
      <c r="B4" s="10">
        <f>SUM(B5:B7)</f>
        <v>4000</v>
      </c>
      <c r="C4" s="10">
        <f t="shared" ref="C4:N4" si="0">SUM(C5:C7)</f>
        <v>-13000</v>
      </c>
      <c r="D4" s="10">
        <f t="shared" si="0"/>
        <v>-9000</v>
      </c>
      <c r="E4" s="10">
        <f t="shared" si="0"/>
        <v>2000</v>
      </c>
      <c r="F4" s="10">
        <f t="shared" si="0"/>
        <v>6000</v>
      </c>
      <c r="G4" s="10">
        <f t="shared" si="0"/>
        <v>3000</v>
      </c>
      <c r="H4" s="10">
        <f t="shared" ref="H4:H27" si="1">SUM(B4:G4)</f>
        <v>-7000</v>
      </c>
      <c r="I4" s="10">
        <f t="shared" si="0"/>
        <v>1000</v>
      </c>
      <c r="J4" s="10">
        <f t="shared" si="0"/>
        <v>0</v>
      </c>
      <c r="K4" s="10">
        <f t="shared" si="0"/>
        <v>3000</v>
      </c>
      <c r="L4" s="10">
        <f t="shared" si="0"/>
        <v>0</v>
      </c>
      <c r="M4" s="10">
        <f t="shared" si="0"/>
        <v>0</v>
      </c>
      <c r="N4" s="10">
        <f t="shared" si="0"/>
        <v>0</v>
      </c>
      <c r="O4" s="10">
        <f>SUM(I4:N4)</f>
        <v>4000</v>
      </c>
      <c r="P4" s="10">
        <f>H4+O4</f>
        <v>-3000</v>
      </c>
    </row>
    <row r="5" spans="1:16" ht="12.95" customHeight="1" x14ac:dyDescent="0.15">
      <c r="A5" s="21" t="s">
        <v>1</v>
      </c>
      <c r="B5" s="14">
        <f>'23年度'!B5-'23予測'!B5</f>
        <v>4000</v>
      </c>
      <c r="C5" s="14">
        <f>'23年度'!C5-'23予測'!C5</f>
        <v>0</v>
      </c>
      <c r="D5" s="14">
        <f>'23年度'!D5-'23予測'!D5</f>
        <v>-2000</v>
      </c>
      <c r="E5" s="14">
        <f>'23年度'!E5-'23予測'!E5</f>
        <v>1000</v>
      </c>
      <c r="F5" s="14">
        <f>'23年度'!F5-'23予測'!F5</f>
        <v>-1000</v>
      </c>
      <c r="G5" s="14">
        <f>'23年度'!G5-'23予測'!G5</f>
        <v>1000</v>
      </c>
      <c r="H5" s="14">
        <f t="shared" si="1"/>
        <v>3000</v>
      </c>
      <c r="I5" s="9">
        <f>'23年度'!I5-'23予測'!I5</f>
        <v>1000</v>
      </c>
      <c r="J5" s="9">
        <f>'23年度'!J5-'23予測'!J5</f>
        <v>-1000</v>
      </c>
      <c r="K5" s="9">
        <f>'23年度'!K5-'23予測'!K5</f>
        <v>-1000</v>
      </c>
      <c r="L5" s="9"/>
      <c r="M5" s="9"/>
      <c r="N5" s="9"/>
      <c r="O5" s="9">
        <f t="shared" ref="O5:O67" si="2">SUM(I5:N5)</f>
        <v>-1000</v>
      </c>
      <c r="P5" s="9">
        <f t="shared" ref="P5:P67" si="3">H5+O5</f>
        <v>2000</v>
      </c>
    </row>
    <row r="6" spans="1:16" ht="12.95" customHeight="1" x14ac:dyDescent="0.15">
      <c r="A6" s="21" t="s">
        <v>2</v>
      </c>
      <c r="B6" s="14">
        <f>'23年度'!B6-'23予測'!B6</f>
        <v>-5000</v>
      </c>
      <c r="C6" s="14">
        <f>'23年度'!C6-'23予測'!C6</f>
        <v>-9000</v>
      </c>
      <c r="D6" s="14">
        <f>'23年度'!D6-'23予測'!D6</f>
        <v>-9000</v>
      </c>
      <c r="E6" s="14">
        <f>'23年度'!E6-'23予測'!E6</f>
        <v>2000</v>
      </c>
      <c r="F6" s="14">
        <f>'23年度'!F6-'23予測'!F6</f>
        <v>6000</v>
      </c>
      <c r="G6" s="14">
        <f>'23年度'!G6-'23予測'!G6</f>
        <v>3000</v>
      </c>
      <c r="H6" s="14">
        <f t="shared" si="1"/>
        <v>-12000</v>
      </c>
      <c r="I6" s="9">
        <f>'23年度'!I6-'23予測'!I6</f>
        <v>-1000</v>
      </c>
      <c r="J6" s="9">
        <f>'23年度'!J6-'23予測'!J6</f>
        <v>1000</v>
      </c>
      <c r="K6" s="9">
        <f>'23年度'!K6-'23予測'!K6</f>
        <v>5000</v>
      </c>
      <c r="L6" s="9"/>
      <c r="M6" s="9"/>
      <c r="N6" s="9"/>
      <c r="O6" s="9">
        <f t="shared" si="2"/>
        <v>5000</v>
      </c>
      <c r="P6" s="9">
        <f t="shared" si="3"/>
        <v>-7000</v>
      </c>
    </row>
    <row r="7" spans="1:16" ht="12.95" customHeight="1" x14ac:dyDescent="0.15">
      <c r="A7" s="21" t="s">
        <v>3</v>
      </c>
      <c r="B7" s="14">
        <f>'23年度'!B7-'23予測'!B7</f>
        <v>5000</v>
      </c>
      <c r="C7" s="14">
        <f>'23年度'!C7-'23予測'!C7</f>
        <v>-4000</v>
      </c>
      <c r="D7" s="14">
        <f>'23年度'!D7-'23予測'!D7</f>
        <v>2000</v>
      </c>
      <c r="E7" s="14">
        <f>'23年度'!E7-'23予測'!E7</f>
        <v>-1000</v>
      </c>
      <c r="F7" s="14">
        <f>'23年度'!F7-'23予測'!F7</f>
        <v>1000</v>
      </c>
      <c r="G7" s="14">
        <f>'23年度'!G7-'23予測'!G7</f>
        <v>-1000</v>
      </c>
      <c r="H7" s="14">
        <f t="shared" si="1"/>
        <v>2000</v>
      </c>
      <c r="I7" s="9">
        <f>'23年度'!I7-'23予測'!I7</f>
        <v>1000</v>
      </c>
      <c r="J7" s="9">
        <f>'23年度'!J7-'23予測'!J7</f>
        <v>0</v>
      </c>
      <c r="K7" s="9">
        <f>'23年度'!K7-'23予測'!K7</f>
        <v>-1000</v>
      </c>
      <c r="L7" s="9"/>
      <c r="M7" s="9"/>
      <c r="N7" s="9"/>
      <c r="O7" s="9">
        <f t="shared" si="2"/>
        <v>0</v>
      </c>
      <c r="P7" s="9">
        <f t="shared" si="3"/>
        <v>2000</v>
      </c>
    </row>
    <row r="8" spans="1:16" x14ac:dyDescent="0.15">
      <c r="A8" s="19" t="s">
        <v>4</v>
      </c>
      <c r="B8" s="10">
        <f t="shared" ref="B8:N8" si="4">SUM(B9:B23)</f>
        <v>647483</v>
      </c>
      <c r="C8" s="10">
        <f t="shared" si="4"/>
        <v>-290940</v>
      </c>
      <c r="D8" s="10">
        <f t="shared" si="4"/>
        <v>-203210</v>
      </c>
      <c r="E8" s="10">
        <f t="shared" si="4"/>
        <v>-478270</v>
      </c>
      <c r="F8" s="10">
        <f t="shared" si="4"/>
        <v>-328240</v>
      </c>
      <c r="G8" s="10">
        <f t="shared" si="4"/>
        <v>-893950</v>
      </c>
      <c r="H8" s="10">
        <f t="shared" si="1"/>
        <v>-1547127</v>
      </c>
      <c r="I8" s="10">
        <f t="shared" si="4"/>
        <v>-365270</v>
      </c>
      <c r="J8" s="10">
        <f t="shared" si="4"/>
        <v>-1513840</v>
      </c>
      <c r="K8" s="10">
        <f t="shared" si="4"/>
        <v>-1452810</v>
      </c>
      <c r="L8" s="10">
        <f t="shared" si="4"/>
        <v>0</v>
      </c>
      <c r="M8" s="10">
        <f t="shared" si="4"/>
        <v>0</v>
      </c>
      <c r="N8" s="10">
        <f t="shared" si="4"/>
        <v>0</v>
      </c>
      <c r="O8" s="10">
        <f t="shared" si="2"/>
        <v>-3331920</v>
      </c>
      <c r="P8" s="10">
        <f t="shared" si="3"/>
        <v>-4879047</v>
      </c>
    </row>
    <row r="9" spans="1:16" ht="12.95" customHeight="1" x14ac:dyDescent="0.15">
      <c r="A9" s="27" t="s">
        <v>94</v>
      </c>
      <c r="B9" s="14">
        <f>'23年度'!B9-'23予測'!B9</f>
        <v>45500</v>
      </c>
      <c r="C9" s="14">
        <f>'23年度'!C9-'23予測'!C9</f>
        <v>7500</v>
      </c>
      <c r="D9" s="14">
        <f>'23年度'!D9-'23予測'!D9</f>
        <v>111500</v>
      </c>
      <c r="E9" s="14">
        <f>'23年度'!E9-'23予測'!E9</f>
        <v>113500</v>
      </c>
      <c r="F9" s="14">
        <f>'23年度'!F9-'23予測'!F9</f>
        <v>214000</v>
      </c>
      <c r="G9" s="14">
        <f>'23年度'!G9-'23予測'!G9</f>
        <v>68500</v>
      </c>
      <c r="H9" s="14">
        <f t="shared" si="1"/>
        <v>560500</v>
      </c>
      <c r="I9" s="9">
        <f>'23年度'!I9-'23予測'!I9</f>
        <v>12500</v>
      </c>
      <c r="J9" s="9">
        <f>'23年度'!J9-'23予測'!J9</f>
        <v>-3500</v>
      </c>
      <c r="K9" s="9">
        <f>'23年度'!K9-'23予測'!K9</f>
        <v>-38000</v>
      </c>
      <c r="L9" s="9"/>
      <c r="M9" s="9"/>
      <c r="N9" s="9"/>
      <c r="O9" s="9">
        <f t="shared" si="2"/>
        <v>-29000</v>
      </c>
      <c r="P9" s="9">
        <f t="shared" si="3"/>
        <v>531500</v>
      </c>
    </row>
    <row r="10" spans="1:16" ht="12.95" customHeight="1" x14ac:dyDescent="0.15">
      <c r="A10" s="20" t="s">
        <v>128</v>
      </c>
      <c r="B10" s="14">
        <f>'23年度'!B10-'23予測'!B10</f>
        <v>-2500</v>
      </c>
      <c r="C10" s="14">
        <f>'23年度'!C10-'23予測'!C10</f>
        <v>5000</v>
      </c>
      <c r="D10" s="14">
        <f>'23年度'!D10-'23予測'!D10</f>
        <v>-5000</v>
      </c>
      <c r="E10" s="14">
        <f>'23年度'!E10-'23予測'!E10</f>
        <v>0</v>
      </c>
      <c r="F10" s="14">
        <f>'23年度'!F10-'23予測'!F10</f>
        <v>17500</v>
      </c>
      <c r="G10" s="14">
        <f>'23年度'!G10-'23予測'!G10</f>
        <v>-2500</v>
      </c>
      <c r="H10" s="14">
        <f t="shared" si="1"/>
        <v>12500</v>
      </c>
      <c r="I10" s="9">
        <f>'23年度'!I10-'23予測'!I10</f>
        <v>-35000</v>
      </c>
      <c r="J10" s="9">
        <f>'23年度'!J10-'23予測'!J10</f>
        <v>-10000</v>
      </c>
      <c r="K10" s="9">
        <f>'23年度'!K10-'23予測'!K10</f>
        <v>-32500</v>
      </c>
      <c r="L10" s="9"/>
      <c r="M10" s="9" ph="1"/>
      <c r="N10" s="9"/>
      <c r="O10" s="9">
        <f t="shared" si="2"/>
        <v>-77500</v>
      </c>
      <c r="P10" s="9">
        <f t="shared" si="3"/>
        <v>-65000</v>
      </c>
    </row>
    <row r="11" spans="1:16" ht="12.95" customHeight="1" x14ac:dyDescent="0.15">
      <c r="A11" s="20" t="s">
        <v>129</v>
      </c>
      <c r="B11" s="14">
        <f>'23年度'!B11-'23予測'!B11</f>
        <v>-4440</v>
      </c>
      <c r="C11" s="14">
        <f>'23年度'!C11-'23予測'!C11</f>
        <v>2680</v>
      </c>
      <c r="D11" s="14">
        <f>'23年度'!D11-'23予測'!D11</f>
        <v>-29920</v>
      </c>
      <c r="E11" s="14">
        <f>'23年度'!E11-'23予測'!E11</f>
        <v>-15440</v>
      </c>
      <c r="F11" s="14">
        <f>'23年度'!F11-'23予測'!F11</f>
        <v>-26680</v>
      </c>
      <c r="G11" s="14">
        <f>'23年度'!G11-'23予測'!G11</f>
        <v>-15440</v>
      </c>
      <c r="H11" s="14">
        <f t="shared" si="1"/>
        <v>-89240</v>
      </c>
      <c r="I11" s="9">
        <f>'23年度'!I11-'23予測'!I11</f>
        <v>-39920</v>
      </c>
      <c r="J11" s="9">
        <f>'23年度'!J11-'23予測'!J11</f>
        <v>-38040</v>
      </c>
      <c r="K11" s="9">
        <f>'23年度'!K11-'23予測'!K11</f>
        <v>-25680</v>
      </c>
      <c r="L11" s="9"/>
      <c r="M11" s="9"/>
      <c r="N11" s="9"/>
      <c r="O11" s="9">
        <f t="shared" si="2"/>
        <v>-103640</v>
      </c>
      <c r="P11" s="9">
        <f t="shared" si="3"/>
        <v>-192880</v>
      </c>
    </row>
    <row r="12" spans="1:16" ht="12.95" customHeight="1" x14ac:dyDescent="0.15">
      <c r="A12" s="27" t="s">
        <v>95</v>
      </c>
      <c r="B12" s="14">
        <f>'23年度'!B12-'23予測'!B12</f>
        <v>50120</v>
      </c>
      <c r="C12" s="14">
        <f>'23年度'!C12-'23予測'!C12</f>
        <v>-669560</v>
      </c>
      <c r="D12" s="14">
        <f>'23年度'!D12-'23予測'!D12</f>
        <v>-323340</v>
      </c>
      <c r="E12" s="14">
        <f>'23年度'!E12-'23予測'!E12</f>
        <v>-244060</v>
      </c>
      <c r="F12" s="14">
        <f>'23年度'!F12-'23予測'!F12</f>
        <v>-33980</v>
      </c>
      <c r="G12" s="14">
        <f>'23年度'!G12-'23予測'!G12</f>
        <v>-297190</v>
      </c>
      <c r="H12" s="14">
        <f t="shared" si="1"/>
        <v>-1518010</v>
      </c>
      <c r="I12" s="9">
        <f>'23年度'!I12-'23予測'!I12</f>
        <v>80890</v>
      </c>
      <c r="J12" s="9">
        <f>'23年度'!J12-'23予測'!J12</f>
        <v>-774240</v>
      </c>
      <c r="K12" s="9">
        <f>'23年度'!K12-'23予測'!K12</f>
        <v>-1012460</v>
      </c>
      <c r="L12" s="9"/>
      <c r="M12" s="9"/>
      <c r="N12" s="9"/>
      <c r="O12" s="9">
        <f t="shared" si="2"/>
        <v>-1705810</v>
      </c>
      <c r="P12" s="9">
        <f t="shared" si="3"/>
        <v>-3223820</v>
      </c>
    </row>
    <row r="13" spans="1:16" ht="12.95" customHeight="1" x14ac:dyDescent="0.15">
      <c r="A13" s="20" t="s">
        <v>58</v>
      </c>
      <c r="B13" s="14">
        <f>'23年度'!B13-'23予測'!B13</f>
        <v>-8000</v>
      </c>
      <c r="C13" s="14">
        <f>'23年度'!C13-'23予測'!C13</f>
        <v>-46000</v>
      </c>
      <c r="D13" s="14">
        <f>'23年度'!D13-'23予測'!D13</f>
        <v>-29000</v>
      </c>
      <c r="E13" s="14">
        <f>'23年度'!E13-'23予測'!E13</f>
        <v>-27500</v>
      </c>
      <c r="F13" s="14">
        <f>'23年度'!F13-'23予測'!F13</f>
        <v>-16500</v>
      </c>
      <c r="G13" s="14">
        <f>'23年度'!G13-'23予測'!G13</f>
        <v>-29500</v>
      </c>
      <c r="H13" s="14">
        <f t="shared" si="1"/>
        <v>-156500</v>
      </c>
      <c r="I13" s="9">
        <f>'23年度'!I13-'23予測'!I13</f>
        <v>-6000</v>
      </c>
      <c r="J13" s="9">
        <f>'23年度'!J13-'23予測'!J13</f>
        <v>-42000</v>
      </c>
      <c r="K13" s="9">
        <f>'23年度'!K13-'23予測'!K13</f>
        <v>-55000</v>
      </c>
      <c r="L13" s="9"/>
      <c r="M13" s="9"/>
      <c r="N13" s="9"/>
      <c r="O13" s="9">
        <f t="shared" si="2"/>
        <v>-103000</v>
      </c>
      <c r="P13" s="9">
        <f t="shared" si="3"/>
        <v>-259500</v>
      </c>
    </row>
    <row r="14" spans="1:16" ht="12.95" customHeight="1" x14ac:dyDescent="0.15">
      <c r="A14" s="27" t="s">
        <v>96</v>
      </c>
      <c r="B14" s="14">
        <f>'23年度'!B14-'23予測'!B14</f>
        <v>146730</v>
      </c>
      <c r="C14" s="14">
        <f>'23年度'!C14-'23予測'!C14</f>
        <v>203930</v>
      </c>
      <c r="D14" s="14">
        <f>'23年度'!D14-'23予測'!D14</f>
        <v>144760</v>
      </c>
      <c r="E14" s="14">
        <f>'23年度'!E14-'23予測'!E14</f>
        <v>-24120</v>
      </c>
      <c r="F14" s="14">
        <f>'23年度'!F14-'23予測'!F14</f>
        <v>-176420</v>
      </c>
      <c r="G14" s="14">
        <f>'23年度'!G14-'23予測'!G14</f>
        <v>-190140</v>
      </c>
      <c r="H14" s="14">
        <f t="shared" si="1"/>
        <v>104740</v>
      </c>
      <c r="I14" s="9">
        <f>'23年度'!I14-'23予測'!I14</f>
        <v>-261190</v>
      </c>
      <c r="J14" s="9">
        <f>'23年度'!J14-'23予測'!J14</f>
        <v>-213410</v>
      </c>
      <c r="K14" s="9">
        <f>'23年度'!K14-'23予測'!K14</f>
        <v>-142400</v>
      </c>
      <c r="L14" s="9"/>
      <c r="M14" s="9"/>
      <c r="N14" s="9"/>
      <c r="O14" s="9">
        <f t="shared" si="2"/>
        <v>-617000</v>
      </c>
      <c r="P14" s="9">
        <f t="shared" si="3"/>
        <v>-512260</v>
      </c>
    </row>
    <row r="15" spans="1:16" ht="12.95" customHeight="1" x14ac:dyDescent="0.15">
      <c r="A15" s="20" t="s">
        <v>59</v>
      </c>
      <c r="B15" s="14">
        <f>'23年度'!B15-'23予測'!B15</f>
        <v>2000</v>
      </c>
      <c r="C15" s="14">
        <f>'23年度'!C15-'23予測'!C15</f>
        <v>15000</v>
      </c>
      <c r="D15" s="14">
        <f>'23年度'!D15-'23予測'!D15</f>
        <v>8000</v>
      </c>
      <c r="E15" s="14">
        <f>'23年度'!E15-'23予測'!E15</f>
        <v>-4000</v>
      </c>
      <c r="F15" s="14">
        <f>'23年度'!F15-'23予測'!F15</f>
        <v>-14500</v>
      </c>
      <c r="G15" s="14">
        <f>'23年度'!G15-'23予測'!G15</f>
        <v>-12500</v>
      </c>
      <c r="H15" s="14">
        <f t="shared" si="1"/>
        <v>-6000</v>
      </c>
      <c r="I15" s="9">
        <f>'23年度'!I15-'23予測'!I15</f>
        <v>-15000</v>
      </c>
      <c r="J15" s="9">
        <f>'23年度'!J15-'23予測'!J15</f>
        <v>-9500</v>
      </c>
      <c r="K15" s="9">
        <f>'23年度'!K15-'23予測'!K15</f>
        <v>-10000</v>
      </c>
      <c r="L15" s="9"/>
      <c r="M15" s="9"/>
      <c r="N15" s="9"/>
      <c r="O15" s="9">
        <f t="shared" si="2"/>
        <v>-34500</v>
      </c>
      <c r="P15" s="9">
        <f t="shared" si="3"/>
        <v>-40500</v>
      </c>
    </row>
    <row r="16" spans="1:16" ht="12.95" customHeight="1" x14ac:dyDescent="0.15">
      <c r="A16" s="28" t="s">
        <v>120</v>
      </c>
      <c r="B16" s="14">
        <f>'23年度'!B16-'23予測'!B16</f>
        <v>85223</v>
      </c>
      <c r="C16" s="14">
        <f>'23年度'!C16-'23予測'!C16</f>
        <v>191710</v>
      </c>
      <c r="D16" s="14">
        <f>'23年度'!D16-'23予測'!D16</f>
        <v>2840</v>
      </c>
      <c r="E16" s="14">
        <f>'23年度'!E16-'23予測'!E16</f>
        <v>-173600</v>
      </c>
      <c r="F16" s="14">
        <f>'23年度'!F16-'23予測'!F16</f>
        <v>-260560</v>
      </c>
      <c r="G16" s="14">
        <f>'23年度'!G16-'23予測'!G16</f>
        <v>-348530</v>
      </c>
      <c r="H16" s="14">
        <f t="shared" si="1"/>
        <v>-502917</v>
      </c>
      <c r="I16" s="9">
        <f>'23年度'!I16-'23予測'!I16</f>
        <v>-63150</v>
      </c>
      <c r="J16" s="9">
        <f>'23年度'!J16-'23予測'!J16</f>
        <v>-350850</v>
      </c>
      <c r="K16" s="9">
        <f>'23年度'!K16-'23予測'!K16</f>
        <v>-68620</v>
      </c>
      <c r="L16" s="9"/>
      <c r="M16" s="9"/>
      <c r="N16" s="9"/>
      <c r="O16" s="9">
        <f t="shared" si="2"/>
        <v>-482620</v>
      </c>
      <c r="P16" s="9">
        <f t="shared" si="3"/>
        <v>-985537</v>
      </c>
    </row>
    <row r="17" spans="1:16" ht="12.95" customHeight="1" x14ac:dyDescent="0.15">
      <c r="A17" s="20" t="s">
        <v>59</v>
      </c>
      <c r="B17" s="14">
        <f>'23年度'!B17-'23予測'!B17</f>
        <v>-6000</v>
      </c>
      <c r="C17" s="14">
        <f>'23年度'!C17-'23予測'!C17</f>
        <v>5000</v>
      </c>
      <c r="D17" s="14">
        <f>'23年度'!D17-'23予測'!D17</f>
        <v>-1500</v>
      </c>
      <c r="E17" s="14">
        <f>'23年度'!E17-'23予測'!E17</f>
        <v>-17500</v>
      </c>
      <c r="F17" s="14">
        <f>'23年度'!F17-'23予測'!F17</f>
        <v>-19500</v>
      </c>
      <c r="G17" s="14">
        <f>'23年度'!G17-'23予測'!G17</f>
        <v>-26500</v>
      </c>
      <c r="H17" s="14">
        <f t="shared" si="1"/>
        <v>-66000</v>
      </c>
      <c r="I17" s="9">
        <f>'23年度'!I17-'23予測'!I17</f>
        <v>-14500</v>
      </c>
      <c r="J17" s="9">
        <f>'23年度'!J17-'23予測'!J17</f>
        <v>-28000</v>
      </c>
      <c r="K17" s="9">
        <f>'23年度'!K17-'23予測'!K17</f>
        <v>-14500</v>
      </c>
      <c r="L17" s="9"/>
      <c r="M17" s="9"/>
      <c r="N17" s="9"/>
      <c r="O17" s="9">
        <f t="shared" si="2"/>
        <v>-57000</v>
      </c>
      <c r="P17" s="9">
        <f t="shared" si="3"/>
        <v>-123000</v>
      </c>
    </row>
    <row r="18" spans="1:16" ht="12.95" customHeight="1" x14ac:dyDescent="0.15">
      <c r="A18" s="27" t="s">
        <v>119</v>
      </c>
      <c r="B18" s="14">
        <f>'23年度'!B19-'23予測'!B18</f>
        <v>5000</v>
      </c>
      <c r="C18" s="14">
        <f>'23年度'!C19-'23予測'!C18</f>
        <v>3000</v>
      </c>
      <c r="D18" s="14">
        <f>'23年度'!D19-'23予測'!D18</f>
        <v>-2000</v>
      </c>
      <c r="E18" s="14">
        <f>'23年度'!E19-'23予測'!E18</f>
        <v>-10000</v>
      </c>
      <c r="F18" s="14">
        <f>'23年度'!F19-'23予測'!F18</f>
        <v>-9000</v>
      </c>
      <c r="G18" s="14">
        <f>'23年度'!G19-'23予測'!G18</f>
        <v>1000</v>
      </c>
      <c r="H18" s="14">
        <f t="shared" si="1"/>
        <v>-12000</v>
      </c>
      <c r="I18" s="9">
        <f>'23年度'!I19-'23予測'!I18</f>
        <v>-19000</v>
      </c>
      <c r="J18" s="9">
        <f>'23年度'!J19-'23予測'!J18</f>
        <v>-2600</v>
      </c>
      <c r="K18" s="9">
        <f>'23年度'!K19-'23予測'!K18</f>
        <v>800</v>
      </c>
      <c r="L18" s="9"/>
      <c r="M18" s="9"/>
      <c r="N18" s="9"/>
      <c r="O18" s="9">
        <f t="shared" si="2"/>
        <v>-20800</v>
      </c>
      <c r="P18" s="9">
        <f t="shared" si="3"/>
        <v>-32800</v>
      </c>
    </row>
    <row r="19" spans="1:16" ht="12.95" customHeight="1" x14ac:dyDescent="0.15">
      <c r="A19" s="27" t="s">
        <v>97</v>
      </c>
      <c r="B19" s="14">
        <f>'23年度'!B20-'23予測'!B19</f>
        <v>25550</v>
      </c>
      <c r="C19" s="14">
        <f>'23年度'!C20-'23予測'!C19</f>
        <v>11100</v>
      </c>
      <c r="D19" s="14">
        <f>'23年度'!D20-'23予測'!D19</f>
        <v>-5000</v>
      </c>
      <c r="E19" s="14">
        <f>'23年度'!E20-'23予測'!E19</f>
        <v>5150</v>
      </c>
      <c r="F19" s="14">
        <f>'23年度'!F20-'23予測'!F19</f>
        <v>1850</v>
      </c>
      <c r="G19" s="14">
        <f>'23年度'!G20-'23予測'!G19</f>
        <v>34900</v>
      </c>
      <c r="H19" s="14">
        <f t="shared" si="1"/>
        <v>73550</v>
      </c>
      <c r="I19" s="9">
        <f>'23年度'!I20-'23予測'!I19</f>
        <v>-2200</v>
      </c>
      <c r="J19" s="9">
        <f>'23年度'!J20-'23予測'!J19</f>
        <v>7100</v>
      </c>
      <c r="K19" s="9">
        <f>'23年度'!K20-'23予測'!K19</f>
        <v>-6300</v>
      </c>
      <c r="L19" s="14"/>
      <c r="M19" s="14"/>
      <c r="N19" s="14"/>
      <c r="O19" s="14">
        <f t="shared" si="2"/>
        <v>-1400</v>
      </c>
      <c r="P19" s="14">
        <f t="shared" si="3"/>
        <v>72150</v>
      </c>
    </row>
    <row r="20" spans="1:16" ht="12.95" customHeight="1" x14ac:dyDescent="0.15">
      <c r="A20" s="27" t="s">
        <v>98</v>
      </c>
      <c r="B20" s="14">
        <f>'23年度'!B21-'23予測'!B20</f>
        <v>21100</v>
      </c>
      <c r="C20" s="14">
        <f>'23年度'!C21-'23予測'!C20</f>
        <v>24050</v>
      </c>
      <c r="D20" s="14">
        <f>'23年度'!D21-'23予測'!D20</f>
        <v>-5950</v>
      </c>
      <c r="E20" s="14">
        <f>'23年度'!E21-'23予測'!E20</f>
        <v>-13400</v>
      </c>
      <c r="F20" s="14">
        <f>'23年度'!F21-'23予測'!F20</f>
        <v>-3800</v>
      </c>
      <c r="G20" s="14">
        <f>'23年度'!G21-'23予測'!G20</f>
        <v>-11800</v>
      </c>
      <c r="H20" s="14">
        <f t="shared" si="1"/>
        <v>10200</v>
      </c>
      <c r="I20" s="9">
        <f>'23年度'!I21-'23予測'!I20</f>
        <v>16900</v>
      </c>
      <c r="J20" s="9">
        <f>'23年度'!J21-'23予測'!J20</f>
        <v>-41200</v>
      </c>
      <c r="K20" s="9">
        <f>'23年度'!K21-'23予測'!K20</f>
        <v>-47600</v>
      </c>
      <c r="L20" s="14"/>
      <c r="M20" s="14"/>
      <c r="N20" s="14"/>
      <c r="O20" s="9">
        <f t="shared" si="2"/>
        <v>-71900</v>
      </c>
      <c r="P20" s="14">
        <f t="shared" si="3"/>
        <v>-61700</v>
      </c>
    </row>
    <row r="21" spans="1:16" ht="12.95" customHeight="1" x14ac:dyDescent="0.15">
      <c r="A21" s="27" t="s">
        <v>118</v>
      </c>
      <c r="B21" s="14">
        <f>'23年度'!B22-'23予測'!B21</f>
        <v>-20500</v>
      </c>
      <c r="C21" s="14">
        <f>'23年度'!C22-'23予測'!C21</f>
        <v>-28200</v>
      </c>
      <c r="D21" s="14">
        <f>'23年度'!D22-'23予測'!D21</f>
        <v>-23900</v>
      </c>
      <c r="E21" s="14">
        <f>'23年度'!E22-'23予測'!E21</f>
        <v>-9800</v>
      </c>
      <c r="F21" s="14">
        <f>'23年度'!F22-'23予測'!F21</f>
        <v>-3750</v>
      </c>
      <c r="G21" s="14">
        <f>'23年度'!G22-'23予測'!G21</f>
        <v>-14450</v>
      </c>
      <c r="H21" s="14">
        <f t="shared" si="1"/>
        <v>-100600</v>
      </c>
      <c r="I21" s="9">
        <f>'23年度'!I22-'23予測'!I21</f>
        <v>-9400</v>
      </c>
      <c r="J21" s="9">
        <f>'23年度'!J22-'23予測'!J21</f>
        <v>12350</v>
      </c>
      <c r="K21" s="9">
        <f>'23年度'!K22-'23予測'!K21</f>
        <v>-5450</v>
      </c>
      <c r="L21" s="14"/>
      <c r="M21" s="14"/>
      <c r="N21" s="14"/>
      <c r="O21" s="9">
        <f t="shared" si="2"/>
        <v>-2500</v>
      </c>
      <c r="P21" s="14">
        <f t="shared" si="3"/>
        <v>-103100</v>
      </c>
    </row>
    <row r="22" spans="1:16" ht="12.95" customHeight="1" x14ac:dyDescent="0.15">
      <c r="A22" s="27" t="s">
        <v>130</v>
      </c>
      <c r="B22" s="14">
        <f>'23年度'!B23-'23予測'!B22</f>
        <v>2700</v>
      </c>
      <c r="C22" s="14">
        <f>'23年度'!C23-'23予測'!C22</f>
        <v>-11150</v>
      </c>
      <c r="D22" s="14">
        <f>'23年度'!D23-'23予測'!D22</f>
        <v>-39700</v>
      </c>
      <c r="E22" s="14">
        <f>'23年度'!E23-'23予測'!E22</f>
        <v>-52500</v>
      </c>
      <c r="F22" s="14">
        <f>'23年度'!F23-'23予測'!F22</f>
        <v>8100</v>
      </c>
      <c r="G22" s="14">
        <f>'23年度'!G23-'23予測'!G22</f>
        <v>-44800</v>
      </c>
      <c r="H22" s="14">
        <f t="shared" si="1"/>
        <v>-137350</v>
      </c>
      <c r="I22" s="9">
        <f>'23年度'!I23-'23予測'!I22</f>
        <v>-5200</v>
      </c>
      <c r="J22" s="9">
        <f>'23年度'!J23-'23予測'!J22</f>
        <v>-14950</v>
      </c>
      <c r="K22" s="9">
        <f>'23年度'!K23-'23予測'!K22</f>
        <v>9900</v>
      </c>
      <c r="L22" s="14"/>
      <c r="M22" s="14"/>
      <c r="N22" s="14"/>
      <c r="O22" s="9">
        <f t="shared" si="2"/>
        <v>-10250</v>
      </c>
      <c r="P22" s="14">
        <f t="shared" si="3"/>
        <v>-147600</v>
      </c>
    </row>
    <row r="23" spans="1:16" ht="12.95" customHeight="1" x14ac:dyDescent="0.15">
      <c r="A23" s="20" t="s">
        <v>99</v>
      </c>
      <c r="B23" s="14">
        <f>'23年度'!B24-'23予測'!B23</f>
        <v>305000</v>
      </c>
      <c r="C23" s="14">
        <f>'23年度'!C24-'23予測'!C23</f>
        <v>-5000</v>
      </c>
      <c r="D23" s="14">
        <f>'23年度'!D24-'23予測'!D23</f>
        <v>-5000</v>
      </c>
      <c r="E23" s="14">
        <f>'23年度'!E24-'23予測'!E23</f>
        <v>-5000</v>
      </c>
      <c r="F23" s="14">
        <f>'23年度'!F24-'23予測'!F23</f>
        <v>-5000</v>
      </c>
      <c r="G23" s="14">
        <f>'23年度'!G24-'23予測'!G23</f>
        <v>-5000</v>
      </c>
      <c r="H23" s="14">
        <f t="shared" si="1"/>
        <v>280000</v>
      </c>
      <c r="I23" s="9">
        <f>'23年度'!I24-'23予測'!I23</f>
        <v>-5000</v>
      </c>
      <c r="J23" s="9">
        <f>'23年度'!J24-'23予測'!J23</f>
        <v>-5000</v>
      </c>
      <c r="K23" s="9">
        <f>'23年度'!K24-'23予測'!K23</f>
        <v>-5000</v>
      </c>
      <c r="L23" s="14"/>
      <c r="M23" s="14"/>
      <c r="N23" s="14"/>
      <c r="O23" s="14">
        <f t="shared" si="2"/>
        <v>-15000</v>
      </c>
      <c r="P23" s="14">
        <f t="shared" si="3"/>
        <v>265000</v>
      </c>
    </row>
    <row r="24" spans="1:16" x14ac:dyDescent="0.15">
      <c r="A24" s="19" t="s">
        <v>11</v>
      </c>
      <c r="B24" s="14">
        <f>'23年度'!B25-'23予測'!B24</f>
        <v>-25000</v>
      </c>
      <c r="C24" s="14">
        <f>'23年度'!C25-'23予測'!C24</f>
        <v>52000</v>
      </c>
      <c r="D24" s="14">
        <f>'23年度'!D25-'23予測'!D24</f>
        <v>-5000</v>
      </c>
      <c r="E24" s="14">
        <f>'23年度'!E25-'23予測'!E24</f>
        <v>121000</v>
      </c>
      <c r="F24" s="14">
        <f>'23年度'!F25-'23予測'!F24</f>
        <v>40000</v>
      </c>
      <c r="G24" s="14">
        <f>'23年度'!G25-'23予測'!G24</f>
        <v>-30000</v>
      </c>
      <c r="H24" s="10">
        <f t="shared" si="1"/>
        <v>153000</v>
      </c>
      <c r="I24" s="9">
        <f>'23年度'!I25-'23予測'!I24</f>
        <v>-30000</v>
      </c>
      <c r="J24" s="9">
        <f>'23年度'!J25-'23予測'!J24</f>
        <v>25000</v>
      </c>
      <c r="K24" s="9">
        <f>'23年度'!K25-'23予測'!K24</f>
        <v>75000</v>
      </c>
      <c r="L24" s="10"/>
      <c r="M24" s="10"/>
      <c r="N24" s="10"/>
      <c r="O24" s="10">
        <f t="shared" si="2"/>
        <v>70000</v>
      </c>
      <c r="P24" s="10">
        <f t="shared" si="3"/>
        <v>223000</v>
      </c>
    </row>
    <row r="25" spans="1:16" x14ac:dyDescent="0.15">
      <c r="A25" s="19" t="s">
        <v>125</v>
      </c>
      <c r="B25" s="14">
        <f>'23年度'!B26-'23予測'!B25</f>
        <v>-9384</v>
      </c>
      <c r="C25" s="14">
        <f>'23年度'!C26-'23予測'!C25</f>
        <v>10210</v>
      </c>
      <c r="D25" s="14">
        <f>'23年度'!D26-'23予測'!D25</f>
        <v>15575</v>
      </c>
      <c r="E25" s="14">
        <f>'23年度'!E26-'23予測'!E25</f>
        <v>-285142</v>
      </c>
      <c r="F25" s="14">
        <f>'23年度'!F26-'23予測'!F25</f>
        <v>17745</v>
      </c>
      <c r="G25" s="14">
        <f>'23年度'!G26-'23予測'!G25</f>
        <v>266277</v>
      </c>
      <c r="H25" s="10">
        <f t="shared" si="1"/>
        <v>15281</v>
      </c>
      <c r="I25" s="9">
        <f>'23年度'!I26-'23予測'!I25</f>
        <v>26086</v>
      </c>
      <c r="J25" s="9">
        <f>'23年度'!J26-'23予測'!J25</f>
        <v>508754</v>
      </c>
      <c r="K25" s="9">
        <f>'23年度'!K26-'23予測'!K25</f>
        <v>22028</v>
      </c>
      <c r="L25" s="10"/>
      <c r="M25" s="10"/>
      <c r="N25" s="10"/>
      <c r="O25" s="10">
        <f t="shared" si="2"/>
        <v>556868</v>
      </c>
      <c r="P25" s="10">
        <f t="shared" si="3"/>
        <v>572149</v>
      </c>
    </row>
    <row r="26" spans="1:16" x14ac:dyDescent="0.15">
      <c r="A26" s="19" t="s">
        <v>12</v>
      </c>
      <c r="B26" s="14">
        <f>'23年度'!B27-'23予測'!B26</f>
        <v>148581</v>
      </c>
      <c r="C26" s="14">
        <f>'23年度'!C27-'23予測'!C26</f>
        <v>6445</v>
      </c>
      <c r="D26" s="14">
        <f>'23年度'!D27-'23予測'!D26</f>
        <v>17690</v>
      </c>
      <c r="E26" s="14">
        <f>'23年度'!E27-'23予測'!E26</f>
        <v>-8740</v>
      </c>
      <c r="F26" s="14">
        <f>'23年度'!F27-'23予測'!F26</f>
        <v>19429</v>
      </c>
      <c r="G26" s="14">
        <f>'23年度'!G27-'23予測'!G26</f>
        <v>21380</v>
      </c>
      <c r="H26" s="10">
        <f t="shared" si="1"/>
        <v>204785</v>
      </c>
      <c r="I26" s="9">
        <f>'23年度'!I27-'23予測'!I26</f>
        <v>29670</v>
      </c>
      <c r="J26" s="9">
        <f>'23年度'!J27-'23予測'!J26</f>
        <v>-5560</v>
      </c>
      <c r="K26" s="9">
        <f>'23年度'!K27-'23予測'!K26</f>
        <v>15005</v>
      </c>
      <c r="L26" s="10"/>
      <c r="M26" s="10"/>
      <c r="N26" s="10"/>
      <c r="O26" s="10">
        <f t="shared" si="2"/>
        <v>39115</v>
      </c>
      <c r="P26" s="10">
        <f t="shared" si="3"/>
        <v>243900</v>
      </c>
    </row>
    <row r="27" spans="1:16" x14ac:dyDescent="0.15">
      <c r="A27" s="22" t="s">
        <v>13</v>
      </c>
      <c r="B27" s="10">
        <f t="shared" ref="B27:G27" si="5">B4+B8+B24+B25+B26</f>
        <v>765680</v>
      </c>
      <c r="C27" s="10">
        <f t="shared" si="5"/>
        <v>-235285</v>
      </c>
      <c r="D27" s="10">
        <f t="shared" si="5"/>
        <v>-183945</v>
      </c>
      <c r="E27" s="10">
        <f t="shared" si="5"/>
        <v>-649152</v>
      </c>
      <c r="F27" s="10">
        <f t="shared" si="5"/>
        <v>-245066</v>
      </c>
      <c r="G27" s="10">
        <f t="shared" si="5"/>
        <v>-633293</v>
      </c>
      <c r="H27" s="10">
        <f t="shared" si="1"/>
        <v>-1181061</v>
      </c>
      <c r="I27" s="10">
        <f t="shared" ref="I27:N27" si="6">I4+I8+I24+I25+I26</f>
        <v>-338514</v>
      </c>
      <c r="J27" s="10">
        <f t="shared" si="6"/>
        <v>-985646</v>
      </c>
      <c r="K27" s="10">
        <f t="shared" si="6"/>
        <v>-1337777</v>
      </c>
      <c r="L27" s="10">
        <f t="shared" si="6"/>
        <v>0</v>
      </c>
      <c r="M27" s="10">
        <f t="shared" si="6"/>
        <v>0</v>
      </c>
      <c r="N27" s="10">
        <f t="shared" si="6"/>
        <v>0</v>
      </c>
      <c r="O27" s="10">
        <f t="shared" si="2"/>
        <v>-2661937</v>
      </c>
      <c r="P27" s="10">
        <f t="shared" si="3"/>
        <v>-3842998</v>
      </c>
    </row>
    <row r="28" spans="1:16" x14ac:dyDescent="0.15">
      <c r="A28" s="7" t="s">
        <v>124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15">
      <c r="A29" s="4" t="s">
        <v>15</v>
      </c>
      <c r="B29" s="2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15">
      <c r="A30" s="7" t="s">
        <v>16</v>
      </c>
      <c r="B30" s="10">
        <f t="shared" ref="B30:N30" si="7">SUM(B31:B35)</f>
        <v>836706</v>
      </c>
      <c r="C30" s="10">
        <f t="shared" si="7"/>
        <v>266021</v>
      </c>
      <c r="D30" s="10">
        <f t="shared" si="7"/>
        <v>96094</v>
      </c>
      <c r="E30" s="10">
        <f t="shared" si="7"/>
        <v>-1708592</v>
      </c>
      <c r="F30" s="10">
        <f t="shared" si="7"/>
        <v>950236</v>
      </c>
      <c r="G30" s="10">
        <f t="shared" si="7"/>
        <v>286513</v>
      </c>
      <c r="H30" s="10">
        <f t="shared" ref="H30:H67" si="8">SUM(B30:G30)</f>
        <v>726978</v>
      </c>
      <c r="I30" s="10">
        <f t="shared" si="7"/>
        <v>101852</v>
      </c>
      <c r="J30" s="10">
        <f t="shared" si="7"/>
        <v>-25862</v>
      </c>
      <c r="K30" s="10">
        <f t="shared" si="7"/>
        <v>-6571322</v>
      </c>
      <c r="L30" s="10">
        <f t="shared" si="7"/>
        <v>0</v>
      </c>
      <c r="M30" s="10">
        <f t="shared" si="7"/>
        <v>0</v>
      </c>
      <c r="N30" s="10">
        <f t="shared" si="7"/>
        <v>0</v>
      </c>
      <c r="O30" s="10">
        <f t="shared" si="2"/>
        <v>-6495332</v>
      </c>
      <c r="P30" s="10">
        <f t="shared" si="3"/>
        <v>-5768354</v>
      </c>
    </row>
    <row r="31" spans="1:16" ht="12.95" customHeight="1" x14ac:dyDescent="0.15">
      <c r="A31" s="4" t="s">
        <v>100</v>
      </c>
      <c r="B31" s="14">
        <f>'23年度'!B32-'23予測'!B31</f>
        <v>0</v>
      </c>
      <c r="C31" s="14">
        <f>'23年度'!C32-'23予測'!C31</f>
        <v>0</v>
      </c>
      <c r="D31" s="14">
        <f>'23年度'!D32-'23予測'!D31</f>
        <v>0</v>
      </c>
      <c r="E31" s="14">
        <f>'23年度'!E32-'23予測'!E31</f>
        <v>0</v>
      </c>
      <c r="F31" s="14">
        <f>'23年度'!F32-'23予測'!F31</f>
        <v>0</v>
      </c>
      <c r="G31" s="14">
        <f>'23年度'!G32-'23予測'!G31</f>
        <v>0</v>
      </c>
      <c r="H31" s="9">
        <f t="shared" si="8"/>
        <v>0</v>
      </c>
      <c r="I31" s="9">
        <f>'23年度'!I32-'23予測'!I31</f>
        <v>0</v>
      </c>
      <c r="J31" s="9">
        <f>'23年度'!J32-'23予測'!J31</f>
        <v>0</v>
      </c>
      <c r="K31" s="9">
        <f>'23年度'!K32-'23予測'!K31</f>
        <v>0</v>
      </c>
      <c r="L31" s="9"/>
      <c r="M31" s="9"/>
      <c r="N31" s="9"/>
      <c r="O31" s="9">
        <f t="shared" si="2"/>
        <v>0</v>
      </c>
      <c r="P31" s="9">
        <f t="shared" si="3"/>
        <v>0</v>
      </c>
    </row>
    <row r="32" spans="1:16" ht="12.95" customHeight="1" x14ac:dyDescent="0.15">
      <c r="A32" s="4" t="s">
        <v>101</v>
      </c>
      <c r="B32" s="14">
        <f>'23年度'!B33-'23予測'!B32</f>
        <v>748150</v>
      </c>
      <c r="C32" s="14">
        <f>'23年度'!C33-'23予測'!C32</f>
        <v>364650</v>
      </c>
      <c r="D32" s="14">
        <f>'23年度'!D33-'23予測'!D32</f>
        <v>125300</v>
      </c>
      <c r="E32" s="14">
        <f>'23年度'!E33-'23予測'!E32</f>
        <v>8311288</v>
      </c>
      <c r="F32" s="14">
        <f>'23年度'!F33-'23予測'!F32</f>
        <v>839750</v>
      </c>
      <c r="G32" s="14">
        <f>'23年度'!G33-'23予測'!G32</f>
        <v>430500</v>
      </c>
      <c r="H32" s="9">
        <f t="shared" si="8"/>
        <v>10819638</v>
      </c>
      <c r="I32" s="9">
        <f>'23年度'!I33-'23予測'!I32</f>
        <v>145950</v>
      </c>
      <c r="J32" s="9">
        <f>'23年度'!J33-'23予測'!J32</f>
        <v>83750</v>
      </c>
      <c r="K32" s="9">
        <f>'23年度'!K33-'23予測'!K32</f>
        <v>4576598</v>
      </c>
      <c r="L32" s="9"/>
      <c r="M32" s="9"/>
      <c r="N32" s="9"/>
      <c r="O32" s="9">
        <f t="shared" si="2"/>
        <v>4806298</v>
      </c>
      <c r="P32" s="9">
        <f t="shared" si="3"/>
        <v>15625936</v>
      </c>
    </row>
    <row r="33" spans="1:16" ht="12.95" customHeight="1" x14ac:dyDescent="0.15">
      <c r="A33" s="4" t="s">
        <v>102</v>
      </c>
      <c r="B33" s="14">
        <f>'23年度'!B34-'23予測'!B33</f>
        <v>44400</v>
      </c>
      <c r="C33" s="14">
        <f>'23年度'!C34-'23予測'!C33</f>
        <v>-128320</v>
      </c>
      <c r="D33" s="14">
        <f>'23年度'!D34-'23予測'!D33</f>
        <v>-77160</v>
      </c>
      <c r="E33" s="14">
        <f>'23年度'!E34-'23予測'!E33</f>
        <v>1212867</v>
      </c>
      <c r="F33" s="14">
        <f>'23年度'!F34-'23予測'!F33</f>
        <v>62780</v>
      </c>
      <c r="G33" s="14">
        <f>'23年度'!G34-'23予測'!G33</f>
        <v>-193260</v>
      </c>
      <c r="H33" s="14">
        <f t="shared" si="8"/>
        <v>921307</v>
      </c>
      <c r="I33" s="9">
        <f>'23年度'!I34-'23予測'!I33</f>
        <v>-204460</v>
      </c>
      <c r="J33" s="9">
        <f>'23年度'!J34-'23予測'!J33</f>
        <v>-271670</v>
      </c>
      <c r="K33" s="9">
        <f>'23年度'!K34-'23予測'!K33</f>
        <v>-308820</v>
      </c>
      <c r="L33" s="13"/>
      <c r="M33" s="14"/>
      <c r="N33" s="14"/>
      <c r="O33" s="14">
        <f t="shared" si="2"/>
        <v>-784950</v>
      </c>
      <c r="P33" s="14">
        <f t="shared" si="3"/>
        <v>136357</v>
      </c>
    </row>
    <row r="34" spans="1:16" ht="12.95" customHeight="1" x14ac:dyDescent="0.15">
      <c r="A34" s="4" t="s">
        <v>19</v>
      </c>
      <c r="B34" s="14">
        <f>'23年度'!B35-'23予測'!B34</f>
        <v>44156</v>
      </c>
      <c r="C34" s="14">
        <f>'23年度'!C35-'23予測'!C34</f>
        <v>29691</v>
      </c>
      <c r="D34" s="14">
        <f>'23年度'!D35-'23予測'!D34</f>
        <v>47954</v>
      </c>
      <c r="E34" s="14">
        <f>'23年度'!E35-'23予測'!E34</f>
        <v>-232747</v>
      </c>
      <c r="F34" s="14">
        <f>'23年度'!F35-'23予測'!F34</f>
        <v>47706</v>
      </c>
      <c r="G34" s="14">
        <f>'23年度'!G35-'23予測'!G34</f>
        <v>49273</v>
      </c>
      <c r="H34" s="9">
        <f t="shared" si="8"/>
        <v>-13967</v>
      </c>
      <c r="I34" s="9">
        <f>'23年度'!I35-'23予測'!I34</f>
        <v>160362</v>
      </c>
      <c r="J34" s="9">
        <f>'23年度'!J35-'23予測'!J34</f>
        <v>162058</v>
      </c>
      <c r="K34" s="9">
        <f>'23年度'!K35-'23予測'!K34</f>
        <v>160900</v>
      </c>
      <c r="L34" s="9"/>
      <c r="M34" s="9"/>
      <c r="N34" s="9"/>
      <c r="O34" s="13">
        <f t="shared" si="2"/>
        <v>483320</v>
      </c>
      <c r="P34" s="9">
        <f t="shared" si="3"/>
        <v>469353</v>
      </c>
    </row>
    <row r="35" spans="1:16" ht="12.95" customHeight="1" x14ac:dyDescent="0.15">
      <c r="A35" s="4" t="s">
        <v>117</v>
      </c>
      <c r="B35" s="14">
        <f>'23年度'!B36-'23予測'!B35</f>
        <v>0</v>
      </c>
      <c r="C35" s="14">
        <f>'23年度'!C36-'23予測'!C35</f>
        <v>0</v>
      </c>
      <c r="D35" s="14">
        <f>'23年度'!D36-'23予測'!D35</f>
        <v>0</v>
      </c>
      <c r="E35" s="14">
        <f>'23年度'!E36-'23予測'!E35</f>
        <v>-11000000</v>
      </c>
      <c r="F35" s="14">
        <f>'23年度'!F36-'23予測'!F35</f>
        <v>0</v>
      </c>
      <c r="G35" s="14">
        <f>'23年度'!G36-'23予測'!G35</f>
        <v>0</v>
      </c>
      <c r="H35" s="9">
        <f t="shared" si="8"/>
        <v>-11000000</v>
      </c>
      <c r="I35" s="9">
        <f>'23年度'!I36-'23予測'!I35</f>
        <v>0</v>
      </c>
      <c r="J35" s="9">
        <f>'23年度'!J36-'23予測'!J35</f>
        <v>0</v>
      </c>
      <c r="K35" s="9">
        <f>'23年度'!K36-'23予測'!K35</f>
        <v>-11000000</v>
      </c>
      <c r="L35" s="9"/>
      <c r="M35" s="9"/>
      <c r="N35" s="9"/>
      <c r="O35" s="13">
        <f t="shared" si="2"/>
        <v>-11000000</v>
      </c>
      <c r="P35" s="9">
        <f t="shared" si="3"/>
        <v>-22000000</v>
      </c>
    </row>
    <row r="36" spans="1:16" x14ac:dyDescent="0.15">
      <c r="A36" s="7" t="s">
        <v>20</v>
      </c>
      <c r="B36" s="10">
        <f t="shared" ref="B36:N36" si="9">SUM(B37:B61)</f>
        <v>-336874</v>
      </c>
      <c r="C36" s="10">
        <f t="shared" si="9"/>
        <v>1327260</v>
      </c>
      <c r="D36" s="10">
        <f t="shared" si="9"/>
        <v>25380</v>
      </c>
      <c r="E36" s="10">
        <f t="shared" si="9"/>
        <v>-51901</v>
      </c>
      <c r="F36" s="10">
        <f t="shared" si="9"/>
        <v>1094050</v>
      </c>
      <c r="G36" s="10">
        <f t="shared" si="9"/>
        <v>1705696</v>
      </c>
      <c r="H36" s="10">
        <f t="shared" si="8"/>
        <v>3763611</v>
      </c>
      <c r="I36" s="10">
        <f t="shared" si="9"/>
        <v>-424468</v>
      </c>
      <c r="J36" s="10">
        <f t="shared" si="9"/>
        <v>457937</v>
      </c>
      <c r="K36" s="10">
        <f t="shared" si="9"/>
        <v>-907304</v>
      </c>
      <c r="L36" s="10">
        <f t="shared" si="9"/>
        <v>0</v>
      </c>
      <c r="M36" s="10">
        <f t="shared" si="9"/>
        <v>0</v>
      </c>
      <c r="N36" s="10">
        <f t="shared" si="9"/>
        <v>0</v>
      </c>
      <c r="O36" s="10">
        <f t="shared" si="2"/>
        <v>-873835</v>
      </c>
      <c r="P36" s="10">
        <f t="shared" si="3"/>
        <v>2889776</v>
      </c>
    </row>
    <row r="37" spans="1:16" ht="12.95" customHeight="1" x14ac:dyDescent="0.15">
      <c r="A37" s="4" t="s">
        <v>21</v>
      </c>
      <c r="B37" s="14">
        <f>'23年度'!B38-'23予測'!B37</f>
        <v>-31500</v>
      </c>
      <c r="C37" s="14">
        <f>'23年度'!C38-'23予測'!C37</f>
        <v>2000</v>
      </c>
      <c r="D37" s="14">
        <f>'23年度'!D38-'23予測'!D37</f>
        <v>-40217</v>
      </c>
      <c r="E37" s="14">
        <f>'23年度'!E38-'23予測'!E37</f>
        <v>-32640</v>
      </c>
      <c r="F37" s="14">
        <f>'23年度'!F38-'23予測'!F37</f>
        <v>478</v>
      </c>
      <c r="G37" s="14">
        <f>'23年度'!G38-'23予測'!G37</f>
        <v>-59000</v>
      </c>
      <c r="H37" s="9">
        <f t="shared" si="8"/>
        <v>-160879</v>
      </c>
      <c r="I37" s="9">
        <f>'23年度'!I38-'23予測'!I37</f>
        <v>-2117</v>
      </c>
      <c r="J37" s="9">
        <f>'23年度'!J38-'23予測'!J37</f>
        <v>10883</v>
      </c>
      <c r="K37" s="9">
        <f>'23年度'!K38-'23予測'!K37</f>
        <v>43941</v>
      </c>
      <c r="L37" s="9"/>
      <c r="M37" s="9"/>
      <c r="N37" s="9"/>
      <c r="O37" s="13">
        <f t="shared" si="2"/>
        <v>52707</v>
      </c>
      <c r="P37" s="9">
        <f t="shared" si="3"/>
        <v>-108172</v>
      </c>
    </row>
    <row r="38" spans="1:16" ht="12.95" customHeight="1" x14ac:dyDescent="0.15">
      <c r="A38" s="4" t="s">
        <v>22</v>
      </c>
      <c r="B38" s="14">
        <f>'23年度'!B39-'23予測'!B38</f>
        <v>-10000</v>
      </c>
      <c r="C38" s="14">
        <f>'23年度'!C39-'23予測'!C38</f>
        <v>-5000</v>
      </c>
      <c r="D38" s="14">
        <f>'23年度'!D39-'23予測'!D38</f>
        <v>-5000</v>
      </c>
      <c r="E38" s="14">
        <f>'23年度'!E39-'23予測'!E38</f>
        <v>-5000</v>
      </c>
      <c r="F38" s="14">
        <f>'23年度'!F39-'23予測'!F38</f>
        <v>-5000</v>
      </c>
      <c r="G38" s="14">
        <f>'23年度'!G39-'23予測'!G38</f>
        <v>-5000</v>
      </c>
      <c r="H38" s="9">
        <f t="shared" si="8"/>
        <v>-35000</v>
      </c>
      <c r="I38" s="9">
        <f>'23年度'!I39-'23予測'!I38</f>
        <v>-10000</v>
      </c>
      <c r="J38" s="9">
        <f>'23年度'!J39-'23予測'!J38</f>
        <v>0</v>
      </c>
      <c r="K38" s="9">
        <f>'23年度'!K39-'23予測'!K38</f>
        <v>-5000</v>
      </c>
      <c r="L38" s="9"/>
      <c r="M38" s="9"/>
      <c r="N38" s="9"/>
      <c r="O38" s="13">
        <f t="shared" si="2"/>
        <v>-15000</v>
      </c>
      <c r="P38" s="9">
        <f t="shared" si="3"/>
        <v>-50000</v>
      </c>
    </row>
    <row r="39" spans="1:16" ht="12.95" customHeight="1" x14ac:dyDescent="0.15">
      <c r="A39" s="4" t="s">
        <v>103</v>
      </c>
      <c r="B39" s="14">
        <f>'23年度'!B40-'23予測'!B39</f>
        <v>-47312</v>
      </c>
      <c r="C39" s="14">
        <f>'23年度'!C40-'23予測'!C39</f>
        <v>-10936</v>
      </c>
      <c r="D39" s="14">
        <f>'23年度'!D40-'23予測'!D39</f>
        <v>-35733</v>
      </c>
      <c r="E39" s="14">
        <f>'23年度'!E40-'23予測'!E39</f>
        <v>-40652</v>
      </c>
      <c r="F39" s="14">
        <f>'23年度'!F40-'23予測'!F39</f>
        <v>-9483</v>
      </c>
      <c r="G39" s="14">
        <f>'23年度'!G40-'23予測'!G39</f>
        <v>-30442</v>
      </c>
      <c r="H39" s="9">
        <f t="shared" si="8"/>
        <v>-174558</v>
      </c>
      <c r="I39" s="9">
        <f>'23年度'!I40-'23予測'!I39</f>
        <v>-41822</v>
      </c>
      <c r="J39" s="9">
        <f>'23年度'!J40-'23予測'!J39</f>
        <v>-28627</v>
      </c>
      <c r="K39" s="9">
        <f>'23年度'!K40-'23予測'!K39</f>
        <v>-47374</v>
      </c>
      <c r="L39" s="9"/>
      <c r="M39" s="9"/>
      <c r="N39" s="9"/>
      <c r="O39" s="13">
        <f t="shared" si="2"/>
        <v>-117823</v>
      </c>
      <c r="P39" s="9">
        <f t="shared" si="3"/>
        <v>-292381</v>
      </c>
    </row>
    <row r="40" spans="1:16" ht="12.95" customHeight="1" x14ac:dyDescent="0.15">
      <c r="A40" s="4" t="s">
        <v>24</v>
      </c>
      <c r="B40" s="14">
        <f>'23年度'!B41-'23予測'!B40</f>
        <v>7314</v>
      </c>
      <c r="C40" s="14">
        <f>'23年度'!C41-'23予測'!C40</f>
        <v>18302</v>
      </c>
      <c r="D40" s="14">
        <f>'23年度'!D41-'23予測'!D40</f>
        <v>-14339</v>
      </c>
      <c r="E40" s="14">
        <f>'23年度'!E41-'23予測'!E40</f>
        <v>18039</v>
      </c>
      <c r="F40" s="14">
        <f>'23年度'!F41-'23予測'!F40</f>
        <v>20920</v>
      </c>
      <c r="G40" s="14">
        <f>'23年度'!G41-'23予測'!G40</f>
        <v>2827</v>
      </c>
      <c r="H40" s="9">
        <f t="shared" si="8"/>
        <v>53063</v>
      </c>
      <c r="I40" s="9">
        <f>'23年度'!I41-'23予測'!I40</f>
        <v>-11089</v>
      </c>
      <c r="J40" s="9">
        <f>'23年度'!J41-'23予測'!J40</f>
        <v>-8143</v>
      </c>
      <c r="K40" s="9">
        <f>'23年度'!K41-'23予測'!K40</f>
        <v>-9117</v>
      </c>
      <c r="L40" s="9"/>
      <c r="M40" s="9"/>
      <c r="N40" s="9"/>
      <c r="O40" s="13">
        <f t="shared" si="2"/>
        <v>-28349</v>
      </c>
      <c r="P40" s="9">
        <f t="shared" si="3"/>
        <v>24714</v>
      </c>
    </row>
    <row r="41" spans="1:16" ht="12.95" customHeight="1" x14ac:dyDescent="0.15">
      <c r="A41" s="4" t="s">
        <v>104</v>
      </c>
      <c r="B41" s="14">
        <f>'23年度'!B42-'23予測'!B41</f>
        <v>78803</v>
      </c>
      <c r="C41" s="14">
        <f>'23年度'!C42-'23予測'!C41</f>
        <v>9975</v>
      </c>
      <c r="D41" s="14">
        <f>'23年度'!D42-'23予測'!D41</f>
        <v>9975</v>
      </c>
      <c r="E41" s="14">
        <f>'23年度'!E42-'23予測'!E41</f>
        <v>200100</v>
      </c>
      <c r="F41" s="14">
        <f>'23年度'!F42-'23予測'!F41</f>
        <v>10240</v>
      </c>
      <c r="G41" s="14">
        <f>'23年度'!G42-'23予測'!G41</f>
        <v>73305</v>
      </c>
      <c r="H41" s="9">
        <f t="shared" si="8"/>
        <v>382398</v>
      </c>
      <c r="I41" s="9">
        <f>'23年度'!I42-'23予測'!I41</f>
        <v>54635</v>
      </c>
      <c r="J41" s="9">
        <f>'23年度'!J42-'23予測'!J41</f>
        <v>289800</v>
      </c>
      <c r="K41" s="9">
        <f>'23年度'!K42-'23予測'!K41</f>
        <v>-79655</v>
      </c>
      <c r="L41" s="9"/>
      <c r="M41" s="9"/>
      <c r="N41" s="9"/>
      <c r="O41" s="13">
        <f t="shared" si="2"/>
        <v>264780</v>
      </c>
      <c r="P41" s="9">
        <f t="shared" si="3"/>
        <v>647178</v>
      </c>
    </row>
    <row r="42" spans="1:16" ht="12.95" customHeight="1" x14ac:dyDescent="0.15">
      <c r="A42" s="4" t="s">
        <v>105</v>
      </c>
      <c r="B42" s="14">
        <f>'23年度'!B43-'23予測'!B42</f>
        <v>-50000</v>
      </c>
      <c r="C42" s="14">
        <f>'23年度'!C43-'23予測'!C42</f>
        <v>28875</v>
      </c>
      <c r="D42" s="14">
        <f>'23年度'!D43-'23予測'!D42</f>
        <v>379</v>
      </c>
      <c r="E42" s="14">
        <f>'23年度'!E43-'23予測'!E42</f>
        <v>1004</v>
      </c>
      <c r="F42" s="14">
        <f>'23年度'!F43-'23予測'!F42</f>
        <v>0</v>
      </c>
      <c r="G42" s="14">
        <f>'23年度'!G43-'23予測'!G42</f>
        <v>-30000</v>
      </c>
      <c r="H42" s="9">
        <f t="shared" si="8"/>
        <v>-49742</v>
      </c>
      <c r="I42" s="9">
        <f>'23年度'!I43-'23予測'!I42</f>
        <v>-20000</v>
      </c>
      <c r="J42" s="9">
        <f>'23年度'!J43-'23予測'!J42</f>
        <v>35320</v>
      </c>
      <c r="K42" s="9">
        <f>'23年度'!K43-'23予測'!K42</f>
        <v>-20000</v>
      </c>
      <c r="L42" s="9"/>
      <c r="M42" s="9"/>
      <c r="N42" s="9"/>
      <c r="O42" s="13">
        <f t="shared" si="2"/>
        <v>-4680</v>
      </c>
      <c r="P42" s="9">
        <f t="shared" si="3"/>
        <v>-54422</v>
      </c>
    </row>
    <row r="43" spans="1:16" ht="12.95" customHeight="1" x14ac:dyDescent="0.15">
      <c r="A43" s="4" t="s">
        <v>106</v>
      </c>
      <c r="B43" s="14">
        <f>'23年度'!B44-'23予測'!B43</f>
        <v>25443</v>
      </c>
      <c r="C43" s="14">
        <f>'23年度'!C44-'23予測'!C43</f>
        <v>-15114</v>
      </c>
      <c r="D43" s="14">
        <f>'23年度'!D44-'23予測'!D43</f>
        <v>9848</v>
      </c>
      <c r="E43" s="14">
        <f>'23年度'!E44-'23予測'!E43</f>
        <v>25147</v>
      </c>
      <c r="F43" s="14">
        <f>'23年度'!F44-'23予測'!F43</f>
        <v>105470</v>
      </c>
      <c r="G43" s="14">
        <f>'23年度'!G44-'23予測'!G43</f>
        <v>2851</v>
      </c>
      <c r="H43" s="9">
        <f t="shared" si="8"/>
        <v>153645</v>
      </c>
      <c r="I43" s="9">
        <f>'23年度'!I44-'23予測'!I43</f>
        <v>-31699</v>
      </c>
      <c r="J43" s="9">
        <f>'23年度'!J44-'23予測'!J43</f>
        <v>-28339</v>
      </c>
      <c r="K43" s="9">
        <f>'23年度'!K44-'23予測'!K43</f>
        <v>36045</v>
      </c>
      <c r="L43" s="9"/>
      <c r="M43" s="9"/>
      <c r="N43" s="9"/>
      <c r="O43" s="13">
        <f t="shared" si="2"/>
        <v>-23993</v>
      </c>
      <c r="P43" s="9">
        <f t="shared" si="3"/>
        <v>129652</v>
      </c>
    </row>
    <row r="44" spans="1:16" ht="12.95" customHeight="1" x14ac:dyDescent="0.15">
      <c r="A44" s="4" t="s">
        <v>28</v>
      </c>
      <c r="B44" s="14">
        <f>'23年度'!B45-'23予測'!B44</f>
        <v>-5120</v>
      </c>
      <c r="C44" s="14">
        <f>'23年度'!C45-'23予測'!C44</f>
        <v>-17160</v>
      </c>
      <c r="D44" s="14">
        <f>'23年度'!D45-'23予測'!D44</f>
        <v>2710</v>
      </c>
      <c r="E44" s="14">
        <f>'23年度'!E45-'23予測'!E44</f>
        <v>6410</v>
      </c>
      <c r="F44" s="14">
        <f>'23年度'!F45-'23予測'!F44</f>
        <v>-1540</v>
      </c>
      <c r="G44" s="14">
        <f>'23年度'!G45-'23予測'!G44</f>
        <v>19310</v>
      </c>
      <c r="H44" s="9">
        <f t="shared" si="8"/>
        <v>4610</v>
      </c>
      <c r="I44" s="9">
        <f>'23年度'!I45-'23予測'!I44</f>
        <v>-7340</v>
      </c>
      <c r="J44" s="9">
        <f>'23年度'!J45-'23予測'!J44</f>
        <v>16255</v>
      </c>
      <c r="K44" s="9">
        <f>'23年度'!K45-'23予測'!K44</f>
        <v>-7790</v>
      </c>
      <c r="L44" s="9"/>
      <c r="M44" s="9"/>
      <c r="N44" s="9"/>
      <c r="O44" s="13">
        <f t="shared" si="2"/>
        <v>1125</v>
      </c>
      <c r="P44" s="9">
        <f t="shared" si="3"/>
        <v>5735</v>
      </c>
    </row>
    <row r="45" spans="1:16" ht="12.95" customHeight="1" x14ac:dyDescent="0.15">
      <c r="A45" s="4" t="s">
        <v>107</v>
      </c>
      <c r="B45" s="14">
        <f>'23年度'!B46-'23予測'!B45</f>
        <v>-20000</v>
      </c>
      <c r="C45" s="14">
        <f>'23年度'!C46-'23予測'!C45</f>
        <v>-4000</v>
      </c>
      <c r="D45" s="14">
        <f>'23年度'!D46-'23予測'!D45</f>
        <v>19640</v>
      </c>
      <c r="E45" s="14">
        <f>'23年度'!E46-'23予測'!E45</f>
        <v>-1800</v>
      </c>
      <c r="F45" s="14">
        <f>'23年度'!F46-'23予測'!F45</f>
        <v>-15422</v>
      </c>
      <c r="G45" s="14">
        <f>'23年度'!G46-'23予測'!G45</f>
        <v>4000</v>
      </c>
      <c r="H45" s="9">
        <f t="shared" si="8"/>
        <v>-17582</v>
      </c>
      <c r="I45" s="9">
        <f>'23年度'!I46-'23予測'!I45</f>
        <v>12500</v>
      </c>
      <c r="J45" s="9">
        <f>'23年度'!J46-'23予測'!J45</f>
        <v>-11000</v>
      </c>
      <c r="K45" s="9">
        <f>'23年度'!K46-'23予測'!K45</f>
        <v>-2000</v>
      </c>
      <c r="L45" s="9"/>
      <c r="M45" s="9"/>
      <c r="N45" s="9"/>
      <c r="O45" s="13">
        <f t="shared" si="2"/>
        <v>-500</v>
      </c>
      <c r="P45" s="9">
        <f t="shared" si="3"/>
        <v>-18082</v>
      </c>
    </row>
    <row r="46" spans="1:16" ht="12.95" customHeight="1" x14ac:dyDescent="0.15">
      <c r="A46" s="4" t="s">
        <v>27</v>
      </c>
      <c r="B46" s="14">
        <f>'23年度'!B47-'23予測'!B46</f>
        <v>-350</v>
      </c>
      <c r="C46" s="14">
        <f>'23年度'!C47-'23予測'!C46</f>
        <v>6300</v>
      </c>
      <c r="D46" s="14">
        <f>'23年度'!D47-'23予測'!D46</f>
        <v>10500</v>
      </c>
      <c r="E46" s="14">
        <f>'23年度'!E47-'23予測'!E46</f>
        <v>-10000</v>
      </c>
      <c r="F46" s="14">
        <f>'23年度'!F47-'23予測'!F46</f>
        <v>0</v>
      </c>
      <c r="G46" s="14">
        <f>'23年度'!G47-'23予測'!G46</f>
        <v>-10000</v>
      </c>
      <c r="H46" s="9">
        <f t="shared" si="8"/>
        <v>-3550</v>
      </c>
      <c r="I46" s="9">
        <f>'23年度'!I47-'23予測'!I46</f>
        <v>-40550</v>
      </c>
      <c r="J46" s="9">
        <f>'23年度'!J47-'23予測'!J46</f>
        <v>32000</v>
      </c>
      <c r="K46" s="9">
        <f>'23年度'!K47-'23予測'!K46</f>
        <v>0</v>
      </c>
      <c r="L46" s="9"/>
      <c r="M46" s="9"/>
      <c r="N46" s="9"/>
      <c r="O46" s="13">
        <f t="shared" si="2"/>
        <v>-8550</v>
      </c>
      <c r="P46" s="9">
        <f t="shared" si="3"/>
        <v>-12100</v>
      </c>
    </row>
    <row r="47" spans="1:16" ht="12.95" customHeight="1" x14ac:dyDescent="0.15">
      <c r="A47" s="4" t="s">
        <v>32</v>
      </c>
      <c r="B47" s="14">
        <f>'23年度'!B48-'23予測'!B47</f>
        <v>-100158</v>
      </c>
      <c r="C47" s="14">
        <f>'23年度'!C48-'23予測'!C47</f>
        <v>52645</v>
      </c>
      <c r="D47" s="14">
        <f>'23年度'!D48-'23予測'!D47</f>
        <v>-144424</v>
      </c>
      <c r="E47" s="14">
        <f>'23年度'!E48-'23予測'!E47</f>
        <v>-223880</v>
      </c>
      <c r="F47" s="14">
        <f>'23年度'!F48-'23予測'!F47</f>
        <v>-41456</v>
      </c>
      <c r="G47" s="14">
        <f>'23年度'!G48-'23予測'!G47</f>
        <v>-163864</v>
      </c>
      <c r="H47" s="9">
        <f t="shared" si="8"/>
        <v>-621137</v>
      </c>
      <c r="I47" s="9">
        <f>'23年度'!I48-'23予測'!I47</f>
        <v>-17904</v>
      </c>
      <c r="J47" s="9">
        <f>'23年度'!J48-'23予測'!J47</f>
        <v>-122335</v>
      </c>
      <c r="K47" s="9">
        <f>'23年度'!K48-'23予測'!K47</f>
        <v>-133115</v>
      </c>
      <c r="L47" s="9"/>
      <c r="M47" s="9"/>
      <c r="N47" s="9"/>
      <c r="O47" s="13">
        <f t="shared" si="2"/>
        <v>-273354</v>
      </c>
      <c r="P47" s="9">
        <f t="shared" si="3"/>
        <v>-894491</v>
      </c>
    </row>
    <row r="48" spans="1:16" ht="12.95" customHeight="1" x14ac:dyDescent="0.15">
      <c r="A48" s="4" t="s">
        <v>108</v>
      </c>
      <c r="B48" s="14">
        <f>'23年度'!B49-'23予測'!B48</f>
        <v>-8000</v>
      </c>
      <c r="C48" s="14">
        <f>'23年度'!C49-'23予測'!C48</f>
        <v>-1000</v>
      </c>
      <c r="D48" s="14">
        <f>'23年度'!D49-'23予測'!D48</f>
        <v>-14000</v>
      </c>
      <c r="E48" s="14">
        <f>'23年度'!E49-'23予測'!E48</f>
        <v>-5000</v>
      </c>
      <c r="F48" s="14">
        <f>'23年度'!F49-'23予測'!F48</f>
        <v>-7000</v>
      </c>
      <c r="G48" s="14">
        <f>'23年度'!G49-'23予測'!G48</f>
        <v>-10600</v>
      </c>
      <c r="H48" s="9">
        <f t="shared" si="8"/>
        <v>-45600</v>
      </c>
      <c r="I48" s="9">
        <f>'23年度'!I49-'23予測'!I48</f>
        <v>12000</v>
      </c>
      <c r="J48" s="9">
        <f>'23年度'!J49-'23予測'!J48</f>
        <v>1000</v>
      </c>
      <c r="K48" s="9">
        <f>'23年度'!K49-'23予測'!K48</f>
        <v>-15000</v>
      </c>
      <c r="L48" s="9"/>
      <c r="M48" s="9"/>
      <c r="N48" s="9"/>
      <c r="O48" s="13">
        <f t="shared" si="2"/>
        <v>-2000</v>
      </c>
      <c r="P48" s="9">
        <f t="shared" si="3"/>
        <v>-47600</v>
      </c>
    </row>
    <row r="49" spans="1:16" ht="12.95" customHeight="1" x14ac:dyDescent="0.15">
      <c r="A49" s="4" t="s">
        <v>34</v>
      </c>
      <c r="B49" s="14">
        <f>'23年度'!B50-'23予測'!B49</f>
        <v>-1900</v>
      </c>
      <c r="C49" s="14">
        <f>'23年度'!C50-'23予測'!C49</f>
        <v>-5000</v>
      </c>
      <c r="D49" s="14">
        <f>'23年度'!D50-'23予測'!D49</f>
        <v>0</v>
      </c>
      <c r="E49" s="14">
        <f>'23年度'!E50-'23予測'!E49</f>
        <v>-5000</v>
      </c>
      <c r="F49" s="14">
        <f>'23年度'!F50-'23予測'!F49</f>
        <v>28500</v>
      </c>
      <c r="G49" s="14">
        <f>'23年度'!G50-'23予測'!G49</f>
        <v>-10000</v>
      </c>
      <c r="H49" s="9">
        <f t="shared" si="8"/>
        <v>6600</v>
      </c>
      <c r="I49" s="9">
        <f>'23年度'!I50-'23予測'!I49</f>
        <v>3000</v>
      </c>
      <c r="J49" s="9">
        <f>'23年度'!J50-'23予測'!J49</f>
        <v>0</v>
      </c>
      <c r="K49" s="9">
        <f>'23年度'!K50-'23予測'!K49</f>
        <v>-20000</v>
      </c>
      <c r="L49" s="9"/>
      <c r="M49" s="9"/>
      <c r="N49" s="9"/>
      <c r="O49" s="13">
        <f t="shared" si="2"/>
        <v>-17000</v>
      </c>
      <c r="P49" s="9">
        <f t="shared" si="3"/>
        <v>-10400</v>
      </c>
    </row>
    <row r="50" spans="1:16" ht="12.95" customHeight="1" x14ac:dyDescent="0.15">
      <c r="A50" s="4" t="s">
        <v>109</v>
      </c>
      <c r="B50" s="14">
        <f>'23年度'!B51-'23予測'!B50</f>
        <v>-35421</v>
      </c>
      <c r="C50" s="14">
        <f>'23年度'!C51-'23予測'!C50</f>
        <v>-31911</v>
      </c>
      <c r="D50" s="14">
        <f>'23年度'!D51-'23予測'!D50</f>
        <v>75075</v>
      </c>
      <c r="E50" s="14">
        <f>'23年度'!E51-'23予測'!E50</f>
        <v>-80239</v>
      </c>
      <c r="F50" s="14">
        <f>'23年度'!F51-'23予測'!F50</f>
        <v>-64004</v>
      </c>
      <c r="G50" s="14">
        <f>'23年度'!G51-'23予測'!G50</f>
        <v>-57547</v>
      </c>
      <c r="H50" s="9">
        <f t="shared" si="8"/>
        <v>-194047</v>
      </c>
      <c r="I50" s="9">
        <f>'23年度'!I51-'23予測'!I50</f>
        <v>258967</v>
      </c>
      <c r="J50" s="9">
        <f>'23年度'!J51-'23予測'!J50</f>
        <v>-64343</v>
      </c>
      <c r="K50" s="9">
        <f>'23年度'!K51-'23予測'!K50</f>
        <v>-138337</v>
      </c>
      <c r="L50" s="9"/>
      <c r="M50" s="14"/>
      <c r="N50" s="9"/>
      <c r="O50" s="13">
        <f t="shared" si="2"/>
        <v>56287</v>
      </c>
      <c r="P50" s="9">
        <f t="shared" si="3"/>
        <v>-137760</v>
      </c>
    </row>
    <row r="51" spans="1:16" ht="12.95" customHeight="1" x14ac:dyDescent="0.15">
      <c r="A51" s="4" t="s">
        <v>35</v>
      </c>
      <c r="B51" s="14">
        <f>'23年度'!B52-'23予測'!B51</f>
        <v>3738</v>
      </c>
      <c r="C51" s="14">
        <f>'23年度'!C52-'23予測'!C51</f>
        <v>990</v>
      </c>
      <c r="D51" s="14">
        <f>'23年度'!D52-'23予測'!D51</f>
        <v>12750</v>
      </c>
      <c r="E51" s="14">
        <f>'23年度'!E52-'23予測'!E51</f>
        <v>2596</v>
      </c>
      <c r="F51" s="14">
        <f>'23年度'!F52-'23予測'!F51</f>
        <v>937</v>
      </c>
      <c r="G51" s="14">
        <f>'23年度'!G52-'23予測'!G51</f>
        <v>74842</v>
      </c>
      <c r="H51" s="9">
        <f t="shared" si="8"/>
        <v>95853</v>
      </c>
      <c r="I51" s="9">
        <f>'23年度'!I52-'23予測'!I51</f>
        <v>-13806</v>
      </c>
      <c r="J51" s="9">
        <f>'23年度'!J52-'23予測'!J51</f>
        <v>3208</v>
      </c>
      <c r="K51" s="9">
        <f>'23年度'!K52-'23予測'!K51</f>
        <v>-113299</v>
      </c>
      <c r="L51" s="9"/>
      <c r="M51" s="9"/>
      <c r="N51" s="9"/>
      <c r="O51" s="13">
        <f t="shared" si="2"/>
        <v>-123897</v>
      </c>
      <c r="P51" s="9">
        <f t="shared" si="3"/>
        <v>-28044</v>
      </c>
    </row>
    <row r="52" spans="1:16" ht="12.95" customHeight="1" x14ac:dyDescent="0.15">
      <c r="A52" s="4" t="s">
        <v>110</v>
      </c>
      <c r="B52" s="14">
        <f>'23年度'!B53-'23予測'!B52</f>
        <v>-30000</v>
      </c>
      <c r="C52" s="14">
        <f>'23年度'!C53-'23予測'!C52</f>
        <v>19232</v>
      </c>
      <c r="D52" s="14">
        <f>'23年度'!D53-'23予測'!D52</f>
        <v>0</v>
      </c>
      <c r="E52" s="14">
        <f>'23年度'!E53-'23予測'!E52</f>
        <v>1080</v>
      </c>
      <c r="F52" s="14">
        <f>'23年度'!F53-'23予測'!F52</f>
        <v>0</v>
      </c>
      <c r="G52" s="14">
        <f>'23年度'!G53-'23予測'!G52</f>
        <v>4560</v>
      </c>
      <c r="H52" s="9">
        <f t="shared" si="8"/>
        <v>-5128</v>
      </c>
      <c r="I52" s="9">
        <f>'23年度'!I53-'23予測'!I52</f>
        <v>8800</v>
      </c>
      <c r="J52" s="9">
        <f>'23年度'!J53-'23予測'!J52</f>
        <v>0</v>
      </c>
      <c r="K52" s="9">
        <f>'23年度'!K53-'23予測'!K52</f>
        <v>470270</v>
      </c>
      <c r="L52" s="9"/>
      <c r="M52" s="9"/>
      <c r="N52" s="9"/>
      <c r="O52" s="13">
        <f t="shared" si="2"/>
        <v>479070</v>
      </c>
      <c r="P52" s="9">
        <f t="shared" si="3"/>
        <v>473942</v>
      </c>
    </row>
    <row r="53" spans="1:16" ht="12.95" customHeight="1" x14ac:dyDescent="0.15">
      <c r="A53" s="4" t="s">
        <v>111</v>
      </c>
      <c r="B53" s="14">
        <f>'23年度'!B54-'23予測'!B53</f>
        <v>-161515</v>
      </c>
      <c r="C53" s="14">
        <f>'23年度'!C54-'23予測'!C53</f>
        <v>292765</v>
      </c>
      <c r="D53" s="14">
        <f>'23年度'!D54-'23予測'!D53</f>
        <v>6041</v>
      </c>
      <c r="E53" s="14">
        <f>'23年度'!E54-'23予測'!E53</f>
        <v>164253</v>
      </c>
      <c r="F53" s="14">
        <f>'23年度'!F54-'23予測'!F53</f>
        <v>-100948</v>
      </c>
      <c r="G53" s="14">
        <f>'23年度'!G54-'23予測'!G53</f>
        <v>151946</v>
      </c>
      <c r="H53" s="9">
        <f t="shared" si="8"/>
        <v>352542</v>
      </c>
      <c r="I53" s="9">
        <f>'23年度'!I54-'23予測'!I53</f>
        <v>-126337</v>
      </c>
      <c r="J53" s="9">
        <f>'23年度'!J54-'23予測'!J53</f>
        <v>460129</v>
      </c>
      <c r="K53" s="9">
        <f>'23年度'!K54-'23予測'!K53</f>
        <v>-153165</v>
      </c>
      <c r="L53" s="9"/>
      <c r="M53" s="9"/>
      <c r="N53" s="9"/>
      <c r="O53" s="13">
        <f t="shared" si="2"/>
        <v>180627</v>
      </c>
      <c r="P53" s="9">
        <f t="shared" si="3"/>
        <v>533169</v>
      </c>
    </row>
    <row r="54" spans="1:16" ht="12.95" customHeight="1" x14ac:dyDescent="0.15">
      <c r="A54" s="4" t="s">
        <v>112</v>
      </c>
      <c r="B54" s="14">
        <f>'23年度'!B55-'23予測'!B54</f>
        <v>0</v>
      </c>
      <c r="C54" s="14">
        <f>'23年度'!C55-'23予測'!C54</f>
        <v>0</v>
      </c>
      <c r="D54" s="14">
        <f>'23年度'!D55-'23予測'!D54</f>
        <v>0</v>
      </c>
      <c r="E54" s="14">
        <f>'23年度'!E55-'23予測'!E54</f>
        <v>-100000</v>
      </c>
      <c r="F54" s="14">
        <f>'23年度'!F55-'23予測'!F54</f>
        <v>1161300</v>
      </c>
      <c r="G54" s="14">
        <f>'23年度'!G55-'23予測'!G54</f>
        <v>0</v>
      </c>
      <c r="H54" s="9">
        <f t="shared" si="8"/>
        <v>1061300</v>
      </c>
      <c r="I54" s="9">
        <f>'23年度'!I55-'23予測'!I54</f>
        <v>50400</v>
      </c>
      <c r="J54" s="9">
        <f>'23年度'!J55-'23予測'!J54</f>
        <v>0</v>
      </c>
      <c r="K54" s="9">
        <f>'23年度'!K55-'23予測'!K54</f>
        <v>-200650</v>
      </c>
      <c r="L54" s="9"/>
      <c r="M54" s="9"/>
      <c r="N54" s="9"/>
      <c r="O54" s="13">
        <f t="shared" si="2"/>
        <v>-150250</v>
      </c>
      <c r="P54" s="9">
        <f t="shared" si="3"/>
        <v>911050</v>
      </c>
    </row>
    <row r="55" spans="1:16" ht="12.95" customHeight="1" x14ac:dyDescent="0.15">
      <c r="A55" s="4" t="s">
        <v>113</v>
      </c>
      <c r="B55" s="14">
        <f>'23年度'!B56-'23予測'!B55</f>
        <v>-2635</v>
      </c>
      <c r="C55" s="14">
        <f>'23年度'!C56-'23予測'!C55</f>
        <v>-2635</v>
      </c>
      <c r="D55" s="14">
        <f>'23年度'!D56-'23予測'!D55</f>
        <v>-2635</v>
      </c>
      <c r="E55" s="14">
        <f>'23年度'!E56-'23予測'!E55</f>
        <v>-2635</v>
      </c>
      <c r="F55" s="14">
        <f>'23年度'!F56-'23予測'!F55</f>
        <v>-2635</v>
      </c>
      <c r="G55" s="14">
        <f>'23年度'!G56-'23予測'!G55</f>
        <v>-4630</v>
      </c>
      <c r="H55" s="9">
        <f t="shared" si="8"/>
        <v>-17805</v>
      </c>
      <c r="I55" s="9">
        <f>'23年度'!I56-'23予測'!I55</f>
        <v>35570</v>
      </c>
      <c r="J55" s="9">
        <f>'23年度'!J56-'23予測'!J55</f>
        <v>89900</v>
      </c>
      <c r="K55" s="9">
        <f>'23年度'!K56-'23予測'!K55</f>
        <v>36245</v>
      </c>
      <c r="L55" s="9"/>
      <c r="M55" s="9"/>
      <c r="N55" s="9"/>
      <c r="O55" s="13">
        <f t="shared" si="2"/>
        <v>161715</v>
      </c>
      <c r="P55" s="9">
        <f t="shared" si="3"/>
        <v>143910</v>
      </c>
    </row>
    <row r="56" spans="1:16" ht="12.95" customHeight="1" x14ac:dyDescent="0.15">
      <c r="A56" s="4" t="s">
        <v>121</v>
      </c>
      <c r="B56" s="14">
        <f>'23年度'!B57-'23予測'!B56</f>
        <v>0</v>
      </c>
      <c r="C56" s="14">
        <f>'23年度'!C57-'23予測'!C56</f>
        <v>-10000</v>
      </c>
      <c r="D56" s="14">
        <f>'23年度'!D57-'23予測'!D56</f>
        <v>50000</v>
      </c>
      <c r="E56" s="14">
        <f>'23年度'!E57-'23予測'!E56</f>
        <v>0</v>
      </c>
      <c r="F56" s="14">
        <f>'23年度'!F57-'23予測'!F56</f>
        <v>0</v>
      </c>
      <c r="G56" s="14">
        <f>'23年度'!G57-'23予測'!G56</f>
        <v>0</v>
      </c>
      <c r="H56" s="9">
        <f t="shared" si="8"/>
        <v>40000</v>
      </c>
      <c r="I56" s="9">
        <f>'23年度'!I57-'23予測'!I56</f>
        <v>0</v>
      </c>
      <c r="J56" s="9">
        <f>'23年度'!J57-'23予測'!J56</f>
        <v>0</v>
      </c>
      <c r="K56" s="9">
        <f>'23年度'!K57-'23予測'!K56</f>
        <v>0</v>
      </c>
      <c r="L56" s="9"/>
      <c r="M56" s="9"/>
      <c r="N56" s="9"/>
      <c r="O56" s="13">
        <f t="shared" si="2"/>
        <v>0</v>
      </c>
      <c r="P56" s="9">
        <f t="shared" si="3"/>
        <v>40000</v>
      </c>
    </row>
    <row r="57" spans="1:16" ht="12.95" customHeight="1" x14ac:dyDescent="0.15">
      <c r="A57" s="4" t="s">
        <v>122</v>
      </c>
      <c r="B57" s="14">
        <f>'23年度'!B58-'23予測'!B57</f>
        <v>158000</v>
      </c>
      <c r="C57" s="14">
        <f>'23年度'!C58-'23予測'!C57</f>
        <v>961200</v>
      </c>
      <c r="D57" s="14">
        <f>'23年度'!D58-'23予測'!D57</f>
        <v>-183600</v>
      </c>
      <c r="E57" s="14">
        <f>'23年度'!E58-'23予測'!E57</f>
        <v>5000</v>
      </c>
      <c r="F57" s="14">
        <f>'23年度'!F58-'23予測'!F57</f>
        <v>29230</v>
      </c>
      <c r="G57" s="14">
        <f>'23年度'!G58-'23予測'!G57</f>
        <v>0</v>
      </c>
      <c r="H57" s="9">
        <f t="shared" si="8"/>
        <v>969830</v>
      </c>
      <c r="I57" s="9">
        <f>'23年度'!I58-'23予測'!I57</f>
        <v>210</v>
      </c>
      <c r="J57" s="9">
        <f>'23年度'!J58-'23予測'!J57</f>
        <v>-2000</v>
      </c>
      <c r="K57" s="9">
        <f>'23年度'!K58-'23予測'!K57</f>
        <v>10000</v>
      </c>
      <c r="L57" s="9"/>
      <c r="M57" s="9"/>
      <c r="N57" s="9"/>
      <c r="O57" s="13">
        <f t="shared" si="2"/>
        <v>8210</v>
      </c>
      <c r="P57" s="9">
        <f t="shared" si="3"/>
        <v>978040</v>
      </c>
    </row>
    <row r="58" spans="1:16" ht="12.95" customHeight="1" x14ac:dyDescent="0.15">
      <c r="A58" s="4" t="s">
        <v>37</v>
      </c>
      <c r="B58" s="14">
        <f>'23年度'!B59-'23予測'!B58</f>
        <v>-150000</v>
      </c>
      <c r="C58" s="14">
        <f>'23年度'!C59-'23予測'!C58</f>
        <v>24757</v>
      </c>
      <c r="D58" s="14">
        <f>'23年度'!D59-'23予測'!D58</f>
        <v>116509</v>
      </c>
      <c r="E58" s="14">
        <f>'23年度'!E59-'23予測'!E58</f>
        <v>-77550</v>
      </c>
      <c r="F58" s="14">
        <f>'23年度'!F59-'23予測'!F58</f>
        <v>-17075</v>
      </c>
      <c r="G58" s="14">
        <f>'23年度'!G59-'23予測'!G58</f>
        <v>299954</v>
      </c>
      <c r="H58" s="9">
        <f t="shared" si="8"/>
        <v>196595</v>
      </c>
      <c r="I58" s="9">
        <f>'23年度'!I59-'23予測'!I58</f>
        <v>-119575</v>
      </c>
      <c r="J58" s="9">
        <f>'23年度'!J59-'23予測'!J58</f>
        <v>-62909</v>
      </c>
      <c r="K58" s="9">
        <f>'23年度'!K59-'23予測'!K58</f>
        <v>25239</v>
      </c>
      <c r="L58" s="9"/>
      <c r="M58" s="9"/>
      <c r="N58" s="9"/>
      <c r="O58" s="13">
        <f t="shared" si="2"/>
        <v>-157245</v>
      </c>
      <c r="P58" s="9">
        <f t="shared" si="3"/>
        <v>39350</v>
      </c>
    </row>
    <row r="59" spans="1:16" ht="12.95" customHeight="1" x14ac:dyDescent="0.15">
      <c r="A59" s="4" t="s">
        <v>114</v>
      </c>
      <c r="B59" s="14">
        <f>'23年度'!B60-'23予測'!B59</f>
        <v>9950</v>
      </c>
      <c r="C59" s="14">
        <f>'23年度'!C60-'23予測'!C59</f>
        <v>-10000</v>
      </c>
      <c r="D59" s="14">
        <f>'23年度'!D60-'23予測'!D59</f>
        <v>-10000</v>
      </c>
      <c r="E59" s="14">
        <f>'23年度'!E60-'23予測'!E59</f>
        <v>-9055</v>
      </c>
      <c r="F59" s="14">
        <f>'23年度'!F60-'23予測'!F59</f>
        <v>-10000</v>
      </c>
      <c r="G59" s="14">
        <f>'23年度'!G60-'23予測'!G59</f>
        <v>66514</v>
      </c>
      <c r="H59" s="14">
        <f t="shared" si="8"/>
        <v>37409</v>
      </c>
      <c r="I59" s="9">
        <f>'23年度'!I60-'23予測'!I59</f>
        <v>-5000</v>
      </c>
      <c r="J59" s="9">
        <f>'23年度'!J60-'23予測'!J59</f>
        <v>-5000</v>
      </c>
      <c r="K59" s="9">
        <f>'23年度'!K60-'23予測'!K59</f>
        <v>-53805</v>
      </c>
      <c r="L59" s="14"/>
      <c r="M59" s="14"/>
      <c r="N59" s="14"/>
      <c r="O59" s="14">
        <f t="shared" si="2"/>
        <v>-63805</v>
      </c>
      <c r="P59" s="14">
        <f t="shared" si="3"/>
        <v>-26396</v>
      </c>
    </row>
    <row r="60" spans="1:16" ht="12.95" customHeight="1" x14ac:dyDescent="0.15">
      <c r="A60" s="12" t="s">
        <v>115</v>
      </c>
      <c r="B60" s="14">
        <f>'23年度'!B61-'23予測'!B60</f>
        <v>33789</v>
      </c>
      <c r="C60" s="14">
        <f>'23年度'!C61-'23予測'!C60</f>
        <v>22975</v>
      </c>
      <c r="D60" s="14">
        <f>'23年度'!D61-'23予測'!D60</f>
        <v>161901</v>
      </c>
      <c r="E60" s="14">
        <f>'23年度'!E61-'23予測'!E60</f>
        <v>117921</v>
      </c>
      <c r="F60" s="14">
        <f>'23年度'!F61-'23予測'!F60</f>
        <v>11538</v>
      </c>
      <c r="G60" s="14">
        <f>'23年度'!G61-'23予測'!G60</f>
        <v>-198121</v>
      </c>
      <c r="H60" s="14">
        <f t="shared" si="8"/>
        <v>150003</v>
      </c>
      <c r="I60" s="9">
        <f>'23年度'!I61-'23予測'!I60</f>
        <v>-413311</v>
      </c>
      <c r="J60" s="9">
        <f>'23年度'!J61-'23予測'!J60</f>
        <v>-147862</v>
      </c>
      <c r="K60" s="9">
        <f>'23年度'!K61-'23予測'!K60</f>
        <v>-530737</v>
      </c>
      <c r="L60" s="14"/>
      <c r="M60" s="14"/>
      <c r="N60" s="14"/>
      <c r="O60" s="14">
        <f t="shared" si="2"/>
        <v>-1091910</v>
      </c>
      <c r="P60" s="14">
        <f t="shared" si="3"/>
        <v>-941907</v>
      </c>
    </row>
    <row r="61" spans="1:16" ht="12.95" customHeight="1" x14ac:dyDescent="0.15">
      <c r="A61" s="4" t="s">
        <v>46</v>
      </c>
      <c r="B61" s="14">
        <f>'23年度'!B62-'23予測'!B61</f>
        <v>0</v>
      </c>
      <c r="C61" s="14">
        <f>'23年度'!C62-'23予測'!C61</f>
        <v>0</v>
      </c>
      <c r="D61" s="14">
        <f>'23年度'!D62-'23予測'!D61</f>
        <v>0</v>
      </c>
      <c r="E61" s="14">
        <f>'23年度'!E62-'23予測'!E61</f>
        <v>0</v>
      </c>
      <c r="F61" s="14">
        <f>'23年度'!F62-'23予測'!F61</f>
        <v>0</v>
      </c>
      <c r="G61" s="14">
        <f>'23年度'!G62-'23予測'!G61</f>
        <v>1584791</v>
      </c>
      <c r="H61" s="9">
        <f t="shared" si="8"/>
        <v>1584791</v>
      </c>
      <c r="I61" s="9">
        <f>'23年度'!I62-'23予測'!I61</f>
        <v>0</v>
      </c>
      <c r="J61" s="9">
        <f>'23年度'!J62-'23予測'!J61</f>
        <v>0</v>
      </c>
      <c r="K61" s="9">
        <f>'23年度'!K62-'23予測'!K61</f>
        <v>0</v>
      </c>
      <c r="L61" s="9"/>
      <c r="M61" s="9"/>
      <c r="N61" s="9"/>
      <c r="O61" s="13">
        <f t="shared" si="2"/>
        <v>0</v>
      </c>
      <c r="P61" s="9">
        <f t="shared" si="3"/>
        <v>1584791</v>
      </c>
    </row>
    <row r="62" spans="1:16" x14ac:dyDescent="0.15">
      <c r="A62" s="8" t="s">
        <v>29</v>
      </c>
      <c r="B62" s="10">
        <f t="shared" ref="B62:N62" si="10">B30+B36</f>
        <v>499832</v>
      </c>
      <c r="C62" s="10">
        <f t="shared" si="10"/>
        <v>1593281</v>
      </c>
      <c r="D62" s="10">
        <f t="shared" si="10"/>
        <v>121474</v>
      </c>
      <c r="E62" s="10">
        <f t="shared" si="10"/>
        <v>-1760493</v>
      </c>
      <c r="F62" s="10">
        <f t="shared" si="10"/>
        <v>2044286</v>
      </c>
      <c r="G62" s="10">
        <f t="shared" si="10"/>
        <v>1992209</v>
      </c>
      <c r="H62" s="10">
        <f t="shared" si="8"/>
        <v>4490589</v>
      </c>
      <c r="I62" s="10">
        <f t="shared" si="10"/>
        <v>-322616</v>
      </c>
      <c r="J62" s="10">
        <f t="shared" si="10"/>
        <v>432075</v>
      </c>
      <c r="K62" s="10">
        <f t="shared" si="10"/>
        <v>-7478626</v>
      </c>
      <c r="L62" s="10">
        <f t="shared" si="10"/>
        <v>0</v>
      </c>
      <c r="M62" s="10">
        <f t="shared" si="10"/>
        <v>0</v>
      </c>
      <c r="N62" s="10">
        <f t="shared" si="10"/>
        <v>0</v>
      </c>
      <c r="O62" s="10">
        <f t="shared" si="2"/>
        <v>-7369167</v>
      </c>
      <c r="P62" s="10">
        <f t="shared" si="3"/>
        <v>-2878578</v>
      </c>
    </row>
    <row r="63" spans="1:16" x14ac:dyDescent="0.15">
      <c r="A63" s="8" t="s">
        <v>61</v>
      </c>
      <c r="B63" s="10">
        <f t="shared" ref="B63:G63" si="11">B27-B62</f>
        <v>265848</v>
      </c>
      <c r="C63" s="10">
        <f t="shared" si="11"/>
        <v>-1828566</v>
      </c>
      <c r="D63" s="10">
        <f t="shared" si="11"/>
        <v>-305419</v>
      </c>
      <c r="E63" s="10">
        <f t="shared" si="11"/>
        <v>1111341</v>
      </c>
      <c r="F63" s="10">
        <f t="shared" si="11"/>
        <v>-2289352</v>
      </c>
      <c r="G63" s="10">
        <f t="shared" si="11"/>
        <v>-2625502</v>
      </c>
      <c r="H63" s="10">
        <f t="shared" si="8"/>
        <v>-5671650</v>
      </c>
      <c r="I63" s="10">
        <f t="shared" ref="I63:N63" si="12">I27-I62</f>
        <v>-15898</v>
      </c>
      <c r="J63" s="10">
        <f t="shared" si="12"/>
        <v>-1417721</v>
      </c>
      <c r="K63" s="10">
        <f t="shared" si="12"/>
        <v>6140849</v>
      </c>
      <c r="L63" s="10">
        <f t="shared" si="12"/>
        <v>0</v>
      </c>
      <c r="M63" s="10">
        <f t="shared" si="12"/>
        <v>0</v>
      </c>
      <c r="N63" s="10">
        <f t="shared" si="12"/>
        <v>0</v>
      </c>
      <c r="O63" s="10">
        <f t="shared" si="2"/>
        <v>4707230</v>
      </c>
      <c r="P63" s="10">
        <f t="shared" si="3"/>
        <v>-964420</v>
      </c>
    </row>
    <row r="64" spans="1:16" x14ac:dyDescent="0.15">
      <c r="A64" s="23" t="s">
        <v>126</v>
      </c>
      <c r="B64" s="14">
        <f>'23年度'!B65-'23予測'!B64</f>
        <v>-259</v>
      </c>
      <c r="C64" s="14">
        <f>'23年度'!C65-'23予測'!C64</f>
        <v>6</v>
      </c>
      <c r="D64" s="14">
        <f>'23年度'!D65-'23予測'!D64</f>
        <v>0</v>
      </c>
      <c r="E64" s="14">
        <f>'23年度'!E65-'23予測'!E64</f>
        <v>0</v>
      </c>
      <c r="F64" s="14">
        <f>'23年度'!F65-'23予測'!F64</f>
        <v>-530</v>
      </c>
      <c r="G64" s="14">
        <f>'23年度'!G65-'23予測'!G64</f>
        <v>25</v>
      </c>
      <c r="H64" s="10">
        <f t="shared" si="8"/>
        <v>-758</v>
      </c>
      <c r="I64" s="9">
        <f>'23年度'!I65-'23予測'!I64</f>
        <v>97</v>
      </c>
      <c r="J64" s="9">
        <f>'23年度'!J65-'23予測'!J64</f>
        <v>0</v>
      </c>
      <c r="K64" s="9">
        <f>'23年度'!K65-'23予測'!K64</f>
        <v>0</v>
      </c>
      <c r="L64" s="14"/>
      <c r="M64" s="14"/>
      <c r="N64" s="14"/>
      <c r="O64" s="10">
        <f t="shared" si="2"/>
        <v>97</v>
      </c>
      <c r="P64" s="10">
        <f t="shared" si="3"/>
        <v>-661</v>
      </c>
    </row>
    <row r="65" spans="1:16" x14ac:dyDescent="0.15">
      <c r="A65" s="23" t="s">
        <v>127</v>
      </c>
      <c r="B65" s="14">
        <f>'23年度'!B66-'23予測'!B65</f>
        <v>-6902</v>
      </c>
      <c r="C65" s="14">
        <f>'23年度'!C66-'23予測'!C65</f>
        <v>11004</v>
      </c>
      <c r="D65" s="14">
        <f>'23年度'!D66-'23予測'!D65</f>
        <v>-9800</v>
      </c>
      <c r="E65" s="14">
        <f>'23年度'!E66-'23予測'!E65</f>
        <v>63564</v>
      </c>
      <c r="F65" s="14">
        <f>'23年度'!F66-'23予測'!F65</f>
        <v>-4561</v>
      </c>
      <c r="G65" s="14">
        <f>'23年度'!G66-'23予測'!G65</f>
        <v>-14385</v>
      </c>
      <c r="H65" s="10">
        <f t="shared" si="8"/>
        <v>38920</v>
      </c>
      <c r="I65" s="9">
        <f>'23年度'!I66-'23予測'!I65</f>
        <v>16584</v>
      </c>
      <c r="J65" s="9">
        <f>'23年度'!J66-'23予測'!J65</f>
        <v>12648</v>
      </c>
      <c r="K65" s="9">
        <f>'23年度'!K66-'23予測'!K65</f>
        <v>28058</v>
      </c>
      <c r="L65" s="14"/>
      <c r="M65" s="14"/>
      <c r="N65" s="14"/>
      <c r="O65" s="10">
        <f t="shared" si="2"/>
        <v>57290</v>
      </c>
      <c r="P65" s="10">
        <f t="shared" si="3"/>
        <v>96210</v>
      </c>
    </row>
    <row r="66" spans="1:16" x14ac:dyDescent="0.15">
      <c r="A66" s="8" t="s">
        <v>60</v>
      </c>
      <c r="B66" s="15">
        <f t="shared" ref="B66:G66" si="13">B63+B64-B65</f>
        <v>272491</v>
      </c>
      <c r="C66" s="15">
        <f t="shared" si="13"/>
        <v>-1839564</v>
      </c>
      <c r="D66" s="15">
        <f t="shared" si="13"/>
        <v>-295619</v>
      </c>
      <c r="E66" s="15">
        <f t="shared" si="13"/>
        <v>1047777</v>
      </c>
      <c r="F66" s="15">
        <f t="shared" si="13"/>
        <v>-2285321</v>
      </c>
      <c r="G66" s="15">
        <f t="shared" si="13"/>
        <v>-2611092</v>
      </c>
      <c r="H66" s="10">
        <f t="shared" si="8"/>
        <v>-5711328</v>
      </c>
      <c r="I66" s="15">
        <f t="shared" ref="I66:N66" si="14">I63+I64-I65</f>
        <v>-32385</v>
      </c>
      <c r="J66" s="15">
        <f t="shared" si="14"/>
        <v>-1430369</v>
      </c>
      <c r="K66" s="15">
        <f t="shared" si="14"/>
        <v>6112791</v>
      </c>
      <c r="L66" s="15">
        <f t="shared" si="14"/>
        <v>0</v>
      </c>
      <c r="M66" s="15">
        <f t="shared" si="14"/>
        <v>0</v>
      </c>
      <c r="N66" s="15">
        <f t="shared" si="14"/>
        <v>0</v>
      </c>
      <c r="O66" s="10">
        <f t="shared" si="2"/>
        <v>4650037</v>
      </c>
      <c r="P66" s="10">
        <f t="shared" si="3"/>
        <v>-1061291</v>
      </c>
    </row>
    <row r="67" spans="1:16" x14ac:dyDescent="0.15">
      <c r="A67" s="26" t="s">
        <v>116</v>
      </c>
      <c r="B67" s="14">
        <f>'23年度'!B68-'23予測'!B67</f>
        <v>0</v>
      </c>
      <c r="C67" s="14">
        <f>'23年度'!C68-'23予測'!C67</f>
        <v>0</v>
      </c>
      <c r="D67" s="14">
        <f>'23年度'!D68-'23予測'!D67</f>
        <v>0</v>
      </c>
      <c r="E67" s="14">
        <f>'23年度'!E68-'23予測'!E67</f>
        <v>0</v>
      </c>
      <c r="F67" s="14">
        <f>'23年度'!F68-'23予測'!F67</f>
        <v>0</v>
      </c>
      <c r="G67" s="14">
        <f>'23年度'!G68-'23予測'!G67</f>
        <v>0</v>
      </c>
      <c r="H67" s="10">
        <f t="shared" si="8"/>
        <v>0</v>
      </c>
      <c r="I67" s="14">
        <f>'23年度'!I68-'23予測'!I67</f>
        <v>0</v>
      </c>
      <c r="J67" s="14">
        <f>'23年度'!J68-'23予測'!J67</f>
        <v>0</v>
      </c>
      <c r="K67" s="9">
        <v>416000</v>
      </c>
      <c r="L67" s="9">
        <v>416000</v>
      </c>
      <c r="M67" s="9">
        <v>416000</v>
      </c>
      <c r="N67" s="9">
        <v>416000</v>
      </c>
      <c r="O67" s="14">
        <f t="shared" si="2"/>
        <v>1664000</v>
      </c>
      <c r="P67" s="9">
        <f t="shared" si="3"/>
        <v>1664000</v>
      </c>
    </row>
  </sheetData>
  <mergeCells count="1">
    <mergeCell ref="C1:H1"/>
  </mergeCells>
  <phoneticPr fontId="3"/>
  <pageMargins left="0.51181102362204722" right="0.19685039370078741" top="0.27559055118110237" bottom="0.35433070866141736" header="0.23622047244094491" footer="0.27559055118110237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ABF4-B87D-4060-A523-6C3F5B147B47}">
  <dimension ref="A1:P67"/>
  <sheetViews>
    <sheetView workbookViewId="0">
      <pane xSplit="3" topLeftCell="D1" activePane="topRight" state="frozenSplit"/>
      <selection pane="topRight" activeCell="E3" sqref="E3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30" t="s">
        <v>158</v>
      </c>
      <c r="D1" s="30"/>
      <c r="E1" s="30"/>
      <c r="F1" s="30"/>
      <c r="G1" s="30"/>
      <c r="H1" s="30"/>
      <c r="J1" t="s">
        <v>184</v>
      </c>
    </row>
    <row r="2" spans="1:16" ht="12" customHeight="1" x14ac:dyDescent="0.15">
      <c r="A2" s="1" t="s">
        <v>43</v>
      </c>
      <c r="B2" s="2" t="s">
        <v>159</v>
      </c>
      <c r="C2" s="1" t="s">
        <v>160</v>
      </c>
      <c r="D2" s="2" t="s">
        <v>161</v>
      </c>
      <c r="E2" s="1" t="s">
        <v>162</v>
      </c>
      <c r="F2" s="2" t="s">
        <v>163</v>
      </c>
      <c r="G2" s="1" t="s">
        <v>164</v>
      </c>
      <c r="H2" s="1" t="s">
        <v>39</v>
      </c>
      <c r="I2" s="1" t="s">
        <v>165</v>
      </c>
      <c r="J2" s="1" t="s">
        <v>166</v>
      </c>
      <c r="K2" s="1" t="s">
        <v>167</v>
      </c>
      <c r="L2" s="1" t="s">
        <v>168</v>
      </c>
      <c r="M2" s="1" t="s">
        <v>169</v>
      </c>
      <c r="N2" s="1" t="s">
        <v>170</v>
      </c>
      <c r="O2" s="1" t="s">
        <v>41</v>
      </c>
      <c r="P2" s="1" t="s">
        <v>42</v>
      </c>
    </row>
    <row r="3" spans="1:16" x14ac:dyDescent="0.15">
      <c r="A3" s="24" t="s">
        <v>123</v>
      </c>
      <c r="B3" s="5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15">
      <c r="A4" s="19" t="s">
        <v>0</v>
      </c>
      <c r="B4" s="10">
        <f>SUM(B5:B7)</f>
        <v>244000</v>
      </c>
      <c r="C4" s="10">
        <f t="shared" ref="C4:N4" si="0">SUM(C5:C7)</f>
        <v>48000</v>
      </c>
      <c r="D4" s="10">
        <f t="shared" si="0"/>
        <v>29000</v>
      </c>
      <c r="E4" s="10">
        <f t="shared" si="0"/>
        <v>17000</v>
      </c>
      <c r="F4" s="10">
        <f t="shared" si="0"/>
        <v>15000</v>
      </c>
      <c r="G4" s="10">
        <f t="shared" si="0"/>
        <v>13000</v>
      </c>
      <c r="H4" s="10">
        <f t="shared" ref="H4:H27" si="1">SUM(B4:G4)</f>
        <v>366000</v>
      </c>
      <c r="I4" s="10">
        <f t="shared" si="0"/>
        <v>8000</v>
      </c>
      <c r="J4" s="10">
        <f t="shared" si="0"/>
        <v>5000</v>
      </c>
      <c r="K4" s="10">
        <f t="shared" si="0"/>
        <v>11000</v>
      </c>
      <c r="L4" s="10">
        <f t="shared" si="0"/>
        <v>4000</v>
      </c>
      <c r="M4" s="10">
        <f t="shared" si="0"/>
        <v>7000</v>
      </c>
      <c r="N4" s="10">
        <f t="shared" si="0"/>
        <v>7000</v>
      </c>
      <c r="O4" s="10">
        <f>SUM(I4:N4)</f>
        <v>42000</v>
      </c>
      <c r="P4" s="10">
        <f>H4+O4</f>
        <v>408000</v>
      </c>
    </row>
    <row r="5" spans="1:16" ht="12.95" customHeight="1" x14ac:dyDescent="0.15">
      <c r="A5" s="21" t="s">
        <v>1</v>
      </c>
      <c r="B5" s="14">
        <f>'22年度'!B5+'23年度'!B5</f>
        <v>164000</v>
      </c>
      <c r="C5" s="14">
        <f>'22年度'!C5+'23年度'!C5</f>
        <v>3000</v>
      </c>
      <c r="D5" s="14">
        <f>'22年度'!D5+'23年度'!D5</f>
        <v>2000</v>
      </c>
      <c r="E5" s="14">
        <f>'22年度'!E5+'23年度'!E5</f>
        <v>4000</v>
      </c>
      <c r="F5" s="14">
        <f>'22年度'!F5+'23年度'!F5</f>
        <v>0</v>
      </c>
      <c r="G5" s="14">
        <f>'22年度'!G5+'23年度'!G5</f>
        <v>3000</v>
      </c>
      <c r="H5" s="14">
        <f t="shared" si="1"/>
        <v>176000</v>
      </c>
      <c r="I5" s="14">
        <f>'22年度'!I5+'23年度'!I5</f>
        <v>3000</v>
      </c>
      <c r="J5" s="14">
        <f>'22年度'!J5+'23年度'!J5</f>
        <v>0</v>
      </c>
      <c r="K5" s="14">
        <f>'22年度'!K5+'23年度'!K5</f>
        <v>0</v>
      </c>
      <c r="L5" s="14">
        <f>'22年度'!L5+'23年度'!L5</f>
        <v>0</v>
      </c>
      <c r="M5" s="14">
        <f>'22年度'!M5+'23年度'!M5</f>
        <v>0</v>
      </c>
      <c r="N5" s="14">
        <f>'22年度'!N5+'23年度'!N5</f>
        <v>0</v>
      </c>
      <c r="O5" s="9">
        <f t="shared" ref="O5:O67" si="2">SUM(I5:N5)</f>
        <v>3000</v>
      </c>
      <c r="P5" s="9">
        <f t="shared" ref="P5:P67" si="3">H5+O5</f>
        <v>179000</v>
      </c>
    </row>
    <row r="6" spans="1:16" ht="12.95" customHeight="1" x14ac:dyDescent="0.15">
      <c r="A6" s="21" t="s">
        <v>2</v>
      </c>
      <c r="B6" s="14">
        <f>'22年度'!B6+'23年度'!B6</f>
        <v>64000</v>
      </c>
      <c r="C6" s="14">
        <f>'22年度'!C6+'23年度'!C6</f>
        <v>39000</v>
      </c>
      <c r="D6" s="14">
        <f>'22年度'!D6+'23年度'!D6</f>
        <v>18000</v>
      </c>
      <c r="E6" s="14">
        <f>'22年度'!E6+'23年度'!E6</f>
        <v>10000</v>
      </c>
      <c r="F6" s="14">
        <f>'22年度'!F6+'23年度'!F6</f>
        <v>10000</v>
      </c>
      <c r="G6" s="14">
        <f>'22年度'!G6+'23年度'!G6</f>
        <v>9000</v>
      </c>
      <c r="H6" s="14">
        <f t="shared" si="1"/>
        <v>150000</v>
      </c>
      <c r="I6" s="14">
        <f>'22年度'!I6+'23年度'!I6</f>
        <v>3000</v>
      </c>
      <c r="J6" s="14">
        <f>'22年度'!J6+'23年度'!J6</f>
        <v>4000</v>
      </c>
      <c r="K6" s="14">
        <f>'22年度'!K6+'23年度'!K6</f>
        <v>10000</v>
      </c>
      <c r="L6" s="14">
        <f>'22年度'!L6+'23年度'!L6</f>
        <v>4000</v>
      </c>
      <c r="M6" s="14">
        <f>'22年度'!M6+'23年度'!M6</f>
        <v>6000</v>
      </c>
      <c r="N6" s="14">
        <f>'22年度'!N6+'23年度'!N6</f>
        <v>5000</v>
      </c>
      <c r="O6" s="9">
        <f t="shared" si="2"/>
        <v>32000</v>
      </c>
      <c r="P6" s="9">
        <f t="shared" si="3"/>
        <v>182000</v>
      </c>
    </row>
    <row r="7" spans="1:16" ht="12.95" customHeight="1" x14ac:dyDescent="0.15">
      <c r="A7" s="21" t="s">
        <v>3</v>
      </c>
      <c r="B7" s="14">
        <f>'22年度'!B7+'23年度'!B7</f>
        <v>16000</v>
      </c>
      <c r="C7" s="14">
        <f>'22年度'!C7+'23年度'!C7</f>
        <v>6000</v>
      </c>
      <c r="D7" s="14">
        <f>'22年度'!D7+'23年度'!D7</f>
        <v>9000</v>
      </c>
      <c r="E7" s="14">
        <f>'22年度'!E7+'23年度'!E7</f>
        <v>3000</v>
      </c>
      <c r="F7" s="14">
        <f>'22年度'!F7+'23年度'!F7</f>
        <v>5000</v>
      </c>
      <c r="G7" s="14">
        <f>'22年度'!G7+'23年度'!G7</f>
        <v>1000</v>
      </c>
      <c r="H7" s="14">
        <f t="shared" si="1"/>
        <v>40000</v>
      </c>
      <c r="I7" s="14">
        <f>'22年度'!I7+'23年度'!I7</f>
        <v>2000</v>
      </c>
      <c r="J7" s="14">
        <f>'22年度'!J7+'23年度'!J7</f>
        <v>1000</v>
      </c>
      <c r="K7" s="14">
        <f>'22年度'!K7+'23年度'!K7</f>
        <v>1000</v>
      </c>
      <c r="L7" s="14">
        <f>'22年度'!L7+'23年度'!L7</f>
        <v>0</v>
      </c>
      <c r="M7" s="14">
        <f>'22年度'!M7+'23年度'!M7</f>
        <v>1000</v>
      </c>
      <c r="N7" s="14">
        <f>'22年度'!N7+'23年度'!N7</f>
        <v>2000</v>
      </c>
      <c r="O7" s="9">
        <f t="shared" si="2"/>
        <v>7000</v>
      </c>
      <c r="P7" s="9">
        <f t="shared" si="3"/>
        <v>47000</v>
      </c>
    </row>
    <row r="8" spans="1:16" x14ac:dyDescent="0.15">
      <c r="A8" s="19" t="s">
        <v>4</v>
      </c>
      <c r="B8" s="10">
        <f t="shared" ref="B8:N8" si="4">SUM(B9:B23)</f>
        <v>33223073</v>
      </c>
      <c r="C8" s="10">
        <f t="shared" si="4"/>
        <v>32351630</v>
      </c>
      <c r="D8" s="10">
        <f t="shared" si="4"/>
        <v>32461730</v>
      </c>
      <c r="E8" s="10">
        <f t="shared" si="4"/>
        <v>34278900</v>
      </c>
      <c r="F8" s="10">
        <f t="shared" si="4"/>
        <v>35026900</v>
      </c>
      <c r="G8" s="10">
        <f t="shared" si="4"/>
        <v>32784950</v>
      </c>
      <c r="H8" s="10">
        <f t="shared" si="1"/>
        <v>200127183</v>
      </c>
      <c r="I8" s="10">
        <f t="shared" si="4"/>
        <v>34294970</v>
      </c>
      <c r="J8" s="10">
        <f t="shared" si="4"/>
        <v>33563930</v>
      </c>
      <c r="K8" s="10">
        <f t="shared" si="4"/>
        <v>33155700</v>
      </c>
      <c r="L8" s="10">
        <f t="shared" si="4"/>
        <v>31251515</v>
      </c>
      <c r="M8" s="10">
        <f t="shared" si="4"/>
        <v>32700675</v>
      </c>
      <c r="N8" s="10">
        <f t="shared" si="4"/>
        <v>36413960</v>
      </c>
      <c r="O8" s="10">
        <f t="shared" si="2"/>
        <v>201380750</v>
      </c>
      <c r="P8" s="10">
        <f t="shared" si="3"/>
        <v>401507933</v>
      </c>
    </row>
    <row r="9" spans="1:16" ht="12.95" customHeight="1" x14ac:dyDescent="0.15">
      <c r="A9" s="27" t="s">
        <v>94</v>
      </c>
      <c r="B9" s="14">
        <f>'22年度'!B9+'23年度'!B9</f>
        <v>4818000</v>
      </c>
      <c r="C9" s="14">
        <f>'22年度'!C9+'23年度'!C9</f>
        <v>4843000</v>
      </c>
      <c r="D9" s="14">
        <f>'22年度'!D9+'23年度'!D9</f>
        <v>5034000</v>
      </c>
      <c r="E9" s="14">
        <f>'22年度'!E9+'23年度'!E9</f>
        <v>5172000</v>
      </c>
      <c r="F9" s="14">
        <f>'22年度'!F9+'23年度'!F9</f>
        <v>5245000</v>
      </c>
      <c r="G9" s="14">
        <f>'22年度'!G9+'23年度'!G9</f>
        <v>5066000</v>
      </c>
      <c r="H9" s="14">
        <f t="shared" si="1"/>
        <v>30178000</v>
      </c>
      <c r="I9" s="14">
        <f>'22年度'!I9+'23年度'!I9</f>
        <v>5248000</v>
      </c>
      <c r="J9" s="14">
        <f>'22年度'!J9+'23年度'!J9</f>
        <v>5288000</v>
      </c>
      <c r="K9" s="14">
        <f>'22年度'!K9+'23年度'!K9</f>
        <v>5287000</v>
      </c>
      <c r="L9" s="14">
        <f>'22年度'!L9+'23年度'!L9</f>
        <v>5062500</v>
      </c>
      <c r="M9" s="14">
        <f>'22年度'!M9+'23年度'!M9</f>
        <v>5079000</v>
      </c>
      <c r="N9" s="14">
        <f>'22年度'!N9+'23年度'!N9</f>
        <v>5165500</v>
      </c>
      <c r="O9" s="9">
        <f t="shared" si="2"/>
        <v>31130000</v>
      </c>
      <c r="P9" s="9">
        <f t="shared" si="3"/>
        <v>61308000</v>
      </c>
    </row>
    <row r="10" spans="1:16" ht="12.95" customHeight="1" x14ac:dyDescent="0.15">
      <c r="A10" s="20" t="s">
        <v>128</v>
      </c>
      <c r="B10" s="14">
        <f>'22年度'!B10+'23年度'!B10</f>
        <v>100000</v>
      </c>
      <c r="C10" s="14">
        <f>'22年度'!C10+'23年度'!C10</f>
        <v>135500</v>
      </c>
      <c r="D10" s="14">
        <f>'22年度'!D10+'23年度'!D10</f>
        <v>120500</v>
      </c>
      <c r="E10" s="14">
        <f>'22年度'!E10+'23年度'!E10</f>
        <v>132500</v>
      </c>
      <c r="F10" s="14">
        <f>'22年度'!F10+'23年度'!F10</f>
        <v>145000</v>
      </c>
      <c r="G10" s="14">
        <f>'22年度'!G10+'23年度'!G10</f>
        <v>132500</v>
      </c>
      <c r="H10" s="14">
        <f t="shared" si="1"/>
        <v>766000</v>
      </c>
      <c r="I10" s="14">
        <f>'22年度'!I10+'23年度'!I10</f>
        <v>100000</v>
      </c>
      <c r="J10" s="14">
        <f>'22年度'!J10+'23年度'!J10</f>
        <v>125000</v>
      </c>
      <c r="K10" s="14">
        <f>'22年度'!K10+'23年度'!K10</f>
        <v>100000</v>
      </c>
      <c r="L10" s="14">
        <f>'22年度'!L10+'23年度'!L10</f>
        <v>117500</v>
      </c>
      <c r="M10" s="14">
        <f>'22年度'!M10+'23年度'!M10</f>
        <v>90000</v>
      </c>
      <c r="N10" s="14">
        <f>'22年度'!N10+'23年度'!N10</f>
        <v>135000</v>
      </c>
      <c r="O10" s="9">
        <f t="shared" si="2"/>
        <v>667500</v>
      </c>
      <c r="P10" s="9">
        <f t="shared" si="3"/>
        <v>1433500</v>
      </c>
    </row>
    <row r="11" spans="1:16" ht="12.95" customHeight="1" x14ac:dyDescent="0.15">
      <c r="A11" s="20" t="s">
        <v>129</v>
      </c>
      <c r="B11" s="14">
        <f>'22年度'!B11+'23年度'!B11</f>
        <v>333360</v>
      </c>
      <c r="C11" s="14">
        <f>'22年度'!C11+'23年度'!C11</f>
        <v>336360</v>
      </c>
      <c r="D11" s="14">
        <f>'22年度'!D11+'23年度'!D11</f>
        <v>291400</v>
      </c>
      <c r="E11" s="14">
        <f>'22年度'!E11+'23年度'!E11</f>
        <v>313880</v>
      </c>
      <c r="F11" s="14">
        <f>'22年度'!F11+'23年度'!F11</f>
        <v>302640</v>
      </c>
      <c r="G11" s="14">
        <f>'22年度'!G11+'23年度'!G11</f>
        <v>346480</v>
      </c>
      <c r="H11" s="14">
        <f t="shared" si="1"/>
        <v>1924120</v>
      </c>
      <c r="I11" s="14">
        <f>'22年度'!I11+'23年度'!I11</f>
        <v>327360</v>
      </c>
      <c r="J11" s="14">
        <f>'22年度'!J11+'23年度'!J11</f>
        <v>339360</v>
      </c>
      <c r="K11" s="14">
        <f>'22年度'!K11+'23年度'!K11</f>
        <v>345720</v>
      </c>
      <c r="L11" s="14">
        <f>'22年度'!L11+'23年度'!L11</f>
        <v>323240</v>
      </c>
      <c r="M11" s="14">
        <f>'22年度'!M11+'23年度'!M11</f>
        <v>339360</v>
      </c>
      <c r="N11" s="14">
        <f>'22年度'!N11+'23年度'!N11</f>
        <v>327360</v>
      </c>
      <c r="O11" s="9">
        <f t="shared" si="2"/>
        <v>2002400</v>
      </c>
      <c r="P11" s="9">
        <f t="shared" si="3"/>
        <v>3926520</v>
      </c>
    </row>
    <row r="12" spans="1:16" ht="12.95" customHeight="1" x14ac:dyDescent="0.15">
      <c r="A12" s="27" t="s">
        <v>95</v>
      </c>
      <c r="B12" s="14">
        <f>'22年度'!B12+'23年度'!B12</f>
        <v>19374490</v>
      </c>
      <c r="C12" s="14">
        <f>'22年度'!C12+'23年度'!C12</f>
        <v>18872900</v>
      </c>
      <c r="D12" s="14">
        <f>'22年度'!D12+'23年度'!D12</f>
        <v>18784860</v>
      </c>
      <c r="E12" s="14">
        <f>'22年度'!E12+'23年度'!E12</f>
        <v>19972950</v>
      </c>
      <c r="F12" s="14">
        <f>'22年度'!F12+'23年度'!F12</f>
        <v>19919180</v>
      </c>
      <c r="G12" s="14">
        <f>'22年度'!G12+'23年度'!G12</f>
        <v>19489230</v>
      </c>
      <c r="H12" s="14">
        <f t="shared" si="1"/>
        <v>116413610</v>
      </c>
      <c r="I12" s="14">
        <f>'22年度'!I12+'23年度'!I12</f>
        <v>19237790</v>
      </c>
      <c r="J12" s="14">
        <f>'22年度'!J12+'23年度'!J12</f>
        <v>18104780</v>
      </c>
      <c r="K12" s="14">
        <f>'22年度'!K12+'23年度'!K12</f>
        <v>17589310</v>
      </c>
      <c r="L12" s="14">
        <f>'22年度'!L12+'23年度'!L12</f>
        <v>16169450</v>
      </c>
      <c r="M12" s="14">
        <f>'22年度'!M12+'23年度'!M12</f>
        <v>16720330</v>
      </c>
      <c r="N12" s="14">
        <f>'22年度'!N12+'23年度'!N12</f>
        <v>18292790</v>
      </c>
      <c r="O12" s="9">
        <f t="shared" si="2"/>
        <v>106114450</v>
      </c>
      <c r="P12" s="9">
        <f t="shared" si="3"/>
        <v>222528060</v>
      </c>
    </row>
    <row r="13" spans="1:16" ht="12.95" customHeight="1" x14ac:dyDescent="0.15">
      <c r="A13" s="20" t="s">
        <v>58</v>
      </c>
      <c r="B13" s="14">
        <f>'22年度'!B13+'23年度'!B13</f>
        <v>1072500</v>
      </c>
      <c r="C13" s="14">
        <f>'22年度'!C13+'23年度'!C13</f>
        <v>1047000</v>
      </c>
      <c r="D13" s="14">
        <f>'22年度'!D13+'23年度'!D13</f>
        <v>1047500</v>
      </c>
      <c r="E13" s="14">
        <f>'22年度'!E13+'23年度'!E13</f>
        <v>1114000</v>
      </c>
      <c r="F13" s="14">
        <f>'22年度'!F13+'23年度'!F13</f>
        <v>1110500</v>
      </c>
      <c r="G13" s="14">
        <f>'22年度'!G13+'23年度'!G13</f>
        <v>1080500</v>
      </c>
      <c r="H13" s="14">
        <f t="shared" si="1"/>
        <v>6472000</v>
      </c>
      <c r="I13" s="14">
        <f>'22年度'!I13+'23年度'!I13</f>
        <v>1072000</v>
      </c>
      <c r="J13" s="14">
        <f>'22年度'!J13+'23年度'!J13</f>
        <v>1019000</v>
      </c>
      <c r="K13" s="14">
        <f>'22年度'!K13+'23年度'!K13</f>
        <v>986500</v>
      </c>
      <c r="L13" s="14">
        <f>'22年度'!L13+'23年度'!L13</f>
        <v>901500</v>
      </c>
      <c r="M13" s="14">
        <f>'22年度'!M13+'23年度'!M13</f>
        <v>929500</v>
      </c>
      <c r="N13" s="14">
        <f>'22年度'!N13+'23年度'!N13</f>
        <v>1028000</v>
      </c>
      <c r="O13" s="9">
        <f t="shared" si="2"/>
        <v>5936500</v>
      </c>
      <c r="P13" s="9">
        <f t="shared" si="3"/>
        <v>12408500</v>
      </c>
    </row>
    <row r="14" spans="1:16" ht="12.95" customHeight="1" x14ac:dyDescent="0.15">
      <c r="A14" s="27" t="s">
        <v>96</v>
      </c>
      <c r="B14" s="14">
        <f>'22年度'!B14+'23年度'!B14</f>
        <v>2491500</v>
      </c>
      <c r="C14" s="14">
        <f>'22年度'!C14+'23年度'!C14</f>
        <v>2670710</v>
      </c>
      <c r="D14" s="14">
        <f>'22年度'!D14+'23年度'!D14</f>
        <v>2722830</v>
      </c>
      <c r="E14" s="14">
        <f>'22年度'!E14+'23年度'!E14</f>
        <v>2646320</v>
      </c>
      <c r="F14" s="14">
        <f>'22年度'!F14+'23年度'!F14</f>
        <v>2629840</v>
      </c>
      <c r="G14" s="14">
        <f>'22年度'!G14+'23年度'!G14</f>
        <v>2602470</v>
      </c>
      <c r="H14" s="14">
        <f t="shared" si="1"/>
        <v>15763670</v>
      </c>
      <c r="I14" s="14">
        <f>'22年度'!I14+'23年度'!I14</f>
        <v>2470370</v>
      </c>
      <c r="J14" s="14">
        <f>'22年度'!J14+'23年度'!J14</f>
        <v>2498410</v>
      </c>
      <c r="K14" s="14">
        <f>'22年度'!K14+'23年度'!K14</f>
        <v>2430300</v>
      </c>
      <c r="L14" s="14">
        <f>'22年度'!L14+'23年度'!L14</f>
        <v>2289710</v>
      </c>
      <c r="M14" s="14">
        <f>'22年度'!M14+'23年度'!M14</f>
        <v>2373650</v>
      </c>
      <c r="N14" s="14">
        <f>'22年度'!N14+'23年度'!N14</f>
        <v>2552180</v>
      </c>
      <c r="O14" s="9">
        <f t="shared" si="2"/>
        <v>14614620</v>
      </c>
      <c r="P14" s="9">
        <f t="shared" si="3"/>
        <v>30378290</v>
      </c>
    </row>
    <row r="15" spans="1:16" ht="12.95" customHeight="1" x14ac:dyDescent="0.15">
      <c r="A15" s="20" t="s">
        <v>59</v>
      </c>
      <c r="B15" s="14">
        <f>'22年度'!B15+'23年度'!B15</f>
        <v>176000</v>
      </c>
      <c r="C15" s="14">
        <f>'22年度'!C15+'23年度'!C15</f>
        <v>193500</v>
      </c>
      <c r="D15" s="14">
        <f>'22年度'!D15+'23年度'!D15</f>
        <v>196000</v>
      </c>
      <c r="E15" s="14">
        <f>'22年度'!E15+'23年度'!E15</f>
        <v>198500</v>
      </c>
      <c r="F15" s="14">
        <f>'22年度'!F15+'23年度'!F15</f>
        <v>185000</v>
      </c>
      <c r="G15" s="14">
        <f>'22年度'!G15+'23年度'!G15</f>
        <v>188500</v>
      </c>
      <c r="H15" s="14">
        <f t="shared" si="1"/>
        <v>1137500</v>
      </c>
      <c r="I15" s="14">
        <f>'22年度'!I15+'23年度'!I15</f>
        <v>184500</v>
      </c>
      <c r="J15" s="14">
        <f>'22年度'!J15+'23年度'!J15</f>
        <v>185000</v>
      </c>
      <c r="K15" s="14">
        <f>'22年度'!K15+'23年度'!K15</f>
        <v>173500</v>
      </c>
      <c r="L15" s="14">
        <f>'22年度'!L15+'23年度'!L15</f>
        <v>148000</v>
      </c>
      <c r="M15" s="14">
        <f>'22年度'!M15+'23年度'!M15</f>
        <v>160500</v>
      </c>
      <c r="N15" s="14">
        <f>'22年度'!N15+'23年度'!N15</f>
        <v>192500</v>
      </c>
      <c r="O15" s="9">
        <f t="shared" si="2"/>
        <v>1044000</v>
      </c>
      <c r="P15" s="9">
        <f t="shared" si="3"/>
        <v>2181500</v>
      </c>
    </row>
    <row r="16" spans="1:16" ht="12.95" customHeight="1" x14ac:dyDescent="0.15">
      <c r="A16" s="28" t="s">
        <v>120</v>
      </c>
      <c r="B16" s="14">
        <f>'22年度'!B16+'23年度'!B16</f>
        <v>2178223</v>
      </c>
      <c r="C16" s="14">
        <f>'22年度'!C16+'23年度'!C16</f>
        <v>2376710</v>
      </c>
      <c r="D16" s="14">
        <f>'22年度'!D16+'23年度'!D16</f>
        <v>2302840</v>
      </c>
      <c r="E16" s="14">
        <f>'22年度'!E16+'23年度'!E16</f>
        <v>2218400</v>
      </c>
      <c r="F16" s="14">
        <f>'22年度'!F16+'23年度'!F16</f>
        <v>2154440</v>
      </c>
      <c r="G16" s="14">
        <f>'22年度'!G16+'23年度'!G16</f>
        <v>2066470</v>
      </c>
      <c r="H16" s="14">
        <f t="shared" si="1"/>
        <v>13297083</v>
      </c>
      <c r="I16" s="14">
        <f>'22年度'!I16+'23年度'!I16</f>
        <v>3767500</v>
      </c>
      <c r="J16" s="14">
        <f>'22年度'!J16+'23年度'!J16</f>
        <v>3879430</v>
      </c>
      <c r="K16" s="14">
        <f>'22年度'!K16+'23年度'!K16</f>
        <v>4103770</v>
      </c>
      <c r="L16" s="14">
        <f>'22年度'!L16+'23年度'!L16</f>
        <v>3885340</v>
      </c>
      <c r="M16" s="14">
        <f>'22年度'!M16+'23年度'!M16</f>
        <v>4324610</v>
      </c>
      <c r="N16" s="14">
        <f>'22年度'!N16+'23年度'!N16</f>
        <v>4904430</v>
      </c>
      <c r="O16" s="9">
        <f t="shared" si="2"/>
        <v>24865080</v>
      </c>
      <c r="P16" s="9">
        <f t="shared" si="3"/>
        <v>38162163</v>
      </c>
    </row>
    <row r="17" spans="1:16" ht="12.95" customHeight="1" x14ac:dyDescent="0.15">
      <c r="A17" s="20" t="s">
        <v>59</v>
      </c>
      <c r="B17" s="14">
        <f>'22年度'!B17+'23年度'!B17</f>
        <v>85000</v>
      </c>
      <c r="C17" s="14">
        <f>'22年度'!C17+'23年度'!C17</f>
        <v>100000</v>
      </c>
      <c r="D17" s="14">
        <f>'22年度'!D17+'23年度'!D17</f>
        <v>98500</v>
      </c>
      <c r="E17" s="14">
        <f>'22年度'!E17+'23年度'!E17</f>
        <v>86500</v>
      </c>
      <c r="F17" s="14">
        <f>'22年度'!F17+'23年度'!F17</f>
        <v>85500</v>
      </c>
      <c r="G17" s="14">
        <f>'22年度'!G17+'23年度'!G17</f>
        <v>78500</v>
      </c>
      <c r="H17" s="14">
        <f t="shared" si="1"/>
        <v>534000</v>
      </c>
      <c r="I17" s="14">
        <f>'22年度'!I17+'23年度'!I17</f>
        <v>144500</v>
      </c>
      <c r="J17" s="14">
        <f>'22年度'!J17+'23年度'!J17</f>
        <v>149000</v>
      </c>
      <c r="K17" s="14">
        <f>'22年度'!K17+'23年度'!K17</f>
        <v>160000</v>
      </c>
      <c r="L17" s="14">
        <f>'22年度'!L17+'23年度'!L17</f>
        <v>153500</v>
      </c>
      <c r="M17" s="14">
        <f>'22年度'!M17+'23年度'!M17</f>
        <v>171000</v>
      </c>
      <c r="N17" s="14">
        <f>'22年度'!N17+'23年度'!N17</f>
        <v>194500</v>
      </c>
      <c r="O17" s="9">
        <f t="shared" si="2"/>
        <v>972500</v>
      </c>
      <c r="P17" s="9">
        <f t="shared" si="3"/>
        <v>1506500</v>
      </c>
    </row>
    <row r="18" spans="1:16" ht="12.95" customHeight="1" x14ac:dyDescent="0.15">
      <c r="A18" s="27" t="s">
        <v>119</v>
      </c>
      <c r="B18" s="14">
        <f>'22年度'!B18+'23年度'!B19</f>
        <v>118800</v>
      </c>
      <c r="C18" s="14">
        <f>'22年度'!C18+'23年度'!C19</f>
        <v>88600</v>
      </c>
      <c r="D18" s="14">
        <f>'22年度'!D18+'23年度'!D19</f>
        <v>146000</v>
      </c>
      <c r="E18" s="14">
        <f>'22年度'!E18+'23年度'!E19</f>
        <v>103400</v>
      </c>
      <c r="F18" s="14">
        <f>'22年度'!F18+'23年度'!F19</f>
        <v>111000</v>
      </c>
      <c r="G18" s="14">
        <f>'22年度'!G18+'23年度'!G19</f>
        <v>121000</v>
      </c>
      <c r="H18" s="14">
        <f t="shared" si="1"/>
        <v>688800</v>
      </c>
      <c r="I18" s="14">
        <f>'22年度'!I18+'23年度'!I19</f>
        <v>103000</v>
      </c>
      <c r="J18" s="14">
        <f>'22年度'!J18+'23年度'!J19</f>
        <v>95400</v>
      </c>
      <c r="K18" s="14">
        <f>'22年度'!K18+'23年度'!K19</f>
        <v>106800</v>
      </c>
      <c r="L18" s="14">
        <f>'22年度'!L18+'23年度'!L19</f>
        <v>64400</v>
      </c>
      <c r="M18" s="14">
        <f>'22年度'!M18+'23年度'!M19</f>
        <v>91000</v>
      </c>
      <c r="N18" s="14">
        <f>'22年度'!N18+'23年度'!N19</f>
        <v>101800</v>
      </c>
      <c r="O18" s="9">
        <f t="shared" si="2"/>
        <v>562400</v>
      </c>
      <c r="P18" s="9">
        <f t="shared" si="3"/>
        <v>1251200</v>
      </c>
    </row>
    <row r="19" spans="1:16" ht="12.95" customHeight="1" x14ac:dyDescent="0.15">
      <c r="A19" s="27" t="s">
        <v>97</v>
      </c>
      <c r="B19" s="14">
        <f>'22年度'!B19+'23年度'!B20</f>
        <v>31300</v>
      </c>
      <c r="C19" s="14">
        <f>'22年度'!C19+'23年度'!C20</f>
        <v>16100</v>
      </c>
      <c r="D19" s="14">
        <f>'22年度'!D19+'23年度'!D20</f>
        <v>2500</v>
      </c>
      <c r="E19" s="14">
        <f>'22年度'!E19+'23年度'!E20</f>
        <v>23950</v>
      </c>
      <c r="F19" s="14">
        <f>'22年度'!F19+'23年度'!F20</f>
        <v>11850</v>
      </c>
      <c r="G19" s="14">
        <f>'22年度'!G19+'23年度'!G20</f>
        <v>44900</v>
      </c>
      <c r="H19" s="14">
        <f t="shared" si="1"/>
        <v>130600</v>
      </c>
      <c r="I19" s="14">
        <f>'22年度'!I19+'23年度'!I20</f>
        <v>5800</v>
      </c>
      <c r="J19" s="14">
        <f>'22年度'!J19+'23年度'!J20</f>
        <v>88950</v>
      </c>
      <c r="K19" s="14">
        <f>'22年度'!K19+'23年度'!K20</f>
        <v>20500</v>
      </c>
      <c r="L19" s="14">
        <f>'22年度'!L19+'23年度'!L20</f>
        <v>18050</v>
      </c>
      <c r="M19" s="14">
        <f>'22年度'!M19+'23年度'!M20</f>
        <v>22450</v>
      </c>
      <c r="N19" s="14">
        <f>'22年度'!N19+'23年度'!N20</f>
        <v>19150</v>
      </c>
      <c r="O19" s="14">
        <f t="shared" si="2"/>
        <v>174900</v>
      </c>
      <c r="P19" s="14">
        <f t="shared" si="3"/>
        <v>305500</v>
      </c>
    </row>
    <row r="20" spans="1:16" ht="12.95" customHeight="1" x14ac:dyDescent="0.15">
      <c r="A20" s="27" t="s">
        <v>98</v>
      </c>
      <c r="B20" s="14">
        <f>'22年度'!B20+'23年度'!B21</f>
        <v>261350</v>
      </c>
      <c r="C20" s="14">
        <f>'22年度'!C20+'23年度'!C21</f>
        <v>257650</v>
      </c>
      <c r="D20" s="14">
        <f>'22年度'!D20+'23年度'!D21</f>
        <v>238950</v>
      </c>
      <c r="E20" s="14">
        <f>'22年度'!E20+'23年度'!E21</f>
        <v>230000</v>
      </c>
      <c r="F20" s="14">
        <f>'22年度'!F20+'23年度'!F21</f>
        <v>245150</v>
      </c>
      <c r="G20" s="14">
        <f>'22年度'!G20+'23年度'!G21</f>
        <v>215650</v>
      </c>
      <c r="H20" s="14">
        <f t="shared" si="1"/>
        <v>1448750</v>
      </c>
      <c r="I20" s="14">
        <f>'22年度'!I20+'23年度'!I21</f>
        <v>259850</v>
      </c>
      <c r="J20" s="14">
        <f>'22年度'!J20+'23年度'!J21</f>
        <v>196700</v>
      </c>
      <c r="K20" s="14">
        <f>'22年度'!K20+'23年度'!K21</f>
        <v>189200</v>
      </c>
      <c r="L20" s="14">
        <f>'22年度'!L20+'23年度'!L21</f>
        <v>200050</v>
      </c>
      <c r="M20" s="14">
        <f>'22年度'!M20+'23年度'!M21</f>
        <v>137200</v>
      </c>
      <c r="N20" s="14">
        <f>'22年度'!N20+'23年度'!N21</f>
        <v>182400</v>
      </c>
      <c r="O20" s="9">
        <f t="shared" si="2"/>
        <v>1165400</v>
      </c>
      <c r="P20" s="14">
        <f t="shared" si="3"/>
        <v>2614150</v>
      </c>
    </row>
    <row r="21" spans="1:16" ht="12.95" customHeight="1" x14ac:dyDescent="0.15">
      <c r="A21" s="27" t="s">
        <v>118</v>
      </c>
      <c r="B21" s="14">
        <f>'22年度'!B21+'23年度'!B22</f>
        <v>293550</v>
      </c>
      <c r="C21" s="14">
        <f>'22年度'!C21+'23年度'!C22</f>
        <v>246300</v>
      </c>
      <c r="D21" s="14">
        <f>'22年度'!D21+'23年度'!D22</f>
        <v>286850</v>
      </c>
      <c r="E21" s="14">
        <f>'22年度'!E21+'23年度'!E22</f>
        <v>425150</v>
      </c>
      <c r="F21" s="14">
        <f>'22年度'!F21+'23年度'!F22</f>
        <v>554400</v>
      </c>
      <c r="G21" s="14">
        <f>'22年度'!G21+'23年度'!G22</f>
        <v>259600</v>
      </c>
      <c r="H21" s="14">
        <f t="shared" si="1"/>
        <v>2065850</v>
      </c>
      <c r="I21" s="14">
        <f>'22年度'!I21+'23年度'!I22</f>
        <v>291700</v>
      </c>
      <c r="J21" s="14">
        <f>'22年度'!J21+'23年度'!J22</f>
        <v>280050</v>
      </c>
      <c r="K21" s="14">
        <f>'22年度'!K21+'23年度'!K22</f>
        <v>261850</v>
      </c>
      <c r="L21" s="14">
        <f>'22年度'!L21+'23年度'!L22</f>
        <v>246250</v>
      </c>
      <c r="M21" s="14">
        <f>'22年度'!M21+'23年度'!M22</f>
        <v>256200</v>
      </c>
      <c r="N21" s="14">
        <f>'22年度'!N21+'23年度'!N22</f>
        <v>392200</v>
      </c>
      <c r="O21" s="9">
        <f t="shared" si="2"/>
        <v>1728250</v>
      </c>
      <c r="P21" s="14">
        <f t="shared" si="3"/>
        <v>3794100</v>
      </c>
    </row>
    <row r="22" spans="1:16" ht="12.95" customHeight="1" x14ac:dyDescent="0.15">
      <c r="A22" s="27" t="s">
        <v>130</v>
      </c>
      <c r="B22" s="14">
        <f>'22年度'!B22+'23年度'!B23</f>
        <v>1084000</v>
      </c>
      <c r="C22" s="14">
        <f>'22年度'!C22+'23年度'!C23</f>
        <v>672300</v>
      </c>
      <c r="D22" s="14">
        <f>'22年度'!D22+'23年度'!D23</f>
        <v>694000</v>
      </c>
      <c r="E22" s="14">
        <f>'22年度'!E22+'23年度'!E23</f>
        <v>1146350</v>
      </c>
      <c r="F22" s="14">
        <f>'22年度'!F22+'23年度'!F23</f>
        <v>1832400</v>
      </c>
      <c r="G22" s="14">
        <f>'22年度'!G22+'23年度'!G23</f>
        <v>598150</v>
      </c>
      <c r="H22" s="14">
        <f t="shared" si="1"/>
        <v>6027200</v>
      </c>
      <c r="I22" s="14">
        <f>'22年度'!I22+'23年度'!I23</f>
        <v>587600</v>
      </c>
      <c r="J22" s="14">
        <f>'22年度'!J22+'23年度'!J23</f>
        <v>569850</v>
      </c>
      <c r="K22" s="14">
        <f>'22年度'!K22+'23年度'!K23</f>
        <v>656250</v>
      </c>
      <c r="L22" s="14">
        <f>'22年度'!L22+'23年度'!L23</f>
        <v>505650</v>
      </c>
      <c r="M22" s="14">
        <f>'22年度'!M22+'23年度'!M23</f>
        <v>484500</v>
      </c>
      <c r="N22" s="14">
        <f>'22年度'!N22+'23年度'!N23</f>
        <v>688400</v>
      </c>
      <c r="O22" s="9">
        <f t="shared" si="2"/>
        <v>3492250</v>
      </c>
      <c r="P22" s="14">
        <f t="shared" si="3"/>
        <v>9519450</v>
      </c>
    </row>
    <row r="23" spans="1:16" ht="12.95" customHeight="1" x14ac:dyDescent="0.15">
      <c r="A23" s="20" t="s">
        <v>99</v>
      </c>
      <c r="B23" s="14">
        <f>'22年度'!B23+'23年度'!B24</f>
        <v>805000</v>
      </c>
      <c r="C23" s="14">
        <f>'22年度'!C23+'23年度'!C24</f>
        <v>495000</v>
      </c>
      <c r="D23" s="14">
        <f>'22年度'!D23+'23年度'!D24</f>
        <v>495000</v>
      </c>
      <c r="E23" s="14">
        <f>'22年度'!E23+'23年度'!E24</f>
        <v>495000</v>
      </c>
      <c r="F23" s="14">
        <f>'22年度'!F23+'23年度'!F24</f>
        <v>495000</v>
      </c>
      <c r="G23" s="14">
        <f>'22年度'!G23+'23年度'!G24</f>
        <v>495000</v>
      </c>
      <c r="H23" s="14">
        <f t="shared" si="1"/>
        <v>3280000</v>
      </c>
      <c r="I23" s="14">
        <f>'22年度'!I23+'23年度'!I24</f>
        <v>495000</v>
      </c>
      <c r="J23" s="14">
        <f>'22年度'!J23+'23年度'!J24</f>
        <v>745000</v>
      </c>
      <c r="K23" s="14">
        <f>'22年度'!K23+'23年度'!K24</f>
        <v>745000</v>
      </c>
      <c r="L23" s="14">
        <f>'22年度'!L23+'23年度'!L24</f>
        <v>1166375</v>
      </c>
      <c r="M23" s="14">
        <f>'22年度'!M23+'23年度'!M24</f>
        <v>1521375</v>
      </c>
      <c r="N23" s="14">
        <f>'22年度'!N23+'23年度'!N24</f>
        <v>2237750</v>
      </c>
      <c r="O23" s="14">
        <f t="shared" si="2"/>
        <v>6910500</v>
      </c>
      <c r="P23" s="14">
        <f t="shared" si="3"/>
        <v>10190500</v>
      </c>
    </row>
    <row r="24" spans="1:16" x14ac:dyDescent="0.15">
      <c r="A24" s="19" t="s">
        <v>11</v>
      </c>
      <c r="B24" s="10">
        <f>'22年度'!B24+'23年度'!B25</f>
        <v>1005000</v>
      </c>
      <c r="C24" s="10">
        <f>'22年度'!C24+'23年度'!C25</f>
        <v>152000</v>
      </c>
      <c r="D24" s="10">
        <f>'22年度'!D24+'23年度'!D25</f>
        <v>46000</v>
      </c>
      <c r="E24" s="10">
        <f>'22年度'!E24+'23年度'!E25</f>
        <v>171000</v>
      </c>
      <c r="F24" s="10">
        <f>'22年度'!F24+'23年度'!F25</f>
        <v>126000</v>
      </c>
      <c r="G24" s="10">
        <f>'22年度'!G24+'23年度'!G25</f>
        <v>30000</v>
      </c>
      <c r="H24" s="10">
        <f t="shared" si="1"/>
        <v>1530000</v>
      </c>
      <c r="I24" s="10">
        <f>'22年度'!I24+'23年度'!I25</f>
        <v>10000</v>
      </c>
      <c r="J24" s="10">
        <f>'22年度'!J24+'23年度'!J25</f>
        <v>111000</v>
      </c>
      <c r="K24" s="10">
        <f>'22年度'!K24+'23年度'!K25</f>
        <v>165000</v>
      </c>
      <c r="L24" s="10">
        <f>'22年度'!L24+'23年度'!L25</f>
        <v>28000</v>
      </c>
      <c r="M24" s="10">
        <f>'22年度'!M24+'23年度'!M25</f>
        <v>380000</v>
      </c>
      <c r="N24" s="10">
        <f>'22年度'!N24+'23年度'!N25</f>
        <v>65000</v>
      </c>
      <c r="O24" s="10">
        <f t="shared" si="2"/>
        <v>759000</v>
      </c>
      <c r="P24" s="10">
        <f t="shared" si="3"/>
        <v>2289000</v>
      </c>
    </row>
    <row r="25" spans="1:16" x14ac:dyDescent="0.15">
      <c r="A25" s="19" t="s">
        <v>125</v>
      </c>
      <c r="B25" s="10">
        <f>'22年度'!B25+'23年度'!B26</f>
        <v>445681</v>
      </c>
      <c r="C25" s="10">
        <f>'22年度'!C25+'23年度'!C26</f>
        <v>480520</v>
      </c>
      <c r="D25" s="10">
        <f>'22年度'!D25+'23年度'!D26</f>
        <v>475752</v>
      </c>
      <c r="E25" s="10">
        <f>'22年度'!E25+'23年度'!E26</f>
        <v>477528</v>
      </c>
      <c r="F25" s="10">
        <f>'22年度'!F25+'23年度'!F26</f>
        <v>473258</v>
      </c>
      <c r="G25" s="10">
        <f>'22年度'!G25+'23年度'!G26</f>
        <v>1039701</v>
      </c>
      <c r="H25" s="10">
        <f t="shared" si="1"/>
        <v>3392440</v>
      </c>
      <c r="I25" s="10">
        <f>'22年度'!I25+'23年度'!I26</f>
        <v>10487792</v>
      </c>
      <c r="J25" s="10">
        <f>'22年度'!J25+'23年度'!J26</f>
        <v>1475619</v>
      </c>
      <c r="K25" s="10">
        <f>'22年度'!K25+'23年度'!K26</f>
        <v>480077</v>
      </c>
      <c r="L25" s="10">
        <f>'22年度'!L25+'23年度'!L26</f>
        <v>535466</v>
      </c>
      <c r="M25" s="10">
        <f>'22年度'!M25+'23年度'!M26</f>
        <v>498367</v>
      </c>
      <c r="N25" s="10">
        <f>'22年度'!N25+'23年度'!N26</f>
        <v>459636</v>
      </c>
      <c r="O25" s="10">
        <f t="shared" si="2"/>
        <v>13936957</v>
      </c>
      <c r="P25" s="10">
        <f t="shared" si="3"/>
        <v>17329397</v>
      </c>
    </row>
    <row r="26" spans="1:16" x14ac:dyDescent="0.15">
      <c r="A26" s="19" t="s">
        <v>12</v>
      </c>
      <c r="B26" s="10">
        <f>'22年度'!B26+'23年度'!B27</f>
        <v>880931</v>
      </c>
      <c r="C26" s="10">
        <f>'22年度'!C26+'23年度'!C27</f>
        <v>288110</v>
      </c>
      <c r="D26" s="10">
        <f>'22年度'!D26+'23年度'!D27</f>
        <v>283605</v>
      </c>
      <c r="E26" s="10">
        <f>'22年度'!E26+'23年度'!E27</f>
        <v>249460</v>
      </c>
      <c r="F26" s="10">
        <f>'22年度'!F26+'23年度'!F27</f>
        <v>304714</v>
      </c>
      <c r="G26" s="10">
        <f>'22年度'!G26+'23年度'!G27</f>
        <v>302485</v>
      </c>
      <c r="H26" s="10">
        <f t="shared" si="1"/>
        <v>2309305</v>
      </c>
      <c r="I26" s="10">
        <f>'22年度'!I26+'23年度'!I27</f>
        <v>308463</v>
      </c>
      <c r="J26" s="10">
        <f>'22年度'!J26+'23年度'!J27</f>
        <v>246740</v>
      </c>
      <c r="K26" s="10">
        <f>'22年度'!K26+'23年度'!K27</f>
        <v>235920</v>
      </c>
      <c r="L26" s="10">
        <f>'22年度'!L26+'23年度'!L27</f>
        <v>195185</v>
      </c>
      <c r="M26" s="10">
        <f>'22年度'!M26+'23年度'!M27</f>
        <v>277480</v>
      </c>
      <c r="N26" s="10">
        <f>'22年度'!N26+'23年度'!N27</f>
        <v>211770</v>
      </c>
      <c r="O26" s="10">
        <f t="shared" si="2"/>
        <v>1475558</v>
      </c>
      <c r="P26" s="10">
        <f t="shared" si="3"/>
        <v>3784863</v>
      </c>
    </row>
    <row r="27" spans="1:16" x14ac:dyDescent="0.15">
      <c r="A27" s="22" t="s">
        <v>13</v>
      </c>
      <c r="B27" s="10">
        <f t="shared" ref="B27:G27" si="5">B4+B8+B24+B25+B26</f>
        <v>35798685</v>
      </c>
      <c r="C27" s="10">
        <f t="shared" si="5"/>
        <v>33320260</v>
      </c>
      <c r="D27" s="10">
        <f t="shared" si="5"/>
        <v>33296087</v>
      </c>
      <c r="E27" s="10">
        <f t="shared" si="5"/>
        <v>35193888</v>
      </c>
      <c r="F27" s="10">
        <f t="shared" si="5"/>
        <v>35945872</v>
      </c>
      <c r="G27" s="10">
        <f t="shared" si="5"/>
        <v>34170136</v>
      </c>
      <c r="H27" s="10">
        <f t="shared" si="1"/>
        <v>207724928</v>
      </c>
      <c r="I27" s="10">
        <f t="shared" ref="I27:N27" si="6">I4+I8+I24+I25+I26</f>
        <v>45109225</v>
      </c>
      <c r="J27" s="10">
        <f t="shared" si="6"/>
        <v>35402289</v>
      </c>
      <c r="K27" s="10">
        <f t="shared" si="6"/>
        <v>34047697</v>
      </c>
      <c r="L27" s="10">
        <f t="shared" si="6"/>
        <v>32014166</v>
      </c>
      <c r="M27" s="10">
        <f t="shared" si="6"/>
        <v>33863522</v>
      </c>
      <c r="N27" s="10">
        <f t="shared" si="6"/>
        <v>37157366</v>
      </c>
      <c r="O27" s="10">
        <f t="shared" si="2"/>
        <v>217594265</v>
      </c>
      <c r="P27" s="10">
        <f t="shared" si="3"/>
        <v>425319193</v>
      </c>
    </row>
    <row r="28" spans="1:16" x14ac:dyDescent="0.15">
      <c r="A28" s="7" t="s">
        <v>124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15">
      <c r="A29" s="4" t="s">
        <v>15</v>
      </c>
      <c r="B29" s="2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15">
      <c r="A30" s="7" t="s">
        <v>16</v>
      </c>
      <c r="B30" s="10">
        <f t="shared" ref="B30:N30" si="7">SUM(B31:B35)</f>
        <v>21386990</v>
      </c>
      <c r="C30" s="10">
        <f t="shared" si="7"/>
        <v>20856096</v>
      </c>
      <c r="D30" s="10">
        <f t="shared" si="7"/>
        <v>20756017</v>
      </c>
      <c r="E30" s="10">
        <f t="shared" si="7"/>
        <v>38262822</v>
      </c>
      <c r="F30" s="10">
        <f t="shared" si="7"/>
        <v>22983902</v>
      </c>
      <c r="G30" s="10">
        <f t="shared" si="7"/>
        <v>21458609</v>
      </c>
      <c r="H30" s="10">
        <f t="shared" ref="H30:H67" si="8">SUM(B30:G30)</f>
        <v>145704436</v>
      </c>
      <c r="I30" s="10">
        <f t="shared" si="7"/>
        <v>22617764</v>
      </c>
      <c r="J30" s="10">
        <f t="shared" si="7"/>
        <v>22585129</v>
      </c>
      <c r="K30" s="10">
        <f t="shared" si="7"/>
        <v>34012892</v>
      </c>
      <c r="L30" s="10">
        <f t="shared" si="7"/>
        <v>21542900</v>
      </c>
      <c r="M30" s="10">
        <f t="shared" si="7"/>
        <v>22002123</v>
      </c>
      <c r="N30" s="10">
        <f t="shared" si="7"/>
        <v>22215442</v>
      </c>
      <c r="O30" s="10">
        <f t="shared" si="2"/>
        <v>144976250</v>
      </c>
      <c r="P30" s="10">
        <f t="shared" si="3"/>
        <v>290680686</v>
      </c>
    </row>
    <row r="31" spans="1:16" ht="12.95" customHeight="1" x14ac:dyDescent="0.15">
      <c r="A31" s="4" t="s">
        <v>100</v>
      </c>
      <c r="B31" s="9">
        <f>'22年度'!B31+'23年度'!B32</f>
        <v>60000</v>
      </c>
      <c r="C31" s="9">
        <f>'22年度'!C31+'23年度'!C32</f>
        <v>60000</v>
      </c>
      <c r="D31" s="9">
        <f>'22年度'!D31+'23年度'!D32</f>
        <v>60000</v>
      </c>
      <c r="E31" s="9">
        <f>'22年度'!E31+'23年度'!E32</f>
        <v>60000</v>
      </c>
      <c r="F31" s="9">
        <f>'22年度'!F31+'23年度'!F32</f>
        <v>60000</v>
      </c>
      <c r="G31" s="9">
        <f>'22年度'!G31+'23年度'!G32</f>
        <v>60000</v>
      </c>
      <c r="H31" s="9">
        <f t="shared" si="8"/>
        <v>360000</v>
      </c>
      <c r="I31" s="9">
        <f>'22年度'!I31+'23年度'!I32</f>
        <v>60000</v>
      </c>
      <c r="J31" s="9">
        <f>'22年度'!J31+'23年度'!J32</f>
        <v>60000</v>
      </c>
      <c r="K31" s="9">
        <f>'22年度'!K31+'23年度'!K32</f>
        <v>60000</v>
      </c>
      <c r="L31" s="9">
        <f>'22年度'!L31+'23年度'!L32</f>
        <v>60000</v>
      </c>
      <c r="M31" s="9">
        <f>'22年度'!M31+'23年度'!M32</f>
        <v>60000</v>
      </c>
      <c r="N31" s="9">
        <f>'22年度'!N31+'23年度'!N32</f>
        <v>60000</v>
      </c>
      <c r="O31" s="9">
        <f t="shared" si="2"/>
        <v>360000</v>
      </c>
      <c r="P31" s="9">
        <f t="shared" si="3"/>
        <v>720000</v>
      </c>
    </row>
    <row r="32" spans="1:16" ht="12.95" customHeight="1" x14ac:dyDescent="0.15">
      <c r="A32" s="4" t="s">
        <v>101</v>
      </c>
      <c r="B32" s="9">
        <f>'22年度'!B32+'23年度'!B33</f>
        <v>16937025</v>
      </c>
      <c r="C32" s="9">
        <f>'22年度'!C32+'23年度'!C33</f>
        <v>16543575</v>
      </c>
      <c r="D32" s="9">
        <f>'22年度'!D32+'23年度'!D33</f>
        <v>16441650</v>
      </c>
      <c r="E32" s="9">
        <f>'22年度'!E32+'23年度'!E33</f>
        <v>31134374</v>
      </c>
      <c r="F32" s="9">
        <f>'22年度'!F32+'23年度'!F33</f>
        <v>18105000</v>
      </c>
      <c r="G32" s="9">
        <f>'22年度'!G32+'23年度'!G33</f>
        <v>17098285</v>
      </c>
      <c r="H32" s="9">
        <f t="shared" si="8"/>
        <v>116259909</v>
      </c>
      <c r="I32" s="9">
        <f>'22年度'!I32+'23年度'!I33</f>
        <v>17436125</v>
      </c>
      <c r="J32" s="9">
        <f>'22年度'!J32+'23年度'!J33</f>
        <v>17775955</v>
      </c>
      <c r="K32" s="9">
        <f>'22年度'!K32+'23年度'!K33</f>
        <v>28339710</v>
      </c>
      <c r="L32" s="9">
        <f>'22年度'!L32+'23年度'!L33</f>
        <v>16780436</v>
      </c>
      <c r="M32" s="9">
        <f>'22年度'!M32+'23年度'!M33</f>
        <v>17418030</v>
      </c>
      <c r="N32" s="9">
        <f>'22年度'!N32+'23年度'!N33</f>
        <v>17757600</v>
      </c>
      <c r="O32" s="9">
        <f t="shared" si="2"/>
        <v>115507856</v>
      </c>
      <c r="P32" s="9">
        <f t="shared" si="3"/>
        <v>231767765</v>
      </c>
    </row>
    <row r="33" spans="1:16" ht="12.95" customHeight="1" x14ac:dyDescent="0.15">
      <c r="A33" s="4" t="s">
        <v>102</v>
      </c>
      <c r="B33" s="9">
        <f>'22年度'!B33+'23年度'!B34</f>
        <v>2881900</v>
      </c>
      <c r="C33" s="9">
        <f>'22年度'!C33+'23年度'!C34</f>
        <v>2684555</v>
      </c>
      <c r="D33" s="9">
        <f>'22年度'!D33+'23年度'!D34</f>
        <v>2668740</v>
      </c>
      <c r="E33" s="9">
        <f>'22年度'!E33+'23年度'!E34</f>
        <v>4980312</v>
      </c>
      <c r="F33" s="9">
        <f>'22年度'!F33+'23年度'!F34</f>
        <v>3233510</v>
      </c>
      <c r="G33" s="9">
        <f>'22年度'!G33+'23年度'!G34</f>
        <v>2711670</v>
      </c>
      <c r="H33" s="14">
        <f t="shared" si="8"/>
        <v>19160687</v>
      </c>
      <c r="I33" s="9">
        <f>'22年度'!I33+'23年度'!I34</f>
        <v>2852130</v>
      </c>
      <c r="J33" s="9">
        <f>'22年度'!J33+'23年度'!J34</f>
        <v>2946870</v>
      </c>
      <c r="K33" s="9">
        <f>'22年度'!K33+'23年度'!K34</f>
        <v>3811330</v>
      </c>
      <c r="L33" s="9">
        <f>'22年度'!L33+'23年度'!L34</f>
        <v>2411920</v>
      </c>
      <c r="M33" s="9">
        <f>'22年度'!M33+'23年度'!M34</f>
        <v>2728170</v>
      </c>
      <c r="N33" s="9">
        <f>'22年度'!N33+'23年度'!N34</f>
        <v>2599890</v>
      </c>
      <c r="O33" s="14">
        <f t="shared" si="2"/>
        <v>17350310</v>
      </c>
      <c r="P33" s="14">
        <f t="shared" si="3"/>
        <v>36510997</v>
      </c>
    </row>
    <row r="34" spans="1:16" ht="12.95" customHeight="1" x14ac:dyDescent="0.15">
      <c r="A34" s="4" t="s">
        <v>19</v>
      </c>
      <c r="B34" s="9">
        <f>'22年度'!B34+'23年度'!B35</f>
        <v>1508065</v>
      </c>
      <c r="C34" s="9">
        <f>'22年度'!C34+'23年度'!C35</f>
        <v>1567966</v>
      </c>
      <c r="D34" s="9">
        <f>'22年度'!D34+'23年度'!D35</f>
        <v>1585627</v>
      </c>
      <c r="E34" s="9">
        <f>'22年度'!E34+'23年度'!E35</f>
        <v>2088136</v>
      </c>
      <c r="F34" s="9">
        <f>'22年度'!F34+'23年度'!F35</f>
        <v>1585392</v>
      </c>
      <c r="G34" s="9">
        <f>'22年度'!G34+'23年度'!G35</f>
        <v>1588654</v>
      </c>
      <c r="H34" s="9">
        <f t="shared" si="8"/>
        <v>9923840</v>
      </c>
      <c r="I34" s="9">
        <f>'22年度'!I34+'23年度'!I35</f>
        <v>2269509</v>
      </c>
      <c r="J34" s="9">
        <f>'22年度'!J34+'23年度'!J35</f>
        <v>1802304</v>
      </c>
      <c r="K34" s="9">
        <f>'22年度'!K34+'23年度'!K35</f>
        <v>1801852</v>
      </c>
      <c r="L34" s="9">
        <f>'22年度'!L34+'23年度'!L35</f>
        <v>2290544</v>
      </c>
      <c r="M34" s="9">
        <f>'22年度'!M34+'23年度'!M35</f>
        <v>1795923</v>
      </c>
      <c r="N34" s="9">
        <f>'22年度'!N34+'23年度'!N35</f>
        <v>1797952</v>
      </c>
      <c r="O34" s="13">
        <f t="shared" si="2"/>
        <v>11758084</v>
      </c>
      <c r="P34" s="9">
        <f t="shared" si="3"/>
        <v>21681924</v>
      </c>
    </row>
    <row r="35" spans="1:16" ht="12.95" customHeight="1" x14ac:dyDescent="0.15">
      <c r="A35" s="4" t="s">
        <v>117</v>
      </c>
      <c r="B35" s="9"/>
      <c r="C35" s="9"/>
      <c r="D35" s="9"/>
      <c r="E35" s="9"/>
      <c r="F35" s="9"/>
      <c r="G35" s="9"/>
      <c r="H35" s="9">
        <f t="shared" si="8"/>
        <v>0</v>
      </c>
      <c r="I35" s="9"/>
      <c r="J35" s="9"/>
      <c r="K35" s="9"/>
      <c r="L35" s="9"/>
      <c r="M35" s="9"/>
      <c r="N35" s="9"/>
      <c r="O35" s="13">
        <f t="shared" si="2"/>
        <v>0</v>
      </c>
      <c r="P35" s="9">
        <f t="shared" si="3"/>
        <v>0</v>
      </c>
    </row>
    <row r="36" spans="1:16" x14ac:dyDescent="0.15">
      <c r="A36" s="7" t="s">
        <v>20</v>
      </c>
      <c r="B36" s="10">
        <f t="shared" ref="B36:N36" si="9">SUM(B37:B61)</f>
        <v>5695367</v>
      </c>
      <c r="C36" s="10">
        <f t="shared" si="9"/>
        <v>17297021</v>
      </c>
      <c r="D36" s="10">
        <f t="shared" si="9"/>
        <v>6125548</v>
      </c>
      <c r="E36" s="10">
        <f t="shared" si="9"/>
        <v>6302437</v>
      </c>
      <c r="F36" s="10">
        <f t="shared" si="9"/>
        <v>8151160</v>
      </c>
      <c r="G36" s="10">
        <f t="shared" si="9"/>
        <v>14257721</v>
      </c>
      <c r="H36" s="10">
        <f t="shared" si="8"/>
        <v>57829254</v>
      </c>
      <c r="I36" s="10">
        <f t="shared" si="9"/>
        <v>7586269</v>
      </c>
      <c r="J36" s="10">
        <f t="shared" si="9"/>
        <v>7896190</v>
      </c>
      <c r="K36" s="10">
        <f t="shared" si="9"/>
        <v>10306117</v>
      </c>
      <c r="L36" s="10">
        <f t="shared" si="9"/>
        <v>7024179</v>
      </c>
      <c r="M36" s="10">
        <f t="shared" si="9"/>
        <v>6475647</v>
      </c>
      <c r="N36" s="10">
        <f t="shared" si="9"/>
        <v>16077320</v>
      </c>
      <c r="O36" s="10">
        <f t="shared" si="2"/>
        <v>55365722</v>
      </c>
      <c r="P36" s="10">
        <f t="shared" si="3"/>
        <v>113194976</v>
      </c>
    </row>
    <row r="37" spans="1:16" ht="12.95" customHeight="1" x14ac:dyDescent="0.15">
      <c r="A37" s="4" t="s">
        <v>21</v>
      </c>
      <c r="B37" s="9">
        <f>'22年度'!B37+'23年度'!B38</f>
        <v>613916</v>
      </c>
      <c r="C37" s="9">
        <f>'22年度'!C37+'23年度'!C38</f>
        <v>564500</v>
      </c>
      <c r="D37" s="9">
        <f>'22年度'!D37+'23年度'!D38</f>
        <v>593761</v>
      </c>
      <c r="E37" s="9">
        <f>'22年度'!E37+'23年度'!E38</f>
        <v>691360</v>
      </c>
      <c r="F37" s="9">
        <f>'22年度'!F37+'23年度'!F38</f>
        <v>629478</v>
      </c>
      <c r="G37" s="9">
        <f>'22年度'!G37+'23年度'!G38</f>
        <v>611956</v>
      </c>
      <c r="H37" s="9">
        <f t="shared" si="8"/>
        <v>3704971</v>
      </c>
      <c r="I37" s="9">
        <f>'22年度'!I37+'23年度'!I38</f>
        <v>674483</v>
      </c>
      <c r="J37" s="9">
        <f>'22年度'!J37+'23年度'!J38</f>
        <v>598122</v>
      </c>
      <c r="K37" s="9">
        <f>'22年度'!K37+'23年度'!K38</f>
        <v>1268525</v>
      </c>
      <c r="L37" s="9">
        <f>'22年度'!L37+'23年度'!L38</f>
        <v>598500</v>
      </c>
      <c r="M37" s="9">
        <f>'22年度'!M37+'23年度'!M38</f>
        <v>604500</v>
      </c>
      <c r="N37" s="9">
        <f>'22年度'!N37+'23年度'!N38</f>
        <v>1263291</v>
      </c>
      <c r="O37" s="13">
        <f t="shared" si="2"/>
        <v>5007421</v>
      </c>
      <c r="P37" s="9">
        <f t="shared" si="3"/>
        <v>8712392</v>
      </c>
    </row>
    <row r="38" spans="1:16" ht="12.95" customHeight="1" x14ac:dyDescent="0.15">
      <c r="A38" s="4" t="s">
        <v>22</v>
      </c>
      <c r="B38" s="9">
        <f>'22年度'!B38+'23年度'!B39</f>
        <v>0</v>
      </c>
      <c r="C38" s="9">
        <f>'22年度'!C38+'23年度'!C39</f>
        <v>4000</v>
      </c>
      <c r="D38" s="9">
        <f>'22年度'!D38+'23年度'!D39</f>
        <v>8700</v>
      </c>
      <c r="E38" s="9">
        <f>'22年度'!E38+'23年度'!E39</f>
        <v>1500</v>
      </c>
      <c r="F38" s="9">
        <f>'22年度'!F38+'23年度'!F39</f>
        <v>12500</v>
      </c>
      <c r="G38" s="9">
        <f>'22年度'!G38+'23年度'!G39</f>
        <v>840</v>
      </c>
      <c r="H38" s="9">
        <f t="shared" si="8"/>
        <v>27540</v>
      </c>
      <c r="I38" s="9">
        <f>'22年度'!I38+'23年度'!I39</f>
        <v>8200</v>
      </c>
      <c r="J38" s="9">
        <f>'22年度'!J38+'23年度'!J39</f>
        <v>0</v>
      </c>
      <c r="K38" s="9">
        <f>'22年度'!K38+'23年度'!K39</f>
        <v>17300</v>
      </c>
      <c r="L38" s="9">
        <f>'22年度'!L38+'23年度'!L39</f>
        <v>0</v>
      </c>
      <c r="M38" s="9">
        <f>'22年度'!M38+'23年度'!M39</f>
        <v>0</v>
      </c>
      <c r="N38" s="9">
        <f>'22年度'!N38+'23年度'!N39</f>
        <v>10100</v>
      </c>
      <c r="O38" s="13">
        <f t="shared" si="2"/>
        <v>35600</v>
      </c>
      <c r="P38" s="9">
        <f t="shared" si="3"/>
        <v>63140</v>
      </c>
    </row>
    <row r="39" spans="1:16" ht="12.95" customHeight="1" x14ac:dyDescent="0.15">
      <c r="A39" s="4" t="s">
        <v>103</v>
      </c>
      <c r="B39" s="9">
        <f>'22年度'!B39+'23年度'!B40</f>
        <v>109415</v>
      </c>
      <c r="C39" s="9">
        <f>'22年度'!C39+'23年度'!C40</f>
        <v>156271</v>
      </c>
      <c r="D39" s="9">
        <f>'22年度'!D39+'23年度'!D40</f>
        <v>122818</v>
      </c>
      <c r="E39" s="9">
        <f>'22年度'!E39+'23年度'!E40</f>
        <v>97684</v>
      </c>
      <c r="F39" s="9">
        <f>'22年度'!F39+'23年度'!F40</f>
        <v>163918</v>
      </c>
      <c r="G39" s="9">
        <f>'22年度'!G39+'23年度'!G40</f>
        <v>121716</v>
      </c>
      <c r="H39" s="9">
        <f t="shared" si="8"/>
        <v>771822</v>
      </c>
      <c r="I39" s="9">
        <f>'22年度'!I39+'23年度'!I40</f>
        <v>115981</v>
      </c>
      <c r="J39" s="9">
        <f>'22年度'!J39+'23年度'!J40</f>
        <v>167182</v>
      </c>
      <c r="K39" s="9">
        <f>'22年度'!K39+'23年度'!K40</f>
        <v>121093</v>
      </c>
      <c r="L39" s="9">
        <f>'22年度'!L39+'23年度'!L40</f>
        <v>164838</v>
      </c>
      <c r="M39" s="9">
        <f>'22年度'!M39+'23年度'!M40</f>
        <v>150557</v>
      </c>
      <c r="N39" s="9">
        <f>'22年度'!N39+'23年度'!N40</f>
        <v>155851</v>
      </c>
      <c r="O39" s="13">
        <f t="shared" si="2"/>
        <v>875502</v>
      </c>
      <c r="P39" s="9">
        <f t="shared" si="3"/>
        <v>1647324</v>
      </c>
    </row>
    <row r="40" spans="1:16" ht="12.95" customHeight="1" x14ac:dyDescent="0.15">
      <c r="A40" s="4" t="s">
        <v>24</v>
      </c>
      <c r="B40" s="9">
        <f>'22年度'!B40+'23年度'!B41</f>
        <v>38021</v>
      </c>
      <c r="C40" s="9">
        <f>'22年度'!C40+'23年度'!C41</f>
        <v>41803</v>
      </c>
      <c r="D40" s="9">
        <f>'22年度'!D40+'23年度'!D41</f>
        <v>22604</v>
      </c>
      <c r="E40" s="9">
        <f>'22年度'!E40+'23年度'!E41</f>
        <v>44999</v>
      </c>
      <c r="F40" s="9">
        <f>'22年度'!F40+'23年度'!F41</f>
        <v>40476</v>
      </c>
      <c r="G40" s="9">
        <f>'22年度'!G40+'23年度'!G41</f>
        <v>41475</v>
      </c>
      <c r="H40" s="9">
        <f t="shared" si="8"/>
        <v>229378</v>
      </c>
      <c r="I40" s="9">
        <f>'22年度'!I40+'23年度'!I41</f>
        <v>25306</v>
      </c>
      <c r="J40" s="9">
        <f>'22年度'!J40+'23年度'!J41</f>
        <v>31328</v>
      </c>
      <c r="K40" s="9">
        <f>'22年度'!K40+'23年度'!K41</f>
        <v>52410</v>
      </c>
      <c r="L40" s="9">
        <f>'22年度'!L40+'23年度'!L41</f>
        <v>35564</v>
      </c>
      <c r="M40" s="9">
        <f>'22年度'!M40+'23年度'!M41</f>
        <v>20816</v>
      </c>
      <c r="N40" s="9">
        <f>'22年度'!N40+'23年度'!N41</f>
        <v>27934</v>
      </c>
      <c r="O40" s="13">
        <f t="shared" si="2"/>
        <v>193358</v>
      </c>
      <c r="P40" s="9">
        <f t="shared" si="3"/>
        <v>422736</v>
      </c>
    </row>
    <row r="41" spans="1:16" ht="12.95" customHeight="1" x14ac:dyDescent="0.15">
      <c r="A41" s="4" t="s">
        <v>104</v>
      </c>
      <c r="B41" s="9">
        <f>'22年度'!B41+'23年度'!B42</f>
        <v>177383</v>
      </c>
      <c r="C41" s="9">
        <f>'22年度'!C41+'23年度'!C42</f>
        <v>9975</v>
      </c>
      <c r="D41" s="9">
        <f>'22年度'!D41+'23年度'!D42</f>
        <v>9975</v>
      </c>
      <c r="E41" s="9">
        <f>'22年度'!E41+'23年度'!E42</f>
        <v>392080</v>
      </c>
      <c r="F41" s="9">
        <f>'22年度'!F41+'23年度'!F42</f>
        <v>45040</v>
      </c>
      <c r="G41" s="9">
        <f>'22年度'!G41+'23年度'!G42</f>
        <v>1286123</v>
      </c>
      <c r="H41" s="9">
        <f t="shared" si="8"/>
        <v>1920576</v>
      </c>
      <c r="I41" s="9">
        <f>'22年度'!I41+'23年度'!I42</f>
        <v>327028</v>
      </c>
      <c r="J41" s="9">
        <f>'22年度'!J41+'23年度'!J42</f>
        <v>722273</v>
      </c>
      <c r="K41" s="9">
        <f>'22年度'!K41+'23年度'!K42</f>
        <v>505690</v>
      </c>
      <c r="L41" s="9">
        <f>'22年度'!L41+'23年度'!L42</f>
        <v>76180</v>
      </c>
      <c r="M41" s="9">
        <f>'22年度'!M41+'23年度'!M42</f>
        <v>286079</v>
      </c>
      <c r="N41" s="9">
        <f>'22年度'!N41+'23年度'!N42</f>
        <v>79600</v>
      </c>
      <c r="O41" s="13">
        <f t="shared" si="2"/>
        <v>1996850</v>
      </c>
      <c r="P41" s="9">
        <f t="shared" si="3"/>
        <v>3917426</v>
      </c>
    </row>
    <row r="42" spans="1:16" ht="12.95" customHeight="1" x14ac:dyDescent="0.15">
      <c r="A42" s="4" t="s">
        <v>105</v>
      </c>
      <c r="B42" s="9">
        <f>'22年度'!B42+'23年度'!B43</f>
        <v>49370</v>
      </c>
      <c r="C42" s="9">
        <f>'22年度'!C42+'23年度'!C43</f>
        <v>28875</v>
      </c>
      <c r="D42" s="9">
        <f>'22年度'!D42+'23年度'!D43</f>
        <v>170737</v>
      </c>
      <c r="E42" s="9">
        <f>'22年度'!E42+'23年度'!E43</f>
        <v>46262</v>
      </c>
      <c r="F42" s="9">
        <f>'22年度'!F42+'23年度'!F43</f>
        <v>0</v>
      </c>
      <c r="G42" s="9">
        <f>'22年度'!G42+'23年度'!G43</f>
        <v>0</v>
      </c>
      <c r="H42" s="9">
        <f t="shared" si="8"/>
        <v>295244</v>
      </c>
      <c r="I42" s="9">
        <f>'22年度'!I42+'23年度'!I43</f>
        <v>21000</v>
      </c>
      <c r="J42" s="9">
        <f>'22年度'!J42+'23年度'!J43</f>
        <v>61950</v>
      </c>
      <c r="K42" s="9">
        <f>'22年度'!K42+'23年度'!K43</f>
        <v>0</v>
      </c>
      <c r="L42" s="9">
        <f>'22年度'!L42+'23年度'!L43</f>
        <v>0</v>
      </c>
      <c r="M42" s="9">
        <f>'22年度'!M42+'23年度'!M43</f>
        <v>125920</v>
      </c>
      <c r="N42" s="9">
        <f>'22年度'!N42+'23年度'!N43</f>
        <v>0</v>
      </c>
      <c r="O42" s="13">
        <f t="shared" si="2"/>
        <v>208870</v>
      </c>
      <c r="P42" s="9">
        <f t="shared" si="3"/>
        <v>504114</v>
      </c>
    </row>
    <row r="43" spans="1:16" ht="12.95" customHeight="1" x14ac:dyDescent="0.15">
      <c r="A43" s="4" t="s">
        <v>106</v>
      </c>
      <c r="B43" s="9">
        <f>'22年度'!B43+'23年度'!B44</f>
        <v>75443</v>
      </c>
      <c r="C43" s="9">
        <f>'22年度'!C43+'23年度'!C44</f>
        <v>41186</v>
      </c>
      <c r="D43" s="9">
        <f>'22年度'!D43+'23年度'!D44</f>
        <v>81898</v>
      </c>
      <c r="E43" s="9">
        <f>'22年度'!E43+'23年度'!E44</f>
        <v>194742</v>
      </c>
      <c r="F43" s="9">
        <f>'22年度'!F43+'23年度'!F44</f>
        <v>179620</v>
      </c>
      <c r="G43" s="9">
        <f>'22年度'!G43+'23年度'!G44</f>
        <v>91251</v>
      </c>
      <c r="H43" s="9">
        <f t="shared" si="8"/>
        <v>664140</v>
      </c>
      <c r="I43" s="9">
        <f>'22年度'!I43+'23年度'!I44</f>
        <v>158601</v>
      </c>
      <c r="J43" s="9">
        <f>'22年度'!J43+'23年度'!J44</f>
        <v>71556</v>
      </c>
      <c r="K43" s="9">
        <f>'22年度'!K43+'23年度'!K44</f>
        <v>192155</v>
      </c>
      <c r="L43" s="9">
        <f>'22年度'!L43+'23年度'!L44</f>
        <v>171001</v>
      </c>
      <c r="M43" s="9">
        <f>'22年度'!M43+'23年度'!M44</f>
        <v>106284</v>
      </c>
      <c r="N43" s="9">
        <f>'22年度'!N43+'23年度'!N44</f>
        <v>87474</v>
      </c>
      <c r="O43" s="13">
        <f t="shared" si="2"/>
        <v>787071</v>
      </c>
      <c r="P43" s="9">
        <f t="shared" si="3"/>
        <v>1451211</v>
      </c>
    </row>
    <row r="44" spans="1:16" ht="12.95" customHeight="1" x14ac:dyDescent="0.15">
      <c r="A44" s="4" t="s">
        <v>28</v>
      </c>
      <c r="B44" s="9">
        <f>'22年度'!B44+'23年度'!B45</f>
        <v>51540</v>
      </c>
      <c r="C44" s="9">
        <f>'22年度'!C44+'23年度'!C45</f>
        <v>35960</v>
      </c>
      <c r="D44" s="9">
        <f>'22年度'!D44+'23年度'!D45</f>
        <v>35670</v>
      </c>
      <c r="E44" s="9">
        <f>'22年度'!E44+'23年度'!E45</f>
        <v>74640</v>
      </c>
      <c r="F44" s="9">
        <f>'22年度'!F44+'23年度'!F45</f>
        <v>37920</v>
      </c>
      <c r="G44" s="9">
        <f>'22年度'!G44+'23年度'!G45</f>
        <v>52200</v>
      </c>
      <c r="H44" s="9">
        <f t="shared" si="8"/>
        <v>287930</v>
      </c>
      <c r="I44" s="9">
        <f>'22年度'!I44+'23年度'!I45</f>
        <v>32720</v>
      </c>
      <c r="J44" s="9">
        <f>'22年度'!J44+'23年度'!J45</f>
        <v>83580</v>
      </c>
      <c r="K44" s="9">
        <f>'22年度'!K44+'23年度'!K45</f>
        <v>28260</v>
      </c>
      <c r="L44" s="9">
        <f>'22年度'!L44+'23年度'!L45</f>
        <v>31420</v>
      </c>
      <c r="M44" s="9">
        <f>'22年度'!M44+'23年度'!M45</f>
        <v>30070</v>
      </c>
      <c r="N44" s="9">
        <f>'22年度'!N44+'23年度'!N45</f>
        <v>43220</v>
      </c>
      <c r="O44" s="13">
        <f t="shared" si="2"/>
        <v>249270</v>
      </c>
      <c r="P44" s="9">
        <f t="shared" si="3"/>
        <v>537200</v>
      </c>
    </row>
    <row r="45" spans="1:16" ht="12.95" customHeight="1" x14ac:dyDescent="0.15">
      <c r="A45" s="4" t="s">
        <v>107</v>
      </c>
      <c r="B45" s="9">
        <f>'22年度'!B45+'23年度'!B46</f>
        <v>30000</v>
      </c>
      <c r="C45" s="9">
        <f>'22年度'!C45+'23年度'!C46</f>
        <v>26515</v>
      </c>
      <c r="D45" s="9">
        <f>'22年度'!D45+'23年度'!D46</f>
        <v>52640</v>
      </c>
      <c r="E45" s="9">
        <f>'22年度'!E45+'23年度'!E46</f>
        <v>60200</v>
      </c>
      <c r="F45" s="9">
        <f>'22年度'!F45+'23年度'!F46</f>
        <v>5078</v>
      </c>
      <c r="G45" s="9">
        <f>'22年度'!G45+'23年度'!G46</f>
        <v>45000</v>
      </c>
      <c r="H45" s="9">
        <f t="shared" si="8"/>
        <v>219433</v>
      </c>
      <c r="I45" s="9">
        <f>'22年度'!I45+'23年度'!I46</f>
        <v>97000</v>
      </c>
      <c r="J45" s="9">
        <f>'22年度'!J45+'23年度'!J46</f>
        <v>21500</v>
      </c>
      <c r="K45" s="9">
        <f>'22年度'!K45+'23年度'!K46</f>
        <v>23060</v>
      </c>
      <c r="L45" s="9">
        <f>'22年度'!L45+'23年度'!L46</f>
        <v>0</v>
      </c>
      <c r="M45" s="9">
        <f>'22年度'!M45+'23年度'!M46</f>
        <v>0</v>
      </c>
      <c r="N45" s="9">
        <f>'22年度'!N45+'23年度'!N46</f>
        <v>3800</v>
      </c>
      <c r="O45" s="13">
        <f t="shared" si="2"/>
        <v>145360</v>
      </c>
      <c r="P45" s="9">
        <f t="shared" si="3"/>
        <v>364793</v>
      </c>
    </row>
    <row r="46" spans="1:16" ht="12.95" customHeight="1" x14ac:dyDescent="0.15">
      <c r="A46" s="4" t="s">
        <v>27</v>
      </c>
      <c r="B46" s="9">
        <f>'22年度'!B46+'23年度'!B47</f>
        <v>34650</v>
      </c>
      <c r="C46" s="9">
        <f>'22年度'!C46+'23年度'!C47</f>
        <v>6300</v>
      </c>
      <c r="D46" s="9">
        <f>'22年度'!D46+'23年度'!D47</f>
        <v>10500</v>
      </c>
      <c r="E46" s="9">
        <f>'22年度'!E46+'23年度'!E47</f>
        <v>3150</v>
      </c>
      <c r="F46" s="9">
        <f>'22年度'!F46+'23年度'!F47</f>
        <v>10500</v>
      </c>
      <c r="G46" s="9">
        <f>'22年度'!G46+'23年度'!G47</f>
        <v>0</v>
      </c>
      <c r="H46" s="9">
        <f t="shared" si="8"/>
        <v>65100</v>
      </c>
      <c r="I46" s="9">
        <f>'22年度'!I46+'23年度'!I47</f>
        <v>66570</v>
      </c>
      <c r="J46" s="9">
        <f>'22年度'!J46+'23年度'!J47</f>
        <v>45360</v>
      </c>
      <c r="K46" s="9">
        <f>'22年度'!K46+'23年度'!K47</f>
        <v>59325</v>
      </c>
      <c r="L46" s="9">
        <f>'22年度'!L46+'23年度'!L47</f>
        <v>26950</v>
      </c>
      <c r="M46" s="9">
        <f>'22年度'!M46+'23年度'!M47</f>
        <v>0</v>
      </c>
      <c r="N46" s="9">
        <f>'22年度'!N46+'23年度'!N47</f>
        <v>9450</v>
      </c>
      <c r="O46" s="13">
        <f t="shared" si="2"/>
        <v>207655</v>
      </c>
      <c r="P46" s="9">
        <f t="shared" si="3"/>
        <v>272755</v>
      </c>
    </row>
    <row r="47" spans="1:16" ht="12.95" customHeight="1" x14ac:dyDescent="0.15">
      <c r="A47" s="4" t="s">
        <v>32</v>
      </c>
      <c r="B47" s="9">
        <f>'22年度'!B47+'23年度'!B48</f>
        <v>875435</v>
      </c>
      <c r="C47" s="9">
        <f>'22年度'!C47+'23年度'!C48</f>
        <v>1006017</v>
      </c>
      <c r="D47" s="9">
        <f>'22年度'!D47+'23年度'!D48</f>
        <v>738358</v>
      </c>
      <c r="E47" s="9">
        <f>'22年度'!E47+'23年度'!E48</f>
        <v>546733</v>
      </c>
      <c r="F47" s="9">
        <f>'22年度'!F47+'23年度'!F48</f>
        <v>931033</v>
      </c>
      <c r="G47" s="9">
        <f>'22年度'!G47+'23年度'!G48</f>
        <v>788232</v>
      </c>
      <c r="H47" s="9">
        <f t="shared" si="8"/>
        <v>4885808</v>
      </c>
      <c r="I47" s="9">
        <f>'22年度'!I47+'23年度'!I48</f>
        <v>586280</v>
      </c>
      <c r="J47" s="9">
        <f>'22年度'!J47+'23年度'!J48</f>
        <v>822117</v>
      </c>
      <c r="K47" s="9">
        <f>'22年度'!K47+'23年度'!K48</f>
        <v>881201</v>
      </c>
      <c r="L47" s="9">
        <f>'22年度'!L47+'23年度'!L48</f>
        <v>1018814</v>
      </c>
      <c r="M47" s="9">
        <f>'22年度'!M47+'23年度'!M48</f>
        <v>1153170</v>
      </c>
      <c r="N47" s="9">
        <f>'22年度'!N47+'23年度'!N48</f>
        <v>1084556</v>
      </c>
      <c r="O47" s="13">
        <f t="shared" si="2"/>
        <v>5546138</v>
      </c>
      <c r="P47" s="9">
        <f t="shared" si="3"/>
        <v>10431946</v>
      </c>
    </row>
    <row r="48" spans="1:16" ht="12.95" customHeight="1" x14ac:dyDescent="0.15">
      <c r="A48" s="4" t="s">
        <v>108</v>
      </c>
      <c r="B48" s="9">
        <f>'22年度'!B48+'23年度'!B49</f>
        <v>17000</v>
      </c>
      <c r="C48" s="9">
        <f>'22年度'!C48+'23年度'!C49</f>
        <v>29000</v>
      </c>
      <c r="D48" s="9">
        <f>'22年度'!D48+'23年度'!D49</f>
        <v>33000</v>
      </c>
      <c r="E48" s="9">
        <f>'22年度'!E48+'23年度'!E49</f>
        <v>13000</v>
      </c>
      <c r="F48" s="9">
        <f>'22年度'!F48+'23年度'!F49</f>
        <v>18000</v>
      </c>
      <c r="G48" s="9">
        <f>'22年度'!G48+'23年度'!G49</f>
        <v>12000</v>
      </c>
      <c r="H48" s="9">
        <f t="shared" si="8"/>
        <v>122000</v>
      </c>
      <c r="I48" s="9">
        <f>'22年度'!I48+'23年度'!I49</f>
        <v>27000</v>
      </c>
      <c r="J48" s="9">
        <f>'22年度'!J48+'23年度'!J49</f>
        <v>15720</v>
      </c>
      <c r="K48" s="9">
        <f>'22年度'!K48+'23年度'!K49</f>
        <v>46000</v>
      </c>
      <c r="L48" s="9">
        <f>'22年度'!L48+'23年度'!L49</f>
        <v>48000</v>
      </c>
      <c r="M48" s="9">
        <f>'22年度'!M48+'23年度'!M49</f>
        <v>30800</v>
      </c>
      <c r="N48" s="9">
        <f>'22年度'!N48+'23年度'!N49</f>
        <v>6000</v>
      </c>
      <c r="O48" s="13">
        <f t="shared" si="2"/>
        <v>173520</v>
      </c>
      <c r="P48" s="9">
        <f t="shared" si="3"/>
        <v>295520</v>
      </c>
    </row>
    <row r="49" spans="1:16" ht="12.95" customHeight="1" x14ac:dyDescent="0.15">
      <c r="A49" s="4" t="s">
        <v>34</v>
      </c>
      <c r="B49" s="9">
        <f>'22年度'!B49+'23年度'!B50</f>
        <v>16200</v>
      </c>
      <c r="C49" s="9">
        <f>'22年度'!C49+'23年度'!C50</f>
        <v>0</v>
      </c>
      <c r="D49" s="9">
        <f>'22年度'!D49+'23年度'!D50</f>
        <v>19000</v>
      </c>
      <c r="E49" s="9">
        <f>'22年度'!E49+'23年度'!E50</f>
        <v>14000</v>
      </c>
      <c r="F49" s="9">
        <f>'22年度'!F49+'23年度'!F50</f>
        <v>47000</v>
      </c>
      <c r="G49" s="9">
        <f>'22年度'!G49+'23年度'!G50</f>
        <v>0</v>
      </c>
      <c r="H49" s="9">
        <f t="shared" si="8"/>
        <v>96200</v>
      </c>
      <c r="I49" s="9">
        <f>'22年度'!I49+'23年度'!I50</f>
        <v>3000</v>
      </c>
      <c r="J49" s="9">
        <f>'22年度'!J49+'23年度'!J50</f>
        <v>0</v>
      </c>
      <c r="K49" s="9">
        <f>'22年度'!K49+'23年度'!K50</f>
        <v>10000</v>
      </c>
      <c r="L49" s="9">
        <f>'22年度'!L49+'23年度'!L50</f>
        <v>0</v>
      </c>
      <c r="M49" s="9">
        <f>'22年度'!M49+'23年度'!M50</f>
        <v>30000</v>
      </c>
      <c r="N49" s="9">
        <f>'22年度'!N49+'23年度'!N50</f>
        <v>2000</v>
      </c>
      <c r="O49" s="13">
        <f t="shared" si="2"/>
        <v>45000</v>
      </c>
      <c r="P49" s="9">
        <f t="shared" si="3"/>
        <v>141200</v>
      </c>
    </row>
    <row r="50" spans="1:16" ht="12.95" customHeight="1" x14ac:dyDescent="0.15">
      <c r="A50" s="4" t="s">
        <v>109</v>
      </c>
      <c r="B50" s="9">
        <f>'22年度'!B50+'23年度'!B51</f>
        <v>1160543</v>
      </c>
      <c r="C50" s="9">
        <f>'22年度'!C50+'23年度'!C51</f>
        <v>1111989</v>
      </c>
      <c r="D50" s="9">
        <f>'22年度'!D50+'23年度'!D51</f>
        <v>1242135</v>
      </c>
      <c r="E50" s="9">
        <f>'22年度'!E50+'23年度'!E51</f>
        <v>1121847</v>
      </c>
      <c r="F50" s="9">
        <f>'22年度'!F50+'23年度'!F51</f>
        <v>1254456</v>
      </c>
      <c r="G50" s="9">
        <f>'22年度'!G50+'23年度'!G51</f>
        <v>1247273</v>
      </c>
      <c r="H50" s="9">
        <f t="shared" si="8"/>
        <v>7138243</v>
      </c>
      <c r="I50" s="9">
        <f>'22年度'!I50+'23年度'!I51</f>
        <v>1592415</v>
      </c>
      <c r="J50" s="9">
        <f>'22年度'!J50+'23年度'!J51</f>
        <v>1305660</v>
      </c>
      <c r="K50" s="9">
        <f>'22年度'!K50+'23年度'!K51</f>
        <v>1085456</v>
      </c>
      <c r="L50" s="9">
        <f>'22年度'!L50+'23年度'!L51</f>
        <v>968806</v>
      </c>
      <c r="M50" s="9">
        <f>'22年度'!M50+'23年度'!M51</f>
        <v>943763</v>
      </c>
      <c r="N50" s="9">
        <f>'22年度'!N50+'23年度'!N51</f>
        <v>1235202</v>
      </c>
      <c r="O50" s="13">
        <f t="shared" si="2"/>
        <v>7131302</v>
      </c>
      <c r="P50" s="9">
        <f t="shared" si="3"/>
        <v>14269545</v>
      </c>
    </row>
    <row r="51" spans="1:16" ht="12.95" customHeight="1" x14ac:dyDescent="0.15">
      <c r="A51" s="4" t="s">
        <v>35</v>
      </c>
      <c r="B51" s="9">
        <f>'22年度'!B51+'23年度'!B52</f>
        <v>10096</v>
      </c>
      <c r="C51" s="9">
        <f>'22年度'!C51+'23年度'!C52</f>
        <v>14510</v>
      </c>
      <c r="D51" s="9">
        <f>'22年度'!D51+'23年度'!D52</f>
        <v>28750</v>
      </c>
      <c r="E51" s="9">
        <f>'22年度'!E51+'23年度'!E52</f>
        <v>7948</v>
      </c>
      <c r="F51" s="9">
        <f>'22年度'!F51+'23年度'!F52</f>
        <v>10827</v>
      </c>
      <c r="G51" s="9">
        <f>'22年度'!G51+'23年度'!G52</f>
        <v>84242</v>
      </c>
      <c r="H51" s="9">
        <f t="shared" si="8"/>
        <v>156373</v>
      </c>
      <c r="I51" s="9">
        <f>'22年度'!I51+'23年度'!I52</f>
        <v>219491</v>
      </c>
      <c r="J51" s="9">
        <f>'22年度'!J51+'23年度'!J52</f>
        <v>12358</v>
      </c>
      <c r="K51" s="9">
        <f>'22年度'!K51+'23年度'!K52</f>
        <v>10066</v>
      </c>
      <c r="L51" s="9">
        <f>'22年度'!L51+'23年度'!L52</f>
        <v>5321</v>
      </c>
      <c r="M51" s="9">
        <f>'22年度'!M51+'23年度'!M52</f>
        <v>7960</v>
      </c>
      <c r="N51" s="9">
        <f>'22年度'!N51+'23年度'!N52</f>
        <v>9320</v>
      </c>
      <c r="O51" s="13">
        <f t="shared" si="2"/>
        <v>264516</v>
      </c>
      <c r="P51" s="9">
        <f t="shared" si="3"/>
        <v>420889</v>
      </c>
    </row>
    <row r="52" spans="1:16" ht="12.95" customHeight="1" x14ac:dyDescent="0.15">
      <c r="A52" s="4" t="s">
        <v>110</v>
      </c>
      <c r="B52" s="9">
        <f>'22年度'!B52+'23年度'!B53</f>
        <v>31996</v>
      </c>
      <c r="C52" s="9">
        <f>'22年度'!C52+'23年度'!C53</f>
        <v>19232</v>
      </c>
      <c r="D52" s="9">
        <f>'22年度'!D52+'23年度'!D53</f>
        <v>0</v>
      </c>
      <c r="E52" s="9">
        <f>'22年度'!E52+'23年度'!E53</f>
        <v>62160</v>
      </c>
      <c r="F52" s="9">
        <f>'22年度'!F52+'23年度'!F53</f>
        <v>0</v>
      </c>
      <c r="G52" s="9">
        <f>'22年度'!G52+'23年度'!G53</f>
        <v>110670</v>
      </c>
      <c r="H52" s="9">
        <f t="shared" si="8"/>
        <v>224058</v>
      </c>
      <c r="I52" s="9">
        <f>'22年度'!I52+'23年度'!I53</f>
        <v>8800</v>
      </c>
      <c r="J52" s="9">
        <f>'22年度'!J52+'23年度'!J53</f>
        <v>1140</v>
      </c>
      <c r="K52" s="9">
        <f>'22年度'!K52+'23年度'!K53</f>
        <v>470270</v>
      </c>
      <c r="L52" s="9">
        <f>'22年度'!L52+'23年度'!L53</f>
        <v>650340</v>
      </c>
      <c r="M52" s="9">
        <f>'22年度'!M52+'23年度'!M53</f>
        <v>0</v>
      </c>
      <c r="N52" s="9">
        <f>'22年度'!N52+'23年度'!N53</f>
        <v>352560</v>
      </c>
      <c r="O52" s="13">
        <f t="shared" si="2"/>
        <v>1483110</v>
      </c>
      <c r="P52" s="9">
        <f t="shared" si="3"/>
        <v>1707168</v>
      </c>
    </row>
    <row r="53" spans="1:16" ht="12.95" customHeight="1" x14ac:dyDescent="0.15">
      <c r="A53" s="4" t="s">
        <v>111</v>
      </c>
      <c r="B53" s="9">
        <f>'22年度'!B53+'23年度'!B54</f>
        <v>592157</v>
      </c>
      <c r="C53" s="9">
        <f>'22年度'!C53+'23年度'!C54</f>
        <v>1221533</v>
      </c>
      <c r="D53" s="9">
        <f>'22年度'!D53+'23年度'!D54</f>
        <v>774635</v>
      </c>
      <c r="E53" s="9">
        <f>'22年度'!E53+'23年度'!E54</f>
        <v>827587</v>
      </c>
      <c r="F53" s="9">
        <f>'22年度'!F53+'23年度'!F54</f>
        <v>761774</v>
      </c>
      <c r="G53" s="9">
        <f>'22年度'!G53+'23年度'!G54</f>
        <v>1063652</v>
      </c>
      <c r="H53" s="9">
        <f t="shared" si="8"/>
        <v>5241338</v>
      </c>
      <c r="I53" s="9">
        <f>'22年度'!I53+'23年度'!I54</f>
        <v>1351634</v>
      </c>
      <c r="J53" s="9">
        <f>'22年度'!J53+'23年度'!J54</f>
        <v>1346883</v>
      </c>
      <c r="K53" s="9">
        <f>'22年度'!K53+'23年度'!K54</f>
        <v>881154</v>
      </c>
      <c r="L53" s="9">
        <f>'22年度'!L53+'23年度'!L54</f>
        <v>1066331</v>
      </c>
      <c r="M53" s="9">
        <f>'22年度'!M53+'23年度'!M54</f>
        <v>883626</v>
      </c>
      <c r="N53" s="9">
        <f>'22年度'!N53+'23年度'!N54</f>
        <v>1453205</v>
      </c>
      <c r="O53" s="13">
        <f t="shared" si="2"/>
        <v>6982833</v>
      </c>
      <c r="P53" s="9">
        <f t="shared" si="3"/>
        <v>12224171</v>
      </c>
    </row>
    <row r="54" spans="1:16" ht="12.95" customHeight="1" x14ac:dyDescent="0.15">
      <c r="A54" s="4" t="s">
        <v>112</v>
      </c>
      <c r="B54" s="9">
        <f>'22年度'!B54+'23年度'!B55</f>
        <v>0</v>
      </c>
      <c r="C54" s="9">
        <f>'22年度'!C54+'23年度'!C55</f>
        <v>0</v>
      </c>
      <c r="D54" s="9">
        <f>'22年度'!D54+'23年度'!D55</f>
        <v>0</v>
      </c>
      <c r="E54" s="9">
        <f>'22年度'!E54+'23年度'!E55</f>
        <v>0</v>
      </c>
      <c r="F54" s="9">
        <f>'22年度'!F54+'23年度'!F55</f>
        <v>1161300</v>
      </c>
      <c r="G54" s="9">
        <f>'22年度'!G54+'23年度'!G55</f>
        <v>383700</v>
      </c>
      <c r="H54" s="9">
        <f t="shared" si="8"/>
        <v>1545000</v>
      </c>
      <c r="I54" s="9">
        <f>'22年度'!I54+'23年度'!I55</f>
        <v>50400</v>
      </c>
      <c r="J54" s="9">
        <f>'22年度'!J54+'23年度'!J55</f>
        <v>0</v>
      </c>
      <c r="K54" s="9">
        <f>'22年度'!K54+'23年度'!K55</f>
        <v>1729350</v>
      </c>
      <c r="L54" s="9">
        <f>'22年度'!L54+'23年度'!L55</f>
        <v>0</v>
      </c>
      <c r="M54" s="9">
        <f>'22年度'!M54+'23年度'!M55</f>
        <v>0</v>
      </c>
      <c r="N54" s="9">
        <f>'22年度'!N54+'23年度'!N55</f>
        <v>0</v>
      </c>
      <c r="O54" s="13">
        <f t="shared" si="2"/>
        <v>1779750</v>
      </c>
      <c r="P54" s="9">
        <f t="shared" si="3"/>
        <v>3324750</v>
      </c>
    </row>
    <row r="55" spans="1:16" ht="12.95" customHeight="1" x14ac:dyDescent="0.15">
      <c r="A55" s="4" t="s">
        <v>113</v>
      </c>
      <c r="B55" s="9">
        <f>'22年度'!B55+'23年度'!B56</f>
        <v>653485</v>
      </c>
      <c r="C55" s="9">
        <f>'22年度'!C55+'23年度'!C56</f>
        <v>653485</v>
      </c>
      <c r="D55" s="9">
        <f>'22年度'!D55+'23年度'!D56</f>
        <v>653485</v>
      </c>
      <c r="E55" s="9">
        <f>'22年度'!E55+'23年度'!E56</f>
        <v>780010</v>
      </c>
      <c r="F55" s="9">
        <f>'22年度'!F55+'23年度'!F56</f>
        <v>748930</v>
      </c>
      <c r="G55" s="9">
        <f>'22年度'!G55+'23年度'!G56</f>
        <v>757750</v>
      </c>
      <c r="H55" s="9">
        <f t="shared" si="8"/>
        <v>4247145</v>
      </c>
      <c r="I55" s="9">
        <f>'22年度'!I55+'23年度'!I56</f>
        <v>797950</v>
      </c>
      <c r="J55" s="9">
        <f>'22年度'!J55+'23年度'!J56</f>
        <v>861730</v>
      </c>
      <c r="K55" s="9">
        <f>'22年度'!K55+'23年度'!K56</f>
        <v>788361</v>
      </c>
      <c r="L55" s="9">
        <f>'22年度'!L55+'23年度'!L56</f>
        <v>778360</v>
      </c>
      <c r="M55" s="9">
        <f>'22年度'!M55+'23年度'!M56</f>
        <v>778360</v>
      </c>
      <c r="N55" s="9">
        <f>'22年度'!N55+'23年度'!N56</f>
        <v>778360</v>
      </c>
      <c r="O55" s="13">
        <f t="shared" si="2"/>
        <v>4783121</v>
      </c>
      <c r="P55" s="9">
        <f t="shared" si="3"/>
        <v>9030266</v>
      </c>
    </row>
    <row r="56" spans="1:16" ht="12.95" customHeight="1" x14ac:dyDescent="0.15">
      <c r="A56" s="4" t="s">
        <v>121</v>
      </c>
      <c r="B56" s="9">
        <f>'22年度'!B56+'23年度'!B57</f>
        <v>400000</v>
      </c>
      <c r="C56" s="9">
        <f>'22年度'!C56+'23年度'!C57</f>
        <v>590000</v>
      </c>
      <c r="D56" s="9">
        <f>'22年度'!D56+'23年度'!D57</f>
        <v>450000</v>
      </c>
      <c r="E56" s="9">
        <f>'22年度'!E56+'23年度'!E57</f>
        <v>400000</v>
      </c>
      <c r="F56" s="9">
        <f>'22年度'!F56+'23年度'!F57</f>
        <v>500000</v>
      </c>
      <c r="G56" s="9">
        <f>'22年度'!G56+'23年度'!G57</f>
        <v>500000</v>
      </c>
      <c r="H56" s="9">
        <f t="shared" si="8"/>
        <v>2840000</v>
      </c>
      <c r="I56" s="9">
        <f>'22年度'!I56+'23年度'!I57</f>
        <v>500000</v>
      </c>
      <c r="J56" s="9">
        <f>'22年度'!J56+'23年度'!J57</f>
        <v>500000</v>
      </c>
      <c r="K56" s="9">
        <f>'22年度'!K56+'23年度'!K57</f>
        <v>500000</v>
      </c>
      <c r="L56" s="9">
        <f>'22年度'!L56+'23年度'!L57</f>
        <v>500000</v>
      </c>
      <c r="M56" s="9">
        <f>'22年度'!M56+'23年度'!M57</f>
        <v>500000</v>
      </c>
      <c r="N56" s="9">
        <f>'22年度'!N56+'23年度'!N57</f>
        <v>500000</v>
      </c>
      <c r="O56" s="13">
        <f t="shared" si="2"/>
        <v>3000000</v>
      </c>
      <c r="P56" s="9">
        <f t="shared" si="3"/>
        <v>5840000</v>
      </c>
    </row>
    <row r="57" spans="1:16" ht="12.95" customHeight="1" x14ac:dyDescent="0.15">
      <c r="A57" s="4" t="s">
        <v>122</v>
      </c>
      <c r="B57" s="9">
        <f>'22年度'!B57+'23年度'!B58</f>
        <v>161000</v>
      </c>
      <c r="C57" s="9">
        <f>'22年度'!C57+'23年度'!C58</f>
        <v>11003700</v>
      </c>
      <c r="D57" s="9">
        <f>'22年度'!D57+'23年度'!D58</f>
        <v>3400</v>
      </c>
      <c r="E57" s="9">
        <f>'22年度'!E57+'23年度'!E58</f>
        <v>11200</v>
      </c>
      <c r="F57" s="9">
        <f>'22年度'!F57+'23年度'!F58</f>
        <v>458530</v>
      </c>
      <c r="G57" s="9">
        <f>'22年度'!G57+'23年度'!G58</f>
        <v>2000</v>
      </c>
      <c r="H57" s="9">
        <f t="shared" si="8"/>
        <v>11639830</v>
      </c>
      <c r="I57" s="9">
        <f>'22年度'!I57+'23年度'!I58</f>
        <v>5710</v>
      </c>
      <c r="J57" s="9">
        <f>'22年度'!J57+'23年度'!J58</f>
        <v>3030</v>
      </c>
      <c r="K57" s="9">
        <f>'22年度'!K57+'23年度'!K58</f>
        <v>106900</v>
      </c>
      <c r="L57" s="9">
        <f>'22年度'!L57+'23年度'!L58</f>
        <v>1000</v>
      </c>
      <c r="M57" s="9">
        <f>'22年度'!M57+'23年度'!M58</f>
        <v>101000</v>
      </c>
      <c r="N57" s="9">
        <f>'22年度'!N57+'23年度'!N58</f>
        <v>4000</v>
      </c>
      <c r="O57" s="13">
        <f t="shared" si="2"/>
        <v>221640</v>
      </c>
      <c r="P57" s="9">
        <f t="shared" si="3"/>
        <v>11861470</v>
      </c>
    </row>
    <row r="58" spans="1:16" ht="12.95" customHeight="1" x14ac:dyDescent="0.15">
      <c r="A58" s="4" t="s">
        <v>37</v>
      </c>
      <c r="B58" s="9">
        <f>'22年度'!B58+'23年度'!B59</f>
        <v>47626</v>
      </c>
      <c r="C58" s="9">
        <f>'22年度'!C58+'23年度'!C59</f>
        <v>228573</v>
      </c>
      <c r="D58" s="9">
        <f>'22年度'!D58+'23年度'!D59</f>
        <v>414536</v>
      </c>
      <c r="E58" s="9">
        <f>'22年度'!E58+'23年度'!E59</f>
        <v>226800</v>
      </c>
      <c r="F58" s="9">
        <f>'22年度'!F58+'23年度'!F59</f>
        <v>303293</v>
      </c>
      <c r="G58" s="9">
        <f>'22年度'!G58+'23年度'!G59</f>
        <v>587837</v>
      </c>
      <c r="H58" s="9">
        <f t="shared" si="8"/>
        <v>1808665</v>
      </c>
      <c r="I58" s="9">
        <f>'22年度'!I58+'23年度'!I59</f>
        <v>60425</v>
      </c>
      <c r="J58" s="9">
        <f>'22年度'!J58+'23年度'!J59</f>
        <v>285040</v>
      </c>
      <c r="K58" s="9">
        <f>'22年度'!K58+'23年度'!K59</f>
        <v>375307</v>
      </c>
      <c r="L58" s="9">
        <f>'22年度'!L58+'23年度'!L59</f>
        <v>328204</v>
      </c>
      <c r="M58" s="9">
        <f>'22年度'!M58+'23年度'!M59</f>
        <v>186055</v>
      </c>
      <c r="N58" s="9">
        <f>'22年度'!N58+'23年度'!N59</f>
        <v>317780</v>
      </c>
      <c r="O58" s="13">
        <f t="shared" si="2"/>
        <v>1552811</v>
      </c>
      <c r="P58" s="9">
        <f t="shared" si="3"/>
        <v>3361476</v>
      </c>
    </row>
    <row r="59" spans="1:16" ht="12.95" customHeight="1" x14ac:dyDescent="0.15">
      <c r="A59" s="4" t="s">
        <v>114</v>
      </c>
      <c r="B59" s="9">
        <f>'22年度'!B59+'23年度'!B60</f>
        <v>19950</v>
      </c>
      <c r="C59" s="9">
        <f>'22年度'!C59+'23年度'!C60</f>
        <v>5355</v>
      </c>
      <c r="D59" s="9">
        <f>'22年度'!D59+'23年度'!D60</f>
        <v>4200</v>
      </c>
      <c r="E59" s="9">
        <f>'22年度'!E59+'23年度'!E60</f>
        <v>945</v>
      </c>
      <c r="F59" s="9">
        <f>'22年度'!F59+'23年度'!F60</f>
        <v>0</v>
      </c>
      <c r="G59" s="9">
        <f>'22年度'!G59+'23年度'!G60</f>
        <v>159729</v>
      </c>
      <c r="H59" s="14">
        <f t="shared" si="8"/>
        <v>190179</v>
      </c>
      <c r="I59" s="9">
        <f>'22年度'!I59+'23年度'!I60</f>
        <v>0</v>
      </c>
      <c r="J59" s="9">
        <f>'22年度'!J59+'23年度'!J60</f>
        <v>52204</v>
      </c>
      <c r="K59" s="9">
        <f>'22年度'!K59+'23年度'!K60</f>
        <v>24944</v>
      </c>
      <c r="L59" s="9">
        <f>'22年度'!L59+'23年度'!L60</f>
        <v>0</v>
      </c>
      <c r="M59" s="9">
        <f>'22年度'!M59+'23年度'!M60</f>
        <v>1300</v>
      </c>
      <c r="N59" s="9">
        <f>'22年度'!N59+'23年度'!N60</f>
        <v>0</v>
      </c>
      <c r="O59" s="14">
        <f t="shared" si="2"/>
        <v>78448</v>
      </c>
      <c r="P59" s="14">
        <f t="shared" si="3"/>
        <v>268627</v>
      </c>
    </row>
    <row r="60" spans="1:16" ht="12.95" customHeight="1" x14ac:dyDescent="0.15">
      <c r="A60" s="12" t="s">
        <v>115</v>
      </c>
      <c r="B60" s="9">
        <f>'22年度'!B60+'23年度'!B61</f>
        <v>530141</v>
      </c>
      <c r="C60" s="9">
        <f>'22年度'!C60+'23年度'!C61</f>
        <v>498242</v>
      </c>
      <c r="D60" s="9">
        <f>'22年度'!D60+'23年度'!D61</f>
        <v>654746</v>
      </c>
      <c r="E60" s="9">
        <f>'22年度'!E60+'23年度'!E61</f>
        <v>683590</v>
      </c>
      <c r="F60" s="9">
        <f>'22年度'!F60+'23年度'!F61</f>
        <v>831487</v>
      </c>
      <c r="G60" s="9">
        <f>'22年度'!G60+'23年度'!G61</f>
        <v>473493</v>
      </c>
      <c r="H60" s="14">
        <f t="shared" si="8"/>
        <v>3671699</v>
      </c>
      <c r="I60" s="9">
        <f>'22年度'!I60+'23年度'!I61</f>
        <v>856275</v>
      </c>
      <c r="J60" s="9">
        <f>'22年度'!J60+'23年度'!J61</f>
        <v>887457</v>
      </c>
      <c r="K60" s="9">
        <f>'22年度'!K60+'23年度'!K61</f>
        <v>1129290</v>
      </c>
      <c r="L60" s="9">
        <f>'22年度'!L60+'23年度'!L61</f>
        <v>554550</v>
      </c>
      <c r="M60" s="9">
        <f>'22年度'!M60+'23年度'!M61</f>
        <v>535387</v>
      </c>
      <c r="N60" s="9">
        <f>'22年度'!N60+'23年度'!N61</f>
        <v>623709</v>
      </c>
      <c r="O60" s="14">
        <f t="shared" si="2"/>
        <v>4586668</v>
      </c>
      <c r="P60" s="14">
        <f t="shared" si="3"/>
        <v>8258367</v>
      </c>
    </row>
    <row r="61" spans="1:16" ht="12.95" customHeight="1" x14ac:dyDescent="0.15">
      <c r="A61" s="4" t="s">
        <v>46</v>
      </c>
      <c r="B61" s="9">
        <f>'22年度'!B61+'23年度'!B62</f>
        <v>0</v>
      </c>
      <c r="C61" s="9">
        <f>'22年度'!C61+'23年度'!C62</f>
        <v>0</v>
      </c>
      <c r="D61" s="9">
        <f>'22年度'!D61+'23年度'!D62</f>
        <v>0</v>
      </c>
      <c r="E61" s="9">
        <f>'22年度'!E61+'23年度'!E62</f>
        <v>0</v>
      </c>
      <c r="F61" s="9">
        <f>'22年度'!F61+'23年度'!F62</f>
        <v>0</v>
      </c>
      <c r="G61" s="9">
        <f>'22年度'!G61+'23年度'!G62</f>
        <v>5836582</v>
      </c>
      <c r="H61" s="9">
        <f t="shared" si="8"/>
        <v>5836582</v>
      </c>
      <c r="I61" s="9">
        <f>'22年度'!I61+'23年度'!I62</f>
        <v>0</v>
      </c>
      <c r="J61" s="9">
        <f>'22年度'!J61+'23年度'!J62</f>
        <v>0</v>
      </c>
      <c r="K61" s="9">
        <f>'22年度'!K61+'23年度'!K62</f>
        <v>0</v>
      </c>
      <c r="L61" s="9">
        <f>'22年度'!L61+'23年度'!L62</f>
        <v>0</v>
      </c>
      <c r="M61" s="9">
        <f>'22年度'!M61+'23年度'!M62</f>
        <v>0</v>
      </c>
      <c r="N61" s="9">
        <f>'22年度'!N61+'23年度'!N62</f>
        <v>8029908</v>
      </c>
      <c r="O61" s="13">
        <f t="shared" si="2"/>
        <v>8029908</v>
      </c>
      <c r="P61" s="9">
        <f t="shared" si="3"/>
        <v>13866490</v>
      </c>
    </row>
    <row r="62" spans="1:16" x14ac:dyDescent="0.15">
      <c r="A62" s="8" t="s">
        <v>29</v>
      </c>
      <c r="B62" s="10">
        <f t="shared" ref="B62:N62" si="10">B30+B36</f>
        <v>27082357</v>
      </c>
      <c r="C62" s="10">
        <f t="shared" si="10"/>
        <v>38153117</v>
      </c>
      <c r="D62" s="10">
        <f t="shared" si="10"/>
        <v>26881565</v>
      </c>
      <c r="E62" s="10">
        <f t="shared" si="10"/>
        <v>44565259</v>
      </c>
      <c r="F62" s="10">
        <f t="shared" si="10"/>
        <v>31135062</v>
      </c>
      <c r="G62" s="10">
        <f t="shared" si="10"/>
        <v>35716330</v>
      </c>
      <c r="H62" s="10">
        <f t="shared" si="8"/>
        <v>203533690</v>
      </c>
      <c r="I62" s="10">
        <f t="shared" si="10"/>
        <v>30204033</v>
      </c>
      <c r="J62" s="10">
        <f t="shared" si="10"/>
        <v>30481319</v>
      </c>
      <c r="K62" s="10">
        <f t="shared" si="10"/>
        <v>44319009</v>
      </c>
      <c r="L62" s="10">
        <f t="shared" si="10"/>
        <v>28567079</v>
      </c>
      <c r="M62" s="10">
        <f t="shared" si="10"/>
        <v>28477770</v>
      </c>
      <c r="N62" s="10">
        <f t="shared" si="10"/>
        <v>38292762</v>
      </c>
      <c r="O62" s="10">
        <f t="shared" si="2"/>
        <v>200341972</v>
      </c>
      <c r="P62" s="10">
        <f t="shared" si="3"/>
        <v>403875662</v>
      </c>
    </row>
    <row r="63" spans="1:16" x14ac:dyDescent="0.15">
      <c r="A63" s="8" t="s">
        <v>61</v>
      </c>
      <c r="B63" s="10">
        <f t="shared" ref="B63:G63" si="11">B27-B62</f>
        <v>8716328</v>
      </c>
      <c r="C63" s="10">
        <f t="shared" si="11"/>
        <v>-4832857</v>
      </c>
      <c r="D63" s="10">
        <f t="shared" si="11"/>
        <v>6414522</v>
      </c>
      <c r="E63" s="10">
        <f t="shared" si="11"/>
        <v>-9371371</v>
      </c>
      <c r="F63" s="10">
        <f t="shared" si="11"/>
        <v>4810810</v>
      </c>
      <c r="G63" s="10">
        <f t="shared" si="11"/>
        <v>-1546194</v>
      </c>
      <c r="H63" s="10">
        <f t="shared" si="8"/>
        <v>4191238</v>
      </c>
      <c r="I63" s="10">
        <f t="shared" ref="I63:N63" si="12">I27-I62</f>
        <v>14905192</v>
      </c>
      <c r="J63" s="10">
        <f t="shared" si="12"/>
        <v>4920970</v>
      </c>
      <c r="K63" s="10">
        <f t="shared" si="12"/>
        <v>-10271312</v>
      </c>
      <c r="L63" s="10">
        <f t="shared" si="12"/>
        <v>3447087</v>
      </c>
      <c r="M63" s="10">
        <f t="shared" si="12"/>
        <v>5385752</v>
      </c>
      <c r="N63" s="10">
        <f t="shared" si="12"/>
        <v>-1135396</v>
      </c>
      <c r="O63" s="10">
        <f t="shared" si="2"/>
        <v>17252293</v>
      </c>
      <c r="P63" s="10">
        <f t="shared" si="3"/>
        <v>21443531</v>
      </c>
    </row>
    <row r="64" spans="1:16" x14ac:dyDescent="0.15">
      <c r="A64" s="23" t="s">
        <v>126</v>
      </c>
      <c r="B64" s="9">
        <f>'22年度'!B64+'23年度'!B65</f>
        <v>270</v>
      </c>
      <c r="C64" s="9">
        <f>'22年度'!C64+'23年度'!C65</f>
        <v>6</v>
      </c>
      <c r="D64" s="9">
        <f>'22年度'!D64+'23年度'!D65</f>
        <v>0</v>
      </c>
      <c r="E64" s="9">
        <f>'22年度'!E64+'23年度'!E65</f>
        <v>0</v>
      </c>
      <c r="F64" s="9">
        <f>'22年度'!F64+'23年度'!F65</f>
        <v>1802</v>
      </c>
      <c r="G64" s="9">
        <f>'22年度'!G64+'23年度'!G65</f>
        <v>55</v>
      </c>
      <c r="H64" s="10">
        <f t="shared" si="8"/>
        <v>2133</v>
      </c>
      <c r="I64" s="9">
        <f>'22年度'!I64+'23年度'!I65</f>
        <v>176</v>
      </c>
      <c r="J64" s="9">
        <f>'22年度'!J64+'23年度'!J65</f>
        <v>0</v>
      </c>
      <c r="K64" s="9">
        <f>'22年度'!K64+'23年度'!K65</f>
        <v>0</v>
      </c>
      <c r="L64" s="9">
        <f>'22年度'!L64+'23年度'!L65</f>
        <v>0</v>
      </c>
      <c r="M64" s="9">
        <f>'22年度'!M64+'23年度'!M65</f>
        <v>1494</v>
      </c>
      <c r="N64" s="9">
        <f>'22年度'!N64+'23年度'!N65</f>
        <v>34</v>
      </c>
      <c r="O64" s="10">
        <f t="shared" si="2"/>
        <v>1704</v>
      </c>
      <c r="P64" s="10">
        <f t="shared" si="3"/>
        <v>3837</v>
      </c>
    </row>
    <row r="65" spans="1:16" x14ac:dyDescent="0.15">
      <c r="A65" s="23" t="s">
        <v>127</v>
      </c>
      <c r="B65" s="9">
        <f>'22年度'!B65+'23年度'!B66</f>
        <v>168603</v>
      </c>
      <c r="C65" s="9">
        <f>'22年度'!C65+'23年度'!C66</f>
        <v>166145</v>
      </c>
      <c r="D65" s="9">
        <f>'22年度'!D65+'23年度'!D66</f>
        <v>144821</v>
      </c>
      <c r="E65" s="9">
        <f>'22年度'!E65+'23年度'!E66</f>
        <v>343865</v>
      </c>
      <c r="F65" s="9">
        <f>'22年度'!F65+'23年度'!F66</f>
        <v>229846</v>
      </c>
      <c r="G65" s="9">
        <f>'22年度'!G65+'23年度'!G66</f>
        <v>178425</v>
      </c>
      <c r="H65" s="10">
        <f t="shared" si="8"/>
        <v>1231705</v>
      </c>
      <c r="I65" s="9">
        <f>'22年度'!I65+'23年度'!I66</f>
        <v>217517</v>
      </c>
      <c r="J65" s="9">
        <f>'22年度'!J65+'23年度'!J66</f>
        <v>274201</v>
      </c>
      <c r="K65" s="9">
        <f>'22年度'!K65+'23年度'!K66</f>
        <v>279538</v>
      </c>
      <c r="L65" s="9">
        <f>'22年度'!L65+'23年度'!L66</f>
        <v>241808</v>
      </c>
      <c r="M65" s="9">
        <f>'22年度'!M65+'23年度'!M66</f>
        <v>167018</v>
      </c>
      <c r="N65" s="9">
        <f>'22年度'!N65+'23年度'!N66</f>
        <v>364465</v>
      </c>
      <c r="O65" s="10">
        <f t="shared" si="2"/>
        <v>1544547</v>
      </c>
      <c r="P65" s="10">
        <f t="shared" si="3"/>
        <v>2776252</v>
      </c>
    </row>
    <row r="66" spans="1:16" x14ac:dyDescent="0.15">
      <c r="A66" s="8" t="s">
        <v>60</v>
      </c>
      <c r="B66" s="15">
        <f t="shared" ref="B66:G66" si="13">B63+B64-B65</f>
        <v>8547995</v>
      </c>
      <c r="C66" s="15">
        <f t="shared" si="13"/>
        <v>-4998996</v>
      </c>
      <c r="D66" s="15">
        <f t="shared" si="13"/>
        <v>6269701</v>
      </c>
      <c r="E66" s="15">
        <f t="shared" si="13"/>
        <v>-9715236</v>
      </c>
      <c r="F66" s="15">
        <f t="shared" si="13"/>
        <v>4582766</v>
      </c>
      <c r="G66" s="15">
        <f t="shared" si="13"/>
        <v>-1724564</v>
      </c>
      <c r="H66" s="10">
        <f t="shared" si="8"/>
        <v>2961666</v>
      </c>
      <c r="I66" s="15">
        <f t="shared" ref="I66:N66" si="14">I63+I64-I65</f>
        <v>14687851</v>
      </c>
      <c r="J66" s="15">
        <f t="shared" si="14"/>
        <v>4646769</v>
      </c>
      <c r="K66" s="15">
        <f t="shared" si="14"/>
        <v>-10550850</v>
      </c>
      <c r="L66" s="15">
        <f t="shared" si="14"/>
        <v>3205279</v>
      </c>
      <c r="M66" s="15">
        <f t="shared" si="14"/>
        <v>5220228</v>
      </c>
      <c r="N66" s="15">
        <f t="shared" si="14"/>
        <v>-1499827</v>
      </c>
      <c r="O66" s="10">
        <f t="shared" si="2"/>
        <v>15709450</v>
      </c>
      <c r="P66" s="10">
        <f t="shared" si="3"/>
        <v>18671116</v>
      </c>
    </row>
    <row r="67" spans="1:16" x14ac:dyDescent="0.15">
      <c r="A67" s="26" t="s">
        <v>116</v>
      </c>
      <c r="B67" s="9">
        <f>'22年度'!B67+'23年度'!B68</f>
        <v>666000</v>
      </c>
      <c r="C67" s="9">
        <f>'22年度'!C67+'23年度'!C68</f>
        <v>666000</v>
      </c>
      <c r="D67" s="9">
        <f>'22年度'!D67+'23年度'!D68</f>
        <v>666000</v>
      </c>
      <c r="E67" s="9">
        <f>'22年度'!E67+'23年度'!E68</f>
        <v>666000</v>
      </c>
      <c r="F67" s="9">
        <f>'22年度'!F67+'23年度'!F68</f>
        <v>666000</v>
      </c>
      <c r="G67" s="9">
        <f>'22年度'!G67+'23年度'!G68</f>
        <v>832000</v>
      </c>
      <c r="H67" s="10">
        <f t="shared" si="8"/>
        <v>4162000</v>
      </c>
      <c r="I67" s="9">
        <f>'22年度'!I67+'23年度'!I68</f>
        <v>832000</v>
      </c>
      <c r="J67" s="9">
        <f>'22年度'!J67+'23年度'!J68</f>
        <v>832000</v>
      </c>
      <c r="K67" s="9">
        <f>'22年度'!K67+'23年度'!K68</f>
        <v>832000</v>
      </c>
      <c r="L67" s="9">
        <f>'22年度'!L67+'23年度'!L68</f>
        <v>832000</v>
      </c>
      <c r="M67" s="9">
        <f>'22年度'!M67+'23年度'!M68</f>
        <v>832000</v>
      </c>
      <c r="N67" s="9">
        <f>'22年度'!N67+'23年度'!N68</f>
        <v>832000</v>
      </c>
      <c r="O67" s="14">
        <f t="shared" si="2"/>
        <v>4992000</v>
      </c>
      <c r="P67" s="9">
        <f t="shared" si="3"/>
        <v>9154000</v>
      </c>
    </row>
  </sheetData>
  <phoneticPr fontId="3"/>
  <pageMargins left="0.51181102362204722" right="0.19685039370078741" top="0.27559055118110237" bottom="0.35433070866141736" header="0.23622047244094491" footer="0.27559055118110237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4951-021D-46B9-BC21-14CA77A1FE48}">
  <dimension ref="A1:P68"/>
  <sheetViews>
    <sheetView topLeftCell="A16" workbookViewId="0">
      <pane xSplit="3" topLeftCell="H1" activePane="topRight" state="frozenSplit"/>
      <selection activeCell="C5" sqref="C5"/>
      <selection pane="topRight" activeCell="L67" sqref="L67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72" t="s">
        <v>186</v>
      </c>
      <c r="D1" s="172"/>
      <c r="E1" s="172"/>
      <c r="F1" s="172"/>
      <c r="G1" s="172"/>
      <c r="H1" s="172"/>
    </row>
    <row r="2" spans="1:16" ht="12" customHeight="1" x14ac:dyDescent="0.15">
      <c r="A2" s="1" t="s">
        <v>43</v>
      </c>
      <c r="B2" s="2" t="s">
        <v>171</v>
      </c>
      <c r="C2" s="1" t="s">
        <v>172</v>
      </c>
      <c r="D2" s="2" t="s">
        <v>173</v>
      </c>
      <c r="E2" s="1" t="s">
        <v>174</v>
      </c>
      <c r="F2" s="2" t="s">
        <v>175</v>
      </c>
      <c r="G2" s="1" t="s">
        <v>176</v>
      </c>
      <c r="H2" s="1" t="s">
        <v>39</v>
      </c>
      <c r="I2" s="1" t="s">
        <v>177</v>
      </c>
      <c r="J2" s="1" t="s">
        <v>178</v>
      </c>
      <c r="K2" s="1" t="s">
        <v>179</v>
      </c>
      <c r="L2" s="1" t="s">
        <v>180</v>
      </c>
      <c r="M2" s="1" t="s">
        <v>181</v>
      </c>
      <c r="N2" s="1" t="s">
        <v>182</v>
      </c>
      <c r="O2" s="1" t="s">
        <v>41</v>
      </c>
      <c r="P2" s="1" t="s">
        <v>42</v>
      </c>
    </row>
    <row r="3" spans="1:16" x14ac:dyDescent="0.15">
      <c r="A3" s="24" t="s">
        <v>123</v>
      </c>
      <c r="B3" s="5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15">
      <c r="A4" s="19" t="s">
        <v>0</v>
      </c>
      <c r="B4" s="10">
        <f>SUM(B5:B7)</f>
        <v>125000</v>
      </c>
      <c r="C4" s="10">
        <f t="shared" ref="C4:N4" si="0">SUM(C5:C7)</f>
        <v>32000</v>
      </c>
      <c r="D4" s="10">
        <f t="shared" si="0"/>
        <v>19000</v>
      </c>
      <c r="E4" s="10">
        <f t="shared" si="0"/>
        <v>5000</v>
      </c>
      <c r="F4" s="10">
        <f t="shared" si="0"/>
        <v>5000</v>
      </c>
      <c r="G4" s="10">
        <f t="shared" si="0"/>
        <v>5000</v>
      </c>
      <c r="H4" s="10">
        <f t="shared" ref="H4:H28" si="1">SUM(B4:G4)</f>
        <v>191000</v>
      </c>
      <c r="I4" s="10">
        <f t="shared" si="0"/>
        <v>4000</v>
      </c>
      <c r="J4" s="10">
        <f t="shared" si="0"/>
        <v>4000</v>
      </c>
      <c r="K4" s="10">
        <f t="shared" si="0"/>
        <v>4000</v>
      </c>
      <c r="L4" s="10">
        <f t="shared" si="0"/>
        <v>4000</v>
      </c>
      <c r="M4" s="10">
        <f t="shared" si="0"/>
        <v>0</v>
      </c>
      <c r="N4" s="10">
        <f t="shared" si="0"/>
        <v>0</v>
      </c>
      <c r="O4" s="10">
        <f>SUM(I4:N4)</f>
        <v>16000</v>
      </c>
      <c r="P4" s="10">
        <f>H4+O4</f>
        <v>207000</v>
      </c>
    </row>
    <row r="5" spans="1:16" ht="12.95" customHeight="1" x14ac:dyDescent="0.15">
      <c r="A5" s="21" t="s">
        <v>1</v>
      </c>
      <c r="B5" s="14">
        <v>85000</v>
      </c>
      <c r="C5" s="14">
        <v>2000</v>
      </c>
      <c r="D5" s="14">
        <v>2000</v>
      </c>
      <c r="E5" s="14">
        <v>1000</v>
      </c>
      <c r="F5" s="14">
        <v>1000</v>
      </c>
      <c r="G5" s="14">
        <v>1000</v>
      </c>
      <c r="H5" s="14">
        <f t="shared" si="1"/>
        <v>92000</v>
      </c>
      <c r="I5" s="9">
        <v>1000</v>
      </c>
      <c r="J5" s="9">
        <v>1000</v>
      </c>
      <c r="K5" s="9">
        <v>1000</v>
      </c>
      <c r="L5" s="9">
        <v>1000</v>
      </c>
      <c r="M5" s="9"/>
      <c r="N5" s="9"/>
      <c r="O5" s="9">
        <f t="shared" ref="O5:O68" si="2">SUM(I5:N5)</f>
        <v>4000</v>
      </c>
      <c r="P5" s="9">
        <f t="shared" ref="P5:P68" si="3">H5+O5</f>
        <v>96000</v>
      </c>
    </row>
    <row r="6" spans="1:16" ht="12.95" customHeight="1" x14ac:dyDescent="0.15">
      <c r="A6" s="21" t="s">
        <v>2</v>
      </c>
      <c r="B6" s="14">
        <v>30000</v>
      </c>
      <c r="C6" s="14">
        <v>25000</v>
      </c>
      <c r="D6" s="14">
        <v>15000</v>
      </c>
      <c r="E6" s="14">
        <v>2000</v>
      </c>
      <c r="F6" s="14">
        <v>2000</v>
      </c>
      <c r="G6" s="14">
        <v>2000</v>
      </c>
      <c r="H6" s="14">
        <f t="shared" si="1"/>
        <v>76000</v>
      </c>
      <c r="I6" s="9">
        <v>2000</v>
      </c>
      <c r="J6" s="9">
        <v>2000</v>
      </c>
      <c r="K6" s="9">
        <v>2000</v>
      </c>
      <c r="L6" s="9">
        <v>2000</v>
      </c>
      <c r="M6" s="9"/>
      <c r="N6" s="9"/>
      <c r="O6" s="9">
        <f t="shared" si="2"/>
        <v>8000</v>
      </c>
      <c r="P6" s="9">
        <f t="shared" si="3"/>
        <v>84000</v>
      </c>
    </row>
    <row r="7" spans="1:16" ht="12.95" customHeight="1" x14ac:dyDescent="0.15">
      <c r="A7" s="21" t="s">
        <v>3</v>
      </c>
      <c r="B7" s="14">
        <v>10000</v>
      </c>
      <c r="C7" s="14">
        <v>5000</v>
      </c>
      <c r="D7" s="14">
        <v>2000</v>
      </c>
      <c r="E7" s="14">
        <v>2000</v>
      </c>
      <c r="F7" s="14">
        <v>2000</v>
      </c>
      <c r="G7" s="14">
        <v>2000</v>
      </c>
      <c r="H7" s="14">
        <f t="shared" si="1"/>
        <v>23000</v>
      </c>
      <c r="I7" s="9">
        <v>1000</v>
      </c>
      <c r="J7" s="9">
        <v>1000</v>
      </c>
      <c r="K7" s="9">
        <v>1000</v>
      </c>
      <c r="L7" s="9">
        <v>1000</v>
      </c>
      <c r="M7" s="9"/>
      <c r="N7" s="9"/>
      <c r="O7" s="9">
        <f t="shared" si="2"/>
        <v>4000</v>
      </c>
      <c r="P7" s="9">
        <f t="shared" si="3"/>
        <v>27000</v>
      </c>
    </row>
    <row r="8" spans="1:16" x14ac:dyDescent="0.15">
      <c r="A8" s="19" t="s">
        <v>4</v>
      </c>
      <c r="B8" s="10">
        <f t="shared" ref="B8:N8" si="4">SUM(B9:B24)</f>
        <v>17036170</v>
      </c>
      <c r="C8" s="10">
        <f t="shared" si="4"/>
        <v>18159900</v>
      </c>
      <c r="D8" s="10">
        <f t="shared" si="4"/>
        <v>17681220</v>
      </c>
      <c r="E8" s="10">
        <f t="shared" si="4"/>
        <v>18286400</v>
      </c>
      <c r="F8" s="10">
        <f t="shared" si="4"/>
        <v>19433850</v>
      </c>
      <c r="G8" s="10">
        <f t="shared" si="4"/>
        <v>17584600</v>
      </c>
      <c r="H8" s="10">
        <f t="shared" si="1"/>
        <v>108182140</v>
      </c>
      <c r="I8" s="10">
        <f t="shared" si="4"/>
        <v>18738000</v>
      </c>
      <c r="J8" s="10">
        <f t="shared" si="4"/>
        <v>18040250</v>
      </c>
      <c r="K8" s="10">
        <f t="shared" si="4"/>
        <v>17842500</v>
      </c>
      <c r="L8" s="10">
        <f t="shared" si="4"/>
        <v>16836500</v>
      </c>
      <c r="M8" s="10">
        <f t="shared" si="4"/>
        <v>0</v>
      </c>
      <c r="N8" s="10">
        <f t="shared" si="4"/>
        <v>0</v>
      </c>
      <c r="O8" s="10">
        <f t="shared" si="2"/>
        <v>71457250</v>
      </c>
      <c r="P8" s="10">
        <f t="shared" si="3"/>
        <v>179639390</v>
      </c>
    </row>
    <row r="9" spans="1:16" ht="12.95" customHeight="1" x14ac:dyDescent="0.15">
      <c r="A9" s="27" t="s">
        <v>94</v>
      </c>
      <c r="B9" s="14">
        <v>2588600</v>
      </c>
      <c r="C9" s="14">
        <v>2588600</v>
      </c>
      <c r="D9" s="14">
        <v>2588600</v>
      </c>
      <c r="E9" s="14">
        <v>2588600</v>
      </c>
      <c r="F9" s="14">
        <v>2588600</v>
      </c>
      <c r="G9" s="14">
        <v>2588600</v>
      </c>
      <c r="H9" s="14">
        <f t="shared" si="1"/>
        <v>15531600</v>
      </c>
      <c r="I9" s="9">
        <v>2580000</v>
      </c>
      <c r="J9" s="9">
        <v>2580000</v>
      </c>
      <c r="K9" s="9">
        <v>2580000</v>
      </c>
      <c r="L9" s="9">
        <v>2580000</v>
      </c>
      <c r="M9" s="9"/>
      <c r="N9" s="9"/>
      <c r="O9" s="9">
        <f t="shared" si="2"/>
        <v>10320000</v>
      </c>
      <c r="P9" s="9">
        <f t="shared" si="3"/>
        <v>25851600</v>
      </c>
    </row>
    <row r="10" spans="1:16" ht="12.95" customHeight="1" x14ac:dyDescent="0.15">
      <c r="A10" s="20" t="s">
        <v>128</v>
      </c>
      <c r="B10" s="14">
        <v>55000</v>
      </c>
      <c r="C10" s="14">
        <v>55000</v>
      </c>
      <c r="D10" s="14">
        <v>55000</v>
      </c>
      <c r="E10" s="14">
        <v>55000</v>
      </c>
      <c r="F10" s="14">
        <v>55000</v>
      </c>
      <c r="G10" s="14">
        <v>55000</v>
      </c>
      <c r="H10" s="14">
        <f t="shared" si="1"/>
        <v>330000</v>
      </c>
      <c r="I10" s="9">
        <v>55000</v>
      </c>
      <c r="J10" s="9">
        <v>55000</v>
      </c>
      <c r="K10" s="9">
        <v>55000</v>
      </c>
      <c r="L10" s="9">
        <v>55000</v>
      </c>
      <c r="M10" s="9" ph="1"/>
      <c r="N10" s="9"/>
      <c r="O10" s="9">
        <f t="shared" si="2"/>
        <v>220000</v>
      </c>
      <c r="P10" s="9">
        <f t="shared" si="3"/>
        <v>550000</v>
      </c>
    </row>
    <row r="11" spans="1:16" ht="12.95" customHeight="1" x14ac:dyDescent="0.15">
      <c r="A11" s="20" t="s">
        <v>129</v>
      </c>
      <c r="B11" s="14">
        <v>160000</v>
      </c>
      <c r="C11" s="14">
        <v>150000</v>
      </c>
      <c r="D11" s="14">
        <v>150000</v>
      </c>
      <c r="E11" s="14">
        <v>150000</v>
      </c>
      <c r="F11" s="14">
        <v>150000</v>
      </c>
      <c r="G11" s="14">
        <v>150000</v>
      </c>
      <c r="H11" s="14">
        <f t="shared" si="1"/>
        <v>910000</v>
      </c>
      <c r="I11" s="9">
        <v>160000</v>
      </c>
      <c r="J11" s="9">
        <v>150000</v>
      </c>
      <c r="K11" s="9">
        <v>150000</v>
      </c>
      <c r="L11" s="9">
        <v>150000</v>
      </c>
      <c r="M11" s="9"/>
      <c r="N11" s="9"/>
      <c r="O11" s="9">
        <f t="shared" si="2"/>
        <v>610000</v>
      </c>
      <c r="P11" s="9">
        <f t="shared" si="3"/>
        <v>1520000</v>
      </c>
    </row>
    <row r="12" spans="1:16" ht="12.95" customHeight="1" x14ac:dyDescent="0.15">
      <c r="A12" s="27" t="s">
        <v>95</v>
      </c>
      <c r="B12" s="29">
        <v>8426570</v>
      </c>
      <c r="C12" s="14">
        <v>9204800</v>
      </c>
      <c r="D12" s="14">
        <v>8883120</v>
      </c>
      <c r="E12" s="14">
        <v>9034500</v>
      </c>
      <c r="F12" s="14">
        <v>9439750</v>
      </c>
      <c r="G12" s="14">
        <v>8681000</v>
      </c>
      <c r="H12" s="14">
        <f t="shared" si="1"/>
        <v>53669740</v>
      </c>
      <c r="I12" s="9">
        <v>9451500</v>
      </c>
      <c r="J12" s="14">
        <v>9000250</v>
      </c>
      <c r="K12" s="9">
        <v>8778000</v>
      </c>
      <c r="L12" s="9">
        <v>8144000</v>
      </c>
      <c r="M12" s="9"/>
      <c r="N12" s="9"/>
      <c r="O12" s="9">
        <f t="shared" si="2"/>
        <v>35373750</v>
      </c>
      <c r="P12" s="9">
        <f t="shared" si="3"/>
        <v>89043490</v>
      </c>
    </row>
    <row r="13" spans="1:16" ht="12.95" customHeight="1" x14ac:dyDescent="0.15">
      <c r="A13" s="20" t="s">
        <v>58</v>
      </c>
      <c r="B13" s="14">
        <v>465500</v>
      </c>
      <c r="C13" s="14">
        <v>515000</v>
      </c>
      <c r="D13" s="14">
        <v>497000</v>
      </c>
      <c r="E13" s="14">
        <v>505000</v>
      </c>
      <c r="F13" s="14">
        <v>527500</v>
      </c>
      <c r="G13" s="14">
        <v>485000</v>
      </c>
      <c r="H13" s="14">
        <f t="shared" si="1"/>
        <v>2995000</v>
      </c>
      <c r="I13" s="9">
        <v>525000</v>
      </c>
      <c r="J13" s="9">
        <v>500000</v>
      </c>
      <c r="K13" s="9">
        <v>487500</v>
      </c>
      <c r="L13" s="9">
        <v>452500</v>
      </c>
      <c r="M13" s="9"/>
      <c r="N13" s="9"/>
      <c r="O13" s="9">
        <f t="shared" si="2"/>
        <v>1965000</v>
      </c>
      <c r="P13" s="9">
        <f t="shared" si="3"/>
        <v>4960000</v>
      </c>
    </row>
    <row r="14" spans="1:16" ht="12.95" customHeight="1" x14ac:dyDescent="0.15">
      <c r="A14" s="27" t="s">
        <v>96</v>
      </c>
      <c r="B14" s="14">
        <v>1176000</v>
      </c>
      <c r="C14" s="14">
        <v>1176000</v>
      </c>
      <c r="D14" s="14">
        <v>1176000</v>
      </c>
      <c r="E14" s="14">
        <v>1285000</v>
      </c>
      <c r="F14" s="14">
        <v>1285000</v>
      </c>
      <c r="G14" s="14">
        <v>1285000</v>
      </c>
      <c r="H14" s="14">
        <f t="shared" si="1"/>
        <v>7383000</v>
      </c>
      <c r="I14" s="9">
        <v>1394000</v>
      </c>
      <c r="J14" s="9">
        <v>1394000</v>
      </c>
      <c r="K14" s="9">
        <v>1394000</v>
      </c>
      <c r="L14" s="9">
        <v>1429000</v>
      </c>
      <c r="M14" s="9"/>
      <c r="N14" s="9"/>
      <c r="O14" s="9">
        <f t="shared" si="2"/>
        <v>5611000</v>
      </c>
      <c r="P14" s="9">
        <f t="shared" si="3"/>
        <v>12994000</v>
      </c>
    </row>
    <row r="15" spans="1:16" ht="12.95" customHeight="1" x14ac:dyDescent="0.15">
      <c r="A15" s="20" t="s">
        <v>59</v>
      </c>
      <c r="B15" s="14">
        <v>92500</v>
      </c>
      <c r="C15" s="14">
        <v>100500</v>
      </c>
      <c r="D15" s="14">
        <v>96500</v>
      </c>
      <c r="E15" s="14">
        <v>102500</v>
      </c>
      <c r="F15" s="14">
        <v>102000</v>
      </c>
      <c r="G15" s="14">
        <v>95000</v>
      </c>
      <c r="H15" s="14">
        <f t="shared" si="1"/>
        <v>589000</v>
      </c>
      <c r="I15" s="9">
        <v>102500</v>
      </c>
      <c r="J15" s="9">
        <v>103000</v>
      </c>
      <c r="K15" s="9">
        <v>90000</v>
      </c>
      <c r="L15" s="9">
        <v>76000</v>
      </c>
      <c r="M15" s="9"/>
      <c r="N15" s="9"/>
      <c r="O15" s="9">
        <f t="shared" si="2"/>
        <v>371500</v>
      </c>
      <c r="P15" s="9">
        <f t="shared" si="3"/>
        <v>960500</v>
      </c>
    </row>
    <row r="16" spans="1:16" ht="12.95" customHeight="1" x14ac:dyDescent="0.15">
      <c r="A16" s="28" t="s">
        <v>120</v>
      </c>
      <c r="B16" s="14">
        <v>2898000</v>
      </c>
      <c r="C16" s="14">
        <v>3087000</v>
      </c>
      <c r="D16" s="14">
        <v>2961000</v>
      </c>
      <c r="E16" s="14">
        <v>2998800</v>
      </c>
      <c r="F16" s="14">
        <v>3150000</v>
      </c>
      <c r="G16" s="14">
        <v>3024000</v>
      </c>
      <c r="H16" s="14">
        <f t="shared" si="1"/>
        <v>18118800</v>
      </c>
      <c r="I16" s="9">
        <v>3213000</v>
      </c>
      <c r="J16" s="9">
        <v>3024000</v>
      </c>
      <c r="K16" s="9">
        <v>3024000</v>
      </c>
      <c r="L16" s="9">
        <v>2772000</v>
      </c>
      <c r="M16" s="9"/>
      <c r="N16" s="9"/>
      <c r="O16" s="9">
        <f t="shared" si="2"/>
        <v>12033000</v>
      </c>
      <c r="P16" s="9">
        <f t="shared" si="3"/>
        <v>30151800</v>
      </c>
    </row>
    <row r="17" spans="1:16" ht="12.95" customHeight="1" x14ac:dyDescent="0.15">
      <c r="A17" s="20" t="s">
        <v>59</v>
      </c>
      <c r="B17" s="14">
        <v>100000</v>
      </c>
      <c r="C17" s="14">
        <v>96000</v>
      </c>
      <c r="D17" s="14">
        <v>92000</v>
      </c>
      <c r="E17" s="14">
        <v>92000</v>
      </c>
      <c r="F17" s="14">
        <v>97000</v>
      </c>
      <c r="G17" s="14">
        <v>92000</v>
      </c>
      <c r="H17" s="14">
        <f t="shared" si="1"/>
        <v>569000</v>
      </c>
      <c r="I17" s="9">
        <v>100000</v>
      </c>
      <c r="J17" s="9">
        <v>96000</v>
      </c>
      <c r="K17" s="9">
        <v>90000</v>
      </c>
      <c r="L17" s="9">
        <v>84000</v>
      </c>
      <c r="M17" s="9"/>
      <c r="N17" s="9"/>
      <c r="O17" s="9">
        <f t="shared" si="2"/>
        <v>370000</v>
      </c>
      <c r="P17" s="9">
        <f t="shared" si="3"/>
        <v>939000</v>
      </c>
    </row>
    <row r="18" spans="1:16" ht="12.95" customHeight="1" x14ac:dyDescent="0.15">
      <c r="A18" s="31" t="s">
        <v>185</v>
      </c>
      <c r="B18" s="14">
        <v>240000</v>
      </c>
      <c r="C18" s="14">
        <v>250000</v>
      </c>
      <c r="D18" s="14">
        <v>250000</v>
      </c>
      <c r="E18" s="14">
        <v>250000</v>
      </c>
      <c r="F18" s="14">
        <v>250000</v>
      </c>
      <c r="G18" s="14">
        <v>250000</v>
      </c>
      <c r="H18" s="14">
        <f t="shared" si="1"/>
        <v>1490000</v>
      </c>
      <c r="I18" s="9">
        <v>250000</v>
      </c>
      <c r="J18" s="9">
        <v>250000</v>
      </c>
      <c r="K18" s="9">
        <v>250000</v>
      </c>
      <c r="L18" s="9">
        <v>250000</v>
      </c>
      <c r="M18" s="9"/>
      <c r="N18" s="9"/>
      <c r="O18" s="9">
        <f t="shared" si="2"/>
        <v>1000000</v>
      </c>
      <c r="P18" s="9">
        <f t="shared" si="3"/>
        <v>2490000</v>
      </c>
    </row>
    <row r="19" spans="1:16" ht="12.95" customHeight="1" x14ac:dyDescent="0.15">
      <c r="A19" s="27" t="s">
        <v>119</v>
      </c>
      <c r="B19" s="14">
        <v>44000</v>
      </c>
      <c r="C19" s="14">
        <v>55000</v>
      </c>
      <c r="D19" s="14">
        <v>44000</v>
      </c>
      <c r="E19" s="14">
        <v>48000</v>
      </c>
      <c r="F19" s="14">
        <v>48000</v>
      </c>
      <c r="G19" s="14">
        <v>48000</v>
      </c>
      <c r="H19" s="14">
        <f t="shared" si="1"/>
        <v>287000</v>
      </c>
      <c r="I19" s="9">
        <v>60000</v>
      </c>
      <c r="J19" s="9">
        <v>48000</v>
      </c>
      <c r="K19" s="9">
        <v>48000</v>
      </c>
      <c r="L19" s="9">
        <v>52000</v>
      </c>
      <c r="M19" s="9"/>
      <c r="N19" s="9"/>
      <c r="O19" s="9">
        <f t="shared" si="2"/>
        <v>208000</v>
      </c>
      <c r="P19" s="9">
        <f t="shared" si="3"/>
        <v>495000</v>
      </c>
    </row>
    <row r="20" spans="1:16" ht="12.95" customHeight="1" x14ac:dyDescent="0.15">
      <c r="A20" s="27" t="s">
        <v>97</v>
      </c>
      <c r="B20" s="14">
        <v>12000</v>
      </c>
      <c r="C20" s="14">
        <v>12000</v>
      </c>
      <c r="D20" s="14">
        <v>12000</v>
      </c>
      <c r="E20" s="14">
        <v>14000</v>
      </c>
      <c r="F20" s="14">
        <v>14000</v>
      </c>
      <c r="G20" s="14">
        <v>14000</v>
      </c>
      <c r="H20" s="14">
        <f t="shared" si="1"/>
        <v>78000</v>
      </c>
      <c r="I20" s="14">
        <v>15000</v>
      </c>
      <c r="J20" s="14">
        <v>15000</v>
      </c>
      <c r="K20" s="14">
        <v>15000</v>
      </c>
      <c r="L20" s="14">
        <v>15000</v>
      </c>
      <c r="M20" s="14"/>
      <c r="N20" s="14"/>
      <c r="O20" s="14">
        <f t="shared" si="2"/>
        <v>60000</v>
      </c>
      <c r="P20" s="14">
        <f t="shared" si="3"/>
        <v>138000</v>
      </c>
    </row>
    <row r="21" spans="1:16" ht="12.95" customHeight="1" x14ac:dyDescent="0.15">
      <c r="A21" s="27" t="s">
        <v>98</v>
      </c>
      <c r="B21" s="14">
        <v>100000</v>
      </c>
      <c r="C21" s="14">
        <v>100000</v>
      </c>
      <c r="D21" s="14">
        <v>100000</v>
      </c>
      <c r="E21" s="14">
        <v>80000</v>
      </c>
      <c r="F21" s="14">
        <v>80000</v>
      </c>
      <c r="G21" s="14">
        <v>80000</v>
      </c>
      <c r="H21" s="14">
        <f t="shared" si="1"/>
        <v>540000</v>
      </c>
      <c r="I21" s="14">
        <v>80000</v>
      </c>
      <c r="J21" s="14">
        <v>80000</v>
      </c>
      <c r="K21" s="14">
        <v>80000</v>
      </c>
      <c r="L21" s="14">
        <v>80000</v>
      </c>
      <c r="M21" s="14"/>
      <c r="N21" s="14"/>
      <c r="O21" s="9">
        <f t="shared" si="2"/>
        <v>320000</v>
      </c>
      <c r="P21" s="14">
        <f t="shared" si="3"/>
        <v>860000</v>
      </c>
    </row>
    <row r="22" spans="1:16" ht="12.95" customHeight="1" x14ac:dyDescent="0.15">
      <c r="A22" s="27" t="s">
        <v>118</v>
      </c>
      <c r="B22" s="14">
        <v>140000</v>
      </c>
      <c r="C22" s="14">
        <v>124000</v>
      </c>
      <c r="D22" s="14">
        <v>140000</v>
      </c>
      <c r="E22" s="14">
        <v>215000</v>
      </c>
      <c r="F22" s="14">
        <v>299000</v>
      </c>
      <c r="G22" s="14">
        <v>134000</v>
      </c>
      <c r="H22" s="14">
        <f t="shared" si="1"/>
        <v>1052000</v>
      </c>
      <c r="I22" s="14">
        <v>146000</v>
      </c>
      <c r="J22" s="14">
        <v>153000</v>
      </c>
      <c r="K22" s="14">
        <v>138000</v>
      </c>
      <c r="L22" s="14">
        <v>136000</v>
      </c>
      <c r="M22" s="14"/>
      <c r="N22" s="14"/>
      <c r="O22" s="9">
        <f t="shared" si="2"/>
        <v>573000</v>
      </c>
      <c r="P22" s="14">
        <f t="shared" si="3"/>
        <v>1625000</v>
      </c>
    </row>
    <row r="23" spans="1:16" ht="12.95" customHeight="1" x14ac:dyDescent="0.15">
      <c r="A23" s="27" t="s">
        <v>130</v>
      </c>
      <c r="B23" s="14">
        <v>538000</v>
      </c>
      <c r="C23" s="14">
        <v>338000</v>
      </c>
      <c r="D23" s="14">
        <v>328000</v>
      </c>
      <c r="E23" s="14">
        <v>560000</v>
      </c>
      <c r="F23" s="14">
        <v>1040000</v>
      </c>
      <c r="G23" s="14">
        <v>295000</v>
      </c>
      <c r="H23" s="14">
        <f t="shared" si="1"/>
        <v>3099000</v>
      </c>
      <c r="I23" s="14">
        <v>298000</v>
      </c>
      <c r="J23" s="14">
        <v>284000</v>
      </c>
      <c r="K23" s="14">
        <v>355000</v>
      </c>
      <c r="L23" s="14">
        <v>253000</v>
      </c>
      <c r="M23" s="14"/>
      <c r="N23" s="14"/>
      <c r="O23" s="9">
        <f t="shared" si="2"/>
        <v>1190000</v>
      </c>
      <c r="P23" s="14">
        <f t="shared" si="3"/>
        <v>4289000</v>
      </c>
    </row>
    <row r="24" spans="1:16" ht="12.95" customHeight="1" x14ac:dyDescent="0.15">
      <c r="A24" s="20" t="s">
        <v>99</v>
      </c>
      <c r="B24" s="14">
        <v>0</v>
      </c>
      <c r="C24" s="14">
        <v>308000</v>
      </c>
      <c r="D24" s="14">
        <v>308000</v>
      </c>
      <c r="E24" s="14">
        <v>308000</v>
      </c>
      <c r="F24" s="14">
        <v>308000</v>
      </c>
      <c r="G24" s="14">
        <v>308000</v>
      </c>
      <c r="H24" s="14">
        <f t="shared" si="1"/>
        <v>1540000</v>
      </c>
      <c r="I24" s="14">
        <v>308000</v>
      </c>
      <c r="J24" s="14">
        <v>308000</v>
      </c>
      <c r="K24" s="14">
        <v>308000</v>
      </c>
      <c r="L24" s="14">
        <v>308000</v>
      </c>
      <c r="M24" s="14"/>
      <c r="N24" s="14"/>
      <c r="O24" s="14">
        <f t="shared" si="2"/>
        <v>1232000</v>
      </c>
      <c r="P24" s="14">
        <f t="shared" si="3"/>
        <v>2772000</v>
      </c>
    </row>
    <row r="25" spans="1:16" x14ac:dyDescent="0.15">
      <c r="A25" s="19" t="s">
        <v>11</v>
      </c>
      <c r="B25" s="10">
        <v>60000</v>
      </c>
      <c r="C25" s="10">
        <v>30000</v>
      </c>
      <c r="D25" s="10">
        <v>30000</v>
      </c>
      <c r="E25" s="10">
        <v>30000</v>
      </c>
      <c r="F25" s="10">
        <v>30000</v>
      </c>
      <c r="G25" s="10">
        <v>30000</v>
      </c>
      <c r="H25" s="10">
        <f t="shared" si="1"/>
        <v>210000</v>
      </c>
      <c r="I25" s="10">
        <v>30000</v>
      </c>
      <c r="J25" s="10">
        <v>30000</v>
      </c>
      <c r="K25" s="10">
        <v>30000</v>
      </c>
      <c r="L25" s="10">
        <v>30000</v>
      </c>
      <c r="M25" s="10"/>
      <c r="N25" s="10"/>
      <c r="O25" s="10">
        <f t="shared" si="2"/>
        <v>120000</v>
      </c>
      <c r="P25" s="10">
        <f t="shared" si="3"/>
        <v>330000</v>
      </c>
    </row>
    <row r="26" spans="1:16" x14ac:dyDescent="0.15">
      <c r="A26" s="19" t="s">
        <v>125</v>
      </c>
      <c r="B26" s="10"/>
      <c r="C26" s="10"/>
      <c r="D26" s="10"/>
      <c r="E26" s="10"/>
      <c r="F26" s="10"/>
      <c r="G26" s="10"/>
      <c r="H26" s="10">
        <f t="shared" si="1"/>
        <v>0</v>
      </c>
      <c r="I26" s="10"/>
      <c r="J26" s="10"/>
      <c r="K26" s="10"/>
      <c r="L26" s="10"/>
      <c r="M26" s="10"/>
      <c r="N26" s="10"/>
      <c r="O26" s="10">
        <f t="shared" si="2"/>
        <v>0</v>
      </c>
      <c r="P26" s="10">
        <f t="shared" si="3"/>
        <v>0</v>
      </c>
    </row>
    <row r="27" spans="1:16" x14ac:dyDescent="0.15">
      <c r="A27" s="19" t="s">
        <v>12</v>
      </c>
      <c r="B27" s="10">
        <v>100000</v>
      </c>
      <c r="C27" s="10">
        <v>220000</v>
      </c>
      <c r="D27" s="10">
        <v>100000</v>
      </c>
      <c r="E27" s="10">
        <v>100000</v>
      </c>
      <c r="F27" s="10">
        <v>100000</v>
      </c>
      <c r="G27" s="10">
        <v>100000</v>
      </c>
      <c r="H27" s="10">
        <f t="shared" si="1"/>
        <v>720000</v>
      </c>
      <c r="I27" s="10">
        <v>100000</v>
      </c>
      <c r="J27" s="10">
        <v>100000</v>
      </c>
      <c r="K27" s="10">
        <v>100000</v>
      </c>
      <c r="L27" s="10">
        <v>100000</v>
      </c>
      <c r="M27" s="10"/>
      <c r="N27" s="10"/>
      <c r="O27" s="10">
        <f t="shared" si="2"/>
        <v>400000</v>
      </c>
      <c r="P27" s="10">
        <f t="shared" si="3"/>
        <v>1120000</v>
      </c>
    </row>
    <row r="28" spans="1:16" x14ac:dyDescent="0.15">
      <c r="A28" s="22" t="s">
        <v>13</v>
      </c>
      <c r="B28" s="10">
        <f t="shared" ref="B28:G28" si="5">B4+B8+B25+B26+B27</f>
        <v>17321170</v>
      </c>
      <c r="C28" s="10">
        <f t="shared" si="5"/>
        <v>18441900</v>
      </c>
      <c r="D28" s="10">
        <f t="shared" si="5"/>
        <v>17830220</v>
      </c>
      <c r="E28" s="10">
        <f t="shared" si="5"/>
        <v>18421400</v>
      </c>
      <c r="F28" s="10">
        <f t="shared" si="5"/>
        <v>19568850</v>
      </c>
      <c r="G28" s="10">
        <f t="shared" si="5"/>
        <v>17719600</v>
      </c>
      <c r="H28" s="10">
        <f t="shared" si="1"/>
        <v>109303140</v>
      </c>
      <c r="I28" s="10">
        <f t="shared" ref="I28:N28" si="6">I4+I8+I25+I26+I27</f>
        <v>18872000</v>
      </c>
      <c r="J28" s="10">
        <f t="shared" si="6"/>
        <v>18174250</v>
      </c>
      <c r="K28" s="10">
        <f t="shared" si="6"/>
        <v>17976500</v>
      </c>
      <c r="L28" s="10">
        <f t="shared" si="6"/>
        <v>16970500</v>
      </c>
      <c r="M28" s="10">
        <f t="shared" si="6"/>
        <v>0</v>
      </c>
      <c r="N28" s="10">
        <f t="shared" si="6"/>
        <v>0</v>
      </c>
      <c r="O28" s="10">
        <f t="shared" si="2"/>
        <v>71993250</v>
      </c>
      <c r="P28" s="10">
        <f t="shared" si="3"/>
        <v>181296390</v>
      </c>
    </row>
    <row r="29" spans="1:16" x14ac:dyDescent="0.15">
      <c r="A29" s="7" t="s">
        <v>124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15">
      <c r="A30" s="4" t="s">
        <v>15</v>
      </c>
      <c r="B30" s="2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15">
      <c r="A31" s="7" t="s">
        <v>16</v>
      </c>
      <c r="B31" s="10">
        <f t="shared" ref="B31:N31" si="7">SUM(B32:B36)</f>
        <v>11990000</v>
      </c>
      <c r="C31" s="10">
        <f t="shared" si="7"/>
        <v>11640000</v>
      </c>
      <c r="D31" s="10">
        <f t="shared" si="7"/>
        <v>11740000</v>
      </c>
      <c r="E31" s="10">
        <f t="shared" si="7"/>
        <v>22030000</v>
      </c>
      <c r="F31" s="10">
        <f t="shared" si="7"/>
        <v>12760000</v>
      </c>
      <c r="G31" s="10">
        <f t="shared" si="7"/>
        <v>12160000</v>
      </c>
      <c r="H31" s="10">
        <f t="shared" ref="H31:H68" si="8">SUM(B31:G31)</f>
        <v>82320000</v>
      </c>
      <c r="I31" s="10">
        <f t="shared" si="7"/>
        <v>11840000</v>
      </c>
      <c r="J31" s="10">
        <f t="shared" si="7"/>
        <v>11840000</v>
      </c>
      <c r="K31" s="10">
        <f t="shared" si="7"/>
        <v>22090000</v>
      </c>
      <c r="L31" s="10">
        <f t="shared" si="7"/>
        <v>11490000</v>
      </c>
      <c r="M31" s="10">
        <f t="shared" si="7"/>
        <v>0</v>
      </c>
      <c r="N31" s="10">
        <f t="shared" si="7"/>
        <v>0</v>
      </c>
      <c r="O31" s="10">
        <f t="shared" si="2"/>
        <v>57260000</v>
      </c>
      <c r="P31" s="10">
        <f t="shared" si="3"/>
        <v>139580000</v>
      </c>
    </row>
    <row r="32" spans="1:16" ht="12.95" customHeight="1" x14ac:dyDescent="0.15">
      <c r="A32" s="4" t="s">
        <v>100</v>
      </c>
      <c r="B32" s="9">
        <v>30000</v>
      </c>
      <c r="C32" s="9">
        <v>30000</v>
      </c>
      <c r="D32" s="9">
        <v>30000</v>
      </c>
      <c r="E32" s="9">
        <v>30000</v>
      </c>
      <c r="F32" s="9">
        <v>30000</v>
      </c>
      <c r="G32" s="9">
        <v>30000</v>
      </c>
      <c r="H32" s="9">
        <f t="shared" si="8"/>
        <v>180000</v>
      </c>
      <c r="I32" s="9">
        <v>30000</v>
      </c>
      <c r="J32" s="9">
        <v>30000</v>
      </c>
      <c r="K32" s="9">
        <v>30000</v>
      </c>
      <c r="L32" s="9">
        <v>30000</v>
      </c>
      <c r="M32" s="9"/>
      <c r="N32" s="9"/>
      <c r="O32" s="9">
        <f t="shared" si="2"/>
        <v>120000</v>
      </c>
      <c r="P32" s="9">
        <f t="shared" si="3"/>
        <v>300000</v>
      </c>
    </row>
    <row r="33" spans="1:16" ht="12.95" customHeight="1" x14ac:dyDescent="0.15">
      <c r="A33" s="4" t="s">
        <v>101</v>
      </c>
      <c r="B33" s="9">
        <v>9500000</v>
      </c>
      <c r="C33" s="9">
        <v>9200000</v>
      </c>
      <c r="D33" s="9">
        <v>9250000</v>
      </c>
      <c r="E33" s="9">
        <v>8800000</v>
      </c>
      <c r="F33" s="9">
        <v>10000000</v>
      </c>
      <c r="G33" s="9">
        <v>9600000</v>
      </c>
      <c r="H33" s="9">
        <f t="shared" si="8"/>
        <v>56350000</v>
      </c>
      <c r="I33" s="9">
        <v>9350000</v>
      </c>
      <c r="J33" s="9">
        <v>9300000</v>
      </c>
      <c r="K33" s="9">
        <v>9200000</v>
      </c>
      <c r="L33" s="9">
        <v>9200000</v>
      </c>
      <c r="M33" s="9"/>
      <c r="N33" s="9"/>
      <c r="O33" s="9">
        <f t="shared" si="2"/>
        <v>37050000</v>
      </c>
      <c r="P33" s="9">
        <f t="shared" si="3"/>
        <v>93400000</v>
      </c>
    </row>
    <row r="34" spans="1:16" ht="12.95" customHeight="1" x14ac:dyDescent="0.15">
      <c r="A34" s="4" t="s">
        <v>102</v>
      </c>
      <c r="B34" s="14">
        <v>1480000</v>
      </c>
      <c r="C34" s="14">
        <v>1450000</v>
      </c>
      <c r="D34" s="14">
        <v>1500000</v>
      </c>
      <c r="E34" s="14">
        <v>1500000</v>
      </c>
      <c r="F34" s="14">
        <v>1750000</v>
      </c>
      <c r="G34" s="14">
        <v>1550000</v>
      </c>
      <c r="H34" s="14">
        <f t="shared" si="8"/>
        <v>9230000</v>
      </c>
      <c r="I34" s="14">
        <v>1500000</v>
      </c>
      <c r="J34" s="14">
        <v>1550000</v>
      </c>
      <c r="K34" s="14">
        <v>1400000</v>
      </c>
      <c r="L34" s="13">
        <v>1300000</v>
      </c>
      <c r="M34" s="14"/>
      <c r="N34" s="14"/>
      <c r="O34" s="14">
        <f t="shared" si="2"/>
        <v>5750000</v>
      </c>
      <c r="P34" s="14">
        <f t="shared" si="3"/>
        <v>14980000</v>
      </c>
    </row>
    <row r="35" spans="1:16" ht="12.95" customHeight="1" x14ac:dyDescent="0.15">
      <c r="A35" s="4" t="s">
        <v>19</v>
      </c>
      <c r="B35" s="9">
        <v>980000</v>
      </c>
      <c r="C35" s="9">
        <v>960000</v>
      </c>
      <c r="D35" s="9">
        <v>960000</v>
      </c>
      <c r="E35" s="9">
        <v>1200000</v>
      </c>
      <c r="F35" s="9">
        <v>980000</v>
      </c>
      <c r="G35" s="9">
        <v>980000</v>
      </c>
      <c r="H35" s="9">
        <f t="shared" si="8"/>
        <v>6060000</v>
      </c>
      <c r="I35" s="9">
        <v>960000</v>
      </c>
      <c r="J35" s="9">
        <v>960000</v>
      </c>
      <c r="K35" s="9">
        <v>960000</v>
      </c>
      <c r="L35" s="9">
        <v>960000</v>
      </c>
      <c r="M35" s="9"/>
      <c r="N35" s="9"/>
      <c r="O35" s="13">
        <f t="shared" si="2"/>
        <v>3840000</v>
      </c>
      <c r="P35" s="9">
        <f t="shared" si="3"/>
        <v>9900000</v>
      </c>
    </row>
    <row r="36" spans="1:16" ht="12.95" customHeight="1" x14ac:dyDescent="0.15">
      <c r="A36" s="4" t="s">
        <v>117</v>
      </c>
      <c r="B36" s="9"/>
      <c r="C36" s="9"/>
      <c r="D36" s="9"/>
      <c r="E36" s="9">
        <v>10500000</v>
      </c>
      <c r="F36" s="9"/>
      <c r="G36" s="9"/>
      <c r="H36" s="9">
        <f t="shared" si="8"/>
        <v>10500000</v>
      </c>
      <c r="I36" s="9"/>
      <c r="J36" s="9"/>
      <c r="K36" s="9">
        <v>10500000</v>
      </c>
      <c r="L36" s="9"/>
      <c r="M36" s="9"/>
      <c r="N36" s="9"/>
      <c r="O36" s="13">
        <f t="shared" si="2"/>
        <v>10500000</v>
      </c>
      <c r="P36" s="9">
        <f t="shared" si="3"/>
        <v>21000000</v>
      </c>
    </row>
    <row r="37" spans="1:16" x14ac:dyDescent="0.15">
      <c r="A37" s="7" t="s">
        <v>20</v>
      </c>
      <c r="B37" s="10">
        <f t="shared" ref="B37:N37" si="9">SUM(B38:B62)</f>
        <v>3520000</v>
      </c>
      <c r="C37" s="10">
        <f t="shared" si="9"/>
        <v>5685000</v>
      </c>
      <c r="D37" s="10">
        <f t="shared" si="9"/>
        <v>3640000</v>
      </c>
      <c r="E37" s="10">
        <f t="shared" si="9"/>
        <v>3480000</v>
      </c>
      <c r="F37" s="10">
        <f t="shared" si="9"/>
        <v>3600000</v>
      </c>
      <c r="G37" s="10">
        <f t="shared" si="9"/>
        <v>6830000</v>
      </c>
      <c r="H37" s="10">
        <f t="shared" si="8"/>
        <v>26755000</v>
      </c>
      <c r="I37" s="10">
        <f t="shared" si="9"/>
        <v>3693000</v>
      </c>
      <c r="J37" s="10">
        <f t="shared" si="9"/>
        <v>3442000</v>
      </c>
      <c r="K37" s="10">
        <f t="shared" si="9"/>
        <v>4780000</v>
      </c>
      <c r="L37" s="10">
        <f t="shared" si="9"/>
        <v>3540000</v>
      </c>
      <c r="M37" s="10">
        <f t="shared" si="9"/>
        <v>0</v>
      </c>
      <c r="N37" s="10">
        <f t="shared" si="9"/>
        <v>0</v>
      </c>
      <c r="O37" s="10">
        <f t="shared" si="2"/>
        <v>15455000</v>
      </c>
      <c r="P37" s="10">
        <f t="shared" si="3"/>
        <v>42210000</v>
      </c>
    </row>
    <row r="38" spans="1:16" ht="12.95" customHeight="1" x14ac:dyDescent="0.15">
      <c r="A38" s="4" t="s">
        <v>21</v>
      </c>
      <c r="B38" s="9">
        <v>320000</v>
      </c>
      <c r="C38" s="9">
        <v>320000</v>
      </c>
      <c r="D38" s="9">
        <v>320000</v>
      </c>
      <c r="E38" s="9">
        <v>360000</v>
      </c>
      <c r="F38" s="9">
        <v>360000</v>
      </c>
      <c r="G38" s="9">
        <v>360000</v>
      </c>
      <c r="H38" s="9">
        <f t="shared" si="8"/>
        <v>2040000</v>
      </c>
      <c r="I38" s="9">
        <v>340000</v>
      </c>
      <c r="J38" s="9">
        <v>300000</v>
      </c>
      <c r="K38" s="9">
        <v>550000</v>
      </c>
      <c r="L38" s="9">
        <v>340000</v>
      </c>
      <c r="M38" s="9"/>
      <c r="N38" s="9"/>
      <c r="O38" s="13">
        <f t="shared" si="2"/>
        <v>1530000</v>
      </c>
      <c r="P38" s="9">
        <f t="shared" si="3"/>
        <v>3570000</v>
      </c>
    </row>
    <row r="39" spans="1:16" ht="12.95" customHeight="1" x14ac:dyDescent="0.15">
      <c r="A39" s="4" t="s">
        <v>22</v>
      </c>
      <c r="B39" s="9">
        <v>5000</v>
      </c>
      <c r="C39" s="9">
        <v>5000</v>
      </c>
      <c r="D39" s="9">
        <v>5000</v>
      </c>
      <c r="E39" s="9">
        <v>5000</v>
      </c>
      <c r="F39" s="9">
        <v>5000</v>
      </c>
      <c r="G39" s="9">
        <v>5000</v>
      </c>
      <c r="H39" s="9">
        <f t="shared" si="8"/>
        <v>30000</v>
      </c>
      <c r="I39" s="9">
        <v>10000</v>
      </c>
      <c r="J39" s="9"/>
      <c r="K39" s="9">
        <v>5000</v>
      </c>
      <c r="L39" s="9"/>
      <c r="M39" s="9"/>
      <c r="N39" s="9"/>
      <c r="O39" s="13">
        <f t="shared" si="2"/>
        <v>15000</v>
      </c>
      <c r="P39" s="9">
        <f t="shared" si="3"/>
        <v>45000</v>
      </c>
    </row>
    <row r="40" spans="1:16" ht="12.95" customHeight="1" x14ac:dyDescent="0.15">
      <c r="A40" s="4" t="s">
        <v>103</v>
      </c>
      <c r="B40" s="9">
        <v>70000</v>
      </c>
      <c r="C40" s="9">
        <v>70000</v>
      </c>
      <c r="D40" s="9">
        <v>70000</v>
      </c>
      <c r="E40" s="9">
        <v>70000</v>
      </c>
      <c r="F40" s="9">
        <v>70000</v>
      </c>
      <c r="G40" s="9">
        <v>70000</v>
      </c>
      <c r="H40" s="9">
        <f t="shared" si="8"/>
        <v>420000</v>
      </c>
      <c r="I40" s="9">
        <v>75000</v>
      </c>
      <c r="J40" s="9">
        <v>75000</v>
      </c>
      <c r="K40" s="9">
        <v>75000</v>
      </c>
      <c r="L40" s="9">
        <v>75000</v>
      </c>
      <c r="M40" s="9"/>
      <c r="N40" s="9"/>
      <c r="O40" s="13">
        <f t="shared" si="2"/>
        <v>300000</v>
      </c>
      <c r="P40" s="9">
        <f t="shared" si="3"/>
        <v>720000</v>
      </c>
    </row>
    <row r="41" spans="1:16" ht="12.95" customHeight="1" x14ac:dyDescent="0.15">
      <c r="A41" s="4" t="s">
        <v>24</v>
      </c>
      <c r="B41" s="9">
        <v>15000</v>
      </c>
      <c r="C41" s="9">
        <v>25000</v>
      </c>
      <c r="D41" s="9">
        <v>25000</v>
      </c>
      <c r="E41" s="9">
        <v>20000</v>
      </c>
      <c r="F41" s="9">
        <v>20000</v>
      </c>
      <c r="G41" s="9">
        <v>20000</v>
      </c>
      <c r="H41" s="9">
        <f t="shared" si="8"/>
        <v>125000</v>
      </c>
      <c r="I41" s="9">
        <v>25000</v>
      </c>
      <c r="J41" s="9">
        <v>25000</v>
      </c>
      <c r="K41" s="9">
        <v>25000</v>
      </c>
      <c r="L41" s="9">
        <v>20000</v>
      </c>
      <c r="M41" s="9"/>
      <c r="N41" s="9"/>
      <c r="O41" s="13">
        <f t="shared" si="2"/>
        <v>95000</v>
      </c>
      <c r="P41" s="9">
        <f t="shared" si="3"/>
        <v>220000</v>
      </c>
    </row>
    <row r="42" spans="1:16" ht="12.95" customHeight="1" x14ac:dyDescent="0.15">
      <c r="A42" s="4" t="s">
        <v>104</v>
      </c>
      <c r="B42" s="9">
        <v>30000</v>
      </c>
      <c r="C42" s="9">
        <v>0</v>
      </c>
      <c r="D42" s="9">
        <v>50000</v>
      </c>
      <c r="E42" s="9">
        <v>30000</v>
      </c>
      <c r="F42" s="9">
        <v>0</v>
      </c>
      <c r="G42" s="9">
        <v>50000</v>
      </c>
      <c r="H42" s="9">
        <f t="shared" si="8"/>
        <v>160000</v>
      </c>
      <c r="I42" s="9">
        <v>50000</v>
      </c>
      <c r="J42" s="9">
        <v>50000</v>
      </c>
      <c r="K42" s="9">
        <v>50000</v>
      </c>
      <c r="L42" s="9">
        <v>100000</v>
      </c>
      <c r="M42" s="9"/>
      <c r="N42" s="9"/>
      <c r="O42" s="13">
        <f t="shared" si="2"/>
        <v>250000</v>
      </c>
      <c r="P42" s="9">
        <f t="shared" si="3"/>
        <v>410000</v>
      </c>
    </row>
    <row r="43" spans="1:16" ht="12.95" customHeight="1" x14ac:dyDescent="0.15">
      <c r="A43" s="4" t="s">
        <v>105</v>
      </c>
      <c r="B43" s="9">
        <v>0</v>
      </c>
      <c r="C43" s="9">
        <v>50000</v>
      </c>
      <c r="D43" s="9">
        <v>85000</v>
      </c>
      <c r="E43" s="9">
        <v>30000</v>
      </c>
      <c r="F43" s="9">
        <v>0</v>
      </c>
      <c r="G43" s="9">
        <v>30000</v>
      </c>
      <c r="H43" s="9">
        <f t="shared" si="8"/>
        <v>195000</v>
      </c>
      <c r="I43" s="9">
        <v>20000</v>
      </c>
      <c r="J43" s="9">
        <v>5000</v>
      </c>
      <c r="K43" s="9">
        <v>50000</v>
      </c>
      <c r="L43" s="9">
        <v>5000</v>
      </c>
      <c r="M43" s="9"/>
      <c r="N43" s="9"/>
      <c r="O43" s="13">
        <f t="shared" si="2"/>
        <v>80000</v>
      </c>
      <c r="P43" s="9">
        <f t="shared" si="3"/>
        <v>275000</v>
      </c>
    </row>
    <row r="44" spans="1:16" ht="12.95" customHeight="1" x14ac:dyDescent="0.15">
      <c r="A44" s="4" t="s">
        <v>106</v>
      </c>
      <c r="B44" s="9">
        <v>80000</v>
      </c>
      <c r="C44" s="9">
        <v>60000</v>
      </c>
      <c r="D44" s="9">
        <v>50000</v>
      </c>
      <c r="E44" s="9">
        <v>50000</v>
      </c>
      <c r="F44" s="9">
        <v>150000</v>
      </c>
      <c r="G44" s="9">
        <v>60000</v>
      </c>
      <c r="H44" s="9">
        <f t="shared" si="8"/>
        <v>450000</v>
      </c>
      <c r="I44" s="9">
        <v>80000</v>
      </c>
      <c r="J44" s="9">
        <v>40000</v>
      </c>
      <c r="K44" s="9">
        <v>120000</v>
      </c>
      <c r="L44" s="9">
        <v>40000</v>
      </c>
      <c r="M44" s="9"/>
      <c r="N44" s="9"/>
      <c r="O44" s="13">
        <f t="shared" si="2"/>
        <v>280000</v>
      </c>
      <c r="P44" s="9">
        <f t="shared" si="3"/>
        <v>730000</v>
      </c>
    </row>
    <row r="45" spans="1:16" ht="12.95" customHeight="1" x14ac:dyDescent="0.15">
      <c r="A45" s="4" t="s">
        <v>28</v>
      </c>
      <c r="B45" s="9">
        <v>40000</v>
      </c>
      <c r="C45" s="9">
        <v>30000</v>
      </c>
      <c r="D45" s="9">
        <v>20000</v>
      </c>
      <c r="E45" s="9">
        <v>20000</v>
      </c>
      <c r="F45" s="9">
        <v>20000</v>
      </c>
      <c r="G45" s="9">
        <v>20000</v>
      </c>
      <c r="H45" s="9">
        <f t="shared" si="8"/>
        <v>150000</v>
      </c>
      <c r="I45" s="9">
        <v>25000</v>
      </c>
      <c r="J45" s="9">
        <v>25000</v>
      </c>
      <c r="K45" s="9">
        <v>25000</v>
      </c>
      <c r="L45" s="9">
        <v>25000</v>
      </c>
      <c r="M45" s="9"/>
      <c r="N45" s="9"/>
      <c r="O45" s="13">
        <f t="shared" si="2"/>
        <v>100000</v>
      </c>
      <c r="P45" s="9">
        <f t="shared" si="3"/>
        <v>250000</v>
      </c>
    </row>
    <row r="46" spans="1:16" ht="12.95" customHeight="1" x14ac:dyDescent="0.15">
      <c r="A46" s="4" t="s">
        <v>107</v>
      </c>
      <c r="B46" s="9">
        <v>20000</v>
      </c>
      <c r="C46" s="9">
        <v>20000</v>
      </c>
      <c r="D46" s="9">
        <v>20000</v>
      </c>
      <c r="E46" s="9">
        <v>20000</v>
      </c>
      <c r="F46" s="9">
        <v>20000</v>
      </c>
      <c r="G46" s="9">
        <v>20000</v>
      </c>
      <c r="H46" s="9">
        <f t="shared" si="8"/>
        <v>120000</v>
      </c>
      <c r="I46" s="9">
        <v>20000</v>
      </c>
      <c r="J46" s="9">
        <v>20000</v>
      </c>
      <c r="K46" s="9">
        <v>20000</v>
      </c>
      <c r="L46" s="9">
        <v>20000</v>
      </c>
      <c r="M46" s="9"/>
      <c r="N46" s="9"/>
      <c r="O46" s="13">
        <f t="shared" si="2"/>
        <v>80000</v>
      </c>
      <c r="P46" s="9">
        <f t="shared" si="3"/>
        <v>200000</v>
      </c>
    </row>
    <row r="47" spans="1:16" ht="12.95" customHeight="1" x14ac:dyDescent="0.15">
      <c r="A47" s="4" t="s">
        <v>27</v>
      </c>
      <c r="B47" s="9">
        <v>0</v>
      </c>
      <c r="C47" s="9">
        <v>35000</v>
      </c>
      <c r="D47" s="9">
        <v>15000</v>
      </c>
      <c r="E47" s="9">
        <v>10000</v>
      </c>
      <c r="F47" s="9">
        <v>0</v>
      </c>
      <c r="G47" s="9">
        <v>10000</v>
      </c>
      <c r="H47" s="9">
        <f t="shared" si="8"/>
        <v>70000</v>
      </c>
      <c r="I47" s="9">
        <v>10000</v>
      </c>
      <c r="J47" s="9">
        <v>50000</v>
      </c>
      <c r="K47" s="9"/>
      <c r="L47" s="9">
        <v>15000</v>
      </c>
      <c r="M47" s="9"/>
      <c r="N47" s="9"/>
      <c r="O47" s="13">
        <f t="shared" si="2"/>
        <v>75000</v>
      </c>
      <c r="P47" s="9">
        <f t="shared" si="3"/>
        <v>145000</v>
      </c>
    </row>
    <row r="48" spans="1:16" ht="12.95" customHeight="1" x14ac:dyDescent="0.15">
      <c r="A48" s="4" t="s">
        <v>32</v>
      </c>
      <c r="B48" s="9">
        <v>580000</v>
      </c>
      <c r="C48" s="9">
        <v>580000</v>
      </c>
      <c r="D48" s="9">
        <v>450000</v>
      </c>
      <c r="E48" s="9">
        <v>400000</v>
      </c>
      <c r="F48" s="9">
        <v>550000</v>
      </c>
      <c r="G48" s="9">
        <v>480000</v>
      </c>
      <c r="H48" s="9">
        <f t="shared" si="8"/>
        <v>3040000</v>
      </c>
      <c r="I48" s="9">
        <v>400000</v>
      </c>
      <c r="J48" s="9">
        <v>420000</v>
      </c>
      <c r="K48" s="9">
        <v>460000</v>
      </c>
      <c r="L48" s="9">
        <v>550000</v>
      </c>
      <c r="M48" s="9"/>
      <c r="N48" s="9"/>
      <c r="O48" s="13">
        <f t="shared" si="2"/>
        <v>1830000</v>
      </c>
      <c r="P48" s="9">
        <f t="shared" si="3"/>
        <v>4870000</v>
      </c>
    </row>
    <row r="49" spans="1:16" ht="12.95" customHeight="1" x14ac:dyDescent="0.15">
      <c r="A49" s="4" t="s">
        <v>108</v>
      </c>
      <c r="B49" s="9">
        <v>15000</v>
      </c>
      <c r="C49" s="9">
        <v>15000</v>
      </c>
      <c r="D49" s="9">
        <v>20000</v>
      </c>
      <c r="E49" s="9">
        <v>15000</v>
      </c>
      <c r="F49" s="9">
        <v>15000</v>
      </c>
      <c r="G49" s="9">
        <v>15000</v>
      </c>
      <c r="H49" s="9">
        <f t="shared" si="8"/>
        <v>95000</v>
      </c>
      <c r="I49" s="9">
        <v>10000</v>
      </c>
      <c r="J49" s="9">
        <v>10000</v>
      </c>
      <c r="K49" s="9">
        <v>10000</v>
      </c>
      <c r="L49" s="9">
        <v>10000</v>
      </c>
      <c r="M49" s="9"/>
      <c r="N49" s="9"/>
      <c r="O49" s="13">
        <f t="shared" si="2"/>
        <v>40000</v>
      </c>
      <c r="P49" s="9">
        <f t="shared" si="3"/>
        <v>135000</v>
      </c>
    </row>
    <row r="50" spans="1:16" ht="12.95" customHeight="1" x14ac:dyDescent="0.15">
      <c r="A50" s="4" t="s">
        <v>34</v>
      </c>
      <c r="B50" s="9">
        <v>60000</v>
      </c>
      <c r="C50" s="9">
        <v>0</v>
      </c>
      <c r="D50" s="9">
        <v>10000</v>
      </c>
      <c r="E50" s="9">
        <v>0</v>
      </c>
      <c r="F50" s="9">
        <v>30000</v>
      </c>
      <c r="G50" s="9">
        <v>10000</v>
      </c>
      <c r="H50" s="9">
        <f t="shared" si="8"/>
        <v>110000</v>
      </c>
      <c r="I50" s="9">
        <v>10000</v>
      </c>
      <c r="J50" s="9"/>
      <c r="K50" s="9"/>
      <c r="L50" s="9"/>
      <c r="M50" s="9"/>
      <c r="N50" s="9"/>
      <c r="O50" s="13">
        <f t="shared" si="2"/>
        <v>10000</v>
      </c>
      <c r="P50" s="9">
        <f t="shared" si="3"/>
        <v>120000</v>
      </c>
    </row>
    <row r="51" spans="1:16" ht="12.95" customHeight="1" x14ac:dyDescent="0.15">
      <c r="A51" s="4" t="s">
        <v>109</v>
      </c>
      <c r="B51" s="9">
        <v>510000</v>
      </c>
      <c r="C51" s="9">
        <v>600000</v>
      </c>
      <c r="D51" s="9">
        <v>600000</v>
      </c>
      <c r="E51" s="9">
        <v>650000</v>
      </c>
      <c r="F51" s="9">
        <v>650000</v>
      </c>
      <c r="G51" s="9">
        <v>650000</v>
      </c>
      <c r="H51" s="9">
        <f t="shared" si="8"/>
        <v>3660000</v>
      </c>
      <c r="I51" s="9">
        <v>850000</v>
      </c>
      <c r="J51" s="9">
        <v>650000</v>
      </c>
      <c r="K51" s="9">
        <v>700000</v>
      </c>
      <c r="L51" s="9">
        <v>650000</v>
      </c>
      <c r="M51" s="14"/>
      <c r="N51" s="9"/>
      <c r="O51" s="13">
        <f t="shared" si="2"/>
        <v>2850000</v>
      </c>
      <c r="P51" s="9">
        <f t="shared" si="3"/>
        <v>6510000</v>
      </c>
    </row>
    <row r="52" spans="1:16" ht="12.95" customHeight="1" x14ac:dyDescent="0.15">
      <c r="A52" s="4" t="s">
        <v>35</v>
      </c>
      <c r="B52" s="9">
        <v>5000</v>
      </c>
      <c r="C52" s="9">
        <v>5000</v>
      </c>
      <c r="D52" s="9">
        <v>5000</v>
      </c>
      <c r="E52" s="9">
        <v>5000</v>
      </c>
      <c r="F52" s="9">
        <v>5000</v>
      </c>
      <c r="G52" s="9">
        <v>5000</v>
      </c>
      <c r="H52" s="9">
        <f t="shared" si="8"/>
        <v>30000</v>
      </c>
      <c r="I52" s="9">
        <v>20000</v>
      </c>
      <c r="J52" s="9">
        <v>5000</v>
      </c>
      <c r="K52" s="9">
        <v>80000</v>
      </c>
      <c r="L52" s="9">
        <v>10000</v>
      </c>
      <c r="M52" s="9"/>
      <c r="N52" s="9"/>
      <c r="O52" s="13">
        <f t="shared" si="2"/>
        <v>115000</v>
      </c>
      <c r="P52" s="9">
        <f t="shared" si="3"/>
        <v>145000</v>
      </c>
    </row>
    <row r="53" spans="1:16" ht="12.95" customHeight="1" x14ac:dyDescent="0.15">
      <c r="A53" s="4" t="s">
        <v>110</v>
      </c>
      <c r="B53" s="9">
        <v>160000</v>
      </c>
      <c r="C53" s="9">
        <v>0</v>
      </c>
      <c r="D53" s="9">
        <v>0</v>
      </c>
      <c r="E53" s="9">
        <v>35000</v>
      </c>
      <c r="F53" s="9">
        <v>0</v>
      </c>
      <c r="G53" s="9">
        <v>55000</v>
      </c>
      <c r="H53" s="9">
        <f t="shared" si="8"/>
        <v>250000</v>
      </c>
      <c r="I53" s="9">
        <v>0</v>
      </c>
      <c r="J53" s="9"/>
      <c r="K53" s="9">
        <v>500000</v>
      </c>
      <c r="L53" s="9"/>
      <c r="M53" s="9"/>
      <c r="N53" s="9"/>
      <c r="O53" s="13">
        <f t="shared" si="2"/>
        <v>500000</v>
      </c>
      <c r="P53" s="9">
        <f t="shared" si="3"/>
        <v>750000</v>
      </c>
    </row>
    <row r="54" spans="1:16" ht="12.95" customHeight="1" x14ac:dyDescent="0.15">
      <c r="A54" s="4" t="s">
        <v>111</v>
      </c>
      <c r="B54" s="9">
        <v>400000</v>
      </c>
      <c r="C54" s="9">
        <v>450000</v>
      </c>
      <c r="D54" s="9">
        <v>500000</v>
      </c>
      <c r="E54" s="9">
        <v>505000</v>
      </c>
      <c r="F54" s="9">
        <v>500000</v>
      </c>
      <c r="G54" s="9">
        <v>500000</v>
      </c>
      <c r="H54" s="9">
        <f t="shared" si="8"/>
        <v>2855000</v>
      </c>
      <c r="I54" s="9">
        <v>650000</v>
      </c>
      <c r="J54" s="9">
        <v>600000</v>
      </c>
      <c r="K54" s="9">
        <v>450000</v>
      </c>
      <c r="L54" s="9">
        <v>450000</v>
      </c>
      <c r="M54" s="9"/>
      <c r="N54" s="9"/>
      <c r="O54" s="13">
        <f t="shared" si="2"/>
        <v>2150000</v>
      </c>
      <c r="P54" s="9">
        <f t="shared" si="3"/>
        <v>5005000</v>
      </c>
    </row>
    <row r="55" spans="1:16" ht="12.95" customHeight="1" x14ac:dyDescent="0.15">
      <c r="A55" s="4" t="s">
        <v>112</v>
      </c>
      <c r="B55" s="9">
        <v>30000</v>
      </c>
      <c r="C55" s="9">
        <v>0</v>
      </c>
      <c r="D55" s="9">
        <v>0</v>
      </c>
      <c r="E55" s="9">
        <v>100000</v>
      </c>
      <c r="F55" s="9">
        <v>0</v>
      </c>
      <c r="G55" s="9">
        <v>0</v>
      </c>
      <c r="H55" s="9">
        <f t="shared" si="8"/>
        <v>130000</v>
      </c>
      <c r="I55" s="9">
        <v>0</v>
      </c>
      <c r="J55" s="9"/>
      <c r="K55" s="9">
        <v>250000</v>
      </c>
      <c r="L55" s="9"/>
      <c r="M55" s="9"/>
      <c r="N55" s="9"/>
      <c r="O55" s="13">
        <f t="shared" si="2"/>
        <v>250000</v>
      </c>
      <c r="P55" s="9">
        <f t="shared" si="3"/>
        <v>380000</v>
      </c>
    </row>
    <row r="56" spans="1:16" ht="12.95" customHeight="1" x14ac:dyDescent="0.15">
      <c r="A56" s="4" t="s">
        <v>113</v>
      </c>
      <c r="B56" s="9">
        <v>410000</v>
      </c>
      <c r="C56" s="9">
        <v>410000</v>
      </c>
      <c r="D56" s="9">
        <v>410000</v>
      </c>
      <c r="E56" s="9">
        <v>410000</v>
      </c>
      <c r="F56" s="9">
        <v>410000</v>
      </c>
      <c r="G56" s="9">
        <v>410000</v>
      </c>
      <c r="H56" s="9">
        <f t="shared" si="8"/>
        <v>2460000</v>
      </c>
      <c r="I56" s="9">
        <v>410000</v>
      </c>
      <c r="J56" s="9">
        <v>410000</v>
      </c>
      <c r="K56" s="9">
        <v>410000</v>
      </c>
      <c r="L56" s="9">
        <v>410000</v>
      </c>
      <c r="M56" s="9"/>
      <c r="N56" s="9"/>
      <c r="O56" s="13">
        <f t="shared" si="2"/>
        <v>1640000</v>
      </c>
      <c r="P56" s="9">
        <f t="shared" si="3"/>
        <v>4100000</v>
      </c>
    </row>
    <row r="57" spans="1:16" ht="12.95" customHeight="1" x14ac:dyDescent="0.15">
      <c r="A57" s="4" t="s">
        <v>121</v>
      </c>
      <c r="B57" s="9">
        <v>250000</v>
      </c>
      <c r="C57" s="9">
        <v>370000</v>
      </c>
      <c r="D57" s="9">
        <v>250000</v>
      </c>
      <c r="E57" s="9">
        <v>250000</v>
      </c>
      <c r="F57" s="14">
        <v>250000</v>
      </c>
      <c r="G57" s="9">
        <v>250000</v>
      </c>
      <c r="H57" s="9">
        <f t="shared" si="8"/>
        <v>1620000</v>
      </c>
      <c r="I57" s="9">
        <v>250000</v>
      </c>
      <c r="J57" s="9">
        <v>250000</v>
      </c>
      <c r="K57" s="9">
        <v>250000</v>
      </c>
      <c r="L57" s="9">
        <v>250000</v>
      </c>
      <c r="M57" s="9"/>
      <c r="N57" s="9"/>
      <c r="O57" s="13">
        <f t="shared" si="2"/>
        <v>1000000</v>
      </c>
      <c r="P57" s="9">
        <f t="shared" si="3"/>
        <v>2620000</v>
      </c>
    </row>
    <row r="58" spans="1:16" ht="12.95" customHeight="1" x14ac:dyDescent="0.15">
      <c r="A58" s="4" t="s">
        <v>122</v>
      </c>
      <c r="B58" s="11">
        <v>0</v>
      </c>
      <c r="C58" s="9">
        <v>2150000</v>
      </c>
      <c r="D58" s="9">
        <v>5000</v>
      </c>
      <c r="E58" s="9">
        <v>5000</v>
      </c>
      <c r="F58" s="9">
        <v>35000</v>
      </c>
      <c r="G58" s="9">
        <v>0</v>
      </c>
      <c r="H58" s="9">
        <f t="shared" si="8"/>
        <v>2195000</v>
      </c>
      <c r="I58" s="9">
        <v>3000</v>
      </c>
      <c r="J58" s="9">
        <v>2000</v>
      </c>
      <c r="K58" s="9">
        <v>60000</v>
      </c>
      <c r="L58" s="9"/>
      <c r="M58" s="9"/>
      <c r="N58" s="9"/>
      <c r="O58" s="13">
        <f t="shared" si="2"/>
        <v>65000</v>
      </c>
      <c r="P58" s="9">
        <f t="shared" si="3"/>
        <v>2260000</v>
      </c>
    </row>
    <row r="59" spans="1:16" ht="12.95" customHeight="1" x14ac:dyDescent="0.15">
      <c r="A59" s="4" t="s">
        <v>37</v>
      </c>
      <c r="B59" s="9">
        <v>70000</v>
      </c>
      <c r="C59" s="9">
        <v>180000</v>
      </c>
      <c r="D59" s="9">
        <v>270000</v>
      </c>
      <c r="E59" s="9">
        <v>80000</v>
      </c>
      <c r="F59" s="9">
        <v>150000</v>
      </c>
      <c r="G59" s="9">
        <v>450000</v>
      </c>
      <c r="H59" s="9">
        <f t="shared" si="8"/>
        <v>1200000</v>
      </c>
      <c r="I59" s="9">
        <v>80000</v>
      </c>
      <c r="J59" s="9">
        <v>100000</v>
      </c>
      <c r="K59" s="9">
        <v>180000</v>
      </c>
      <c r="L59" s="9">
        <v>180000</v>
      </c>
      <c r="M59" s="9"/>
      <c r="N59" s="9"/>
      <c r="O59" s="13">
        <f t="shared" si="2"/>
        <v>540000</v>
      </c>
      <c r="P59" s="9">
        <f t="shared" si="3"/>
        <v>1740000</v>
      </c>
    </row>
    <row r="60" spans="1:16" ht="12.95" customHeight="1" x14ac:dyDescent="0.15">
      <c r="A60" s="4" t="s">
        <v>114</v>
      </c>
      <c r="B60" s="14">
        <v>10000</v>
      </c>
      <c r="C60" s="14">
        <v>10000</v>
      </c>
      <c r="D60" s="14">
        <v>10000</v>
      </c>
      <c r="E60" s="14">
        <v>10000</v>
      </c>
      <c r="F60" s="14">
        <v>10000</v>
      </c>
      <c r="G60" s="14">
        <v>10000</v>
      </c>
      <c r="H60" s="14">
        <f t="shared" si="8"/>
        <v>60000</v>
      </c>
      <c r="I60" s="14">
        <v>5000</v>
      </c>
      <c r="J60" s="14">
        <v>5000</v>
      </c>
      <c r="K60" s="14">
        <v>60000</v>
      </c>
      <c r="L60" s="14">
        <v>40000</v>
      </c>
      <c r="M60" s="14"/>
      <c r="N60" s="14"/>
      <c r="O60" s="14">
        <f t="shared" si="2"/>
        <v>110000</v>
      </c>
      <c r="P60" s="14">
        <f t="shared" si="3"/>
        <v>170000</v>
      </c>
    </row>
    <row r="61" spans="1:16" ht="12.95" customHeight="1" x14ac:dyDescent="0.15">
      <c r="A61" s="12" t="s">
        <v>115</v>
      </c>
      <c r="B61" s="14">
        <v>440000</v>
      </c>
      <c r="C61" s="14">
        <v>300000</v>
      </c>
      <c r="D61" s="14">
        <v>450000</v>
      </c>
      <c r="E61" s="14">
        <v>400000</v>
      </c>
      <c r="F61" s="14">
        <v>350000</v>
      </c>
      <c r="G61" s="14">
        <v>350000</v>
      </c>
      <c r="H61" s="14">
        <f t="shared" si="8"/>
        <v>2290000</v>
      </c>
      <c r="I61" s="14">
        <v>350000</v>
      </c>
      <c r="J61" s="14">
        <v>400000</v>
      </c>
      <c r="K61" s="14">
        <v>450000</v>
      </c>
      <c r="L61" s="14">
        <v>350000</v>
      </c>
      <c r="M61" s="14"/>
      <c r="N61" s="14"/>
      <c r="O61" s="14">
        <f t="shared" si="2"/>
        <v>1550000</v>
      </c>
      <c r="P61" s="14">
        <f t="shared" si="3"/>
        <v>3840000</v>
      </c>
    </row>
    <row r="62" spans="1:16" ht="12.95" customHeight="1" x14ac:dyDescent="0.15">
      <c r="A62" s="4" t="s">
        <v>46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3000000</v>
      </c>
      <c r="H62" s="9">
        <f t="shared" si="8"/>
        <v>3000000</v>
      </c>
      <c r="I62" s="9"/>
      <c r="J62" s="9"/>
      <c r="K62" s="9"/>
      <c r="L62" s="9"/>
      <c r="M62" s="9"/>
      <c r="N62" s="9"/>
      <c r="O62" s="13">
        <f t="shared" si="2"/>
        <v>0</v>
      </c>
      <c r="P62" s="9">
        <f t="shared" si="3"/>
        <v>3000000</v>
      </c>
    </row>
    <row r="63" spans="1:16" x14ac:dyDescent="0.15">
      <c r="A63" s="8" t="s">
        <v>29</v>
      </c>
      <c r="B63" s="10">
        <f t="shared" ref="B63:N63" si="10">B31+B37</f>
        <v>15510000</v>
      </c>
      <c r="C63" s="10">
        <f t="shared" si="10"/>
        <v>17325000</v>
      </c>
      <c r="D63" s="10">
        <f t="shared" si="10"/>
        <v>15380000</v>
      </c>
      <c r="E63" s="10">
        <f t="shared" si="10"/>
        <v>25510000</v>
      </c>
      <c r="F63" s="10">
        <f t="shared" si="10"/>
        <v>16360000</v>
      </c>
      <c r="G63" s="10">
        <f t="shared" si="10"/>
        <v>18990000</v>
      </c>
      <c r="H63" s="10">
        <f t="shared" si="8"/>
        <v>109075000</v>
      </c>
      <c r="I63" s="10">
        <f t="shared" si="10"/>
        <v>15533000</v>
      </c>
      <c r="J63" s="10">
        <f t="shared" si="10"/>
        <v>15282000</v>
      </c>
      <c r="K63" s="10">
        <f t="shared" si="10"/>
        <v>26870000</v>
      </c>
      <c r="L63" s="10">
        <f t="shared" si="10"/>
        <v>15030000</v>
      </c>
      <c r="M63" s="10">
        <f t="shared" si="10"/>
        <v>0</v>
      </c>
      <c r="N63" s="10">
        <f t="shared" si="10"/>
        <v>0</v>
      </c>
      <c r="O63" s="10">
        <f t="shared" si="2"/>
        <v>72715000</v>
      </c>
      <c r="P63" s="10">
        <f t="shared" si="3"/>
        <v>181790000</v>
      </c>
    </row>
    <row r="64" spans="1:16" x14ac:dyDescent="0.15">
      <c r="A64" s="8" t="s">
        <v>61</v>
      </c>
      <c r="B64" s="10">
        <f t="shared" ref="B64:G64" si="11">B28-B63</f>
        <v>1811170</v>
      </c>
      <c r="C64" s="10">
        <f t="shared" si="11"/>
        <v>1116900</v>
      </c>
      <c r="D64" s="10">
        <f t="shared" si="11"/>
        <v>2450220</v>
      </c>
      <c r="E64" s="10">
        <f t="shared" si="11"/>
        <v>-7088600</v>
      </c>
      <c r="F64" s="10">
        <f t="shared" si="11"/>
        <v>3208850</v>
      </c>
      <c r="G64" s="10">
        <f t="shared" si="11"/>
        <v>-1270400</v>
      </c>
      <c r="H64" s="10">
        <f t="shared" si="8"/>
        <v>228140</v>
      </c>
      <c r="I64" s="10">
        <f t="shared" ref="I64:N64" si="12">I28-I63</f>
        <v>3339000</v>
      </c>
      <c r="J64" s="10">
        <f t="shared" si="12"/>
        <v>2892250</v>
      </c>
      <c r="K64" s="10">
        <f t="shared" si="12"/>
        <v>-8893500</v>
      </c>
      <c r="L64" s="10">
        <f t="shared" si="12"/>
        <v>1940500</v>
      </c>
      <c r="M64" s="10">
        <f t="shared" si="12"/>
        <v>0</v>
      </c>
      <c r="N64" s="10">
        <f t="shared" si="12"/>
        <v>0</v>
      </c>
      <c r="O64" s="10">
        <f t="shared" si="2"/>
        <v>-721750</v>
      </c>
      <c r="P64" s="10">
        <f t="shared" si="3"/>
        <v>-493610</v>
      </c>
    </row>
    <row r="65" spans="1:16" x14ac:dyDescent="0.15">
      <c r="A65" s="23" t="s">
        <v>126</v>
      </c>
      <c r="B65" s="14">
        <v>0</v>
      </c>
      <c r="C65" s="14">
        <v>0</v>
      </c>
      <c r="D65" s="14">
        <v>0</v>
      </c>
      <c r="E65" s="14">
        <v>0</v>
      </c>
      <c r="F65" s="14">
        <v>800</v>
      </c>
      <c r="G65" s="14"/>
      <c r="H65" s="10">
        <f t="shared" si="8"/>
        <v>800</v>
      </c>
      <c r="I65" s="14">
        <v>100</v>
      </c>
      <c r="J65" s="14">
        <v>0</v>
      </c>
      <c r="K65" s="14"/>
      <c r="L65" s="14"/>
      <c r="M65" s="14"/>
      <c r="N65" s="14"/>
      <c r="O65" s="10">
        <f t="shared" si="2"/>
        <v>100</v>
      </c>
      <c r="P65" s="10">
        <f t="shared" si="3"/>
        <v>900</v>
      </c>
    </row>
    <row r="66" spans="1:16" x14ac:dyDescent="0.15">
      <c r="A66" s="23" t="s">
        <v>127</v>
      </c>
      <c r="B66" s="14">
        <v>82000</v>
      </c>
      <c r="C66" s="9">
        <v>82000</v>
      </c>
      <c r="D66" s="9">
        <v>82000</v>
      </c>
      <c r="E66" s="9">
        <v>128000</v>
      </c>
      <c r="F66" s="9">
        <v>80000</v>
      </c>
      <c r="G66" s="9">
        <v>80000</v>
      </c>
      <c r="H66" s="10">
        <f t="shared" si="8"/>
        <v>534000</v>
      </c>
      <c r="I66" s="14">
        <v>78000</v>
      </c>
      <c r="J66" s="14">
        <v>78000</v>
      </c>
      <c r="K66" s="14">
        <v>128000</v>
      </c>
      <c r="L66" s="14">
        <v>78000</v>
      </c>
      <c r="M66" s="14"/>
      <c r="N66" s="14"/>
      <c r="O66" s="10">
        <f t="shared" si="2"/>
        <v>362000</v>
      </c>
      <c r="P66" s="10">
        <f t="shared" si="3"/>
        <v>896000</v>
      </c>
    </row>
    <row r="67" spans="1:16" x14ac:dyDescent="0.15">
      <c r="A67" s="8" t="s">
        <v>60</v>
      </c>
      <c r="B67" s="15">
        <f t="shared" ref="B67:G67" si="13">B64+B65-B66</f>
        <v>1729170</v>
      </c>
      <c r="C67" s="15">
        <f t="shared" si="13"/>
        <v>1034900</v>
      </c>
      <c r="D67" s="15">
        <f t="shared" si="13"/>
        <v>2368220</v>
      </c>
      <c r="E67" s="15">
        <f t="shared" si="13"/>
        <v>-7216600</v>
      </c>
      <c r="F67" s="15">
        <f t="shared" si="13"/>
        <v>3129650</v>
      </c>
      <c r="G67" s="15">
        <f t="shared" si="13"/>
        <v>-1350400</v>
      </c>
      <c r="H67" s="10">
        <f t="shared" si="8"/>
        <v>-305060</v>
      </c>
      <c r="I67" s="15">
        <f t="shared" ref="I67:N67" si="14">I64+I65-I66</f>
        <v>3261100</v>
      </c>
      <c r="J67" s="15">
        <f t="shared" si="14"/>
        <v>2814250</v>
      </c>
      <c r="K67" s="15">
        <f t="shared" si="14"/>
        <v>-9021500</v>
      </c>
      <c r="L67" s="15">
        <f t="shared" si="14"/>
        <v>1862500</v>
      </c>
      <c r="M67" s="15">
        <f t="shared" si="14"/>
        <v>0</v>
      </c>
      <c r="N67" s="15">
        <f t="shared" si="14"/>
        <v>0</v>
      </c>
      <c r="O67" s="10">
        <f t="shared" si="2"/>
        <v>-1083650</v>
      </c>
      <c r="P67" s="10">
        <f t="shared" si="3"/>
        <v>-1388710</v>
      </c>
    </row>
    <row r="68" spans="1:16" x14ac:dyDescent="0.15">
      <c r="A68" s="26" t="s">
        <v>116</v>
      </c>
      <c r="B68" s="14">
        <v>416000</v>
      </c>
      <c r="C68" s="14">
        <v>416000</v>
      </c>
      <c r="D68" s="14">
        <v>416000</v>
      </c>
      <c r="E68" s="14">
        <v>416000</v>
      </c>
      <c r="F68" s="14">
        <v>416000</v>
      </c>
      <c r="G68" s="14">
        <v>416000</v>
      </c>
      <c r="H68" s="10">
        <f t="shared" si="8"/>
        <v>2496000</v>
      </c>
      <c r="I68" s="4">
        <v>416000</v>
      </c>
      <c r="J68" s="4">
        <v>416000</v>
      </c>
      <c r="K68" s="9">
        <v>416000</v>
      </c>
      <c r="L68" s="9">
        <v>416000</v>
      </c>
      <c r="M68" s="9">
        <v>416000</v>
      </c>
      <c r="N68" s="9">
        <v>416000</v>
      </c>
      <c r="O68" s="14">
        <f t="shared" si="2"/>
        <v>2496000</v>
      </c>
      <c r="P68" s="9">
        <f t="shared" si="3"/>
        <v>4992000</v>
      </c>
    </row>
  </sheetData>
  <mergeCells count="1">
    <mergeCell ref="C1:H1"/>
  </mergeCells>
  <phoneticPr fontId="3"/>
  <pageMargins left="0.51181102362204722" right="0.19685039370078741" top="7.874015748031496E-2" bottom="0" header="0.23622047244094491" footer="0.27559055118110237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424C-D68A-4023-88D7-7FAB47C25C75}">
  <dimension ref="A1:P68"/>
  <sheetViews>
    <sheetView topLeftCell="A49" workbookViewId="0">
      <pane xSplit="3" topLeftCell="H1" activePane="topRight" state="frozenSplit"/>
      <selection activeCell="C5" sqref="C5"/>
      <selection pane="topRight" activeCell="K32" sqref="K32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172" t="s">
        <v>183</v>
      </c>
      <c r="D1" s="172"/>
      <c r="E1" s="172"/>
      <c r="F1" s="172"/>
      <c r="G1" s="172"/>
      <c r="H1" s="172"/>
    </row>
    <row r="2" spans="1:16" ht="12" customHeight="1" x14ac:dyDescent="0.15">
      <c r="A2" s="1" t="s">
        <v>43</v>
      </c>
      <c r="B2" s="2" t="s">
        <v>171</v>
      </c>
      <c r="C2" s="1" t="s">
        <v>172</v>
      </c>
      <c r="D2" s="2" t="s">
        <v>173</v>
      </c>
      <c r="E2" s="1" t="s">
        <v>174</v>
      </c>
      <c r="F2" s="2" t="s">
        <v>175</v>
      </c>
      <c r="G2" s="1" t="s">
        <v>176</v>
      </c>
      <c r="H2" s="1" t="s">
        <v>39</v>
      </c>
      <c r="I2" s="1" t="s">
        <v>177</v>
      </c>
      <c r="J2" s="1" t="s">
        <v>178</v>
      </c>
      <c r="K2" s="1" t="s">
        <v>179</v>
      </c>
      <c r="L2" s="1" t="s">
        <v>180</v>
      </c>
      <c r="M2" s="1" t="s">
        <v>181</v>
      </c>
      <c r="N2" s="1" t="s">
        <v>182</v>
      </c>
      <c r="O2" s="1" t="s">
        <v>41</v>
      </c>
      <c r="P2" s="1" t="s">
        <v>42</v>
      </c>
    </row>
    <row r="3" spans="1:16" x14ac:dyDescent="0.15">
      <c r="A3" s="24" t="s">
        <v>123</v>
      </c>
      <c r="B3" s="5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15">
      <c r="A4" s="19" t="s">
        <v>0</v>
      </c>
      <c r="B4" s="10">
        <f>SUM(B5:B7)</f>
        <v>123000</v>
      </c>
      <c r="C4" s="10">
        <f t="shared" ref="C4:N4" si="0">SUM(C5:C7)</f>
        <v>16000</v>
      </c>
      <c r="D4" s="10">
        <f t="shared" si="0"/>
        <v>14000</v>
      </c>
      <c r="E4" s="10">
        <f t="shared" si="0"/>
        <v>6000</v>
      </c>
      <c r="F4" s="10">
        <f t="shared" si="0"/>
        <v>14000</v>
      </c>
      <c r="G4" s="10">
        <f t="shared" si="0"/>
        <v>14000</v>
      </c>
      <c r="H4" s="10">
        <f t="shared" ref="H4:H28" si="1">SUM(B4:G4)</f>
        <v>187000</v>
      </c>
      <c r="I4" s="10">
        <f t="shared" si="0"/>
        <v>9000</v>
      </c>
      <c r="J4" s="10">
        <f t="shared" si="0"/>
        <v>1000</v>
      </c>
      <c r="K4" s="10">
        <f t="shared" si="0"/>
        <v>4000</v>
      </c>
      <c r="L4" s="10">
        <f t="shared" si="0"/>
        <v>6000</v>
      </c>
      <c r="M4" s="10">
        <f t="shared" si="0"/>
        <v>1000</v>
      </c>
      <c r="N4" s="10">
        <f t="shared" si="0"/>
        <v>0</v>
      </c>
      <c r="O4" s="10">
        <f>SUM(I4:N4)</f>
        <v>21000</v>
      </c>
      <c r="P4" s="10">
        <f>H4+O4</f>
        <v>208000</v>
      </c>
    </row>
    <row r="5" spans="1:16" ht="12.95" customHeight="1" x14ac:dyDescent="0.15">
      <c r="A5" s="21" t="s">
        <v>1</v>
      </c>
      <c r="B5" s="14">
        <v>85000</v>
      </c>
      <c r="C5" s="14">
        <v>0</v>
      </c>
      <c r="D5" s="14">
        <v>1000</v>
      </c>
      <c r="E5" s="14">
        <v>1000</v>
      </c>
      <c r="F5" s="14">
        <v>0</v>
      </c>
      <c r="G5" s="14">
        <v>2000</v>
      </c>
      <c r="H5" s="14">
        <f t="shared" si="1"/>
        <v>89000</v>
      </c>
      <c r="I5" s="9">
        <v>2000</v>
      </c>
      <c r="J5" s="9">
        <v>0</v>
      </c>
      <c r="K5" s="9">
        <v>2000</v>
      </c>
      <c r="L5" s="9">
        <v>1000</v>
      </c>
      <c r="M5" s="9">
        <v>0</v>
      </c>
      <c r="N5" s="9">
        <v>0</v>
      </c>
      <c r="O5" s="9">
        <f t="shared" ref="O5:O68" si="2">SUM(I5:N5)</f>
        <v>5000</v>
      </c>
      <c r="P5" s="9">
        <f t="shared" ref="P5:P68" si="3">H5+O5</f>
        <v>94000</v>
      </c>
    </row>
    <row r="6" spans="1:16" ht="12.95" customHeight="1" x14ac:dyDescent="0.15">
      <c r="A6" s="21" t="s">
        <v>2</v>
      </c>
      <c r="B6" s="14">
        <v>29000</v>
      </c>
      <c r="C6" s="14">
        <f>41000-29000</f>
        <v>12000</v>
      </c>
      <c r="D6" s="14">
        <v>9000</v>
      </c>
      <c r="E6" s="14">
        <v>4000</v>
      </c>
      <c r="F6" s="14">
        <f>66000-54000</f>
        <v>12000</v>
      </c>
      <c r="G6" s="14">
        <f>73000-66000</f>
        <v>7000</v>
      </c>
      <c r="H6" s="14">
        <f t="shared" si="1"/>
        <v>73000</v>
      </c>
      <c r="I6" s="9">
        <v>3000</v>
      </c>
      <c r="J6" s="9">
        <v>1000</v>
      </c>
      <c r="K6" s="9">
        <v>2000</v>
      </c>
      <c r="L6" s="9">
        <v>4000</v>
      </c>
      <c r="M6" s="9">
        <v>1000</v>
      </c>
      <c r="N6" s="9">
        <v>0</v>
      </c>
      <c r="O6" s="9">
        <f t="shared" si="2"/>
        <v>11000</v>
      </c>
      <c r="P6" s="9">
        <f t="shared" si="3"/>
        <v>84000</v>
      </c>
    </row>
    <row r="7" spans="1:16" ht="12.95" customHeight="1" x14ac:dyDescent="0.15">
      <c r="A7" s="21" t="s">
        <v>3</v>
      </c>
      <c r="B7" s="14">
        <v>9000</v>
      </c>
      <c r="C7" s="14">
        <f>13000-9000</f>
        <v>4000</v>
      </c>
      <c r="D7" s="14">
        <v>4000</v>
      </c>
      <c r="E7" s="14">
        <v>1000</v>
      </c>
      <c r="F7" s="14">
        <v>2000</v>
      </c>
      <c r="G7" s="14">
        <f>25000-20000</f>
        <v>5000</v>
      </c>
      <c r="H7" s="14">
        <f t="shared" si="1"/>
        <v>25000</v>
      </c>
      <c r="I7" s="9">
        <v>4000</v>
      </c>
      <c r="J7" s="9">
        <v>0</v>
      </c>
      <c r="K7" s="9">
        <v>0</v>
      </c>
      <c r="L7" s="9">
        <v>1000</v>
      </c>
      <c r="M7" s="9">
        <v>0</v>
      </c>
      <c r="N7" s="9">
        <v>0</v>
      </c>
      <c r="O7" s="9">
        <f t="shared" si="2"/>
        <v>5000</v>
      </c>
      <c r="P7" s="9">
        <f t="shared" si="3"/>
        <v>30000</v>
      </c>
    </row>
    <row r="8" spans="1:16" x14ac:dyDescent="0.15">
      <c r="A8" s="19" t="s">
        <v>4</v>
      </c>
      <c r="B8" s="10">
        <f t="shared" ref="B8:N8" si="4">SUM(B9:B24)</f>
        <v>17031274</v>
      </c>
      <c r="C8" s="10">
        <f t="shared" si="4"/>
        <v>17996919</v>
      </c>
      <c r="D8" s="10">
        <f t="shared" si="4"/>
        <v>18623265</v>
      </c>
      <c r="E8" s="10">
        <f t="shared" si="4"/>
        <v>19186206</v>
      </c>
      <c r="F8" s="10">
        <f t="shared" si="4"/>
        <v>19568509</v>
      </c>
      <c r="G8" s="10">
        <f t="shared" si="4"/>
        <v>17750904</v>
      </c>
      <c r="H8" s="10">
        <f t="shared" si="1"/>
        <v>110157077</v>
      </c>
      <c r="I8" s="10">
        <f t="shared" si="4"/>
        <v>19088319</v>
      </c>
      <c r="J8" s="10">
        <f t="shared" si="4"/>
        <v>18135154</v>
      </c>
      <c r="K8" s="10">
        <f t="shared" si="4"/>
        <v>17504628</v>
      </c>
      <c r="L8" s="10">
        <f t="shared" si="4"/>
        <v>15790469</v>
      </c>
      <c r="M8" s="10">
        <f t="shared" si="4"/>
        <v>16314433</v>
      </c>
      <c r="N8" s="10">
        <f t="shared" si="4"/>
        <v>19747838</v>
      </c>
      <c r="O8" s="10">
        <f t="shared" si="2"/>
        <v>106580841</v>
      </c>
      <c r="P8" s="10">
        <f t="shared" si="3"/>
        <v>216737918</v>
      </c>
    </row>
    <row r="9" spans="1:16" ht="12.95" customHeight="1" x14ac:dyDescent="0.15">
      <c r="A9" s="27" t="s">
        <v>94</v>
      </c>
      <c r="B9" s="14">
        <v>2523500</v>
      </c>
      <c r="C9" s="14">
        <f>5065000-2523500</f>
        <v>2541500</v>
      </c>
      <c r="D9" s="14">
        <f>7656000-5065000</f>
        <v>2591000</v>
      </c>
      <c r="E9" s="14">
        <f>10296500-7656000</f>
        <v>2640500</v>
      </c>
      <c r="F9" s="14">
        <f>12909500-10296500</f>
        <v>2613000</v>
      </c>
      <c r="G9" s="14">
        <f>15560500-12909500</f>
        <v>2651000</v>
      </c>
      <c r="H9" s="14">
        <f t="shared" si="1"/>
        <v>15560500</v>
      </c>
      <c r="I9" s="9">
        <f>18362500-15560500</f>
        <v>2802000</v>
      </c>
      <c r="J9" s="9">
        <f>21073000-18362500</f>
        <v>2710500</v>
      </c>
      <c r="K9" s="9">
        <f>23786500-21073000</f>
        <v>2713500</v>
      </c>
      <c r="L9" s="9">
        <f>26397500-23786500</f>
        <v>2611000</v>
      </c>
      <c r="M9" s="9">
        <f>29018500-26397500</f>
        <v>2621000</v>
      </c>
      <c r="N9" s="9">
        <v>2697000</v>
      </c>
      <c r="O9" s="9">
        <f t="shared" si="2"/>
        <v>16155000</v>
      </c>
      <c r="P9" s="9">
        <f t="shared" si="3"/>
        <v>31715500</v>
      </c>
    </row>
    <row r="10" spans="1:16" ht="12.95" customHeight="1" x14ac:dyDescent="0.15">
      <c r="A10" s="20" t="s">
        <v>128</v>
      </c>
      <c r="B10" s="14">
        <v>42500</v>
      </c>
      <c r="C10" s="14">
        <v>80000</v>
      </c>
      <c r="D10" s="14">
        <v>55000</v>
      </c>
      <c r="E10" s="14">
        <v>73000</v>
      </c>
      <c r="F10" s="14">
        <v>100000</v>
      </c>
      <c r="G10" s="14">
        <f>55000+3000</f>
        <v>58000</v>
      </c>
      <c r="H10" s="14">
        <f t="shared" si="1"/>
        <v>408500</v>
      </c>
      <c r="I10" s="9">
        <v>60000</v>
      </c>
      <c r="J10" s="9">
        <v>50000</v>
      </c>
      <c r="K10" s="9">
        <v>47500</v>
      </c>
      <c r="L10" s="9">
        <v>47500</v>
      </c>
      <c r="M10" s="9" ph="1">
        <v>45000</v>
      </c>
      <c r="N10" s="9">
        <f>70000+82500</f>
        <v>152500</v>
      </c>
      <c r="O10" s="9">
        <f t="shared" si="2"/>
        <v>402500</v>
      </c>
      <c r="P10" s="9">
        <f t="shared" si="3"/>
        <v>811000</v>
      </c>
    </row>
    <row r="11" spans="1:16" ht="12.95" customHeight="1" x14ac:dyDescent="0.15">
      <c r="A11" s="20" t="s">
        <v>129</v>
      </c>
      <c r="B11" s="14">
        <v>167800</v>
      </c>
      <c r="C11" s="14">
        <v>163680</v>
      </c>
      <c r="D11" s="14">
        <v>189160</v>
      </c>
      <c r="E11" s="14">
        <v>181280</v>
      </c>
      <c r="F11" s="14">
        <v>199640</v>
      </c>
      <c r="G11" s="14">
        <v>176040</v>
      </c>
      <c r="H11" s="14">
        <f t="shared" si="1"/>
        <v>1077600</v>
      </c>
      <c r="I11" s="9">
        <v>176040</v>
      </c>
      <c r="J11" s="9">
        <v>182040</v>
      </c>
      <c r="K11" s="9">
        <v>174920</v>
      </c>
      <c r="L11" s="9">
        <v>171920</v>
      </c>
      <c r="M11" s="9">
        <v>173800</v>
      </c>
      <c r="N11" s="9">
        <v>159560</v>
      </c>
      <c r="O11" s="9">
        <f t="shared" si="2"/>
        <v>1038280</v>
      </c>
      <c r="P11" s="9">
        <f t="shared" si="3"/>
        <v>2115880</v>
      </c>
    </row>
    <row r="12" spans="1:16" ht="12.95" customHeight="1" x14ac:dyDescent="0.15">
      <c r="A12" s="27" t="s">
        <v>95</v>
      </c>
      <c r="B12" s="29">
        <f>4781050-260500+4131960-199000-6000</f>
        <v>8447510</v>
      </c>
      <c r="C12" s="14">
        <f>9945930-4781050-282000+8765830-4131960-225000-5500</f>
        <v>9286250</v>
      </c>
      <c r="D12" s="14">
        <f>15386690-9945930-295000+13693050-8765830-247000-1500</f>
        <v>9824480</v>
      </c>
      <c r="E12" s="14">
        <f>5269440-290500+5051540-257500</f>
        <v>9772980</v>
      </c>
      <c r="F12" s="14">
        <f>25897860+24167660-291000-274000-500-20656130-18744590</f>
        <v>10099300</v>
      </c>
      <c r="G12" s="14">
        <f>30959740-25897860-279000-1500+29269850-24167660-257500-4000</f>
        <v>9622070</v>
      </c>
      <c r="H12" s="14">
        <f t="shared" si="1"/>
        <v>57052590</v>
      </c>
      <c r="I12" s="9">
        <f>36227770-285500-6500+34409640-258500-4000-30959740-29269850</f>
        <v>9853320</v>
      </c>
      <c r="J12" s="14">
        <f>4793290-266000+5087760-257500-4500</f>
        <v>9353050</v>
      </c>
      <c r="K12" s="9">
        <f>4707260-258500+4647270-238000</f>
        <v>8858030</v>
      </c>
      <c r="L12" s="9">
        <f>3910110-215500+3941660-202500</f>
        <v>7433770</v>
      </c>
      <c r="M12" s="9">
        <f>54089580-49638430-241000-2000+51991790-48086330-201500</f>
        <v>7912110</v>
      </c>
      <c r="N12" s="9">
        <f>5787400-6500-13000-285500+4661210-5500-234500</f>
        <v>9903610</v>
      </c>
      <c r="O12" s="9">
        <f t="shared" si="2"/>
        <v>53313890</v>
      </c>
      <c r="P12" s="9">
        <f t="shared" si="3"/>
        <v>110366480</v>
      </c>
    </row>
    <row r="13" spans="1:16" ht="12.95" customHeight="1" x14ac:dyDescent="0.15">
      <c r="A13" s="20" t="s">
        <v>58</v>
      </c>
      <c r="B13" s="14">
        <f>260500+199000+6000</f>
        <v>465500</v>
      </c>
      <c r="C13" s="14">
        <f>282000+225000+5500</f>
        <v>512500</v>
      </c>
      <c r="D13" s="14">
        <f>247000+1500+295000</f>
        <v>543500</v>
      </c>
      <c r="E13" s="14">
        <f>290500+257500</f>
        <v>548000</v>
      </c>
      <c r="F13" s="14">
        <f>291000+274000+500</f>
        <v>565500</v>
      </c>
      <c r="G13" s="14">
        <f>257500+4000+279000+1500</f>
        <v>542000</v>
      </c>
      <c r="H13" s="14">
        <f t="shared" si="1"/>
        <v>3177000</v>
      </c>
      <c r="I13" s="9">
        <f>258500+4000+285500+6500</f>
        <v>554500</v>
      </c>
      <c r="J13" s="9">
        <f>257500+4500+266000</f>
        <v>528000</v>
      </c>
      <c r="K13" s="9">
        <f>238000+258500</f>
        <v>496500</v>
      </c>
      <c r="L13" s="9">
        <f>202500+215500</f>
        <v>418000</v>
      </c>
      <c r="M13" s="9">
        <f>201500+2000+241000</f>
        <v>444500</v>
      </c>
      <c r="N13" s="9">
        <f>6500+13000+285500+5500+234500</f>
        <v>545000</v>
      </c>
      <c r="O13" s="9">
        <f t="shared" si="2"/>
        <v>2986500</v>
      </c>
      <c r="P13" s="9">
        <f t="shared" si="3"/>
        <v>6163500</v>
      </c>
    </row>
    <row r="14" spans="1:16" ht="12.95" customHeight="1" x14ac:dyDescent="0.15">
      <c r="A14" s="27" t="s">
        <v>96</v>
      </c>
      <c r="B14" s="14">
        <f>720490-44500+600910-45000</f>
        <v>1231900</v>
      </c>
      <c r="C14" s="14">
        <f>1449980-720490-53500+1221110-600910-48000</f>
        <v>1248190</v>
      </c>
      <c r="D14" s="14">
        <f>2302380-1449980-56000-500+1773060-1221110-43000</f>
        <v>1304850</v>
      </c>
      <c r="E14" s="14">
        <f>728310-54500+476790-34500</f>
        <v>1116100</v>
      </c>
      <c r="F14" s="14">
        <f>800000+425780-55500-2500-29000</f>
        <v>1138780</v>
      </c>
      <c r="G14" s="14">
        <f>4532200-3830690-49000+3016220-2675630-26000-500</f>
        <v>966600</v>
      </c>
      <c r="H14" s="14">
        <f t="shared" si="1"/>
        <v>7006420</v>
      </c>
      <c r="I14" s="9">
        <f>5378800-60500-1500-4532200+3381590-28500-3016220</f>
        <v>1121470</v>
      </c>
      <c r="J14" s="9">
        <f>810620-54000+363370-26500</f>
        <v>1093490</v>
      </c>
      <c r="K14" s="9">
        <f>816800-53000-500+270560-21000</f>
        <v>1012860</v>
      </c>
      <c r="L14" s="9">
        <f>676540-47000+214990-15000</f>
        <v>829530</v>
      </c>
      <c r="M14" s="9">
        <f>705830-51500+172500-12500</f>
        <v>814330</v>
      </c>
      <c r="N14" s="9">
        <f>657440-50000+223280-18500</f>
        <v>812220</v>
      </c>
      <c r="O14" s="9">
        <f t="shared" si="2"/>
        <v>5683900</v>
      </c>
      <c r="P14" s="9">
        <f t="shared" si="3"/>
        <v>12690320</v>
      </c>
    </row>
    <row r="15" spans="1:16" ht="12.95" customHeight="1" x14ac:dyDescent="0.15">
      <c r="A15" s="20" t="s">
        <v>59</v>
      </c>
      <c r="B15" s="14">
        <f>44500+45000</f>
        <v>89500</v>
      </c>
      <c r="C15" s="14">
        <f>48000+53500</f>
        <v>101500</v>
      </c>
      <c r="D15" s="14">
        <f>43000+56000+500</f>
        <v>99500</v>
      </c>
      <c r="E15" s="14">
        <f>54500+34500</f>
        <v>89000</v>
      </c>
      <c r="F15" s="14">
        <f>55500+2500+29000</f>
        <v>87000</v>
      </c>
      <c r="G15" s="14">
        <f>26000+500+49000</f>
        <v>75500</v>
      </c>
      <c r="H15" s="14">
        <f t="shared" si="1"/>
        <v>542000</v>
      </c>
      <c r="I15" s="9">
        <f>28500+60500+1500</f>
        <v>90500</v>
      </c>
      <c r="J15" s="9">
        <f>54000+26500</f>
        <v>80500</v>
      </c>
      <c r="K15" s="9">
        <f>53000+500+21000</f>
        <v>74500</v>
      </c>
      <c r="L15" s="9">
        <f>15000+47000</f>
        <v>62000</v>
      </c>
      <c r="M15" s="9">
        <f>12500+51500</f>
        <v>64000</v>
      </c>
      <c r="N15" s="9">
        <f>18500+50000</f>
        <v>68500</v>
      </c>
      <c r="O15" s="9">
        <f t="shared" si="2"/>
        <v>440000</v>
      </c>
      <c r="P15" s="9">
        <f t="shared" si="3"/>
        <v>982000</v>
      </c>
    </row>
    <row r="16" spans="1:16" ht="12.95" customHeight="1" x14ac:dyDescent="0.15">
      <c r="A16" s="28" t="s">
        <v>120</v>
      </c>
      <c r="B16" s="14">
        <f>3017410-107500</f>
        <v>2909910</v>
      </c>
      <c r="C16" s="14">
        <f>5934430-3017410-112000</f>
        <v>2805020</v>
      </c>
      <c r="D16" s="14">
        <f>8788220-5934430-109500</f>
        <v>2744290</v>
      </c>
      <c r="E16" s="14">
        <f>3079520-118000</f>
        <v>2961520</v>
      </c>
      <c r="F16" s="14">
        <f>2905080-110000</f>
        <v>2795080</v>
      </c>
      <c r="G16" s="14">
        <f>17286650-14772820-95500</f>
        <v>2418330</v>
      </c>
      <c r="H16" s="14">
        <f t="shared" si="1"/>
        <v>16634150</v>
      </c>
      <c r="I16" s="9">
        <f>20484920-112000-1000-1500-17286650</f>
        <v>3083770</v>
      </c>
      <c r="J16" s="9">
        <f>23399260-20484920-105500</f>
        <v>2808840</v>
      </c>
      <c r="K16" s="9">
        <f>2969760-105000</f>
        <v>2864760</v>
      </c>
      <c r="L16" s="9">
        <f>29247480-26369020-101500</f>
        <v>2776960</v>
      </c>
      <c r="M16" s="9">
        <f>2905240-103000</f>
        <v>2802240</v>
      </c>
      <c r="N16" s="9">
        <f>3039720-112000</f>
        <v>2927720</v>
      </c>
      <c r="O16" s="9">
        <f t="shared" si="2"/>
        <v>17264290</v>
      </c>
      <c r="P16" s="9">
        <f t="shared" si="3"/>
        <v>33898440</v>
      </c>
    </row>
    <row r="17" spans="1:16" ht="12.95" customHeight="1" x14ac:dyDescent="0.15">
      <c r="A17" s="20" t="s">
        <v>59</v>
      </c>
      <c r="B17" s="14">
        <v>107500</v>
      </c>
      <c r="C17" s="14">
        <v>112000</v>
      </c>
      <c r="D17" s="14">
        <v>109500</v>
      </c>
      <c r="E17" s="14">
        <v>118000</v>
      </c>
      <c r="F17" s="14">
        <v>110000</v>
      </c>
      <c r="G17" s="14">
        <v>95500</v>
      </c>
      <c r="H17" s="14">
        <f t="shared" si="1"/>
        <v>652500</v>
      </c>
      <c r="I17" s="9">
        <f>112000+1000+1500</f>
        <v>114500</v>
      </c>
      <c r="J17" s="9">
        <v>105500</v>
      </c>
      <c r="K17" s="9">
        <v>105000</v>
      </c>
      <c r="L17" s="9">
        <v>101500</v>
      </c>
      <c r="M17" s="9">
        <v>103000</v>
      </c>
      <c r="N17" s="9">
        <v>112000</v>
      </c>
      <c r="O17" s="9">
        <f t="shared" si="2"/>
        <v>641500</v>
      </c>
      <c r="P17" s="9">
        <f t="shared" si="3"/>
        <v>1294000</v>
      </c>
    </row>
    <row r="18" spans="1:16" ht="12.95" customHeight="1" x14ac:dyDescent="0.15">
      <c r="A18" s="31" t="s">
        <v>185</v>
      </c>
      <c r="B18" s="14">
        <v>263304</v>
      </c>
      <c r="C18" s="14">
        <v>274379</v>
      </c>
      <c r="D18" s="14">
        <v>286135</v>
      </c>
      <c r="E18" s="14">
        <v>288476</v>
      </c>
      <c r="F18" s="14">
        <f>1403553-1112294</f>
        <v>291259</v>
      </c>
      <c r="G18" s="14">
        <f>1672067-1403553</f>
        <v>268514</v>
      </c>
      <c r="H18" s="14">
        <f t="shared" si="1"/>
        <v>1672067</v>
      </c>
      <c r="I18" s="9">
        <f>1966536-1672067</f>
        <v>294469</v>
      </c>
      <c r="J18" s="9">
        <v>277534</v>
      </c>
      <c r="K18" s="9">
        <f>2512678-2244070</f>
        <v>268608</v>
      </c>
      <c r="L18" s="9">
        <v>235889</v>
      </c>
      <c r="M18" s="9">
        <v>245453</v>
      </c>
      <c r="N18" s="9">
        <v>284128</v>
      </c>
      <c r="O18" s="9">
        <f>SUM(I18:N18)</f>
        <v>1606081</v>
      </c>
      <c r="P18" s="9">
        <f t="shared" si="3"/>
        <v>3278148</v>
      </c>
    </row>
    <row r="19" spans="1:16" ht="12.95" customHeight="1" x14ac:dyDescent="0.15">
      <c r="A19" s="27" t="s">
        <v>119</v>
      </c>
      <c r="B19" s="14">
        <v>44000</v>
      </c>
      <c r="C19" s="14">
        <f>94000-44000</f>
        <v>50000</v>
      </c>
      <c r="D19" s="14">
        <f>137000-94000</f>
        <v>43000</v>
      </c>
      <c r="E19" s="14">
        <f>186000-137000</f>
        <v>49000</v>
      </c>
      <c r="F19" s="14">
        <f>239000-186000</f>
        <v>53000</v>
      </c>
      <c r="G19" s="14">
        <f>300000-239000</f>
        <v>61000</v>
      </c>
      <c r="H19" s="14">
        <f t="shared" si="1"/>
        <v>300000</v>
      </c>
      <c r="I19" s="9">
        <f>376000-300000</f>
        <v>76000</v>
      </c>
      <c r="J19" s="9">
        <f>442000-376000</f>
        <v>66000</v>
      </c>
      <c r="K19" s="9">
        <f>490000-442000</f>
        <v>48000</v>
      </c>
      <c r="L19" s="9">
        <f>545000-490000</f>
        <v>55000</v>
      </c>
      <c r="M19" s="9">
        <f>598000-545000</f>
        <v>53000</v>
      </c>
      <c r="N19" s="9">
        <f>14000+16000+17000</f>
        <v>47000</v>
      </c>
      <c r="O19" s="9">
        <f t="shared" si="2"/>
        <v>345000</v>
      </c>
      <c r="P19" s="9">
        <f t="shared" si="3"/>
        <v>645000</v>
      </c>
    </row>
    <row r="20" spans="1:16" ht="12.95" customHeight="1" x14ac:dyDescent="0.15">
      <c r="A20" s="27" t="s">
        <v>97</v>
      </c>
      <c r="B20" s="14">
        <v>8800</v>
      </c>
      <c r="C20" s="14">
        <f>18850-8800</f>
        <v>10050</v>
      </c>
      <c r="D20" s="14">
        <f>32250-18850</f>
        <v>13400</v>
      </c>
      <c r="E20" s="14">
        <v>254200</v>
      </c>
      <c r="F20" s="14">
        <f>294350-286450</f>
        <v>7900</v>
      </c>
      <c r="G20" s="14">
        <f>298600-294350</f>
        <v>4250</v>
      </c>
      <c r="H20" s="14">
        <f t="shared" si="1"/>
        <v>298600</v>
      </c>
      <c r="I20" s="14">
        <f>312100-298600</f>
        <v>13500</v>
      </c>
      <c r="J20" s="14">
        <f>365450-312100</f>
        <v>53350</v>
      </c>
      <c r="K20" s="14">
        <f>369700-365450</f>
        <v>4250</v>
      </c>
      <c r="L20" s="14">
        <f>374700-369700</f>
        <v>5000</v>
      </c>
      <c r="M20" s="14">
        <f>378750-374700</f>
        <v>4050</v>
      </c>
      <c r="N20" s="14">
        <f>389150-378750</f>
        <v>10400</v>
      </c>
      <c r="O20" s="14">
        <f t="shared" si="2"/>
        <v>90550</v>
      </c>
      <c r="P20" s="14">
        <f t="shared" si="3"/>
        <v>389150</v>
      </c>
    </row>
    <row r="21" spans="1:16" ht="12.95" customHeight="1" x14ac:dyDescent="0.15">
      <c r="A21" s="27" t="s">
        <v>98</v>
      </c>
      <c r="B21" s="14">
        <v>101100</v>
      </c>
      <c r="C21" s="14">
        <f>204800-101100</f>
        <v>103700</v>
      </c>
      <c r="D21" s="14">
        <f>315600-204800</f>
        <v>110800</v>
      </c>
      <c r="E21" s="14">
        <f>392200-315600</f>
        <v>76600</v>
      </c>
      <c r="F21" s="14">
        <f>502200-392200</f>
        <v>110000</v>
      </c>
      <c r="G21" s="14">
        <f>622700-502200</f>
        <v>120500</v>
      </c>
      <c r="H21" s="14">
        <f t="shared" si="1"/>
        <v>622700</v>
      </c>
      <c r="I21" s="14">
        <f>749100-622700</f>
        <v>126400</v>
      </c>
      <c r="J21" s="14">
        <f>910100-749100</f>
        <v>161000</v>
      </c>
      <c r="K21" s="14">
        <f>991800-910100</f>
        <v>81700</v>
      </c>
      <c r="L21" s="14">
        <f>1083300-991800</f>
        <v>91500</v>
      </c>
      <c r="M21" s="14">
        <f>1158700-1083300</f>
        <v>75400</v>
      </c>
      <c r="N21" s="14">
        <f>1255300-1158700</f>
        <v>96600</v>
      </c>
      <c r="O21" s="9">
        <f t="shared" si="2"/>
        <v>632600</v>
      </c>
      <c r="P21" s="14">
        <f t="shared" si="3"/>
        <v>1255300</v>
      </c>
    </row>
    <row r="22" spans="1:16" ht="12.95" customHeight="1" x14ac:dyDescent="0.15">
      <c r="A22" s="27" t="s">
        <v>118</v>
      </c>
      <c r="B22" s="14">
        <v>125400</v>
      </c>
      <c r="C22" s="14">
        <f>233100-125400</f>
        <v>107700</v>
      </c>
      <c r="D22" s="14">
        <f>345750-233100</f>
        <v>112650</v>
      </c>
      <c r="E22" s="14">
        <f>500300-345750</f>
        <v>154550</v>
      </c>
      <c r="F22" s="14">
        <f>750800-500300</f>
        <v>250500</v>
      </c>
      <c r="G22" s="14">
        <f>849050-750800</f>
        <v>98250</v>
      </c>
      <c r="H22" s="14">
        <f t="shared" si="1"/>
        <v>849050</v>
      </c>
      <c r="I22" s="14">
        <f>95950+8750+2800</f>
        <v>107500</v>
      </c>
      <c r="J22" s="14">
        <f>1050750-956550</f>
        <v>94200</v>
      </c>
      <c r="K22" s="14">
        <f>1169550-1050750</f>
        <v>118800</v>
      </c>
      <c r="L22" s="14">
        <f>1248150-1169550</f>
        <v>78600</v>
      </c>
      <c r="M22" s="14">
        <f>1321400-1248150</f>
        <v>73250</v>
      </c>
      <c r="N22" s="14">
        <f>1447300-1321400</f>
        <v>125900</v>
      </c>
      <c r="O22" s="9">
        <f t="shared" si="2"/>
        <v>598250</v>
      </c>
      <c r="P22" s="14">
        <f t="shared" si="3"/>
        <v>1447300</v>
      </c>
    </row>
    <row r="23" spans="1:16" ht="12.95" customHeight="1" x14ac:dyDescent="0.15">
      <c r="A23" s="27" t="s">
        <v>130</v>
      </c>
      <c r="B23" s="14">
        <v>503050</v>
      </c>
      <c r="C23" s="14">
        <f>795500-503050</f>
        <v>292450</v>
      </c>
      <c r="D23" s="14">
        <f>1083500-795500</f>
        <v>288000</v>
      </c>
      <c r="E23" s="14">
        <f>1638500-1083500</f>
        <v>555000</v>
      </c>
      <c r="F23" s="14">
        <f>2478050-1638500</f>
        <v>839550</v>
      </c>
      <c r="G23" s="14">
        <f>2763400-2478050</f>
        <v>285350</v>
      </c>
      <c r="H23" s="14">
        <f t="shared" si="1"/>
        <v>2763400</v>
      </c>
      <c r="I23" s="14">
        <f>3069750-2763400</f>
        <v>306350</v>
      </c>
      <c r="J23" s="14">
        <f>3332900-3069750</f>
        <v>263150</v>
      </c>
      <c r="K23" s="14">
        <f>3660600-3332900</f>
        <v>327700</v>
      </c>
      <c r="L23" s="14">
        <f>3882400-3660600</f>
        <v>221800</v>
      </c>
      <c r="M23" s="14">
        <f>4115200-3882400</f>
        <v>232800</v>
      </c>
      <c r="N23" s="14">
        <f>4455900-4115200</f>
        <v>340700</v>
      </c>
      <c r="O23" s="9">
        <f t="shared" si="2"/>
        <v>1692500</v>
      </c>
      <c r="P23" s="14">
        <f t="shared" si="3"/>
        <v>4455900</v>
      </c>
    </row>
    <row r="24" spans="1:16" ht="12.95" customHeight="1" x14ac:dyDescent="0.15">
      <c r="A24" s="20" t="s">
        <v>99</v>
      </c>
      <c r="B24" s="14"/>
      <c r="C24" s="14">
        <v>308000</v>
      </c>
      <c r="D24" s="14">
        <v>308000</v>
      </c>
      <c r="E24" s="14">
        <v>308000</v>
      </c>
      <c r="F24" s="14">
        <v>308000</v>
      </c>
      <c r="G24" s="14">
        <v>308000</v>
      </c>
      <c r="H24" s="14">
        <f t="shared" si="1"/>
        <v>1540000</v>
      </c>
      <c r="I24" s="14">
        <v>308000</v>
      </c>
      <c r="J24" s="14">
        <v>308000</v>
      </c>
      <c r="K24" s="14">
        <v>308000</v>
      </c>
      <c r="L24" s="14">
        <v>650500</v>
      </c>
      <c r="M24" s="14">
        <v>650500</v>
      </c>
      <c r="N24" s="14">
        <f>814500+650500</f>
        <v>1465000</v>
      </c>
      <c r="O24" s="14">
        <f t="shared" si="2"/>
        <v>3690000</v>
      </c>
      <c r="P24" s="14">
        <f t="shared" si="3"/>
        <v>5230000</v>
      </c>
    </row>
    <row r="25" spans="1:16" x14ac:dyDescent="0.15">
      <c r="A25" s="19" t="s">
        <v>11</v>
      </c>
      <c r="B25" s="10">
        <v>60000</v>
      </c>
      <c r="C25" s="10">
        <v>35000</v>
      </c>
      <c r="D25" s="10">
        <v>5000</v>
      </c>
      <c r="E25" s="10">
        <v>55000</v>
      </c>
      <c r="F25" s="10">
        <f>176000-155000</f>
        <v>21000</v>
      </c>
      <c r="G25" s="10">
        <v>30000</v>
      </c>
      <c r="H25" s="10">
        <f t="shared" si="1"/>
        <v>206000</v>
      </c>
      <c r="I25" s="10">
        <f>234335-206000</f>
        <v>28335</v>
      </c>
      <c r="J25" s="10">
        <v>40000</v>
      </c>
      <c r="K25" s="10">
        <f>314335-274335</f>
        <v>40000</v>
      </c>
      <c r="L25" s="10">
        <f>389335-314335</f>
        <v>75000</v>
      </c>
      <c r="M25" s="10">
        <v>4717300</v>
      </c>
      <c r="N25" s="10">
        <f>30000+50000+10000</f>
        <v>90000</v>
      </c>
      <c r="O25" s="10">
        <f t="shared" si="2"/>
        <v>4990635</v>
      </c>
      <c r="P25" s="10">
        <f t="shared" si="3"/>
        <v>5196635</v>
      </c>
    </row>
    <row r="26" spans="1:16" x14ac:dyDescent="0.15">
      <c r="A26" s="19" t="s">
        <v>125</v>
      </c>
      <c r="B26" s="10">
        <v>242119</v>
      </c>
      <c r="C26" s="10">
        <f>504207-242119</f>
        <v>262088</v>
      </c>
      <c r="D26" s="10">
        <v>1890</v>
      </c>
      <c r="E26" s="10">
        <v>974</v>
      </c>
      <c r="F26" s="10"/>
      <c r="G26" s="10">
        <v>400000</v>
      </c>
      <c r="H26" s="10">
        <f t="shared" si="1"/>
        <v>907071</v>
      </c>
      <c r="I26" s="10"/>
      <c r="J26" s="10"/>
      <c r="K26" s="10"/>
      <c r="L26" s="10"/>
      <c r="M26" s="10"/>
      <c r="N26" s="10"/>
      <c r="O26" s="10">
        <f t="shared" si="2"/>
        <v>0</v>
      </c>
      <c r="P26" s="10">
        <f t="shared" si="3"/>
        <v>907071</v>
      </c>
    </row>
    <row r="27" spans="1:16" x14ac:dyDescent="0.15">
      <c r="A27" s="19" t="s">
        <v>12</v>
      </c>
      <c r="B27" s="10">
        <v>114665</v>
      </c>
      <c r="C27" s="10">
        <f>348229-114665</f>
        <v>233564</v>
      </c>
      <c r="D27" s="10">
        <f>465279-348229</f>
        <v>117050</v>
      </c>
      <c r="E27" s="10">
        <f>650279-465279</f>
        <v>185000</v>
      </c>
      <c r="F27" s="10">
        <f>819054-650279</f>
        <v>168775</v>
      </c>
      <c r="G27" s="10">
        <f>930734-819054</f>
        <v>111680</v>
      </c>
      <c r="H27" s="10">
        <f t="shared" si="1"/>
        <v>930734</v>
      </c>
      <c r="I27" s="10">
        <f>1148831-930734</f>
        <v>218097</v>
      </c>
      <c r="J27" s="10">
        <f>1265775-1148831</f>
        <v>116944</v>
      </c>
      <c r="K27" s="10">
        <f>1386263-1265775</f>
        <v>120488</v>
      </c>
      <c r="L27" s="10">
        <f>1486493-1386263</f>
        <v>100230</v>
      </c>
      <c r="M27" s="10">
        <f>1605693-1486493</f>
        <v>119200</v>
      </c>
      <c r="N27" s="10">
        <f>1716778-1605693</f>
        <v>111085</v>
      </c>
      <c r="O27" s="10">
        <f t="shared" si="2"/>
        <v>786044</v>
      </c>
      <c r="P27" s="10">
        <f t="shared" si="3"/>
        <v>1716778</v>
      </c>
    </row>
    <row r="28" spans="1:16" x14ac:dyDescent="0.15">
      <c r="A28" s="22" t="s">
        <v>13</v>
      </c>
      <c r="B28" s="10">
        <f t="shared" ref="B28:G28" si="5">B4+B8+B25+B26+B27</f>
        <v>17571058</v>
      </c>
      <c r="C28" s="10">
        <f t="shared" si="5"/>
        <v>18543571</v>
      </c>
      <c r="D28" s="10">
        <f t="shared" si="5"/>
        <v>18761205</v>
      </c>
      <c r="E28" s="10">
        <f t="shared" si="5"/>
        <v>19433180</v>
      </c>
      <c r="F28" s="10">
        <f t="shared" si="5"/>
        <v>19772284</v>
      </c>
      <c r="G28" s="10">
        <f t="shared" si="5"/>
        <v>18306584</v>
      </c>
      <c r="H28" s="10">
        <f t="shared" si="1"/>
        <v>112387882</v>
      </c>
      <c r="I28" s="10">
        <f t="shared" ref="I28:N28" si="6">I4+I8+I25+I26+I27</f>
        <v>19343751</v>
      </c>
      <c r="J28" s="10">
        <f t="shared" si="6"/>
        <v>18293098</v>
      </c>
      <c r="K28" s="10">
        <f t="shared" si="6"/>
        <v>17669116</v>
      </c>
      <c r="L28" s="10">
        <f t="shared" si="6"/>
        <v>15971699</v>
      </c>
      <c r="M28" s="10">
        <f t="shared" si="6"/>
        <v>21151933</v>
      </c>
      <c r="N28" s="10">
        <f t="shared" si="6"/>
        <v>19948923</v>
      </c>
      <c r="O28" s="10">
        <f t="shared" si="2"/>
        <v>112378520</v>
      </c>
      <c r="P28" s="10">
        <f t="shared" si="3"/>
        <v>224766402</v>
      </c>
    </row>
    <row r="29" spans="1:16" x14ac:dyDescent="0.15">
      <c r="A29" s="7" t="s">
        <v>124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15">
      <c r="A30" s="4" t="s">
        <v>15</v>
      </c>
      <c r="B30" s="2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15">
      <c r="A31" s="7" t="s">
        <v>16</v>
      </c>
      <c r="B31" s="10">
        <f t="shared" ref="B31:N31" si="7">SUM(B32:B36)</f>
        <v>11954496</v>
      </c>
      <c r="C31" s="10">
        <f t="shared" si="7"/>
        <v>11050631</v>
      </c>
      <c r="D31" s="10">
        <f t="shared" si="7"/>
        <v>11717646</v>
      </c>
      <c r="E31" s="10">
        <f t="shared" si="7"/>
        <v>21513867</v>
      </c>
      <c r="F31" s="10">
        <f t="shared" si="7"/>
        <v>12379348</v>
      </c>
      <c r="G31" s="10">
        <f t="shared" si="7"/>
        <v>12288474</v>
      </c>
      <c r="H31" s="10">
        <f t="shared" ref="H31:H68" si="8">SUM(B31:G31)</f>
        <v>80904462</v>
      </c>
      <c r="I31" s="10">
        <f t="shared" si="7"/>
        <v>11727498</v>
      </c>
      <c r="J31" s="10">
        <f t="shared" si="7"/>
        <v>11539037</v>
      </c>
      <c r="K31" s="10">
        <f t="shared" si="7"/>
        <v>24542511</v>
      </c>
      <c r="L31" s="10">
        <f t="shared" si="7"/>
        <v>12114900</v>
      </c>
      <c r="M31" s="10">
        <f t="shared" si="7"/>
        <v>11835263</v>
      </c>
      <c r="N31" s="10">
        <f t="shared" si="7"/>
        <v>11272961</v>
      </c>
      <c r="O31" s="10">
        <f t="shared" si="2"/>
        <v>83032170</v>
      </c>
      <c r="P31" s="10">
        <f t="shared" si="3"/>
        <v>163936632</v>
      </c>
    </row>
    <row r="32" spans="1:16" ht="12.95" customHeight="1" x14ac:dyDescent="0.15">
      <c r="A32" s="4" t="s">
        <v>100</v>
      </c>
      <c r="B32" s="9">
        <v>30000</v>
      </c>
      <c r="C32" s="9">
        <v>30000</v>
      </c>
      <c r="D32" s="9">
        <v>30000</v>
      </c>
      <c r="E32" s="9">
        <v>420000</v>
      </c>
      <c r="F32" s="9">
        <v>420000</v>
      </c>
      <c r="G32" s="9">
        <v>420000</v>
      </c>
      <c r="H32" s="9">
        <f t="shared" si="8"/>
        <v>1350000</v>
      </c>
      <c r="I32" s="9">
        <v>420000</v>
      </c>
      <c r="J32" s="9">
        <v>420000</v>
      </c>
      <c r="K32" s="9">
        <v>420000</v>
      </c>
      <c r="L32" s="9">
        <v>420000</v>
      </c>
      <c r="M32" s="9">
        <v>420000</v>
      </c>
      <c r="N32" s="9">
        <v>420000</v>
      </c>
      <c r="O32" s="9">
        <f t="shared" si="2"/>
        <v>2520000</v>
      </c>
      <c r="P32" s="9">
        <f t="shared" si="3"/>
        <v>3870000</v>
      </c>
    </row>
    <row r="33" spans="1:16" ht="12.95" customHeight="1" x14ac:dyDescent="0.15">
      <c r="A33" s="4" t="s">
        <v>101</v>
      </c>
      <c r="B33" s="9">
        <v>9472656</v>
      </c>
      <c r="C33" s="9">
        <f>18287957-9472656</f>
        <v>8815301</v>
      </c>
      <c r="D33" s="9">
        <f>27487161-18287957</f>
        <v>9199204</v>
      </c>
      <c r="E33" s="9">
        <f>44990596-27487161</f>
        <v>17503435</v>
      </c>
      <c r="F33" s="9">
        <f>54579384-44990596</f>
        <v>9588788</v>
      </c>
      <c r="G33" s="9">
        <v>9514832</v>
      </c>
      <c r="H33" s="9">
        <f t="shared" si="8"/>
        <v>64094216</v>
      </c>
      <c r="I33" s="9">
        <f>73176087-64094216</f>
        <v>9081871</v>
      </c>
      <c r="J33" s="9">
        <f>82031384-73176087</f>
        <v>8855297</v>
      </c>
      <c r="K33" s="9">
        <v>8982813</v>
      </c>
      <c r="L33" s="9">
        <f>110865766-102525812</f>
        <v>8339954</v>
      </c>
      <c r="M33" s="9">
        <f>119889549-110865766</f>
        <v>9023783</v>
      </c>
      <c r="N33" s="9">
        <f>128452892-119889549</f>
        <v>8563343</v>
      </c>
      <c r="O33" s="9">
        <f t="shared" si="2"/>
        <v>52847061</v>
      </c>
      <c r="P33" s="9">
        <f t="shared" si="3"/>
        <v>116941277</v>
      </c>
    </row>
    <row r="34" spans="1:16" ht="12.95" customHeight="1" x14ac:dyDescent="0.15">
      <c r="A34" s="4" t="s">
        <v>102</v>
      </c>
      <c r="B34" s="14">
        <v>1472450</v>
      </c>
      <c r="C34" s="14">
        <f>2735550-1472450</f>
        <v>1263100</v>
      </c>
      <c r="D34" s="14">
        <f>4308450-2735550</f>
        <v>1572900</v>
      </c>
      <c r="E34" s="14">
        <f>6930694-4308450</f>
        <v>2622244</v>
      </c>
      <c r="F34" s="14">
        <f>8395194-6930694</f>
        <v>1464500</v>
      </c>
      <c r="G34" s="14">
        <f>9840394-8395194</f>
        <v>1445200</v>
      </c>
      <c r="H34" s="14">
        <f t="shared" si="8"/>
        <v>9840394</v>
      </c>
      <c r="I34" s="14">
        <f>11103494-9840394</f>
        <v>1263100</v>
      </c>
      <c r="J34" s="14">
        <f>12404494-11103494</f>
        <v>1301000</v>
      </c>
      <c r="K34" s="14">
        <v>1296900</v>
      </c>
      <c r="L34" s="13">
        <f>16221954-15069054</f>
        <v>1152900</v>
      </c>
      <c r="M34" s="14">
        <v>1391500</v>
      </c>
      <c r="N34" s="14">
        <f>18914679-17613454</f>
        <v>1301225</v>
      </c>
      <c r="O34" s="14">
        <f t="shared" si="2"/>
        <v>7706625</v>
      </c>
      <c r="P34" s="14">
        <f t="shared" si="3"/>
        <v>17547019</v>
      </c>
    </row>
    <row r="35" spans="1:16" ht="12.95" customHeight="1" x14ac:dyDescent="0.15">
      <c r="A35" s="4" t="s">
        <v>19</v>
      </c>
      <c r="B35" s="9">
        <v>979390</v>
      </c>
      <c r="C35" s="9">
        <f>1921620-979390</f>
        <v>942230</v>
      </c>
      <c r="D35" s="9">
        <f>2837162-1921620</f>
        <v>915542</v>
      </c>
      <c r="E35" s="9">
        <f>3805350-2837162</f>
        <v>968188</v>
      </c>
      <c r="F35" s="9">
        <f>4711410-3805350</f>
        <v>906060</v>
      </c>
      <c r="G35" s="9">
        <f>5619852-4711410</f>
        <v>908442</v>
      </c>
      <c r="H35" s="9">
        <f t="shared" si="8"/>
        <v>5619852</v>
      </c>
      <c r="I35" s="9">
        <f>6582379-5619852</f>
        <v>962527</v>
      </c>
      <c r="J35" s="9">
        <f>7545119-6582379</f>
        <v>962740</v>
      </c>
      <c r="K35" s="9">
        <f>8508642-7545119</f>
        <v>963523</v>
      </c>
      <c r="L35" s="9">
        <f>10710688-8508642</f>
        <v>2202046</v>
      </c>
      <c r="M35" s="9">
        <f>11710668-10710688</f>
        <v>999980</v>
      </c>
      <c r="N35" s="9">
        <f>12699061-11710668</f>
        <v>988393</v>
      </c>
      <c r="O35" s="13">
        <f t="shared" si="2"/>
        <v>7079209</v>
      </c>
      <c r="P35" s="9">
        <f t="shared" si="3"/>
        <v>12699061</v>
      </c>
    </row>
    <row r="36" spans="1:16" ht="12.95" customHeight="1" x14ac:dyDescent="0.15">
      <c r="A36" s="4" t="s">
        <v>117</v>
      </c>
      <c r="B36" s="9"/>
      <c r="C36" s="9"/>
      <c r="D36" s="9"/>
      <c r="E36" s="9"/>
      <c r="F36" s="9"/>
      <c r="G36" s="9"/>
      <c r="H36" s="9">
        <f t="shared" si="8"/>
        <v>0</v>
      </c>
      <c r="I36" s="9"/>
      <c r="J36" s="9"/>
      <c r="K36" s="9">
        <v>12879275</v>
      </c>
      <c r="L36" s="9"/>
      <c r="M36" s="9"/>
      <c r="N36" s="9"/>
      <c r="O36" s="13">
        <f t="shared" si="2"/>
        <v>12879275</v>
      </c>
      <c r="P36" s="9">
        <f t="shared" si="3"/>
        <v>12879275</v>
      </c>
    </row>
    <row r="37" spans="1:16" x14ac:dyDescent="0.15">
      <c r="A37" s="7" t="s">
        <v>20</v>
      </c>
      <c r="B37" s="10">
        <f t="shared" ref="B37:N37" si="9">SUM(B38:B62)</f>
        <v>3411655</v>
      </c>
      <c r="C37" s="10">
        <f t="shared" si="9"/>
        <v>5856934</v>
      </c>
      <c r="D37" s="10">
        <f t="shared" si="9"/>
        <v>3557154</v>
      </c>
      <c r="E37" s="10">
        <f t="shared" si="9"/>
        <v>3736999</v>
      </c>
      <c r="F37" s="10">
        <f t="shared" si="9"/>
        <v>3023952</v>
      </c>
      <c r="G37" s="10">
        <f t="shared" si="9"/>
        <v>6721485</v>
      </c>
      <c r="H37" s="10">
        <f t="shared" si="8"/>
        <v>26308179</v>
      </c>
      <c r="I37" s="10">
        <f t="shared" si="9"/>
        <v>4458621</v>
      </c>
      <c r="J37" s="10">
        <f t="shared" si="9"/>
        <v>3241149</v>
      </c>
      <c r="K37" s="10">
        <f t="shared" si="9"/>
        <v>4418999</v>
      </c>
      <c r="L37" s="10">
        <f t="shared" si="9"/>
        <v>3344733</v>
      </c>
      <c r="M37" s="10">
        <f t="shared" si="9"/>
        <v>5538035</v>
      </c>
      <c r="N37" s="10">
        <f t="shared" si="9"/>
        <v>5449897</v>
      </c>
      <c r="O37" s="10">
        <f t="shared" si="2"/>
        <v>26451434</v>
      </c>
      <c r="P37" s="10">
        <f t="shared" si="3"/>
        <v>52759613</v>
      </c>
    </row>
    <row r="38" spans="1:16" ht="12.95" customHeight="1" x14ac:dyDescent="0.15">
      <c r="A38" s="4" t="s">
        <v>21</v>
      </c>
      <c r="B38" s="9">
        <v>311000</v>
      </c>
      <c r="C38" s="9">
        <f>693398-311000</f>
        <v>382398</v>
      </c>
      <c r="D38" s="9">
        <f>993773-693398</f>
        <v>300375</v>
      </c>
      <c r="E38" s="9">
        <f>1389978-993773</f>
        <v>396205</v>
      </c>
      <c r="F38" s="9">
        <f>36500+257000</f>
        <v>293500</v>
      </c>
      <c r="G38" s="9">
        <f>1984538-1683478</f>
        <v>301060</v>
      </c>
      <c r="H38" s="9">
        <f t="shared" si="8"/>
        <v>1984538</v>
      </c>
      <c r="I38" s="9">
        <f>2329118-1984538</f>
        <v>344580</v>
      </c>
      <c r="J38" s="9">
        <f>2691958-2329118</f>
        <v>362840</v>
      </c>
      <c r="K38" s="9">
        <f>3358962-2691958</f>
        <v>667004</v>
      </c>
      <c r="L38" s="9">
        <f>3716702-3358962</f>
        <v>357740</v>
      </c>
      <c r="M38" s="9">
        <f>265000+40000</f>
        <v>305000</v>
      </c>
      <c r="N38" s="9">
        <f>4505852-4021702</f>
        <v>484150</v>
      </c>
      <c r="O38" s="13">
        <f t="shared" si="2"/>
        <v>2521314</v>
      </c>
      <c r="P38" s="9">
        <f t="shared" si="3"/>
        <v>4505852</v>
      </c>
    </row>
    <row r="39" spans="1:16" ht="12.95" customHeight="1" x14ac:dyDescent="0.15">
      <c r="A39" s="4" t="s">
        <v>22</v>
      </c>
      <c r="B39" s="9"/>
      <c r="C39" s="9"/>
      <c r="D39" s="9"/>
      <c r="E39" s="9"/>
      <c r="F39" s="9"/>
      <c r="G39" s="9"/>
      <c r="H39" s="9">
        <f t="shared" si="8"/>
        <v>0</v>
      </c>
      <c r="I39" s="9"/>
      <c r="J39" s="9">
        <v>53000</v>
      </c>
      <c r="K39" s="9"/>
      <c r="L39" s="9"/>
      <c r="M39" s="9"/>
      <c r="N39" s="9"/>
      <c r="O39" s="13">
        <f t="shared" si="2"/>
        <v>53000</v>
      </c>
      <c r="P39" s="9">
        <f t="shared" si="3"/>
        <v>53000</v>
      </c>
    </row>
    <row r="40" spans="1:16" ht="12.95" customHeight="1" x14ac:dyDescent="0.15">
      <c r="A40" s="4" t="s">
        <v>103</v>
      </c>
      <c r="B40" s="9">
        <v>67367</v>
      </c>
      <c r="C40" s="9">
        <f>146263-67367</f>
        <v>78896</v>
      </c>
      <c r="D40" s="9">
        <f>204615-146263</f>
        <v>58352</v>
      </c>
      <c r="E40" s="9">
        <f>277711-204615</f>
        <v>73096</v>
      </c>
      <c r="F40" s="9">
        <f>345396-277711</f>
        <v>67685</v>
      </c>
      <c r="G40" s="9">
        <f>405736-345396</f>
        <v>60340</v>
      </c>
      <c r="H40" s="9">
        <f t="shared" si="8"/>
        <v>405736</v>
      </c>
      <c r="I40" s="9">
        <f>479445-405736</f>
        <v>73709</v>
      </c>
      <c r="J40" s="9">
        <f>549784-479445</f>
        <v>70339</v>
      </c>
      <c r="K40" s="9">
        <f>602754-549784</f>
        <v>52970</v>
      </c>
      <c r="L40" s="9">
        <f>683965-602754</f>
        <v>81211</v>
      </c>
      <c r="M40" s="9">
        <f>749449-683965</f>
        <v>65484</v>
      </c>
      <c r="N40" s="9">
        <f>801828-749449</f>
        <v>52379</v>
      </c>
      <c r="O40" s="13">
        <f t="shared" si="2"/>
        <v>396092</v>
      </c>
      <c r="P40" s="9">
        <f t="shared" si="3"/>
        <v>801828</v>
      </c>
    </row>
    <row r="41" spans="1:16" ht="12.95" customHeight="1" x14ac:dyDescent="0.15">
      <c r="A41" s="4" t="s">
        <v>24</v>
      </c>
      <c r="B41" s="9">
        <v>15850</v>
      </c>
      <c r="C41" s="9">
        <f>46850-15850</f>
        <v>31000</v>
      </c>
      <c r="D41" s="9">
        <f>1008+7255</f>
        <v>8263</v>
      </c>
      <c r="E41" s="9">
        <f>65419-55113</f>
        <v>10306</v>
      </c>
      <c r="F41" s="9">
        <f>15428+893</f>
        <v>16321</v>
      </c>
      <c r="G41" s="9">
        <f>263238-81740</f>
        <v>181498</v>
      </c>
      <c r="H41" s="9">
        <f t="shared" si="8"/>
        <v>263238</v>
      </c>
      <c r="I41" s="9">
        <v>8752</v>
      </c>
      <c r="J41" s="9">
        <f>295695-271990</f>
        <v>23705</v>
      </c>
      <c r="K41" s="9">
        <f>316518-295695</f>
        <v>20823</v>
      </c>
      <c r="L41" s="9">
        <f>328703-316518</f>
        <v>12185</v>
      </c>
      <c r="M41" s="9">
        <f>345020-328703</f>
        <v>16317</v>
      </c>
      <c r="N41" s="9">
        <f>11410+10374</f>
        <v>21784</v>
      </c>
      <c r="O41" s="13">
        <f t="shared" si="2"/>
        <v>103566</v>
      </c>
      <c r="P41" s="9">
        <f t="shared" si="3"/>
        <v>366804</v>
      </c>
    </row>
    <row r="42" spans="1:16" ht="12.95" customHeight="1" x14ac:dyDescent="0.15">
      <c r="A42" s="4" t="s">
        <v>104</v>
      </c>
      <c r="B42" s="9">
        <v>26460</v>
      </c>
      <c r="C42" s="9">
        <v>18400</v>
      </c>
      <c r="D42" s="9"/>
      <c r="E42" s="9">
        <v>32000</v>
      </c>
      <c r="F42" s="9"/>
      <c r="G42" s="9">
        <f>156760-76860</f>
        <v>79900</v>
      </c>
      <c r="H42" s="9">
        <f t="shared" si="8"/>
        <v>156760</v>
      </c>
      <c r="I42" s="9">
        <f>429980-156760</f>
        <v>273220</v>
      </c>
      <c r="J42" s="9">
        <v>8900</v>
      </c>
      <c r="K42" s="9">
        <f>634060-438880</f>
        <v>195180</v>
      </c>
      <c r="L42" s="9"/>
      <c r="M42" s="9">
        <f>673540-634060</f>
        <v>39480</v>
      </c>
      <c r="N42" s="9">
        <f>41800+86100</f>
        <v>127900</v>
      </c>
      <c r="O42" s="13">
        <f t="shared" si="2"/>
        <v>644680</v>
      </c>
      <c r="P42" s="9">
        <f t="shared" si="3"/>
        <v>801440</v>
      </c>
    </row>
    <row r="43" spans="1:16" ht="12.95" customHeight="1" x14ac:dyDescent="0.15">
      <c r="A43" s="4" t="s">
        <v>105</v>
      </c>
      <c r="B43" s="9"/>
      <c r="C43" s="9"/>
      <c r="D43" s="9">
        <f>185306</f>
        <v>185306</v>
      </c>
      <c r="E43" s="9">
        <v>23080</v>
      </c>
      <c r="F43" s="9"/>
      <c r="G43" s="9"/>
      <c r="H43" s="9">
        <f t="shared" si="8"/>
        <v>208386</v>
      </c>
      <c r="I43" s="9"/>
      <c r="J43" s="9">
        <v>21000</v>
      </c>
      <c r="K43" s="9"/>
      <c r="L43" s="9"/>
      <c r="M43" s="9"/>
      <c r="N43" s="9"/>
      <c r="O43" s="13">
        <f t="shared" si="2"/>
        <v>21000</v>
      </c>
      <c r="P43" s="9">
        <f t="shared" si="3"/>
        <v>229386</v>
      </c>
    </row>
    <row r="44" spans="1:16" ht="12.95" customHeight="1" x14ac:dyDescent="0.15">
      <c r="A44" s="4" t="s">
        <v>106</v>
      </c>
      <c r="B44" s="9">
        <v>64216</v>
      </c>
      <c r="C44" s="9">
        <f>146936-64216</f>
        <v>82720</v>
      </c>
      <c r="D44" s="9">
        <f>252684-146936</f>
        <v>105748</v>
      </c>
      <c r="E44" s="9">
        <f>325373-252684</f>
        <v>72689</v>
      </c>
      <c r="F44" s="9">
        <f>18900+18937</f>
        <v>37837</v>
      </c>
      <c r="G44" s="9">
        <f>398791-363210</f>
        <v>35581</v>
      </c>
      <c r="H44" s="9">
        <f t="shared" si="8"/>
        <v>398791</v>
      </c>
      <c r="I44" s="9">
        <f>450511-398791</f>
        <v>51720</v>
      </c>
      <c r="J44" s="9">
        <f>492234-450511</f>
        <v>41723</v>
      </c>
      <c r="K44" s="9">
        <f>536433-492234</f>
        <v>44199</v>
      </c>
      <c r="L44" s="9">
        <f>569788-536433</f>
        <v>33355</v>
      </c>
      <c r="M44" s="9">
        <f>701577-569788</f>
        <v>131789</v>
      </c>
      <c r="N44" s="9">
        <v>15408</v>
      </c>
      <c r="O44" s="13">
        <f t="shared" si="2"/>
        <v>318194</v>
      </c>
      <c r="P44" s="9">
        <f t="shared" si="3"/>
        <v>716985</v>
      </c>
    </row>
    <row r="45" spans="1:16" ht="12.95" customHeight="1" x14ac:dyDescent="0.15">
      <c r="A45" s="4" t="s">
        <v>28</v>
      </c>
      <c r="B45" s="9">
        <v>38660</v>
      </c>
      <c r="C45" s="9">
        <f>49940-38660</f>
        <v>11280</v>
      </c>
      <c r="D45" s="9">
        <f>85075-49940</f>
        <v>35135</v>
      </c>
      <c r="E45" s="9">
        <f>109585-85075</f>
        <v>24510</v>
      </c>
      <c r="F45" s="9">
        <f>137745-109585</f>
        <v>28160</v>
      </c>
      <c r="G45" s="9">
        <f>194770-137745</f>
        <v>57025</v>
      </c>
      <c r="H45" s="9">
        <f t="shared" si="8"/>
        <v>194770</v>
      </c>
      <c r="I45" s="9">
        <f>214790-194770</f>
        <v>20020</v>
      </c>
      <c r="J45" s="9">
        <f>280985-214790</f>
        <v>66195</v>
      </c>
      <c r="K45" s="9">
        <f>2900+2000+2855+2855+2955</f>
        <v>13565</v>
      </c>
      <c r="L45" s="9">
        <f>325765-294550</f>
        <v>31215</v>
      </c>
      <c r="M45" s="9">
        <f>336430-325765</f>
        <v>10665</v>
      </c>
      <c r="N45" s="9">
        <f>352645-336430</f>
        <v>16215</v>
      </c>
      <c r="O45" s="13">
        <f t="shared" si="2"/>
        <v>157875</v>
      </c>
      <c r="P45" s="9">
        <f t="shared" si="3"/>
        <v>352645</v>
      </c>
    </row>
    <row r="46" spans="1:16" ht="12.95" customHeight="1" x14ac:dyDescent="0.15">
      <c r="A46" s="4" t="s">
        <v>107</v>
      </c>
      <c r="B46" s="9"/>
      <c r="C46" s="9">
        <v>10000</v>
      </c>
      <c r="D46" s="9">
        <f>83600-10000</f>
        <v>73600</v>
      </c>
      <c r="E46" s="9">
        <f>113960-83600</f>
        <v>30360</v>
      </c>
      <c r="F46" s="9">
        <f>152944-113960</f>
        <v>38984</v>
      </c>
      <c r="G46" s="9">
        <f>163704-152944</f>
        <v>10760</v>
      </c>
      <c r="H46" s="9">
        <f t="shared" si="8"/>
        <v>163704</v>
      </c>
      <c r="I46" s="9">
        <f>204864-163704</f>
        <v>41160</v>
      </c>
      <c r="J46" s="9">
        <v>9450</v>
      </c>
      <c r="K46" s="9">
        <f>3000+1050</f>
        <v>4050</v>
      </c>
      <c r="L46" s="9">
        <v>14000</v>
      </c>
      <c r="M46" s="9">
        <v>1000</v>
      </c>
      <c r="N46" s="9">
        <f>30000+6300+2052</f>
        <v>38352</v>
      </c>
      <c r="O46" s="13">
        <f t="shared" si="2"/>
        <v>108012</v>
      </c>
      <c r="P46" s="9">
        <f t="shared" si="3"/>
        <v>271716</v>
      </c>
    </row>
    <row r="47" spans="1:16" ht="12.95" customHeight="1" x14ac:dyDescent="0.15">
      <c r="A47" s="4" t="s">
        <v>27</v>
      </c>
      <c r="B47" s="9"/>
      <c r="C47" s="9"/>
      <c r="D47" s="9"/>
      <c r="E47" s="9">
        <v>28350</v>
      </c>
      <c r="F47" s="9"/>
      <c r="G47" s="9"/>
      <c r="H47" s="9">
        <f t="shared" si="8"/>
        <v>28350</v>
      </c>
      <c r="I47" s="9">
        <v>42000</v>
      </c>
      <c r="J47" s="9">
        <v>52500</v>
      </c>
      <c r="K47" s="9"/>
      <c r="L47" s="9"/>
      <c r="M47" s="9">
        <v>10500</v>
      </c>
      <c r="N47" s="9">
        <v>3500</v>
      </c>
      <c r="O47" s="13">
        <f t="shared" si="2"/>
        <v>108500</v>
      </c>
      <c r="P47" s="9">
        <f t="shared" si="3"/>
        <v>136850</v>
      </c>
    </row>
    <row r="48" spans="1:16" ht="12.95" customHeight="1" x14ac:dyDescent="0.15">
      <c r="A48" s="4" t="s">
        <v>32</v>
      </c>
      <c r="B48" s="9">
        <v>579586</v>
      </c>
      <c r="C48" s="9">
        <f>1148976-579586</f>
        <v>569390</v>
      </c>
      <c r="D48" s="9">
        <f>1508162-1148976</f>
        <v>359186</v>
      </c>
      <c r="E48" s="9">
        <f>1887445-1508162</f>
        <v>379283</v>
      </c>
      <c r="F48" s="9">
        <f>2352887-1887445</f>
        <v>465442</v>
      </c>
      <c r="G48" s="9">
        <f>2740154-2352887</f>
        <v>387267</v>
      </c>
      <c r="H48" s="9">
        <f t="shared" si="8"/>
        <v>2740154</v>
      </c>
      <c r="I48" s="9">
        <f>3207432-2740154</f>
        <v>467278</v>
      </c>
      <c r="J48" s="9">
        <f>3605139-3207432</f>
        <v>397707</v>
      </c>
      <c r="K48" s="9">
        <f>4105675-3605139</f>
        <v>500536</v>
      </c>
      <c r="L48" s="9">
        <f>4696969-4105675</f>
        <v>591294</v>
      </c>
      <c r="M48" s="9">
        <f>5339962-4696969</f>
        <v>642993</v>
      </c>
      <c r="N48" s="9">
        <f>5889178-5339962</f>
        <v>549216</v>
      </c>
      <c r="O48" s="13">
        <f t="shared" si="2"/>
        <v>3149024</v>
      </c>
      <c r="P48" s="9">
        <f t="shared" si="3"/>
        <v>5889178</v>
      </c>
    </row>
    <row r="49" spans="1:16" ht="12.95" customHeight="1" x14ac:dyDescent="0.15">
      <c r="A49" s="4" t="s">
        <v>108</v>
      </c>
      <c r="B49" s="9">
        <v>12000</v>
      </c>
      <c r="C49" s="9">
        <v>2000</v>
      </c>
      <c r="D49" s="9">
        <v>12000</v>
      </c>
      <c r="E49" s="9">
        <v>2000</v>
      </c>
      <c r="F49" s="9">
        <v>2000</v>
      </c>
      <c r="G49" s="9">
        <v>6000</v>
      </c>
      <c r="H49" s="9">
        <f t="shared" si="8"/>
        <v>36000</v>
      </c>
      <c r="I49" s="9">
        <f>50000-36000</f>
        <v>14000</v>
      </c>
      <c r="J49" s="9">
        <v>10000</v>
      </c>
      <c r="K49" s="9">
        <f>77000-60000</f>
        <v>17000</v>
      </c>
      <c r="L49" s="9">
        <f>109000-77000</f>
        <v>32000</v>
      </c>
      <c r="M49" s="9">
        <f>122000-109000</f>
        <v>13000</v>
      </c>
      <c r="N49" s="9">
        <v>6000</v>
      </c>
      <c r="O49" s="13">
        <f t="shared" si="2"/>
        <v>92000</v>
      </c>
      <c r="P49" s="9">
        <f t="shared" si="3"/>
        <v>128000</v>
      </c>
    </row>
    <row r="50" spans="1:16" ht="12.95" customHeight="1" x14ac:dyDescent="0.15">
      <c r="A50" s="4" t="s">
        <v>34</v>
      </c>
      <c r="B50" s="9">
        <v>58100</v>
      </c>
      <c r="C50" s="9"/>
      <c r="D50" s="9">
        <v>21000</v>
      </c>
      <c r="E50" s="9">
        <v>15500</v>
      </c>
      <c r="F50" s="9">
        <v>10000</v>
      </c>
      <c r="G50" s="9">
        <v>3000</v>
      </c>
      <c r="H50" s="9">
        <f t="shared" si="8"/>
        <v>107600</v>
      </c>
      <c r="I50" s="9">
        <v>3000</v>
      </c>
      <c r="J50" s="9"/>
      <c r="K50" s="9"/>
      <c r="L50" s="9"/>
      <c r="M50" s="9"/>
      <c r="N50" s="9">
        <v>50000</v>
      </c>
      <c r="O50" s="13">
        <f t="shared" si="2"/>
        <v>53000</v>
      </c>
      <c r="P50" s="9">
        <f t="shared" si="3"/>
        <v>160600</v>
      </c>
    </row>
    <row r="51" spans="1:16" ht="12.95" customHeight="1" x14ac:dyDescent="0.15">
      <c r="A51" s="4" t="s">
        <v>109</v>
      </c>
      <c r="B51" s="9">
        <v>506961</v>
      </c>
      <c r="C51" s="9">
        <v>561807</v>
      </c>
      <c r="D51" s="9">
        <f>1592936-1068768</f>
        <v>524168</v>
      </c>
      <c r="E51" s="9">
        <f>2106362-1592936</f>
        <v>513426</v>
      </c>
      <c r="F51" s="9">
        <f>2671886-2106362</f>
        <v>565524</v>
      </c>
      <c r="G51" s="9">
        <f>3289487-2671886</f>
        <v>617601</v>
      </c>
      <c r="H51" s="9">
        <f t="shared" si="8"/>
        <v>3289487</v>
      </c>
      <c r="I51" s="9">
        <f>4274384-3289487</f>
        <v>984897</v>
      </c>
      <c r="J51" s="9">
        <f>4751603-4274384</f>
        <v>477219</v>
      </c>
      <c r="K51" s="9">
        <f>5258636-4751603</f>
        <v>507033</v>
      </c>
      <c r="L51" s="9">
        <f>5670944-5258636</f>
        <v>412308</v>
      </c>
      <c r="M51" s="14">
        <f>6167191-5670944</f>
        <v>496247</v>
      </c>
      <c r="N51" s="9">
        <f>6541253-6167191</f>
        <v>374062</v>
      </c>
      <c r="O51" s="13">
        <f t="shared" si="2"/>
        <v>3251766</v>
      </c>
      <c r="P51" s="9">
        <f t="shared" si="3"/>
        <v>6541253</v>
      </c>
    </row>
    <row r="52" spans="1:16" ht="12.95" customHeight="1" x14ac:dyDescent="0.15">
      <c r="A52" s="4" t="s">
        <v>35</v>
      </c>
      <c r="B52" s="9">
        <v>1200</v>
      </c>
      <c r="C52" s="9">
        <f>32430-1200</f>
        <v>31230</v>
      </c>
      <c r="D52" s="9">
        <v>128</v>
      </c>
      <c r="E52" s="9">
        <v>3000</v>
      </c>
      <c r="F52" s="9">
        <f>620+1890</f>
        <v>2510</v>
      </c>
      <c r="G52" s="9">
        <f>49999-38068</f>
        <v>11931</v>
      </c>
      <c r="H52" s="9">
        <f t="shared" si="8"/>
        <v>49999</v>
      </c>
      <c r="I52" s="9">
        <f>54228-49999</f>
        <v>4229</v>
      </c>
      <c r="J52" s="9"/>
      <c r="K52" s="9">
        <v>13000</v>
      </c>
      <c r="L52" s="9">
        <f>71964-67228</f>
        <v>4736</v>
      </c>
      <c r="M52" s="9">
        <v>5200</v>
      </c>
      <c r="N52" s="9">
        <f>7467+900</f>
        <v>8367</v>
      </c>
      <c r="O52" s="13">
        <f t="shared" si="2"/>
        <v>35532</v>
      </c>
      <c r="P52" s="9">
        <f t="shared" si="3"/>
        <v>85531</v>
      </c>
    </row>
    <row r="53" spans="1:16" ht="12.95" customHeight="1" x14ac:dyDescent="0.15">
      <c r="A53" s="4" t="s">
        <v>110</v>
      </c>
      <c r="B53" s="9">
        <v>157610</v>
      </c>
      <c r="C53" s="9">
        <f>175650-157610</f>
        <v>18040</v>
      </c>
      <c r="D53" s="9"/>
      <c r="E53" s="9">
        <v>31080</v>
      </c>
      <c r="F53" s="9"/>
      <c r="G53" s="9">
        <v>54560</v>
      </c>
      <c r="H53" s="9">
        <f t="shared" si="8"/>
        <v>261290</v>
      </c>
      <c r="I53" s="9"/>
      <c r="J53" s="9"/>
      <c r="K53" s="9">
        <v>496970</v>
      </c>
      <c r="L53" s="9">
        <v>25750</v>
      </c>
      <c r="M53" s="9">
        <v>35850</v>
      </c>
      <c r="N53" s="9">
        <v>77520</v>
      </c>
      <c r="O53" s="13">
        <f t="shared" si="2"/>
        <v>636090</v>
      </c>
      <c r="P53" s="9">
        <f t="shared" si="3"/>
        <v>897380</v>
      </c>
    </row>
    <row r="54" spans="1:16" ht="12.95" customHeight="1" x14ac:dyDescent="0.15">
      <c r="A54" s="4" t="s">
        <v>111</v>
      </c>
      <c r="B54" s="9">
        <v>386453</v>
      </c>
      <c r="C54" s="9">
        <f>934736-386453</f>
        <v>548283</v>
      </c>
      <c r="D54" s="9">
        <f>1339678-934736</f>
        <v>404942</v>
      </c>
      <c r="E54" s="9">
        <f>2044680-1339678</f>
        <v>705002</v>
      </c>
      <c r="F54" s="9">
        <f>2476473-2044680</f>
        <v>431793</v>
      </c>
      <c r="G54" s="9">
        <f>2883099-2476473</f>
        <v>406626</v>
      </c>
      <c r="H54" s="9">
        <f t="shared" si="8"/>
        <v>2883099</v>
      </c>
      <c r="I54" s="9">
        <f>3712501-2883099</f>
        <v>829402</v>
      </c>
      <c r="J54" s="9">
        <f>4060607-3712501</f>
        <v>348106</v>
      </c>
      <c r="K54" s="9">
        <f>4508041-4060607</f>
        <v>447434</v>
      </c>
      <c r="L54" s="9">
        <f>5174004-4508041</f>
        <v>665963</v>
      </c>
      <c r="M54" s="9">
        <f>5581733-5174004</f>
        <v>407729</v>
      </c>
      <c r="N54" s="9">
        <f>6123332-5581733</f>
        <v>541599</v>
      </c>
      <c r="O54" s="13">
        <f t="shared" si="2"/>
        <v>3240233</v>
      </c>
      <c r="P54" s="9">
        <f t="shared" si="3"/>
        <v>6123332</v>
      </c>
    </row>
    <row r="55" spans="1:16" ht="12.95" customHeight="1" x14ac:dyDescent="0.15">
      <c r="A55" s="4" t="s">
        <v>112</v>
      </c>
      <c r="B55" s="9">
        <v>30975</v>
      </c>
      <c r="C55" s="9"/>
      <c r="D55" s="9">
        <f>45150+121800</f>
        <v>166950</v>
      </c>
      <c r="E55" s="9">
        <v>30870</v>
      </c>
      <c r="F55" s="9"/>
      <c r="G55" s="9">
        <v>144900</v>
      </c>
      <c r="H55" s="9">
        <f t="shared" si="8"/>
        <v>373695</v>
      </c>
      <c r="I55" s="9">
        <v>73500</v>
      </c>
      <c r="J55" s="9"/>
      <c r="K55" s="9"/>
      <c r="L55" s="9"/>
      <c r="M55" s="9">
        <f>2545515-447195</f>
        <v>2098320</v>
      </c>
      <c r="N55" s="9">
        <f>22050-1299900-346500</f>
        <v>-1624350</v>
      </c>
      <c r="O55" s="13">
        <f t="shared" si="2"/>
        <v>547470</v>
      </c>
      <c r="P55" s="9">
        <f t="shared" si="3"/>
        <v>921165</v>
      </c>
    </row>
    <row r="56" spans="1:16" ht="12.95" customHeight="1" x14ac:dyDescent="0.15">
      <c r="A56" s="4" t="s">
        <v>113</v>
      </c>
      <c r="B56" s="9">
        <v>405995</v>
      </c>
      <c r="C56" s="9">
        <f>811990-405995</f>
        <v>405995</v>
      </c>
      <c r="D56" s="9">
        <f>1217985-811990</f>
        <v>405995</v>
      </c>
      <c r="E56" s="9">
        <f>1623980-1217985</f>
        <v>405995</v>
      </c>
      <c r="F56" s="9">
        <f>2029975-1623980</f>
        <v>405995</v>
      </c>
      <c r="G56" s="9">
        <f>2435970-2029975</f>
        <v>405995</v>
      </c>
      <c r="H56" s="9">
        <f t="shared" si="8"/>
        <v>2435970</v>
      </c>
      <c r="I56" s="9">
        <f>2841965-2435970</f>
        <v>405995</v>
      </c>
      <c r="J56" s="9">
        <f>3294160-2841965</f>
        <v>452195</v>
      </c>
      <c r="K56" s="9">
        <f>3700155-3294160</f>
        <v>405995</v>
      </c>
      <c r="L56" s="9">
        <f>4105940-3700155</f>
        <v>405785</v>
      </c>
      <c r="M56" s="9">
        <f>4511725-4105940</f>
        <v>405785</v>
      </c>
      <c r="N56" s="9">
        <f>4917510-4511725</f>
        <v>405785</v>
      </c>
      <c r="O56" s="13">
        <f t="shared" si="2"/>
        <v>2481540</v>
      </c>
      <c r="P56" s="9">
        <f t="shared" si="3"/>
        <v>4917510</v>
      </c>
    </row>
    <row r="57" spans="1:16" ht="12.95" customHeight="1" x14ac:dyDescent="0.15">
      <c r="A57" s="4" t="s">
        <v>121</v>
      </c>
      <c r="B57" s="9">
        <v>250000</v>
      </c>
      <c r="C57" s="9">
        <f>620000-250000</f>
        <v>370000</v>
      </c>
      <c r="D57" s="9">
        <v>250000</v>
      </c>
      <c r="E57" s="9">
        <v>250000</v>
      </c>
      <c r="F57" s="14">
        <v>250000</v>
      </c>
      <c r="G57" s="9">
        <v>250000</v>
      </c>
      <c r="H57" s="9">
        <f t="shared" si="8"/>
        <v>1620000</v>
      </c>
      <c r="I57" s="9">
        <v>250000</v>
      </c>
      <c r="J57" s="9">
        <v>250000</v>
      </c>
      <c r="K57" s="9">
        <v>250000</v>
      </c>
      <c r="L57" s="9">
        <v>250000</v>
      </c>
      <c r="M57" s="9">
        <f>2960000-2620000</f>
        <v>340000</v>
      </c>
      <c r="N57" s="9">
        <v>295000</v>
      </c>
      <c r="O57" s="13">
        <f t="shared" si="2"/>
        <v>1635000</v>
      </c>
      <c r="P57" s="9">
        <f t="shared" si="3"/>
        <v>3255000</v>
      </c>
    </row>
    <row r="58" spans="1:16" ht="12.95" customHeight="1" x14ac:dyDescent="0.15">
      <c r="A58" s="4" t="s">
        <v>122</v>
      </c>
      <c r="B58" s="11"/>
      <c r="C58" s="9">
        <v>2226000</v>
      </c>
      <c r="D58" s="9">
        <f>4200+1400</f>
        <v>5600</v>
      </c>
      <c r="E58" s="9">
        <v>54500</v>
      </c>
      <c r="F58" s="9"/>
      <c r="G58" s="9"/>
      <c r="H58" s="9">
        <f t="shared" si="8"/>
        <v>2286100</v>
      </c>
      <c r="I58" s="9"/>
      <c r="J58" s="9"/>
      <c r="K58" s="9">
        <v>53000</v>
      </c>
      <c r="L58" s="9">
        <f>2345100-2339100</f>
        <v>6000</v>
      </c>
      <c r="M58" s="9">
        <v>51000</v>
      </c>
      <c r="N58" s="9">
        <f>365+114</f>
        <v>479</v>
      </c>
      <c r="O58" s="13">
        <f t="shared" si="2"/>
        <v>110479</v>
      </c>
      <c r="P58" s="9">
        <f t="shared" si="3"/>
        <v>2396579</v>
      </c>
    </row>
    <row r="59" spans="1:16" ht="12.95" customHeight="1" x14ac:dyDescent="0.15">
      <c r="A59" s="4" t="s">
        <v>37</v>
      </c>
      <c r="B59" s="9">
        <v>60183</v>
      </c>
      <c r="C59" s="9">
        <f>268583-60183</f>
        <v>208400</v>
      </c>
      <c r="D59" s="9">
        <f>490133-268583</f>
        <v>221550</v>
      </c>
      <c r="E59" s="9">
        <f>733859-490133</f>
        <v>243726</v>
      </c>
      <c r="F59" s="9">
        <f>40235+31782</f>
        <v>72017</v>
      </c>
      <c r="G59" s="9">
        <f>1194586-805876</f>
        <v>388710</v>
      </c>
      <c r="H59" s="9">
        <f t="shared" si="8"/>
        <v>1194586</v>
      </c>
      <c r="I59" s="9">
        <f>1327028-1194586</f>
        <v>132442</v>
      </c>
      <c r="J59" s="9">
        <f>1413252-1327028</f>
        <v>86224</v>
      </c>
      <c r="K59" s="9">
        <f>1685913-1413252</f>
        <v>272661</v>
      </c>
      <c r="L59" s="9">
        <f>1754791-1685913</f>
        <v>68878</v>
      </c>
      <c r="M59" s="9">
        <f>1811352-1754791</f>
        <v>56561</v>
      </c>
      <c r="N59" s="9">
        <f>1943652-1811352</f>
        <v>132300</v>
      </c>
      <c r="O59" s="13">
        <f t="shared" si="2"/>
        <v>749066</v>
      </c>
      <c r="P59" s="9">
        <f t="shared" si="3"/>
        <v>1943652</v>
      </c>
    </row>
    <row r="60" spans="1:16" ht="12.95" customHeight="1" x14ac:dyDescent="0.15">
      <c r="A60" s="4" t="s">
        <v>114</v>
      </c>
      <c r="B60" s="14">
        <v>2100</v>
      </c>
      <c r="C60" s="14"/>
      <c r="D60" s="14">
        <f>7875+1890</f>
        <v>9765</v>
      </c>
      <c r="E60" s="14"/>
      <c r="F60" s="14"/>
      <c r="G60" s="14">
        <f>43245-11865</f>
        <v>31380</v>
      </c>
      <c r="H60" s="14">
        <f t="shared" si="8"/>
        <v>43245</v>
      </c>
      <c r="I60" s="14">
        <f>169867-43245</f>
        <v>126622</v>
      </c>
      <c r="J60" s="14">
        <v>16065</v>
      </c>
      <c r="K60" s="14">
        <f>209848-185932</f>
        <v>23916</v>
      </c>
      <c r="L60" s="14"/>
      <c r="M60" s="14"/>
      <c r="N60" s="14"/>
      <c r="O60" s="14">
        <f t="shared" si="2"/>
        <v>166603</v>
      </c>
      <c r="P60" s="14">
        <f t="shared" si="3"/>
        <v>209848</v>
      </c>
    </row>
    <row r="61" spans="1:16" ht="12.95" customHeight="1" x14ac:dyDescent="0.15">
      <c r="A61" s="12" t="s">
        <v>115</v>
      </c>
      <c r="B61" s="14">
        <v>436939</v>
      </c>
      <c r="C61" s="14">
        <f>738034-436939</f>
        <v>301095</v>
      </c>
      <c r="D61" s="14">
        <f>1147125-738034</f>
        <v>409091</v>
      </c>
      <c r="E61" s="14">
        <f>1559146-1147125</f>
        <v>412021</v>
      </c>
      <c r="F61" s="14">
        <f>1895330-1559146</f>
        <v>336184</v>
      </c>
      <c r="G61" s="14">
        <f>2182194-1895330</f>
        <v>286864</v>
      </c>
      <c r="H61" s="14">
        <f t="shared" si="8"/>
        <v>2182194</v>
      </c>
      <c r="I61" s="14">
        <f>2494289-2182194</f>
        <v>312095</v>
      </c>
      <c r="J61" s="14">
        <f>2988270-2494289</f>
        <v>493981</v>
      </c>
      <c r="K61" s="14">
        <f>3421933-2988270</f>
        <v>433663</v>
      </c>
      <c r="L61" s="14">
        <f>3774246-3421933</f>
        <v>352313</v>
      </c>
      <c r="M61" s="14">
        <f>4179361-3774246</f>
        <v>405115</v>
      </c>
      <c r="N61" s="14">
        <f>4765528-4179361-10720</f>
        <v>575447</v>
      </c>
      <c r="O61" s="14">
        <f t="shared" si="2"/>
        <v>2572614</v>
      </c>
      <c r="P61" s="14">
        <f t="shared" si="3"/>
        <v>4754808</v>
      </c>
    </row>
    <row r="62" spans="1:16" ht="12.95" customHeight="1" x14ac:dyDescent="0.15">
      <c r="A62" s="4" t="s">
        <v>46</v>
      </c>
      <c r="B62" s="9"/>
      <c r="C62" s="9"/>
      <c r="D62" s="9"/>
      <c r="E62" s="9"/>
      <c r="F62" s="9"/>
      <c r="G62" s="9">
        <v>3000487</v>
      </c>
      <c r="H62" s="9">
        <f t="shared" si="8"/>
        <v>3000487</v>
      </c>
      <c r="I62" s="9"/>
      <c r="J62" s="9"/>
      <c r="K62" s="9"/>
      <c r="L62" s="9"/>
      <c r="M62" s="9"/>
      <c r="N62" s="9">
        <f>6262776-3000487+36495</f>
        <v>3298784</v>
      </c>
      <c r="O62" s="13">
        <f t="shared" si="2"/>
        <v>3298784</v>
      </c>
      <c r="P62" s="9">
        <f t="shared" si="3"/>
        <v>6299271</v>
      </c>
    </row>
    <row r="63" spans="1:16" x14ac:dyDescent="0.15">
      <c r="A63" s="8" t="s">
        <v>29</v>
      </c>
      <c r="B63" s="10">
        <f t="shared" ref="B63:N63" si="10">B31+B37</f>
        <v>15366151</v>
      </c>
      <c r="C63" s="10">
        <f t="shared" si="10"/>
        <v>16907565</v>
      </c>
      <c r="D63" s="10">
        <f t="shared" si="10"/>
        <v>15274800</v>
      </c>
      <c r="E63" s="10">
        <f t="shared" si="10"/>
        <v>25250866</v>
      </c>
      <c r="F63" s="10">
        <f t="shared" si="10"/>
        <v>15403300</v>
      </c>
      <c r="G63" s="10">
        <f t="shared" si="10"/>
        <v>19009959</v>
      </c>
      <c r="H63" s="10">
        <f t="shared" si="8"/>
        <v>107212641</v>
      </c>
      <c r="I63" s="10">
        <f t="shared" si="10"/>
        <v>16186119</v>
      </c>
      <c r="J63" s="10">
        <f t="shared" si="10"/>
        <v>14780186</v>
      </c>
      <c r="K63" s="10">
        <f t="shared" si="10"/>
        <v>28961510</v>
      </c>
      <c r="L63" s="10">
        <f t="shared" si="10"/>
        <v>15459633</v>
      </c>
      <c r="M63" s="10">
        <f t="shared" si="10"/>
        <v>17373298</v>
      </c>
      <c r="N63" s="10">
        <f t="shared" si="10"/>
        <v>16722858</v>
      </c>
      <c r="O63" s="10">
        <f t="shared" si="2"/>
        <v>109483604</v>
      </c>
      <c r="P63" s="10">
        <f t="shared" si="3"/>
        <v>216696245</v>
      </c>
    </row>
    <row r="64" spans="1:16" x14ac:dyDescent="0.15">
      <c r="A64" s="8" t="s">
        <v>61</v>
      </c>
      <c r="B64" s="10">
        <f t="shared" ref="B64:G64" si="11">B28-B63</f>
        <v>2204907</v>
      </c>
      <c r="C64" s="10">
        <f t="shared" si="11"/>
        <v>1636006</v>
      </c>
      <c r="D64" s="10">
        <f t="shared" si="11"/>
        <v>3486405</v>
      </c>
      <c r="E64" s="32">
        <f t="shared" si="11"/>
        <v>-5817686</v>
      </c>
      <c r="F64" s="10">
        <f t="shared" si="11"/>
        <v>4368984</v>
      </c>
      <c r="G64" s="10">
        <f t="shared" si="11"/>
        <v>-703375</v>
      </c>
      <c r="H64" s="10">
        <f t="shared" si="8"/>
        <v>5175241</v>
      </c>
      <c r="I64" s="10">
        <f t="shared" ref="I64:N64" si="12">I28-I63</f>
        <v>3157632</v>
      </c>
      <c r="J64" s="10">
        <f t="shared" si="12"/>
        <v>3512912</v>
      </c>
      <c r="K64" s="10">
        <f t="shared" si="12"/>
        <v>-11292394</v>
      </c>
      <c r="L64" s="10">
        <f t="shared" si="12"/>
        <v>512066</v>
      </c>
      <c r="M64" s="10">
        <f t="shared" si="12"/>
        <v>3778635</v>
      </c>
      <c r="N64" s="10">
        <f t="shared" si="12"/>
        <v>3226065</v>
      </c>
      <c r="O64" s="10">
        <f t="shared" si="2"/>
        <v>2894916</v>
      </c>
      <c r="P64" s="10">
        <f t="shared" si="3"/>
        <v>8070157</v>
      </c>
    </row>
    <row r="65" spans="1:16" x14ac:dyDescent="0.15">
      <c r="A65" s="23" t="s">
        <v>126</v>
      </c>
      <c r="B65" s="14">
        <v>90</v>
      </c>
      <c r="C65" s="14"/>
      <c r="D65" s="14"/>
      <c r="E65" s="14"/>
      <c r="F65" s="14">
        <f>943-90</f>
        <v>853</v>
      </c>
      <c r="G65" s="14">
        <v>14</v>
      </c>
      <c r="H65" s="10">
        <f t="shared" si="8"/>
        <v>957</v>
      </c>
      <c r="I65" s="14">
        <v>69</v>
      </c>
      <c r="J65" s="14"/>
      <c r="K65" s="14"/>
      <c r="L65" s="14"/>
      <c r="M65" s="14">
        <f>1978-1026</f>
        <v>952</v>
      </c>
      <c r="N65" s="14">
        <f>8+365+114</f>
        <v>487</v>
      </c>
      <c r="O65" s="10">
        <f t="shared" si="2"/>
        <v>1508</v>
      </c>
      <c r="P65" s="10">
        <f t="shared" si="3"/>
        <v>2465</v>
      </c>
    </row>
    <row r="66" spans="1:16" x14ac:dyDescent="0.15">
      <c r="A66" s="23" t="s">
        <v>127</v>
      </c>
      <c r="B66" s="14">
        <v>82227</v>
      </c>
      <c r="C66" s="9">
        <f>166258-82227+378</f>
        <v>84409</v>
      </c>
      <c r="D66" s="9">
        <f>40777+39638+1079+51120+3402</f>
        <v>136016</v>
      </c>
      <c r="E66" s="9">
        <f>44301+43159+78636+6</f>
        <v>166102</v>
      </c>
      <c r="F66" s="9">
        <f>38444+37538+6+3000+3000</f>
        <v>81988</v>
      </c>
      <c r="G66" s="9">
        <v>81097</v>
      </c>
      <c r="H66" s="10">
        <f t="shared" si="8"/>
        <v>631839</v>
      </c>
      <c r="I66" s="14">
        <f>41347+40563</f>
        <v>81910</v>
      </c>
      <c r="J66" s="14">
        <f>36984+36371</f>
        <v>73355</v>
      </c>
      <c r="K66" s="14">
        <f>39015+38464+111554+6000</f>
        <v>195033</v>
      </c>
      <c r="L66" s="14">
        <f>797099-720556+3000</f>
        <v>79543</v>
      </c>
      <c r="M66" s="14">
        <f>34300+33990</f>
        <v>68290</v>
      </c>
      <c r="N66" s="14">
        <f>37454+37216+10900</f>
        <v>85570</v>
      </c>
      <c r="O66" s="10">
        <f t="shared" si="2"/>
        <v>583701</v>
      </c>
      <c r="P66" s="10">
        <f t="shared" si="3"/>
        <v>1215540</v>
      </c>
    </row>
    <row r="67" spans="1:16" x14ac:dyDescent="0.15">
      <c r="A67" s="8" t="s">
        <v>60</v>
      </c>
      <c r="B67" s="15">
        <f t="shared" ref="B67:G67" si="13">B64+B65-B66</f>
        <v>2122770</v>
      </c>
      <c r="C67" s="15">
        <f t="shared" si="13"/>
        <v>1551597</v>
      </c>
      <c r="D67" s="15">
        <f t="shared" si="13"/>
        <v>3350389</v>
      </c>
      <c r="E67" s="33">
        <f t="shared" si="13"/>
        <v>-5983788</v>
      </c>
      <c r="F67" s="15">
        <f t="shared" si="13"/>
        <v>4287849</v>
      </c>
      <c r="G67" s="15">
        <f t="shared" si="13"/>
        <v>-784458</v>
      </c>
      <c r="H67" s="10">
        <f t="shared" si="8"/>
        <v>4544359</v>
      </c>
      <c r="I67" s="15">
        <f t="shared" ref="I67:N67" si="14">I64+I65-I66</f>
        <v>3075791</v>
      </c>
      <c r="J67" s="15">
        <f t="shared" si="14"/>
        <v>3439557</v>
      </c>
      <c r="K67" s="15">
        <f t="shared" si="14"/>
        <v>-11487427</v>
      </c>
      <c r="L67" s="15">
        <f t="shared" si="14"/>
        <v>432523</v>
      </c>
      <c r="M67" s="15">
        <f t="shared" si="14"/>
        <v>3711297</v>
      </c>
      <c r="N67" s="15">
        <f t="shared" si="14"/>
        <v>3140982</v>
      </c>
      <c r="O67" s="10">
        <f t="shared" si="2"/>
        <v>2312723</v>
      </c>
      <c r="P67" s="10">
        <f t="shared" si="3"/>
        <v>6857082</v>
      </c>
    </row>
    <row r="68" spans="1:16" x14ac:dyDescent="0.15">
      <c r="A68" s="26" t="s">
        <v>116</v>
      </c>
      <c r="B68" s="14">
        <v>416000</v>
      </c>
      <c r="C68" s="14">
        <v>416000</v>
      </c>
      <c r="D68" s="14">
        <v>416000</v>
      </c>
      <c r="E68" s="14">
        <v>416000</v>
      </c>
      <c r="F68" s="14">
        <v>416000</v>
      </c>
      <c r="G68" s="14">
        <v>416000</v>
      </c>
      <c r="H68" s="10">
        <f t="shared" si="8"/>
        <v>2496000</v>
      </c>
      <c r="I68" s="4">
        <v>416000</v>
      </c>
      <c r="J68" s="4">
        <v>416000</v>
      </c>
      <c r="K68" s="9">
        <v>416000</v>
      </c>
      <c r="L68" s="9">
        <v>416000</v>
      </c>
      <c r="M68" s="9">
        <v>416000</v>
      </c>
      <c r="N68" s="9">
        <v>416000</v>
      </c>
      <c r="O68" s="14">
        <f t="shared" si="2"/>
        <v>2496000</v>
      </c>
      <c r="P68" s="9">
        <f t="shared" si="3"/>
        <v>4992000</v>
      </c>
    </row>
  </sheetData>
  <mergeCells count="1">
    <mergeCell ref="C1:H1"/>
  </mergeCells>
  <phoneticPr fontId="3"/>
  <pageMargins left="0.51181102362204722" right="0.19685039370078741" top="7.874015748031496E-2" bottom="0" header="0.23622047244094491" footer="0.27559055118110237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CD29-2E61-42E2-BA40-84336C93EBEC}">
  <dimension ref="A1:P68"/>
  <sheetViews>
    <sheetView topLeftCell="D1" workbookViewId="0">
      <selection activeCell="G3" sqref="G3"/>
    </sheetView>
  </sheetViews>
  <sheetFormatPr defaultRowHeight="13.5" x14ac:dyDescent="0.15"/>
  <cols>
    <col min="1" max="1" width="18.75" customWidth="1"/>
    <col min="2" max="6" width="11" customWidth="1"/>
    <col min="7" max="7" width="12" customWidth="1"/>
    <col min="8" max="8" width="12.25" customWidth="1"/>
    <col min="9" max="10" width="12.125" customWidth="1"/>
    <col min="11" max="11" width="12" customWidth="1"/>
    <col min="12" max="12" width="12.25" customWidth="1"/>
    <col min="13" max="13" width="12" customWidth="1"/>
    <col min="14" max="14" width="12.625" customWidth="1"/>
    <col min="15" max="15" width="12.25" customWidth="1"/>
    <col min="16" max="16" width="13.875" customWidth="1"/>
  </cols>
  <sheetData>
    <row r="1" spans="1:16" ht="15.75" customHeight="1" x14ac:dyDescent="0.2">
      <c r="C1" s="30" t="s">
        <v>258</v>
      </c>
      <c r="D1" s="30"/>
      <c r="E1" s="30"/>
      <c r="F1" s="30"/>
      <c r="G1" s="30"/>
      <c r="H1" s="30"/>
    </row>
    <row r="2" spans="1:16" ht="12" customHeight="1" x14ac:dyDescent="0.15">
      <c r="A2" s="1" t="s">
        <v>43</v>
      </c>
      <c r="B2" s="2" t="s">
        <v>159</v>
      </c>
      <c r="C2" s="1" t="s">
        <v>160</v>
      </c>
      <c r="D2" s="2" t="s">
        <v>161</v>
      </c>
      <c r="E2" s="1" t="s">
        <v>162</v>
      </c>
      <c r="F2" s="2" t="s">
        <v>163</v>
      </c>
      <c r="G2" s="1" t="s">
        <v>164</v>
      </c>
      <c r="H2" s="1" t="s">
        <v>39</v>
      </c>
      <c r="I2" s="1" t="s">
        <v>165</v>
      </c>
      <c r="J2" s="1" t="s">
        <v>166</v>
      </c>
      <c r="K2" s="1" t="s">
        <v>254</v>
      </c>
      <c r="L2" s="1" t="s">
        <v>255</v>
      </c>
      <c r="M2" s="1" t="s">
        <v>256</v>
      </c>
      <c r="N2" s="1" t="s">
        <v>257</v>
      </c>
      <c r="O2" s="1" t="s">
        <v>41</v>
      </c>
      <c r="P2" s="1" t="s">
        <v>42</v>
      </c>
    </row>
    <row r="3" spans="1:16" x14ac:dyDescent="0.15">
      <c r="A3" s="24" t="s">
        <v>123</v>
      </c>
      <c r="B3" s="5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15">
      <c r="A4" s="19" t="s">
        <v>0</v>
      </c>
      <c r="B4" s="10">
        <f>SUM(B5:B7)</f>
        <v>247000</v>
      </c>
      <c r="C4" s="10">
        <f t="shared" ref="C4:N4" si="0">SUM(C5:C7)</f>
        <v>35000</v>
      </c>
      <c r="D4" s="10">
        <f t="shared" si="0"/>
        <v>24000</v>
      </c>
      <c r="E4" s="10">
        <f t="shared" si="0"/>
        <v>13000</v>
      </c>
      <c r="F4" s="10">
        <f t="shared" si="0"/>
        <v>25000</v>
      </c>
      <c r="G4" s="10">
        <f t="shared" si="0"/>
        <v>22000</v>
      </c>
      <c r="H4" s="10">
        <f t="shared" ref="H4:H28" si="1">SUM(B4:G4)</f>
        <v>366000</v>
      </c>
      <c r="I4" s="10">
        <f t="shared" si="0"/>
        <v>14000</v>
      </c>
      <c r="J4" s="10">
        <f t="shared" si="0"/>
        <v>5000</v>
      </c>
      <c r="K4" s="10">
        <f t="shared" si="0"/>
        <v>11000</v>
      </c>
      <c r="L4" s="10">
        <f t="shared" si="0"/>
        <v>9000</v>
      </c>
      <c r="M4" s="10">
        <f t="shared" si="0"/>
        <v>6000</v>
      </c>
      <c r="N4" s="10">
        <f t="shared" si="0"/>
        <v>6000</v>
      </c>
      <c r="O4" s="10">
        <f>SUM(I4:N4)</f>
        <v>51000</v>
      </c>
      <c r="P4" s="10">
        <f>H4+O4</f>
        <v>417000</v>
      </c>
    </row>
    <row r="5" spans="1:16" ht="12.95" customHeight="1" x14ac:dyDescent="0.15">
      <c r="A5" s="21" t="s">
        <v>1</v>
      </c>
      <c r="B5" s="14">
        <f>'23年度'!B5+'24年度 '!B5</f>
        <v>169000</v>
      </c>
      <c r="C5" s="14">
        <f>'23年度'!C5+'24年度 '!C5</f>
        <v>2000</v>
      </c>
      <c r="D5" s="14">
        <f>'23年度'!D5+'24年度 '!D5</f>
        <v>1000</v>
      </c>
      <c r="E5" s="14">
        <f>'23年度'!E5+'24年度 '!E5</f>
        <v>3000</v>
      </c>
      <c r="F5" s="14">
        <f>'23年度'!F5+'24年度 '!F5</f>
        <v>0</v>
      </c>
      <c r="G5" s="14">
        <f>'23年度'!G5+'24年度 '!G5</f>
        <v>4000</v>
      </c>
      <c r="H5" s="14">
        <f t="shared" si="1"/>
        <v>179000</v>
      </c>
      <c r="I5" s="14">
        <f>'23年度'!I5+'24年度 '!I5</f>
        <v>4000</v>
      </c>
      <c r="J5" s="14">
        <f>'23年度'!J5+'24年度 '!J5</f>
        <v>0</v>
      </c>
      <c r="K5" s="14">
        <f>'23年度'!K5+'24年度 '!K5</f>
        <v>2000</v>
      </c>
      <c r="L5" s="14">
        <f>'23年度'!L5+'24年度 '!L5</f>
        <v>1000</v>
      </c>
      <c r="M5" s="14">
        <f>'23年度'!M5+'24年度 '!M5</f>
        <v>0</v>
      </c>
      <c r="N5" s="14">
        <f>'23年度'!N5+'24年度 '!N5</f>
        <v>0</v>
      </c>
      <c r="O5" s="9">
        <f t="shared" ref="O5:O68" si="2">SUM(I5:N5)</f>
        <v>7000</v>
      </c>
      <c r="P5" s="9">
        <f t="shared" ref="P5:P68" si="3">H5+O5</f>
        <v>186000</v>
      </c>
    </row>
    <row r="6" spans="1:16" ht="12.95" customHeight="1" x14ac:dyDescent="0.15">
      <c r="A6" s="21" t="s">
        <v>2</v>
      </c>
      <c r="B6" s="14">
        <f>'23年度'!B6+'24年度 '!B6</f>
        <v>59000</v>
      </c>
      <c r="C6" s="14">
        <f>'23年度'!C6+'24年度 '!C6</f>
        <v>28000</v>
      </c>
      <c r="D6" s="14">
        <f>'23年度'!D6+'24年度 '!D6</f>
        <v>15000</v>
      </c>
      <c r="E6" s="14">
        <f>'23年度'!E6+'24年度 '!E6</f>
        <v>8000</v>
      </c>
      <c r="F6" s="14">
        <f>'23年度'!F6+'24年度 '!F6</f>
        <v>20000</v>
      </c>
      <c r="G6" s="14">
        <f>'23年度'!G6+'24年度 '!G6</f>
        <v>12000</v>
      </c>
      <c r="H6" s="14">
        <f t="shared" si="1"/>
        <v>142000</v>
      </c>
      <c r="I6" s="14">
        <f>'23年度'!I6+'24年度 '!I6</f>
        <v>4000</v>
      </c>
      <c r="J6" s="14">
        <f>'23年度'!J6+'24年度 '!J6</f>
        <v>4000</v>
      </c>
      <c r="K6" s="14">
        <f>'23年度'!K6+'24年度 '!K6</f>
        <v>9000</v>
      </c>
      <c r="L6" s="14">
        <f>'23年度'!L6+'24年度 '!L6</f>
        <v>7000</v>
      </c>
      <c r="M6" s="14">
        <f>'23年度'!M6+'24年度 '!M6</f>
        <v>5000</v>
      </c>
      <c r="N6" s="14">
        <f>'23年度'!N6+'24年度 '!N6</f>
        <v>4000</v>
      </c>
      <c r="O6" s="9">
        <f t="shared" si="2"/>
        <v>33000</v>
      </c>
      <c r="P6" s="9">
        <f t="shared" si="3"/>
        <v>175000</v>
      </c>
    </row>
    <row r="7" spans="1:16" ht="12.95" customHeight="1" x14ac:dyDescent="0.15">
      <c r="A7" s="21" t="s">
        <v>3</v>
      </c>
      <c r="B7" s="14">
        <f>'23年度'!B7+'24年度 '!B7</f>
        <v>19000</v>
      </c>
      <c r="C7" s="14">
        <f>'23年度'!C7+'24年度 '!C7</f>
        <v>5000</v>
      </c>
      <c r="D7" s="14">
        <f>'23年度'!D7+'24年度 '!D7</f>
        <v>8000</v>
      </c>
      <c r="E7" s="14">
        <f>'23年度'!E7+'24年度 '!E7</f>
        <v>2000</v>
      </c>
      <c r="F7" s="14">
        <f>'23年度'!F7+'24年度 '!F7</f>
        <v>5000</v>
      </c>
      <c r="G7" s="14">
        <f>'23年度'!G7+'24年度 '!G7</f>
        <v>6000</v>
      </c>
      <c r="H7" s="14">
        <f t="shared" si="1"/>
        <v>45000</v>
      </c>
      <c r="I7" s="14">
        <f>'23年度'!I7+'24年度 '!I7</f>
        <v>6000</v>
      </c>
      <c r="J7" s="14">
        <f>'23年度'!J7+'24年度 '!J7</f>
        <v>1000</v>
      </c>
      <c r="K7" s="14">
        <f>'23年度'!K7+'24年度 '!K7</f>
        <v>0</v>
      </c>
      <c r="L7" s="14">
        <f>'23年度'!L7+'24年度 '!L7</f>
        <v>1000</v>
      </c>
      <c r="M7" s="14">
        <f>'23年度'!M7+'24年度 '!M7</f>
        <v>1000</v>
      </c>
      <c r="N7" s="14">
        <f>'23年度'!N7+'24年度 '!N7</f>
        <v>2000</v>
      </c>
      <c r="O7" s="9">
        <f t="shared" si="2"/>
        <v>11000</v>
      </c>
      <c r="P7" s="9">
        <f t="shared" si="3"/>
        <v>56000</v>
      </c>
    </row>
    <row r="8" spans="1:16" x14ac:dyDescent="0.15">
      <c r="A8" s="19" t="s">
        <v>4</v>
      </c>
      <c r="B8" s="10">
        <f t="shared" ref="B8:N8" si="4">SUM(B9:B24)</f>
        <v>35144557</v>
      </c>
      <c r="C8" s="10">
        <f t="shared" si="4"/>
        <v>35137079</v>
      </c>
      <c r="D8" s="10">
        <f t="shared" si="4"/>
        <v>36108055</v>
      </c>
      <c r="E8" s="10">
        <f t="shared" si="4"/>
        <v>37033436</v>
      </c>
      <c r="F8" s="10">
        <f t="shared" si="4"/>
        <v>38519769</v>
      </c>
      <c r="G8" s="10">
        <f t="shared" si="4"/>
        <v>34846154</v>
      </c>
      <c r="H8" s="10">
        <f t="shared" si="1"/>
        <v>216789050</v>
      </c>
      <c r="I8" s="10">
        <f t="shared" si="4"/>
        <v>36779299</v>
      </c>
      <c r="J8" s="10">
        <f t="shared" si="4"/>
        <v>34615314</v>
      </c>
      <c r="K8" s="10">
        <f t="shared" si="4"/>
        <v>33661068</v>
      </c>
      <c r="L8" s="10">
        <f t="shared" si="4"/>
        <v>31593114</v>
      </c>
      <c r="M8" s="10">
        <f t="shared" si="4"/>
        <v>32457088</v>
      </c>
      <c r="N8" s="10">
        <f t="shared" si="4"/>
        <v>38132978</v>
      </c>
      <c r="O8" s="10">
        <f t="shared" si="2"/>
        <v>207238861</v>
      </c>
      <c r="P8" s="10">
        <f t="shared" si="3"/>
        <v>424027911</v>
      </c>
    </row>
    <row r="9" spans="1:16" ht="12.95" customHeight="1" x14ac:dyDescent="0.15">
      <c r="A9" s="27" t="s">
        <v>94</v>
      </c>
      <c r="B9" s="14">
        <f>'23年度'!B9+'24年度 '!B9</f>
        <v>5119000</v>
      </c>
      <c r="C9" s="14">
        <f>'23年度'!C9+'24年度 '!C9</f>
        <v>5099000</v>
      </c>
      <c r="D9" s="14">
        <f>'23年度'!D9+'24年度 '!D9</f>
        <v>5252500</v>
      </c>
      <c r="E9" s="14">
        <f>'23年度'!E9+'24年度 '!E9</f>
        <v>5304000</v>
      </c>
      <c r="F9" s="14">
        <f>'23年度'!F9+'24年度 '!F9</f>
        <v>5377000</v>
      </c>
      <c r="G9" s="14">
        <f>'23年度'!G9+'24年度 '!G9</f>
        <v>5269500</v>
      </c>
      <c r="H9" s="14">
        <f t="shared" si="1"/>
        <v>31421000</v>
      </c>
      <c r="I9" s="14">
        <f>'23年度'!I9+'24年度 '!I9</f>
        <v>5439500</v>
      </c>
      <c r="J9" s="14">
        <f>'23年度'!J9+'24年度 '!J9</f>
        <v>5332000</v>
      </c>
      <c r="K9" s="14">
        <f>'23年度'!K9+'24年度 '!K9</f>
        <v>5300500</v>
      </c>
      <c r="L9" s="14">
        <f>'23年度'!L9+'24年度 '!L9</f>
        <v>5135000</v>
      </c>
      <c r="M9" s="14">
        <f>'23年度'!M9+'24年度 '!M9</f>
        <v>5098500</v>
      </c>
      <c r="N9" s="14">
        <f>'23年度'!N9+'24年度 '!N9</f>
        <v>5215500</v>
      </c>
      <c r="O9" s="9">
        <f t="shared" si="2"/>
        <v>31521000</v>
      </c>
      <c r="P9" s="9">
        <f t="shared" si="3"/>
        <v>62942000</v>
      </c>
    </row>
    <row r="10" spans="1:16" ht="12.95" customHeight="1" x14ac:dyDescent="0.15">
      <c r="A10" s="20" t="s">
        <v>128</v>
      </c>
      <c r="B10" s="14">
        <f>'23年度'!B10+'24年度 '!B10</f>
        <v>90000</v>
      </c>
      <c r="C10" s="14">
        <f>'23年度'!C10+'24年度 '!C10</f>
        <v>145000</v>
      </c>
      <c r="D10" s="14">
        <f>'23年度'!D10+'24年度 '!D10</f>
        <v>112500</v>
      </c>
      <c r="E10" s="14">
        <f>'23年度'!E10+'24年度 '!E10</f>
        <v>135500</v>
      </c>
      <c r="F10" s="14">
        <f>'23年度'!F10+'24年度 '!F10</f>
        <v>182500</v>
      </c>
      <c r="G10" s="14">
        <f>'23年度'!G10+'24年度 '!G10</f>
        <v>120500</v>
      </c>
      <c r="H10" s="14">
        <f t="shared" si="1"/>
        <v>786000</v>
      </c>
      <c r="I10" s="14">
        <f>'23年度'!I10+'24年度 '!I10</f>
        <v>90000</v>
      </c>
      <c r="J10" s="14">
        <f>'23年度'!J10+'24年度 '!J10</f>
        <v>105000</v>
      </c>
      <c r="K10" s="14">
        <f>'23年度'!K10+'24年度 '!K10</f>
        <v>80000</v>
      </c>
      <c r="L10" s="14">
        <f>'23年度'!L10+'24年度 '!L10</f>
        <v>112500</v>
      </c>
      <c r="M10" s="14">
        <f>'23年度'!M10+'24年度 '!M10</f>
        <v>95000</v>
      </c>
      <c r="N10" s="14">
        <f>'23年度'!N10+'24年度 '!N10</f>
        <v>217500</v>
      </c>
      <c r="O10" s="9">
        <f t="shared" si="2"/>
        <v>700000</v>
      </c>
      <c r="P10" s="9">
        <f t="shared" si="3"/>
        <v>1486000</v>
      </c>
    </row>
    <row r="11" spans="1:16" ht="12.95" customHeight="1" x14ac:dyDescent="0.15">
      <c r="A11" s="20" t="s">
        <v>129</v>
      </c>
      <c r="B11" s="14">
        <f>'23年度'!B11+'24年度 '!B11</f>
        <v>333360</v>
      </c>
      <c r="C11" s="14">
        <f>'23年度'!C11+'24年度 '!C11</f>
        <v>336360</v>
      </c>
      <c r="D11" s="14">
        <f>'23年度'!D11+'24年度 '!D11</f>
        <v>329240</v>
      </c>
      <c r="E11" s="14">
        <f>'23年度'!E11+'24年度 '!E11</f>
        <v>340840</v>
      </c>
      <c r="F11" s="14">
        <f>'23年度'!F11+'24年度 '!F11</f>
        <v>347960</v>
      </c>
      <c r="G11" s="14">
        <f>'23年度'!G11+'24年度 '!G11</f>
        <v>335600</v>
      </c>
      <c r="H11" s="14">
        <f t="shared" si="1"/>
        <v>2023360</v>
      </c>
      <c r="I11" s="14">
        <f>'23年度'!I11+'24年度 '!I11</f>
        <v>316120</v>
      </c>
      <c r="J11" s="14">
        <f>'23年度'!J11+'24年度 '!J11</f>
        <v>324000</v>
      </c>
      <c r="K11" s="14">
        <f>'23年度'!K11+'24年度 '!K11</f>
        <v>329240</v>
      </c>
      <c r="L11" s="14">
        <f>'23年度'!L11+'24年度 '!L11</f>
        <v>319120</v>
      </c>
      <c r="M11" s="14">
        <f>'23年度'!M11+'24年度 '!M11</f>
        <v>335240</v>
      </c>
      <c r="N11" s="14">
        <f>'23年度'!N11+'24年度 '!N11</f>
        <v>331480</v>
      </c>
      <c r="O11" s="9">
        <f t="shared" si="2"/>
        <v>1955200</v>
      </c>
      <c r="P11" s="9">
        <f t="shared" si="3"/>
        <v>3978560</v>
      </c>
    </row>
    <row r="12" spans="1:16" ht="12.95" customHeight="1" x14ac:dyDescent="0.15">
      <c r="A12" s="27" t="s">
        <v>95</v>
      </c>
      <c r="B12" s="14">
        <f>'23年度'!B12+'24年度 '!B12</f>
        <v>17894430</v>
      </c>
      <c r="C12" s="14">
        <f>'23年度'!C12+'24年度 '!C12</f>
        <v>18256290</v>
      </c>
      <c r="D12" s="14">
        <f>'23年度'!D12+'24年度 '!D12</f>
        <v>19180140</v>
      </c>
      <c r="E12" s="14">
        <f>'23年度'!E12+'24年度 '!E12</f>
        <v>19295420</v>
      </c>
      <c r="F12" s="14">
        <f>'23年度'!F12+'24年度 '!F12</f>
        <v>20317320</v>
      </c>
      <c r="G12" s="14">
        <f>'23年度'!G12+'24年度 '!G12</f>
        <v>19045080</v>
      </c>
      <c r="H12" s="14">
        <f t="shared" si="1"/>
        <v>113988680</v>
      </c>
      <c r="I12" s="14">
        <f>'23年度'!I12+'24年度 '!I12</f>
        <v>19539960</v>
      </c>
      <c r="J12" s="14">
        <f>'23年度'!J12+'24年度 '!J12</f>
        <v>18140810</v>
      </c>
      <c r="K12" s="14">
        <f>'23年度'!K12+'24年度 '!K12</f>
        <v>17098320</v>
      </c>
      <c r="L12" s="14">
        <f>'23年度'!L12+'24年度 '!L12</f>
        <v>15309070</v>
      </c>
      <c r="M12" s="14">
        <f>'23年度'!M12+'24年度 '!M12</f>
        <v>15819580</v>
      </c>
      <c r="N12" s="14">
        <f>'23年度'!N12+'24年度 '!N12</f>
        <v>18554380</v>
      </c>
      <c r="O12" s="9">
        <f t="shared" si="2"/>
        <v>104462120</v>
      </c>
      <c r="P12" s="9">
        <f t="shared" si="3"/>
        <v>218450800</v>
      </c>
    </row>
    <row r="13" spans="1:16" ht="12.95" customHeight="1" x14ac:dyDescent="0.15">
      <c r="A13" s="20" t="s">
        <v>58</v>
      </c>
      <c r="B13" s="14">
        <f>'23年度'!B13+'24年度 '!B13</f>
        <v>990000</v>
      </c>
      <c r="C13" s="14">
        <f>'23年度'!C13+'24年度 '!C13</f>
        <v>1011500</v>
      </c>
      <c r="D13" s="14">
        <f>'23年度'!D13+'24年度 '!D13</f>
        <v>1062000</v>
      </c>
      <c r="E13" s="14">
        <f>'23年度'!E13+'24年度 '!E13</f>
        <v>1073000</v>
      </c>
      <c r="F13" s="14">
        <f>'23年度'!F13+'24年度 '!F13</f>
        <v>1129000</v>
      </c>
      <c r="G13" s="14">
        <f>'23年度'!G13+'24年度 '!G13</f>
        <v>1062500</v>
      </c>
      <c r="H13" s="14">
        <f t="shared" si="1"/>
        <v>6328000</v>
      </c>
      <c r="I13" s="14">
        <f>'23年度'!I13+'24年度 '!I13</f>
        <v>1091000</v>
      </c>
      <c r="J13" s="14">
        <f>'23年度'!J13+'24年度 '!J13</f>
        <v>1026000</v>
      </c>
      <c r="K13" s="14">
        <f>'23年度'!K13+'24年度 '!K13</f>
        <v>964000</v>
      </c>
      <c r="L13" s="14">
        <f>'23年度'!L13+'24年度 '!L13</f>
        <v>860000</v>
      </c>
      <c r="M13" s="14">
        <f>'23年度'!M13+'24年度 '!M13</f>
        <v>887500</v>
      </c>
      <c r="N13" s="14">
        <f>'23年度'!N13+'24年度 '!N13</f>
        <v>1033000</v>
      </c>
      <c r="O13" s="9">
        <f t="shared" si="2"/>
        <v>5861500</v>
      </c>
      <c r="P13" s="9">
        <f t="shared" si="3"/>
        <v>12189500</v>
      </c>
    </row>
    <row r="14" spans="1:16" ht="12.95" customHeight="1" x14ac:dyDescent="0.15">
      <c r="A14" s="27" t="s">
        <v>96</v>
      </c>
      <c r="B14" s="14">
        <f>'23年度'!B14+'24年度 '!B14</f>
        <v>2529630</v>
      </c>
      <c r="C14" s="14">
        <f>'23年度'!C14+'24年度 '!C14</f>
        <v>2617120</v>
      </c>
      <c r="D14" s="14">
        <f>'23年度'!D14+'24年度 '!D14</f>
        <v>2624610</v>
      </c>
      <c r="E14" s="14">
        <f>'23年度'!E14+'24年度 '!E14</f>
        <v>2418980</v>
      </c>
      <c r="F14" s="14">
        <f>'23年度'!F14+'24年度 '!F14</f>
        <v>2301360</v>
      </c>
      <c r="G14" s="14">
        <f>'23年度'!G14+'24年度 '!G14</f>
        <v>2127460</v>
      </c>
      <c r="H14" s="14">
        <f t="shared" si="1"/>
        <v>14619160</v>
      </c>
      <c r="I14" s="14">
        <f>'23年度'!I14+'24年度 '!I14</f>
        <v>2216280</v>
      </c>
      <c r="J14" s="14">
        <f>'23年度'!J14+'24年度 '!J14</f>
        <v>2236080</v>
      </c>
      <c r="K14" s="14">
        <f>'23年度'!K14+'24年度 '!K14</f>
        <v>2226460</v>
      </c>
      <c r="L14" s="14">
        <f>'23年度'!L14+'24年度 '!L14</f>
        <v>2040780</v>
      </c>
      <c r="M14" s="14">
        <f>'23年度'!M14+'24年度 '!M14</f>
        <v>1995690</v>
      </c>
      <c r="N14" s="14">
        <f>'23年度'!N14+'24年度 '!N14</f>
        <v>1992760</v>
      </c>
      <c r="O14" s="9">
        <f t="shared" si="2"/>
        <v>12708050</v>
      </c>
      <c r="P14" s="9">
        <f t="shared" si="3"/>
        <v>27327210</v>
      </c>
    </row>
    <row r="15" spans="1:16" ht="12.95" customHeight="1" x14ac:dyDescent="0.15">
      <c r="A15" s="20" t="s">
        <v>59</v>
      </c>
      <c r="B15" s="14">
        <f>'23年度'!B15+'24年度 '!B15</f>
        <v>183000</v>
      </c>
      <c r="C15" s="14">
        <f>'23年度'!C15+'24年度 '!C15</f>
        <v>204000</v>
      </c>
      <c r="D15" s="14">
        <f>'23年度'!D15+'24年度 '!D15</f>
        <v>197500</v>
      </c>
      <c r="E15" s="14">
        <f>'23年度'!E15+'24年度 '!E15</f>
        <v>184000</v>
      </c>
      <c r="F15" s="14">
        <f>'23年度'!F15+'24年度 '!F15</f>
        <v>171000</v>
      </c>
      <c r="G15" s="14">
        <f>'23年度'!G15+'24年度 '!G15</f>
        <v>159000</v>
      </c>
      <c r="H15" s="14">
        <f t="shared" si="1"/>
        <v>1098500</v>
      </c>
      <c r="I15" s="14">
        <f>'23年度'!I15+'24年度 '!I15</f>
        <v>171500</v>
      </c>
      <c r="J15" s="14">
        <f>'23年度'!J15+'24年度 '!J15</f>
        <v>169000</v>
      </c>
      <c r="K15" s="14">
        <f>'23年度'!K15+'24年度 '!K15</f>
        <v>164500</v>
      </c>
      <c r="L15" s="14">
        <f>'23年度'!L15+'24年度 '!L15</f>
        <v>143000</v>
      </c>
      <c r="M15" s="14">
        <f>'23年度'!M15+'24年度 '!M15</f>
        <v>146000</v>
      </c>
      <c r="N15" s="14">
        <f>'23年度'!N15+'24年度 '!N15</f>
        <v>158500</v>
      </c>
      <c r="O15" s="9">
        <f t="shared" si="2"/>
        <v>952500</v>
      </c>
      <c r="P15" s="9">
        <f t="shared" si="3"/>
        <v>2051000</v>
      </c>
    </row>
    <row r="16" spans="1:16" ht="12.95" customHeight="1" x14ac:dyDescent="0.15">
      <c r="A16" s="28" t="s">
        <v>120</v>
      </c>
      <c r="B16" s="14">
        <f>'23年度'!B16+'24年度 '!B16</f>
        <v>5088133</v>
      </c>
      <c r="C16" s="14">
        <f>'23年度'!C16+'24年度 '!C16</f>
        <v>5181730</v>
      </c>
      <c r="D16" s="14">
        <f>'23年度'!D16+'24年度 '!D16</f>
        <v>5047130</v>
      </c>
      <c r="E16" s="14">
        <f>'23年度'!E16+'24年度 '!E16</f>
        <v>5179920</v>
      </c>
      <c r="F16" s="14">
        <f>'23年度'!F16+'24年度 '!F16</f>
        <v>4949520</v>
      </c>
      <c r="G16" s="14">
        <f>'23年度'!G16+'24年度 '!G16</f>
        <v>4484800</v>
      </c>
      <c r="H16" s="14">
        <f t="shared" si="1"/>
        <v>29931233</v>
      </c>
      <c r="I16" s="14">
        <f>'23年度'!I16+'24年度 '!I16</f>
        <v>5561620</v>
      </c>
      <c r="J16" s="14">
        <f>'23年度'!J16+'24年度 '!J16</f>
        <v>4998990</v>
      </c>
      <c r="K16" s="14">
        <f>'23年度'!K16+'24年度 '!K16</f>
        <v>5232140</v>
      </c>
      <c r="L16" s="14">
        <f>'23年度'!L16+'24年度 '!L16</f>
        <v>4950930</v>
      </c>
      <c r="M16" s="14">
        <f>'23年度'!M16+'24年度 '!M16</f>
        <v>5329350</v>
      </c>
      <c r="N16" s="14">
        <f>'23年度'!N16+'24年度 '!N16</f>
        <v>5904130</v>
      </c>
      <c r="O16" s="9">
        <f t="shared" si="2"/>
        <v>31977160</v>
      </c>
      <c r="P16" s="9">
        <f t="shared" si="3"/>
        <v>61908393</v>
      </c>
    </row>
    <row r="17" spans="1:16" ht="12.95" customHeight="1" x14ac:dyDescent="0.15">
      <c r="A17" s="20" t="s">
        <v>59</v>
      </c>
      <c r="B17" s="14">
        <f>'23年度'!B17+'24年度 '!B17</f>
        <v>192500</v>
      </c>
      <c r="C17" s="14">
        <f>'23年度'!C17+'24年度 '!C17</f>
        <v>212000</v>
      </c>
      <c r="D17" s="14">
        <f>'23年度'!D17+'24年度 '!D17</f>
        <v>208000</v>
      </c>
      <c r="E17" s="14">
        <f>'23年度'!E17+'24年度 '!E17</f>
        <v>204500</v>
      </c>
      <c r="F17" s="14">
        <f>'23年度'!F17+'24年度 '!F17</f>
        <v>195500</v>
      </c>
      <c r="G17" s="14">
        <f>'23年度'!G17+'24年度 '!G17</f>
        <v>174000</v>
      </c>
      <c r="H17" s="14">
        <f t="shared" si="1"/>
        <v>1186500</v>
      </c>
      <c r="I17" s="14">
        <f>'23年度'!I17+'24年度 '!I17</f>
        <v>210000</v>
      </c>
      <c r="J17" s="14">
        <f>'23年度'!J17+'24年度 '!J17</f>
        <v>187500</v>
      </c>
      <c r="K17" s="14">
        <f>'23年度'!K17+'24年度 '!K17</f>
        <v>195500</v>
      </c>
      <c r="L17" s="14">
        <f>'23年度'!L17+'24年度 '!L17</f>
        <v>185000</v>
      </c>
      <c r="M17" s="14">
        <f>'23年度'!M17+'24年度 '!M17</f>
        <v>202000</v>
      </c>
      <c r="N17" s="14">
        <f>'23年度'!N17+'24年度 '!N17</f>
        <v>228000</v>
      </c>
      <c r="O17" s="9">
        <f t="shared" si="2"/>
        <v>1208000</v>
      </c>
      <c r="P17" s="9">
        <f t="shared" si="3"/>
        <v>2394500</v>
      </c>
    </row>
    <row r="18" spans="1:16" ht="12.95" customHeight="1" x14ac:dyDescent="0.15">
      <c r="A18" s="31" t="s">
        <v>185</v>
      </c>
      <c r="B18" s="14">
        <f>'23年度'!B18+'24年度 '!B18</f>
        <v>263304</v>
      </c>
      <c r="C18" s="14">
        <f>'23年度'!C18+'24年度 '!C18</f>
        <v>274379</v>
      </c>
      <c r="D18" s="14">
        <f>'23年度'!D18+'24年度 '!D18</f>
        <v>286135</v>
      </c>
      <c r="E18" s="14">
        <f>'23年度'!E18+'24年度 '!E18</f>
        <v>288476</v>
      </c>
      <c r="F18" s="14">
        <f>'23年度'!F18+'24年度 '!F18</f>
        <v>291259</v>
      </c>
      <c r="G18" s="14">
        <f>'23年度'!G18+'24年度 '!G18</f>
        <v>268514</v>
      </c>
      <c r="H18" s="14">
        <f t="shared" si="1"/>
        <v>1672067</v>
      </c>
      <c r="I18" s="14">
        <f>'23年度'!I18+'24年度 '!I18</f>
        <v>294469</v>
      </c>
      <c r="J18" s="14">
        <f>'23年度'!J18+'24年度 '!J18</f>
        <v>277534</v>
      </c>
      <c r="K18" s="14">
        <f>'23年度'!K18+'24年度 '!K18</f>
        <v>268608</v>
      </c>
      <c r="L18" s="14">
        <f>'23年度'!L18+'24年度 '!L18</f>
        <v>235889</v>
      </c>
      <c r="M18" s="14">
        <f>'23年度'!M18+'24年度 '!M18</f>
        <v>245453</v>
      </c>
      <c r="N18" s="14">
        <f>'23年度'!N18+'24年度 '!N18</f>
        <v>284128</v>
      </c>
      <c r="O18" s="9">
        <f t="shared" si="2"/>
        <v>1606081</v>
      </c>
      <c r="P18" s="9">
        <f t="shared" si="3"/>
        <v>3278148</v>
      </c>
    </row>
    <row r="19" spans="1:16" ht="12.95" customHeight="1" x14ac:dyDescent="0.15">
      <c r="A19" s="27" t="s">
        <v>119</v>
      </c>
      <c r="B19" s="14">
        <f>'23年度'!B19+'24年度 '!B19</f>
        <v>101000</v>
      </c>
      <c r="C19" s="14">
        <f>'23年度'!C19+'24年度 '!C19</f>
        <v>92000</v>
      </c>
      <c r="D19" s="14">
        <f>'23年度'!D19+'24年度 '!D19</f>
        <v>106000</v>
      </c>
      <c r="E19" s="14">
        <f>'23年度'!E19+'24年度 '!E19</f>
        <v>91000</v>
      </c>
      <c r="F19" s="14">
        <f>'23年度'!F19+'24年度 '!F19</f>
        <v>109000</v>
      </c>
      <c r="G19" s="14">
        <f>'23年度'!G19+'24年度 '!G19</f>
        <v>114000</v>
      </c>
      <c r="H19" s="14">
        <f t="shared" si="1"/>
        <v>613000</v>
      </c>
      <c r="I19" s="14">
        <f>'23年度'!I19+'24年度 '!I19</f>
        <v>122000</v>
      </c>
      <c r="J19" s="14">
        <f>'23年度'!J19+'24年度 '!J19</f>
        <v>115400</v>
      </c>
      <c r="K19" s="14">
        <f>'23年度'!K19+'24年度 '!K19</f>
        <v>100800</v>
      </c>
      <c r="L19" s="14">
        <f>'23年度'!L19+'24年度 '!L19</f>
        <v>83400</v>
      </c>
      <c r="M19" s="14">
        <f>'23年度'!M19+'24年度 '!M19</f>
        <v>101000</v>
      </c>
      <c r="N19" s="14">
        <f>'23年度'!N19+'24年度 '!N19</f>
        <v>85800</v>
      </c>
      <c r="O19" s="9">
        <f t="shared" si="2"/>
        <v>608400</v>
      </c>
      <c r="P19" s="9">
        <f t="shared" si="3"/>
        <v>1221400</v>
      </c>
    </row>
    <row r="20" spans="1:16" ht="12.95" customHeight="1" x14ac:dyDescent="0.15">
      <c r="A20" s="27" t="s">
        <v>97</v>
      </c>
      <c r="B20" s="14">
        <f>'23年度'!B20+'24年度 '!B20</f>
        <v>39350</v>
      </c>
      <c r="C20" s="14">
        <f>'23年度'!C20+'24年度 '!C20</f>
        <v>26150</v>
      </c>
      <c r="D20" s="14">
        <f>'23年度'!D20+'24年度 '!D20</f>
        <v>13400</v>
      </c>
      <c r="E20" s="14">
        <f>'23年度'!E20+'24年度 '!E20</f>
        <v>269350</v>
      </c>
      <c r="F20" s="14">
        <f>'23年度'!F20+'24年度 '!F20</f>
        <v>19750</v>
      </c>
      <c r="G20" s="14">
        <f>'23年度'!G20+'24年度 '!G20</f>
        <v>49150</v>
      </c>
      <c r="H20" s="14">
        <f t="shared" si="1"/>
        <v>417150</v>
      </c>
      <c r="I20" s="14">
        <f>'23年度'!I20+'24年度 '!I20</f>
        <v>16300</v>
      </c>
      <c r="J20" s="14">
        <f>'23年度'!J20+'24年度 '!J20</f>
        <v>65450</v>
      </c>
      <c r="K20" s="14">
        <f>'23年度'!K20+'24年度 '!K20</f>
        <v>17950</v>
      </c>
      <c r="L20" s="14">
        <f>'23年度'!L20+'24年度 '!L20</f>
        <v>10200</v>
      </c>
      <c r="M20" s="14">
        <f>'23年度'!M20+'24年度 '!M20</f>
        <v>13800</v>
      </c>
      <c r="N20" s="14">
        <f>'23年度'!N20+'24年度 '!N20</f>
        <v>20750</v>
      </c>
      <c r="O20" s="9">
        <f t="shared" si="2"/>
        <v>144450</v>
      </c>
      <c r="P20" s="14">
        <f t="shared" si="3"/>
        <v>561600</v>
      </c>
    </row>
    <row r="21" spans="1:16" ht="12.95" customHeight="1" x14ac:dyDescent="0.15">
      <c r="A21" s="27" t="s">
        <v>98</v>
      </c>
      <c r="B21" s="14">
        <f>'23年度'!B21+'24年度 '!B21</f>
        <v>222200</v>
      </c>
      <c r="C21" s="14">
        <f>'23年度'!C21+'24年度 '!C21</f>
        <v>237750</v>
      </c>
      <c r="D21" s="14">
        <f>'23年度'!D21+'24年度 '!D21</f>
        <v>224850</v>
      </c>
      <c r="E21" s="14">
        <f>'23年度'!E21+'24年度 '!E21</f>
        <v>183200</v>
      </c>
      <c r="F21" s="14">
        <f>'23年度'!F21+'24年度 '!F21</f>
        <v>226200</v>
      </c>
      <c r="G21" s="14">
        <f>'23年度'!G21+'24年度 '!G21</f>
        <v>228700</v>
      </c>
      <c r="H21" s="14">
        <f t="shared" si="1"/>
        <v>1322900</v>
      </c>
      <c r="I21" s="14">
        <f>'23年度'!I21+'24年度 '!I21</f>
        <v>263300</v>
      </c>
      <c r="J21" s="14">
        <f>'23年度'!J21+'24年度 '!J21</f>
        <v>249800</v>
      </c>
      <c r="K21" s="14">
        <f>'23年度'!K21+'24年度 '!K21</f>
        <v>164100</v>
      </c>
      <c r="L21" s="14">
        <f>'23年度'!L21+'24年度 '!L21</f>
        <v>175400</v>
      </c>
      <c r="M21" s="14">
        <f>'23年度'!M21+'24年度 '!M21</f>
        <v>136600</v>
      </c>
      <c r="N21" s="14">
        <f>'23年度'!N21+'24年度 '!N21</f>
        <v>170600</v>
      </c>
      <c r="O21" s="9">
        <f t="shared" si="2"/>
        <v>1159800</v>
      </c>
      <c r="P21" s="14">
        <f t="shared" si="3"/>
        <v>2482700</v>
      </c>
    </row>
    <row r="22" spans="1:16" ht="12.95" customHeight="1" x14ac:dyDescent="0.15">
      <c r="A22" s="27" t="s">
        <v>118</v>
      </c>
      <c r="B22" s="14">
        <f>'23年度'!B22+'24年度 '!B22</f>
        <v>259900</v>
      </c>
      <c r="C22" s="14">
        <f>'23年度'!C22+'24年度 '!C22</f>
        <v>219500</v>
      </c>
      <c r="D22" s="14">
        <f>'23年度'!D22+'24年度 '!D22</f>
        <v>248750</v>
      </c>
      <c r="E22" s="14">
        <f>'23年度'!E22+'24年度 '!E22</f>
        <v>359750</v>
      </c>
      <c r="F22" s="14">
        <f>'23年度'!F22+'24年度 '!F22</f>
        <v>531750</v>
      </c>
      <c r="G22" s="14">
        <f>'23年度'!G22+'24年度 '!G22</f>
        <v>223800</v>
      </c>
      <c r="H22" s="14">
        <f t="shared" si="1"/>
        <v>1843450</v>
      </c>
      <c r="I22" s="14">
        <f>'23年度'!I22+'24年度 '!I22</f>
        <v>248100</v>
      </c>
      <c r="J22" s="14">
        <f>'23年度'!J22+'24年度 '!J22</f>
        <v>241550</v>
      </c>
      <c r="K22" s="14">
        <f>'23年度'!K22+'24年度 '!K22</f>
        <v>253350</v>
      </c>
      <c r="L22" s="14">
        <f>'23年度'!L22+'24年度 '!L22</f>
        <v>202850</v>
      </c>
      <c r="M22" s="14">
        <f>'23年度'!M22+'24年度 '!M22</f>
        <v>216300</v>
      </c>
      <c r="N22" s="14">
        <f>'23年度'!N22+'24年度 '!N22</f>
        <v>344650</v>
      </c>
      <c r="O22" s="9">
        <f t="shared" si="2"/>
        <v>1506800</v>
      </c>
      <c r="P22" s="14">
        <f t="shared" si="3"/>
        <v>3350250</v>
      </c>
    </row>
    <row r="23" spans="1:16" ht="12.95" customHeight="1" x14ac:dyDescent="0.15">
      <c r="A23" s="27" t="s">
        <v>130</v>
      </c>
      <c r="B23" s="14">
        <f>'23年度'!B23+'24年度 '!B23</f>
        <v>1033750</v>
      </c>
      <c r="C23" s="14">
        <f>'23年度'!C23+'24年度 '!C23</f>
        <v>621300</v>
      </c>
      <c r="D23" s="14">
        <f>'23年度'!D23+'24年度 '!D23</f>
        <v>612300</v>
      </c>
      <c r="E23" s="14">
        <f>'23年度'!E23+'24年度 '!E23</f>
        <v>1102500</v>
      </c>
      <c r="F23" s="14">
        <f>'23年度'!F23+'24年度 '!F23</f>
        <v>1767650</v>
      </c>
      <c r="G23" s="14">
        <f>'23年度'!G23+'24年度 '!G23</f>
        <v>580550</v>
      </c>
      <c r="H23" s="14">
        <f t="shared" si="1"/>
        <v>5718050</v>
      </c>
      <c r="I23" s="14">
        <f>'23年度'!I23+'24年度 '!I23</f>
        <v>596150</v>
      </c>
      <c r="J23" s="14">
        <f>'23年度'!J23+'24年度 '!J23</f>
        <v>543200</v>
      </c>
      <c r="K23" s="14">
        <f>'23年度'!K23+'24年度 '!K23</f>
        <v>662600</v>
      </c>
      <c r="L23" s="14">
        <f>'23年度'!L23+'24年度 '!L23</f>
        <v>463100</v>
      </c>
      <c r="M23" s="14">
        <f>'23年度'!M23+'24年度 '!M23</f>
        <v>468200</v>
      </c>
      <c r="N23" s="14">
        <f>'23年度'!N23+'24年度 '!N23</f>
        <v>694050</v>
      </c>
      <c r="O23" s="9">
        <f t="shared" si="2"/>
        <v>3427300</v>
      </c>
      <c r="P23" s="14">
        <f t="shared" si="3"/>
        <v>9145350</v>
      </c>
    </row>
    <row r="24" spans="1:16" ht="12.95" customHeight="1" x14ac:dyDescent="0.15">
      <c r="A24" s="20" t="s">
        <v>99</v>
      </c>
      <c r="B24" s="14">
        <f>'23年度'!B24+'24年度 '!B24</f>
        <v>805000</v>
      </c>
      <c r="C24" s="14">
        <f>'23年度'!C24+'24年度 '!C24</f>
        <v>603000</v>
      </c>
      <c r="D24" s="14">
        <f>'23年度'!D24+'24年度 '!D24</f>
        <v>603000</v>
      </c>
      <c r="E24" s="14">
        <f>'23年度'!E24+'24年度 '!E24</f>
        <v>603000</v>
      </c>
      <c r="F24" s="14">
        <f>'23年度'!F24+'24年度 '!F24</f>
        <v>603000</v>
      </c>
      <c r="G24" s="14">
        <f>'23年度'!G24+'24年度 '!G24</f>
        <v>603000</v>
      </c>
      <c r="H24" s="14">
        <f t="shared" si="1"/>
        <v>3820000</v>
      </c>
      <c r="I24" s="14">
        <f>'23年度'!I24+'24年度 '!I24</f>
        <v>603000</v>
      </c>
      <c r="J24" s="14">
        <f>'23年度'!J24+'24年度 '!J24</f>
        <v>603000</v>
      </c>
      <c r="K24" s="14">
        <f>'23年度'!K24+'24年度 '!K24</f>
        <v>603000</v>
      </c>
      <c r="L24" s="14">
        <f>'23年度'!L24+'24年度 '!L24</f>
        <v>1366875</v>
      </c>
      <c r="M24" s="14">
        <f>'23年度'!M24+'24年度 '!M24</f>
        <v>1366875</v>
      </c>
      <c r="N24" s="14">
        <f>'23年度'!N24+'24年度 '!N24</f>
        <v>2897750</v>
      </c>
      <c r="O24" s="9">
        <f t="shared" si="2"/>
        <v>7440500</v>
      </c>
      <c r="P24" s="14">
        <f t="shared" si="3"/>
        <v>11260500</v>
      </c>
    </row>
    <row r="25" spans="1:16" x14ac:dyDescent="0.15">
      <c r="A25" s="19" t="s">
        <v>11</v>
      </c>
      <c r="B25" s="14">
        <f>'23年度'!B25+'24年度 '!B25</f>
        <v>65000</v>
      </c>
      <c r="C25" s="14">
        <f>'23年度'!C25+'24年度 '!C25</f>
        <v>117000</v>
      </c>
      <c r="D25" s="14">
        <f>'23年度'!D25+'24年度 '!D25</f>
        <v>30000</v>
      </c>
      <c r="E25" s="14">
        <f>'23年度'!E25+'24年度 '!E25</f>
        <v>206000</v>
      </c>
      <c r="F25" s="14">
        <f>'23年度'!F25+'24年度 '!F25</f>
        <v>91000</v>
      </c>
      <c r="G25" s="14">
        <f>'23年度'!G25+'24年度 '!G25</f>
        <v>30000</v>
      </c>
      <c r="H25" s="10">
        <f t="shared" si="1"/>
        <v>539000</v>
      </c>
      <c r="I25" s="14">
        <f>'23年度'!I25+'24年度 '!I25</f>
        <v>28335</v>
      </c>
      <c r="J25" s="14">
        <f>'23年度'!J25+'24年度 '!J25</f>
        <v>95000</v>
      </c>
      <c r="K25" s="14">
        <f>'23年度'!K25+'24年度 '!K25</f>
        <v>145000</v>
      </c>
      <c r="L25" s="14">
        <f>'23年度'!L25+'24年度 '!L25</f>
        <v>78000</v>
      </c>
      <c r="M25" s="14">
        <f>'23年度'!M25+'24年度 '!M25</f>
        <v>4747300</v>
      </c>
      <c r="N25" s="14">
        <f>'23年度'!N25+'24年度 '!N25</f>
        <v>90000</v>
      </c>
      <c r="O25" s="9">
        <f t="shared" si="2"/>
        <v>5183635</v>
      </c>
      <c r="P25" s="10">
        <f t="shared" si="3"/>
        <v>5722635</v>
      </c>
    </row>
    <row r="26" spans="1:16" x14ac:dyDescent="0.15">
      <c r="A26" s="19" t="s">
        <v>125</v>
      </c>
      <c r="B26" s="14">
        <f>'23年度'!B26+'24年度 '!B26</f>
        <v>482735</v>
      </c>
      <c r="C26" s="14">
        <f>'23年度'!C26+'24年度 '!C26</f>
        <v>522298</v>
      </c>
      <c r="D26" s="14">
        <f>'23年度'!D26+'24年度 '!D26</f>
        <v>267465</v>
      </c>
      <c r="E26" s="14">
        <f>'23年度'!E26+'24年度 '!E26</f>
        <v>265832</v>
      </c>
      <c r="F26" s="14">
        <f>'23年度'!F26+'24年度 '!F26</f>
        <v>267745</v>
      </c>
      <c r="G26" s="14">
        <f>'23年度'!G26+'24年度 '!G26</f>
        <v>916277</v>
      </c>
      <c r="H26" s="10">
        <f t="shared" si="1"/>
        <v>2722352</v>
      </c>
      <c r="I26" s="14">
        <f>'23年度'!I26+'24年度 '!I26</f>
        <v>276086</v>
      </c>
      <c r="J26" s="14">
        <f>'23年度'!J26+'24年度 '!J26</f>
        <v>758754</v>
      </c>
      <c r="K26" s="14">
        <f>'23年度'!K26+'24年度 '!K26</f>
        <v>272028</v>
      </c>
      <c r="L26" s="14">
        <f>'23年度'!L26+'24年度 '!L26</f>
        <v>248692</v>
      </c>
      <c r="M26" s="14">
        <f>'23年度'!M26+'24年度 '!M26</f>
        <v>248045</v>
      </c>
      <c r="N26" s="14">
        <f>'23年度'!N26+'24年度 '!N26</f>
        <v>233284</v>
      </c>
      <c r="O26" s="9">
        <f t="shared" si="2"/>
        <v>2036889</v>
      </c>
      <c r="P26" s="10">
        <f t="shared" si="3"/>
        <v>4759241</v>
      </c>
    </row>
    <row r="27" spans="1:16" x14ac:dyDescent="0.15">
      <c r="A27" s="19" t="s">
        <v>12</v>
      </c>
      <c r="B27" s="14">
        <f>'23年度'!B27+'24年度 '!B27</f>
        <v>613246</v>
      </c>
      <c r="C27" s="14">
        <f>'23年度'!C27+'24年度 '!C27</f>
        <v>340009</v>
      </c>
      <c r="D27" s="14">
        <f>'23年度'!D27+'24年度 '!D27</f>
        <v>234740</v>
      </c>
      <c r="E27" s="14">
        <f>'23年度'!E27+'24年度 '!E27</f>
        <v>276260</v>
      </c>
      <c r="F27" s="14">
        <f>'23年度'!F27+'24年度 '!F27</f>
        <v>288204</v>
      </c>
      <c r="G27" s="14">
        <f>'23年度'!G27+'24年度 '!G27</f>
        <v>233060</v>
      </c>
      <c r="H27" s="10">
        <f t="shared" si="1"/>
        <v>1985519</v>
      </c>
      <c r="I27" s="14">
        <f>'23年度'!I27+'24年度 '!I27</f>
        <v>347767</v>
      </c>
      <c r="J27" s="14">
        <f>'23年度'!J27+'24年度 '!J27</f>
        <v>211384</v>
      </c>
      <c r="K27" s="14">
        <f>'23年度'!K27+'24年度 '!K27</f>
        <v>235493</v>
      </c>
      <c r="L27" s="14">
        <f>'23年度'!L27+'24年度 '!L27</f>
        <v>187740</v>
      </c>
      <c r="M27" s="14">
        <f>'23年度'!M27+'24年度 '!M27</f>
        <v>243000</v>
      </c>
      <c r="N27" s="14">
        <f>'23年度'!N27+'24年度 '!N27</f>
        <v>209275</v>
      </c>
      <c r="O27" s="9">
        <f t="shared" si="2"/>
        <v>1434659</v>
      </c>
      <c r="P27" s="10">
        <f t="shared" si="3"/>
        <v>3420178</v>
      </c>
    </row>
    <row r="28" spans="1:16" x14ac:dyDescent="0.15">
      <c r="A28" s="22" t="s">
        <v>13</v>
      </c>
      <c r="B28" s="10">
        <f t="shared" ref="B28:G28" si="5">B4+B8+B25+B26+B27</f>
        <v>36552538</v>
      </c>
      <c r="C28" s="10">
        <f t="shared" si="5"/>
        <v>36151386</v>
      </c>
      <c r="D28" s="10">
        <f t="shared" si="5"/>
        <v>36664260</v>
      </c>
      <c r="E28" s="10">
        <f t="shared" si="5"/>
        <v>37794528</v>
      </c>
      <c r="F28" s="10">
        <f t="shared" si="5"/>
        <v>39191718</v>
      </c>
      <c r="G28" s="10">
        <f t="shared" si="5"/>
        <v>36047491</v>
      </c>
      <c r="H28" s="10">
        <f t="shared" si="1"/>
        <v>222401921</v>
      </c>
      <c r="I28" s="10">
        <f t="shared" ref="I28:N28" si="6">I4+I8+I25+I26+I27</f>
        <v>37445487</v>
      </c>
      <c r="J28" s="10">
        <f t="shared" si="6"/>
        <v>35685452</v>
      </c>
      <c r="K28" s="10">
        <f t="shared" si="6"/>
        <v>34324589</v>
      </c>
      <c r="L28" s="10">
        <f t="shared" si="6"/>
        <v>32116546</v>
      </c>
      <c r="M28" s="10">
        <f t="shared" si="6"/>
        <v>37701433</v>
      </c>
      <c r="N28" s="10">
        <f t="shared" si="6"/>
        <v>38671537</v>
      </c>
      <c r="O28" s="10">
        <f t="shared" si="2"/>
        <v>215945044</v>
      </c>
      <c r="P28" s="10">
        <f t="shared" si="3"/>
        <v>438346965</v>
      </c>
    </row>
    <row r="29" spans="1:16" x14ac:dyDescent="0.15">
      <c r="A29" s="7" t="s">
        <v>124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15">
      <c r="A30" s="4" t="s">
        <v>15</v>
      </c>
      <c r="B30" s="2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15">
      <c r="A31" s="7" t="s">
        <v>16</v>
      </c>
      <c r="B31" s="10">
        <f t="shared" ref="B31:N31" si="7">SUM(B32:B36)</f>
        <v>23751202</v>
      </c>
      <c r="C31" s="10">
        <f t="shared" si="7"/>
        <v>22276652</v>
      </c>
      <c r="D31" s="10">
        <f t="shared" si="7"/>
        <v>22973740</v>
      </c>
      <c r="E31" s="10">
        <f t="shared" si="7"/>
        <v>42335275</v>
      </c>
      <c r="F31" s="10">
        <f t="shared" si="7"/>
        <v>24789584</v>
      </c>
      <c r="G31" s="10">
        <f t="shared" si="7"/>
        <v>24034987</v>
      </c>
      <c r="H31" s="10">
        <f t="shared" ref="H31:H68" si="8">SUM(B31:G31)</f>
        <v>160161440</v>
      </c>
      <c r="I31" s="10">
        <f t="shared" si="7"/>
        <v>23399350</v>
      </c>
      <c r="J31" s="10">
        <f t="shared" si="7"/>
        <v>23083175</v>
      </c>
      <c r="K31" s="10">
        <f t="shared" si="7"/>
        <v>40641189</v>
      </c>
      <c r="L31" s="10">
        <f t="shared" si="7"/>
        <v>22969817</v>
      </c>
      <c r="M31" s="10">
        <f t="shared" si="7"/>
        <v>23200205</v>
      </c>
      <c r="N31" s="10">
        <f t="shared" si="7"/>
        <v>22333647</v>
      </c>
      <c r="O31" s="10">
        <f t="shared" si="2"/>
        <v>155627383</v>
      </c>
      <c r="P31" s="10">
        <f t="shared" si="3"/>
        <v>315788823</v>
      </c>
    </row>
    <row r="32" spans="1:16" ht="12.95" customHeight="1" x14ac:dyDescent="0.15">
      <c r="A32" s="4" t="s">
        <v>100</v>
      </c>
      <c r="B32" s="14">
        <f>'23年度'!B32+'24年度 '!B32</f>
        <v>60000</v>
      </c>
      <c r="C32" s="14">
        <f>'23年度'!C32+'24年度 '!C32</f>
        <v>60000</v>
      </c>
      <c r="D32" s="14">
        <f>'23年度'!D32+'24年度 '!D32</f>
        <v>60000</v>
      </c>
      <c r="E32" s="14">
        <f>'23年度'!E32+'24年度 '!E32</f>
        <v>450000</v>
      </c>
      <c r="F32" s="14">
        <f>'23年度'!F32+'24年度 '!F32</f>
        <v>450000</v>
      </c>
      <c r="G32" s="14">
        <f>'23年度'!G32+'24年度 '!G32</f>
        <v>450000</v>
      </c>
      <c r="H32" s="9">
        <f t="shared" si="8"/>
        <v>1530000</v>
      </c>
      <c r="I32" s="14">
        <f>'23年度'!I32+'24年度 '!I32</f>
        <v>450000</v>
      </c>
      <c r="J32" s="14">
        <f>'23年度'!J32+'24年度 '!J32</f>
        <v>450000</v>
      </c>
      <c r="K32" s="14">
        <f>'23年度'!K32+'24年度 '!K32</f>
        <v>450000</v>
      </c>
      <c r="L32" s="14">
        <f>'23年度'!L32+'24年度 '!L32</f>
        <v>450000</v>
      </c>
      <c r="M32" s="14">
        <f>'23年度'!M32+'24年度 '!M32</f>
        <v>450000</v>
      </c>
      <c r="N32" s="14">
        <f>'23年度'!N32+'24年度 '!N32</f>
        <v>450000</v>
      </c>
      <c r="O32" s="9">
        <f t="shared" si="2"/>
        <v>2700000</v>
      </c>
      <c r="P32" s="9">
        <f t="shared" si="3"/>
        <v>4230000</v>
      </c>
    </row>
    <row r="33" spans="1:16" ht="12.95" customHeight="1" x14ac:dyDescent="0.15">
      <c r="A33" s="4" t="s">
        <v>101</v>
      </c>
      <c r="B33" s="14">
        <f>'23年度'!B33+'24年度 '!B33</f>
        <v>18820806</v>
      </c>
      <c r="C33" s="14">
        <f>'23年度'!C33+'24年度 '!C33</f>
        <v>17779951</v>
      </c>
      <c r="D33" s="14">
        <f>'23年度'!D33+'24年度 '!D33</f>
        <v>18124504</v>
      </c>
      <c r="E33" s="14">
        <f>'23年度'!E33+'24年度 '!E33</f>
        <v>34614723</v>
      </c>
      <c r="F33" s="14">
        <f>'23年度'!F33+'24年度 '!F33</f>
        <v>19428538</v>
      </c>
      <c r="G33" s="14">
        <f>'23年度'!G33+'24年度 '!G33</f>
        <v>18945332</v>
      </c>
      <c r="H33" s="9">
        <f t="shared" si="8"/>
        <v>127713854</v>
      </c>
      <c r="I33" s="14">
        <f>'23年度'!I33+'24年度 '!I33</f>
        <v>18327821</v>
      </c>
      <c r="J33" s="14">
        <f>'23年度'!J33+'24年度 '!J33</f>
        <v>18039047</v>
      </c>
      <c r="K33" s="14">
        <f>'23年度'!K33+'24年度 '!K33</f>
        <v>22759411</v>
      </c>
      <c r="L33" s="14">
        <f>'23年度'!L33+'24年度 '!L33</f>
        <v>17066654</v>
      </c>
      <c r="M33" s="14">
        <f>'23年度'!M33+'24年度 '!M33</f>
        <v>18120033</v>
      </c>
      <c r="N33" s="14">
        <f>'23年度'!N33+'24年度 '!N33</f>
        <v>17382493</v>
      </c>
      <c r="O33" s="9">
        <f t="shared" si="2"/>
        <v>111695459</v>
      </c>
      <c r="P33" s="9">
        <f t="shared" si="3"/>
        <v>239409313</v>
      </c>
    </row>
    <row r="34" spans="1:16" ht="12.95" customHeight="1" x14ac:dyDescent="0.15">
      <c r="A34" s="4" t="s">
        <v>102</v>
      </c>
      <c r="B34" s="14">
        <f>'23年度'!B34+'24年度 '!B34</f>
        <v>3016850</v>
      </c>
      <c r="C34" s="14">
        <f>'23年度'!C34+'24年度 '!C34</f>
        <v>2634780</v>
      </c>
      <c r="D34" s="14">
        <f>'23年度'!D34+'24年度 '!D34</f>
        <v>2995740</v>
      </c>
      <c r="E34" s="14">
        <f>'23年度'!E34+'24年度 '!E34</f>
        <v>5335111</v>
      </c>
      <c r="F34" s="14">
        <f>'23年度'!F34+'24年度 '!F34</f>
        <v>3127280</v>
      </c>
      <c r="G34" s="14">
        <f>'23年度'!G34+'24年度 '!G34</f>
        <v>2851940</v>
      </c>
      <c r="H34" s="14">
        <f t="shared" si="8"/>
        <v>19961701</v>
      </c>
      <c r="I34" s="14">
        <f>'23年度'!I34+'24年度 '!I34</f>
        <v>2658640</v>
      </c>
      <c r="J34" s="14">
        <f>'23年度'!J34+'24年度 '!J34</f>
        <v>2629330</v>
      </c>
      <c r="K34" s="14">
        <f>'23年度'!K34+'24年度 '!K34</f>
        <v>2588080</v>
      </c>
      <c r="L34" s="14">
        <f>'23年度'!L34+'24年度 '!L34</f>
        <v>2280880</v>
      </c>
      <c r="M34" s="14">
        <f>'23年度'!M34+'24年度 '!M34</f>
        <v>2657880</v>
      </c>
      <c r="N34" s="14">
        <f>'23年度'!N34+'24年度 '!N34</f>
        <v>2543325</v>
      </c>
      <c r="O34" s="14">
        <f t="shared" si="2"/>
        <v>15358135</v>
      </c>
      <c r="P34" s="14">
        <f t="shared" si="3"/>
        <v>35319836</v>
      </c>
    </row>
    <row r="35" spans="1:16" ht="12.95" customHeight="1" x14ac:dyDescent="0.15">
      <c r="A35" s="4" t="s">
        <v>19</v>
      </c>
      <c r="B35" s="14">
        <f>'23年度'!B35+'24年度 '!B35</f>
        <v>1853546</v>
      </c>
      <c r="C35" s="14">
        <f>'23年度'!C35+'24年度 '!C35</f>
        <v>1801921</v>
      </c>
      <c r="D35" s="14">
        <f>'23年度'!D35+'24年度 '!D35</f>
        <v>1793496</v>
      </c>
      <c r="E35" s="14">
        <f>'23年度'!E35+'24年度 '!E35</f>
        <v>1935441</v>
      </c>
      <c r="F35" s="14">
        <f>'23年度'!F35+'24年度 '!F35</f>
        <v>1783766</v>
      </c>
      <c r="G35" s="14">
        <f>'23年度'!G35+'24年度 '!G35</f>
        <v>1787715</v>
      </c>
      <c r="H35" s="9">
        <f t="shared" si="8"/>
        <v>10955885</v>
      </c>
      <c r="I35" s="14">
        <f>'23年度'!I35+'24年度 '!I35</f>
        <v>1962889</v>
      </c>
      <c r="J35" s="14">
        <f>'23年度'!J35+'24年度 '!J35</f>
        <v>1964798</v>
      </c>
      <c r="K35" s="14">
        <f>'23年度'!K35+'24年度 '!K35</f>
        <v>1964423</v>
      </c>
      <c r="L35" s="14">
        <f>'23年度'!L35+'24年度 '!L35</f>
        <v>3172283</v>
      </c>
      <c r="M35" s="14">
        <f>'23年度'!M35+'24年度 '!M35</f>
        <v>1972292</v>
      </c>
      <c r="N35" s="14">
        <f>'23年度'!N35+'24年度 '!N35</f>
        <v>1957829</v>
      </c>
      <c r="O35" s="13">
        <f t="shared" si="2"/>
        <v>12994514</v>
      </c>
      <c r="P35" s="9">
        <f t="shared" si="3"/>
        <v>23950399</v>
      </c>
    </row>
    <row r="36" spans="1:16" ht="12.95" customHeight="1" x14ac:dyDescent="0.15">
      <c r="A36" s="4" t="s">
        <v>117</v>
      </c>
      <c r="B36" s="14">
        <f>'23年度'!B36+'24年度 '!B36</f>
        <v>0</v>
      </c>
      <c r="C36" s="14">
        <f>'23年度'!C36+'24年度 '!C36</f>
        <v>0</v>
      </c>
      <c r="D36" s="14">
        <f>'23年度'!D36+'24年度 '!D36</f>
        <v>0</v>
      </c>
      <c r="E36" s="14">
        <f>'23年度'!E36+'24年度 '!E36</f>
        <v>0</v>
      </c>
      <c r="F36" s="14">
        <f>'23年度'!F36+'24年度 '!F36</f>
        <v>0</v>
      </c>
      <c r="G36" s="14">
        <f>'23年度'!G36+'24年度 '!G36</f>
        <v>0</v>
      </c>
      <c r="H36" s="9">
        <f t="shared" si="8"/>
        <v>0</v>
      </c>
      <c r="I36" s="14">
        <f>'23年度'!I36+'24年度 '!I36</f>
        <v>0</v>
      </c>
      <c r="J36" s="14">
        <f>'23年度'!J36+'24年度 '!J36</f>
        <v>0</v>
      </c>
      <c r="K36" s="14">
        <f>'23年度'!K36+'24年度 '!K36</f>
        <v>12879275</v>
      </c>
      <c r="L36" s="14">
        <f>'23年度'!L36+'24年度 '!L36</f>
        <v>0</v>
      </c>
      <c r="M36" s="14">
        <f>'23年度'!M36+'24年度 '!M36</f>
        <v>0</v>
      </c>
      <c r="N36" s="14">
        <f>'23年度'!N36+'24年度 '!N36</f>
        <v>0</v>
      </c>
      <c r="O36" s="13">
        <f t="shared" si="2"/>
        <v>12879275</v>
      </c>
      <c r="P36" s="9">
        <f t="shared" si="3"/>
        <v>12879275</v>
      </c>
    </row>
    <row r="37" spans="1:16" x14ac:dyDescent="0.15">
      <c r="A37" s="7" t="s">
        <v>20</v>
      </c>
      <c r="B37" s="10">
        <f t="shared" ref="B37:N37" si="9">SUM(B38:B62)</f>
        <v>6476781</v>
      </c>
      <c r="C37" s="10">
        <f t="shared" si="9"/>
        <v>16439194</v>
      </c>
      <c r="D37" s="10">
        <f t="shared" si="9"/>
        <v>7047534</v>
      </c>
      <c r="E37" s="10">
        <f t="shared" si="9"/>
        <v>7140098</v>
      </c>
      <c r="F37" s="10">
        <f t="shared" si="9"/>
        <v>7480002</v>
      </c>
      <c r="G37" s="10">
        <f t="shared" si="9"/>
        <v>14187181</v>
      </c>
      <c r="H37" s="10">
        <f t="shared" si="8"/>
        <v>58770790</v>
      </c>
      <c r="I37" s="10">
        <f t="shared" si="9"/>
        <v>7997153</v>
      </c>
      <c r="J37" s="10">
        <f t="shared" si="9"/>
        <v>7181086</v>
      </c>
      <c r="K37" s="10">
        <f t="shared" si="9"/>
        <v>8341695</v>
      </c>
      <c r="L37" s="10">
        <f t="shared" si="9"/>
        <v>6464799</v>
      </c>
      <c r="M37" s="10">
        <f t="shared" si="9"/>
        <v>8980704</v>
      </c>
      <c r="N37" s="10">
        <f t="shared" si="9"/>
        <v>13275966</v>
      </c>
      <c r="O37" s="10">
        <f t="shared" si="2"/>
        <v>52241403</v>
      </c>
      <c r="P37" s="10">
        <f t="shared" si="3"/>
        <v>111012193</v>
      </c>
    </row>
    <row r="38" spans="1:16" ht="12.95" customHeight="1" x14ac:dyDescent="0.15">
      <c r="A38" s="4" t="s">
        <v>21</v>
      </c>
      <c r="B38" s="14">
        <f>'23年度'!B38+'24年度 '!B38</f>
        <v>609500</v>
      </c>
      <c r="C38" s="14">
        <f>'23年度'!C38+'24年度 '!C38</f>
        <v>684398</v>
      </c>
      <c r="D38" s="14">
        <f>'23年度'!D38+'24年度 '!D38</f>
        <v>580158</v>
      </c>
      <c r="E38" s="14">
        <f>'23年度'!E38+'24年度 '!E38</f>
        <v>723565</v>
      </c>
      <c r="F38" s="14">
        <f>'23年度'!F38+'24年度 '!F38</f>
        <v>653978</v>
      </c>
      <c r="G38" s="14">
        <f>'23年度'!G38+'24年度 '!G38</f>
        <v>602060</v>
      </c>
      <c r="H38" s="9">
        <f t="shared" si="8"/>
        <v>3853659</v>
      </c>
      <c r="I38" s="14">
        <f>'23年度'!I38+'24年度 '!I38</f>
        <v>682463</v>
      </c>
      <c r="J38" s="14">
        <f>'23年度'!J38+'24年度 '!J38</f>
        <v>673723</v>
      </c>
      <c r="K38" s="14">
        <f>'23年度'!K38+'24年度 '!K38</f>
        <v>1260945</v>
      </c>
      <c r="L38" s="14">
        <f>'23年度'!L38+'24年度 '!L38</f>
        <v>644740</v>
      </c>
      <c r="M38" s="14">
        <f>'23年度'!M38+'24年度 '!M38</f>
        <v>637000</v>
      </c>
      <c r="N38" s="14">
        <f>'23年度'!N38+'24年度 '!N38</f>
        <v>957870</v>
      </c>
      <c r="O38" s="13">
        <f t="shared" si="2"/>
        <v>4856741</v>
      </c>
      <c r="P38" s="9">
        <f t="shared" si="3"/>
        <v>8710400</v>
      </c>
    </row>
    <row r="39" spans="1:16" ht="12.95" customHeight="1" x14ac:dyDescent="0.15">
      <c r="A39" s="4" t="s">
        <v>22</v>
      </c>
      <c r="B39" s="14">
        <f>'23年度'!B39+'24年度 '!B39</f>
        <v>0</v>
      </c>
      <c r="C39" s="14">
        <f>'23年度'!C39+'24年度 '!C39</f>
        <v>0</v>
      </c>
      <c r="D39" s="14">
        <f>'23年度'!D39+'24年度 '!D39</f>
        <v>0</v>
      </c>
      <c r="E39" s="14">
        <f>'23年度'!E39+'24年度 '!E39</f>
        <v>0</v>
      </c>
      <c r="F39" s="14">
        <f>'23年度'!F39+'24年度 '!F39</f>
        <v>0</v>
      </c>
      <c r="G39" s="14">
        <f>'23年度'!G39+'24年度 '!G39</f>
        <v>0</v>
      </c>
      <c r="H39" s="9">
        <f t="shared" si="8"/>
        <v>0</v>
      </c>
      <c r="I39" s="14">
        <f>'23年度'!I39+'24年度 '!I39</f>
        <v>0</v>
      </c>
      <c r="J39" s="14">
        <f>'23年度'!J39+'24年度 '!J39</f>
        <v>53000</v>
      </c>
      <c r="K39" s="14">
        <f>'23年度'!K39+'24年度 '!K39</f>
        <v>0</v>
      </c>
      <c r="L39" s="14">
        <f>'23年度'!L39+'24年度 '!L39</f>
        <v>0</v>
      </c>
      <c r="M39" s="14">
        <f>'23年度'!M39+'24年度 '!M39</f>
        <v>0</v>
      </c>
      <c r="N39" s="14">
        <f>'23年度'!N39+'24年度 '!N39</f>
        <v>0</v>
      </c>
      <c r="O39" s="13">
        <f t="shared" si="2"/>
        <v>53000</v>
      </c>
      <c r="P39" s="9">
        <f t="shared" si="3"/>
        <v>53000</v>
      </c>
    </row>
    <row r="40" spans="1:16" ht="12.95" customHeight="1" x14ac:dyDescent="0.15">
      <c r="A40" s="4" t="s">
        <v>103</v>
      </c>
      <c r="B40" s="14">
        <f>'23年度'!B40+'24年度 '!B40</f>
        <v>110055</v>
      </c>
      <c r="C40" s="14">
        <f>'23年度'!C40+'24年度 '!C40</f>
        <v>157960</v>
      </c>
      <c r="D40" s="14">
        <f>'23年度'!D40+'24年度 '!D40</f>
        <v>112619</v>
      </c>
      <c r="E40" s="14">
        <f>'23年度'!E40+'24年度 '!E40</f>
        <v>122444</v>
      </c>
      <c r="F40" s="14">
        <f>'23年度'!F40+'24年度 '!F40</f>
        <v>148202</v>
      </c>
      <c r="G40" s="14">
        <f>'23年度'!G40+'24年度 '!G40</f>
        <v>119898</v>
      </c>
      <c r="H40" s="9">
        <f t="shared" si="8"/>
        <v>771178</v>
      </c>
      <c r="I40" s="14">
        <f>'23年度'!I40+'24年度 '!I40</f>
        <v>131887</v>
      </c>
      <c r="J40" s="14">
        <f>'23年度'!J40+'24年度 '!J40</f>
        <v>141712</v>
      </c>
      <c r="K40" s="14">
        <f>'23年度'!K40+'24年度 '!K40</f>
        <v>105596</v>
      </c>
      <c r="L40" s="14">
        <f>'23年度'!L40+'24年度 '!L40</f>
        <v>157245</v>
      </c>
      <c r="M40" s="14">
        <f>'23年度'!M40+'24年度 '!M40</f>
        <v>129727</v>
      </c>
      <c r="N40" s="14">
        <f>'23年度'!N40+'24年度 '!N40</f>
        <v>106331</v>
      </c>
      <c r="O40" s="13">
        <f t="shared" si="2"/>
        <v>772498</v>
      </c>
      <c r="P40" s="9">
        <f t="shared" si="3"/>
        <v>1543676</v>
      </c>
    </row>
    <row r="41" spans="1:16" ht="12.95" customHeight="1" x14ac:dyDescent="0.15">
      <c r="A41" s="4" t="s">
        <v>24</v>
      </c>
      <c r="B41" s="14">
        <f>'23年度'!B41+'24年度 '!B41</f>
        <v>43164</v>
      </c>
      <c r="C41" s="14">
        <f>'23年度'!C41+'24年度 '!C41</f>
        <v>59302</v>
      </c>
      <c r="D41" s="14">
        <f>'23年度'!D41+'24年度 '!D41</f>
        <v>13924</v>
      </c>
      <c r="E41" s="14">
        <f>'23年度'!E41+'24年度 '!E41</f>
        <v>38345</v>
      </c>
      <c r="F41" s="14">
        <f>'23年度'!F41+'24年度 '!F41</f>
        <v>47241</v>
      </c>
      <c r="G41" s="14">
        <f>'23年度'!G41+'24年度 '!G41</f>
        <v>194325</v>
      </c>
      <c r="H41" s="9">
        <f t="shared" si="8"/>
        <v>396301</v>
      </c>
      <c r="I41" s="14">
        <f>'23年度'!I41+'24年度 '!I41</f>
        <v>17663</v>
      </c>
      <c r="J41" s="14">
        <f>'23年度'!J41+'24年度 '!J41</f>
        <v>35562</v>
      </c>
      <c r="K41" s="14">
        <f>'23年度'!K41+'24年度 '!K41</f>
        <v>31706</v>
      </c>
      <c r="L41" s="14">
        <f>'23年度'!L41+'24年度 '!L41</f>
        <v>22304</v>
      </c>
      <c r="M41" s="14">
        <f>'23年度'!M41+'24年度 '!M41</f>
        <v>28709</v>
      </c>
      <c r="N41" s="14">
        <f>'23年度'!N41+'24年度 '!N41</f>
        <v>38578</v>
      </c>
      <c r="O41" s="13">
        <f t="shared" si="2"/>
        <v>174522</v>
      </c>
      <c r="P41" s="9">
        <f t="shared" si="3"/>
        <v>570823</v>
      </c>
    </row>
    <row r="42" spans="1:16" ht="12.95" customHeight="1" x14ac:dyDescent="0.15">
      <c r="A42" s="4" t="s">
        <v>104</v>
      </c>
      <c r="B42" s="14">
        <f>'23年度'!B42+'24年度 '!B42</f>
        <v>155263</v>
      </c>
      <c r="C42" s="14">
        <f>'23年度'!C42+'24年度 '!C42</f>
        <v>28375</v>
      </c>
      <c r="D42" s="14">
        <f>'23年度'!D42+'24年度 '!D42</f>
        <v>9975</v>
      </c>
      <c r="E42" s="14">
        <f>'23年度'!E42+'24年度 '!E42</f>
        <v>262100</v>
      </c>
      <c r="F42" s="14">
        <f>'23年度'!F42+'24年度 '!F42</f>
        <v>10240</v>
      </c>
      <c r="G42" s="14">
        <f>'23年度'!G42+'24年度 '!G42</f>
        <v>203205</v>
      </c>
      <c r="H42" s="9">
        <f t="shared" si="8"/>
        <v>669158</v>
      </c>
      <c r="I42" s="14">
        <f>'23年度'!I42+'24年度 '!I42</f>
        <v>477855</v>
      </c>
      <c r="J42" s="14">
        <f>'23年度'!J42+'24年度 '!J42</f>
        <v>348700</v>
      </c>
      <c r="K42" s="14">
        <f>'23年度'!K42+'24年度 '!K42</f>
        <v>315525</v>
      </c>
      <c r="L42" s="14">
        <f>'23年度'!L42+'24年度 '!L42</f>
        <v>0</v>
      </c>
      <c r="M42" s="14">
        <f>'23年度'!M42+'24年度 '!M42</f>
        <v>320559</v>
      </c>
      <c r="N42" s="14">
        <f>'23年度'!N42+'24年度 '!N42</f>
        <v>187900</v>
      </c>
      <c r="O42" s="13">
        <f t="shared" si="2"/>
        <v>1650539</v>
      </c>
      <c r="P42" s="9">
        <f t="shared" si="3"/>
        <v>2319697</v>
      </c>
    </row>
    <row r="43" spans="1:16" ht="12.95" customHeight="1" x14ac:dyDescent="0.15">
      <c r="A43" s="4" t="s">
        <v>105</v>
      </c>
      <c r="B43" s="14">
        <f>'23年度'!B43+'24年度 '!B43</f>
        <v>0</v>
      </c>
      <c r="C43" s="14">
        <f>'23年度'!C43+'24年度 '!C43</f>
        <v>28875</v>
      </c>
      <c r="D43" s="14">
        <f>'23年度'!D43+'24年度 '!D43</f>
        <v>270685</v>
      </c>
      <c r="E43" s="14">
        <f>'23年度'!E43+'24年度 '!E43</f>
        <v>44084</v>
      </c>
      <c r="F43" s="14">
        <f>'23年度'!F43+'24年度 '!F43</f>
        <v>0</v>
      </c>
      <c r="G43" s="14">
        <f>'23年度'!G43+'24年度 '!G43</f>
        <v>0</v>
      </c>
      <c r="H43" s="9">
        <f t="shared" si="8"/>
        <v>343644</v>
      </c>
      <c r="I43" s="14">
        <f>'23年度'!I43+'24年度 '!I43</f>
        <v>0</v>
      </c>
      <c r="J43" s="14">
        <f>'23年度'!J43+'24年度 '!J43</f>
        <v>61320</v>
      </c>
      <c r="K43" s="14">
        <f>'23年度'!K43+'24年度 '!K43</f>
        <v>0</v>
      </c>
      <c r="L43" s="14">
        <f>'23年度'!L43+'24年度 '!L43</f>
        <v>0</v>
      </c>
      <c r="M43" s="14">
        <f>'23年度'!M43+'24年度 '!M43</f>
        <v>86293</v>
      </c>
      <c r="N43" s="14">
        <f>'23年度'!N43+'24年度 '!N43</f>
        <v>0</v>
      </c>
      <c r="O43" s="13">
        <f t="shared" si="2"/>
        <v>147613</v>
      </c>
      <c r="P43" s="9">
        <f t="shared" si="3"/>
        <v>491257</v>
      </c>
    </row>
    <row r="44" spans="1:16" ht="12.95" customHeight="1" x14ac:dyDescent="0.15">
      <c r="A44" s="4" t="s">
        <v>106</v>
      </c>
      <c r="B44" s="14">
        <f>'23年度'!B44+'24年度 '!B44</f>
        <v>139659</v>
      </c>
      <c r="C44" s="14">
        <f>'23年度'!C44+'24年度 '!C44</f>
        <v>117606</v>
      </c>
      <c r="D44" s="14">
        <f>'23年度'!D44+'24年度 '!D44</f>
        <v>165596</v>
      </c>
      <c r="E44" s="14">
        <f>'23年度'!E44+'24年度 '!E44</f>
        <v>147836</v>
      </c>
      <c r="F44" s="14">
        <f>'23年度'!F44+'24年度 '!F44</f>
        <v>193307</v>
      </c>
      <c r="G44" s="14">
        <f>'23年度'!G44+'24年度 '!G44</f>
        <v>88432</v>
      </c>
      <c r="H44" s="9">
        <f t="shared" si="8"/>
        <v>852436</v>
      </c>
      <c r="I44" s="14">
        <f>'23年度'!I44+'24年度 '!I44</f>
        <v>120021</v>
      </c>
      <c r="J44" s="14">
        <f>'23年度'!J44+'24年度 '!J44</f>
        <v>68384</v>
      </c>
      <c r="K44" s="14">
        <f>'23年度'!K44+'24年度 '!K44</f>
        <v>145244</v>
      </c>
      <c r="L44" s="14">
        <f>'23年度'!L44+'24年度 '!L44</f>
        <v>64588</v>
      </c>
      <c r="M44" s="14">
        <f>'23年度'!M44+'24年度 '!M44</f>
        <v>171462</v>
      </c>
      <c r="N44" s="14">
        <f>'23年度'!N44+'24年度 '!N44</f>
        <v>60391</v>
      </c>
      <c r="O44" s="13">
        <f t="shared" si="2"/>
        <v>630090</v>
      </c>
      <c r="P44" s="9">
        <f t="shared" si="3"/>
        <v>1482526</v>
      </c>
    </row>
    <row r="45" spans="1:16" ht="12.95" customHeight="1" x14ac:dyDescent="0.15">
      <c r="A45" s="4" t="s">
        <v>28</v>
      </c>
      <c r="B45" s="14">
        <f>'23年度'!B45+'24年度 '!B45</f>
        <v>53540</v>
      </c>
      <c r="C45" s="14">
        <f>'23年度'!C45+'24年度 '!C45</f>
        <v>24120</v>
      </c>
      <c r="D45" s="14">
        <f>'23年度'!D45+'24年度 '!D45</f>
        <v>57845</v>
      </c>
      <c r="E45" s="14">
        <f>'23年度'!E45+'24年度 '!E45</f>
        <v>50920</v>
      </c>
      <c r="F45" s="14">
        <f>'23年度'!F45+'24年度 '!F45</f>
        <v>46620</v>
      </c>
      <c r="G45" s="14">
        <f>'23年度'!G45+'24年度 '!G45</f>
        <v>96335</v>
      </c>
      <c r="H45" s="9">
        <f t="shared" si="8"/>
        <v>329380</v>
      </c>
      <c r="I45" s="14">
        <f>'23年度'!I45+'24年度 '!I45</f>
        <v>37680</v>
      </c>
      <c r="J45" s="14">
        <f>'23年度'!J45+'24年度 '!J45</f>
        <v>107450</v>
      </c>
      <c r="K45" s="14">
        <f>'23年度'!K45+'24年度 '!K45</f>
        <v>30775</v>
      </c>
      <c r="L45" s="14">
        <f>'23年度'!L45+'24年度 '!L45</f>
        <v>51425</v>
      </c>
      <c r="M45" s="14">
        <f>'23年度'!M45+'24年度 '!M45</f>
        <v>18375</v>
      </c>
      <c r="N45" s="14">
        <f>'23年度'!N45+'24年度 '!N45</f>
        <v>35175</v>
      </c>
      <c r="O45" s="13">
        <f t="shared" si="2"/>
        <v>280880</v>
      </c>
      <c r="P45" s="9">
        <f t="shared" si="3"/>
        <v>610260</v>
      </c>
    </row>
    <row r="46" spans="1:16" ht="12.95" customHeight="1" x14ac:dyDescent="0.15">
      <c r="A46" s="4" t="s">
        <v>107</v>
      </c>
      <c r="B46" s="14">
        <f>'23年度'!B46+'24年度 '!B46</f>
        <v>0</v>
      </c>
      <c r="C46" s="14">
        <f>'23年度'!C46+'24年度 '!C46</f>
        <v>26000</v>
      </c>
      <c r="D46" s="14">
        <f>'23年度'!D46+'24年度 '!D46</f>
        <v>113240</v>
      </c>
      <c r="E46" s="14">
        <f>'23年度'!E46+'24年度 '!E46</f>
        <v>48560</v>
      </c>
      <c r="F46" s="14">
        <f>'23年度'!F46+'24年度 '!F46</f>
        <v>43562</v>
      </c>
      <c r="G46" s="14">
        <f>'23年度'!G46+'24年度 '!G46</f>
        <v>34760</v>
      </c>
      <c r="H46" s="9">
        <f t="shared" si="8"/>
        <v>266122</v>
      </c>
      <c r="I46" s="14">
        <f>'23年度'!I46+'24年度 '!I46</f>
        <v>73660</v>
      </c>
      <c r="J46" s="14">
        <f>'23年度'!J46+'24年度 '!J46</f>
        <v>18450</v>
      </c>
      <c r="K46" s="14">
        <f>'23年度'!K46+'24年度 '!K46</f>
        <v>22050</v>
      </c>
      <c r="L46" s="14">
        <f>'23年度'!L46+'24年度 '!L46</f>
        <v>14000</v>
      </c>
      <c r="M46" s="14">
        <f>'23年度'!M46+'24年度 '!M46</f>
        <v>1000</v>
      </c>
      <c r="N46" s="14">
        <f>'23年度'!N46+'24年度 '!N46</f>
        <v>38352</v>
      </c>
      <c r="O46" s="13">
        <f t="shared" si="2"/>
        <v>167512</v>
      </c>
      <c r="P46" s="9">
        <f t="shared" si="3"/>
        <v>433634</v>
      </c>
    </row>
    <row r="47" spans="1:16" ht="12.95" customHeight="1" x14ac:dyDescent="0.15">
      <c r="A47" s="4" t="s">
        <v>27</v>
      </c>
      <c r="B47" s="14">
        <f>'23年度'!B47+'24年度 '!B47</f>
        <v>34650</v>
      </c>
      <c r="C47" s="14">
        <f>'23年度'!C47+'24年度 '!C47</f>
        <v>6300</v>
      </c>
      <c r="D47" s="14">
        <f>'23年度'!D47+'24年度 '!D47</f>
        <v>10500</v>
      </c>
      <c r="E47" s="14">
        <f>'23年度'!E47+'24年度 '!E47</f>
        <v>28350</v>
      </c>
      <c r="F47" s="14">
        <f>'23年度'!F47+'24年度 '!F47</f>
        <v>0</v>
      </c>
      <c r="G47" s="14">
        <f>'23年度'!G47+'24年度 '!G47</f>
        <v>0</v>
      </c>
      <c r="H47" s="9">
        <f t="shared" si="8"/>
        <v>79800</v>
      </c>
      <c r="I47" s="14">
        <f>'23年度'!I47+'24年度 '!I47</f>
        <v>51450</v>
      </c>
      <c r="J47" s="14">
        <f>'23年度'!J47+'24年度 '!J47</f>
        <v>94500</v>
      </c>
      <c r="K47" s="14">
        <f>'23年度'!K47+'24年度 '!K47</f>
        <v>0</v>
      </c>
      <c r="L47" s="14">
        <f>'23年度'!L47+'24年度 '!L47</f>
        <v>15050</v>
      </c>
      <c r="M47" s="14">
        <f>'23年度'!M47+'24年度 '!M47</f>
        <v>10500</v>
      </c>
      <c r="N47" s="14">
        <f>'23年度'!N47+'24年度 '!N47</f>
        <v>3500</v>
      </c>
      <c r="O47" s="13">
        <f t="shared" si="2"/>
        <v>175000</v>
      </c>
      <c r="P47" s="9">
        <f t="shared" si="3"/>
        <v>254800</v>
      </c>
    </row>
    <row r="48" spans="1:16" ht="12.95" customHeight="1" x14ac:dyDescent="0.15">
      <c r="A48" s="4" t="s">
        <v>32</v>
      </c>
      <c r="B48" s="14">
        <f>'23年度'!B48+'24年度 '!B48</f>
        <v>1059428</v>
      </c>
      <c r="C48" s="14">
        <f>'23年度'!C48+'24年度 '!C48</f>
        <v>1182035</v>
      </c>
      <c r="D48" s="14">
        <f>'23年度'!D48+'24年度 '!D48</f>
        <v>764762</v>
      </c>
      <c r="E48" s="14">
        <f>'23年度'!E48+'24年度 '!E48</f>
        <v>705403</v>
      </c>
      <c r="F48" s="14">
        <f>'23年度'!F48+'24年度 '!F48</f>
        <v>973986</v>
      </c>
      <c r="G48" s="14">
        <f>'23年度'!G48+'24年度 '!G48</f>
        <v>823403</v>
      </c>
      <c r="H48" s="9">
        <f t="shared" si="8"/>
        <v>5509017</v>
      </c>
      <c r="I48" s="14">
        <f>'23年度'!I48+'24年度 '!I48</f>
        <v>834374</v>
      </c>
      <c r="J48" s="14">
        <f>'23年度'!J48+'24年度 '!J48</f>
        <v>795372</v>
      </c>
      <c r="K48" s="14">
        <f>'23年度'!K48+'24年度 '!K48</f>
        <v>927421</v>
      </c>
      <c r="L48" s="14">
        <f>'23年度'!L48+'24年度 '!L48</f>
        <v>1109845</v>
      </c>
      <c r="M48" s="14">
        <f>'23年度'!M48+'24年度 '!M48</f>
        <v>1223830</v>
      </c>
      <c r="N48" s="14">
        <f>'23年度'!N48+'24年度 '!N48</f>
        <v>1061230</v>
      </c>
      <c r="O48" s="13">
        <f t="shared" si="2"/>
        <v>5952072</v>
      </c>
      <c r="P48" s="9">
        <f t="shared" si="3"/>
        <v>11461089</v>
      </c>
    </row>
    <row r="49" spans="1:16" ht="12.95" customHeight="1" x14ac:dyDescent="0.15">
      <c r="A49" s="4" t="s">
        <v>108</v>
      </c>
      <c r="B49" s="14">
        <f>'23年度'!B49+'24年度 '!B49</f>
        <v>19000</v>
      </c>
      <c r="C49" s="14">
        <f>'23年度'!C49+'24年度 '!C49</f>
        <v>16000</v>
      </c>
      <c r="D49" s="14">
        <f>'23年度'!D49+'24年度 '!D49</f>
        <v>18000</v>
      </c>
      <c r="E49" s="14">
        <f>'23年度'!E49+'24年度 '!E49</f>
        <v>12000</v>
      </c>
      <c r="F49" s="14">
        <f>'23年度'!F49+'24年度 '!F49</f>
        <v>10000</v>
      </c>
      <c r="G49" s="14">
        <f>'23年度'!G49+'24年度 '!G49</f>
        <v>10400</v>
      </c>
      <c r="H49" s="9">
        <f t="shared" si="8"/>
        <v>85400</v>
      </c>
      <c r="I49" s="14">
        <f>'23年度'!I49+'24年度 '!I49</f>
        <v>36000</v>
      </c>
      <c r="J49" s="14">
        <f>'23年度'!J49+'24年度 '!J49</f>
        <v>21000</v>
      </c>
      <c r="K49" s="14">
        <f>'23年度'!K49+'24年度 '!K49</f>
        <v>32000</v>
      </c>
      <c r="L49" s="14">
        <f>'23年度'!L49+'24年度 '!L49</f>
        <v>51000</v>
      </c>
      <c r="M49" s="14">
        <f>'23年度'!M49+'24年度 '!M49</f>
        <v>21000</v>
      </c>
      <c r="N49" s="14">
        <f>'23年度'!N49+'24年度 '!N49</f>
        <v>6000</v>
      </c>
      <c r="O49" s="13">
        <f t="shared" si="2"/>
        <v>167000</v>
      </c>
      <c r="P49" s="9">
        <f t="shared" si="3"/>
        <v>252400</v>
      </c>
    </row>
    <row r="50" spans="1:16" ht="12.95" customHeight="1" x14ac:dyDescent="0.15">
      <c r="A50" s="4" t="s">
        <v>34</v>
      </c>
      <c r="B50" s="14">
        <f>'23年度'!B50+'24年度 '!B50</f>
        <v>66200</v>
      </c>
      <c r="C50" s="14">
        <f>'23年度'!C50+'24年度 '!C50</f>
        <v>0</v>
      </c>
      <c r="D50" s="14">
        <f>'23年度'!D50+'24年度 '!D50</f>
        <v>31000</v>
      </c>
      <c r="E50" s="14">
        <f>'23年度'!E50+'24年度 '!E50</f>
        <v>15500</v>
      </c>
      <c r="F50" s="14">
        <f>'23年度'!F50+'24年度 '!F50</f>
        <v>38500</v>
      </c>
      <c r="G50" s="14">
        <f>'23年度'!G50+'24年度 '!G50</f>
        <v>3000</v>
      </c>
      <c r="H50" s="9">
        <f t="shared" si="8"/>
        <v>154200</v>
      </c>
      <c r="I50" s="14">
        <f>'23年度'!I50+'24年度 '!I50</f>
        <v>6000</v>
      </c>
      <c r="J50" s="14">
        <f>'23年度'!J50+'24年度 '!J50</f>
        <v>0</v>
      </c>
      <c r="K50" s="14">
        <f>'23年度'!K50+'24年度 '!K50</f>
        <v>0</v>
      </c>
      <c r="L50" s="14">
        <f>'23年度'!L50+'24年度 '!L50</f>
        <v>0</v>
      </c>
      <c r="M50" s="14">
        <f>'23年度'!M50+'24年度 '!M50</f>
        <v>0</v>
      </c>
      <c r="N50" s="14">
        <f>'23年度'!N50+'24年度 '!N50</f>
        <v>50000</v>
      </c>
      <c r="O50" s="13">
        <f t="shared" si="2"/>
        <v>56000</v>
      </c>
      <c r="P50" s="9">
        <f t="shared" si="3"/>
        <v>210200</v>
      </c>
    </row>
    <row r="51" spans="1:16" ht="12.95" customHeight="1" x14ac:dyDescent="0.15">
      <c r="A51" s="4" t="s">
        <v>109</v>
      </c>
      <c r="B51" s="14">
        <f>'23年度'!B51+'24年度 '!B51</f>
        <v>1071540</v>
      </c>
      <c r="C51" s="14">
        <f>'23年度'!C51+'24年度 '!C51</f>
        <v>1129896</v>
      </c>
      <c r="D51" s="14">
        <f>'23年度'!D51+'24年度 '!D51</f>
        <v>1199243</v>
      </c>
      <c r="E51" s="14">
        <f>'23年度'!E51+'24年度 '!E51</f>
        <v>1083187</v>
      </c>
      <c r="F51" s="14">
        <f>'23年度'!F51+'24年度 '!F51</f>
        <v>1151520</v>
      </c>
      <c r="G51" s="14">
        <f>'23年度'!G51+'24年度 '!G51</f>
        <v>1210054</v>
      </c>
      <c r="H51" s="9">
        <f t="shared" si="8"/>
        <v>6845440</v>
      </c>
      <c r="I51" s="14">
        <f>'23年度'!I51+'24年度 '!I51</f>
        <v>1893864</v>
      </c>
      <c r="J51" s="14">
        <f>'23年度'!J51+'24年度 '!J51</f>
        <v>1012876</v>
      </c>
      <c r="K51" s="14">
        <f>'23年度'!K51+'24年度 '!K51</f>
        <v>1018696</v>
      </c>
      <c r="L51" s="14">
        <f>'23年度'!L51+'24年度 '!L51</f>
        <v>863408</v>
      </c>
      <c r="M51" s="14">
        <f>'23年度'!M51+'24年度 '!M51</f>
        <v>939115</v>
      </c>
      <c r="N51" s="14">
        <f>'23年度'!N51+'24年度 '!N51</f>
        <v>975643</v>
      </c>
      <c r="O51" s="13">
        <f t="shared" si="2"/>
        <v>6703602</v>
      </c>
      <c r="P51" s="9">
        <f t="shared" si="3"/>
        <v>13549042</v>
      </c>
    </row>
    <row r="52" spans="1:16" ht="12.95" customHeight="1" x14ac:dyDescent="0.15">
      <c r="A52" s="4" t="s">
        <v>35</v>
      </c>
      <c r="B52" s="14">
        <f>'23年度'!B52+'24年度 '!B52</f>
        <v>9938</v>
      </c>
      <c r="C52" s="14">
        <f>'23年度'!C52+'24年度 '!C52</f>
        <v>37220</v>
      </c>
      <c r="D52" s="14">
        <f>'23年度'!D52+'24年度 '!D52</f>
        <v>17878</v>
      </c>
      <c r="E52" s="14">
        <f>'23年度'!E52+'24年度 '!E52</f>
        <v>10596</v>
      </c>
      <c r="F52" s="14">
        <f>'23年度'!F52+'24年度 '!F52</f>
        <v>8447</v>
      </c>
      <c r="G52" s="14">
        <f>'23年度'!G52+'24年度 '!G52</f>
        <v>91773</v>
      </c>
      <c r="H52" s="9">
        <f t="shared" si="8"/>
        <v>175852</v>
      </c>
      <c r="I52" s="14">
        <f>'23年度'!I52+'24年度 '!I52</f>
        <v>10423</v>
      </c>
      <c r="J52" s="14">
        <f>'23年度'!J52+'24年度 '!J52</f>
        <v>8208</v>
      </c>
      <c r="K52" s="14">
        <f>'23年度'!K52+'24年度 '!K52</f>
        <v>19701</v>
      </c>
      <c r="L52" s="14">
        <f>'23年度'!L52+'24年度 '!L52</f>
        <v>6563</v>
      </c>
      <c r="M52" s="14">
        <f>'23年度'!M52+'24年度 '!M52</f>
        <v>7500</v>
      </c>
      <c r="N52" s="14">
        <f>'23年度'!N52+'24年度 '!N52</f>
        <v>8687</v>
      </c>
      <c r="O52" s="13">
        <f t="shared" si="2"/>
        <v>61082</v>
      </c>
      <c r="P52" s="9">
        <f t="shared" si="3"/>
        <v>236934</v>
      </c>
    </row>
    <row r="53" spans="1:16" ht="12.95" customHeight="1" x14ac:dyDescent="0.15">
      <c r="A53" s="4" t="s">
        <v>110</v>
      </c>
      <c r="B53" s="14">
        <f>'23年度'!B53+'24年度 '!B53</f>
        <v>157610</v>
      </c>
      <c r="C53" s="14">
        <f>'23年度'!C53+'24年度 '!C53</f>
        <v>37272</v>
      </c>
      <c r="D53" s="14">
        <f>'23年度'!D53+'24年度 '!D53</f>
        <v>0</v>
      </c>
      <c r="E53" s="14">
        <f>'23年度'!E53+'24年度 '!E53</f>
        <v>62160</v>
      </c>
      <c r="F53" s="14">
        <f>'23年度'!F53+'24年度 '!F53</f>
        <v>0</v>
      </c>
      <c r="G53" s="14">
        <f>'23年度'!G53+'24年度 '!G53</f>
        <v>109120</v>
      </c>
      <c r="H53" s="9">
        <f t="shared" si="8"/>
        <v>366162</v>
      </c>
      <c r="I53" s="14">
        <f>'23年度'!I53+'24年度 '!I53</f>
        <v>8800</v>
      </c>
      <c r="J53" s="14">
        <f>'23年度'!J53+'24年度 '!J53</f>
        <v>0</v>
      </c>
      <c r="K53" s="14">
        <f>'23年度'!K53+'24年度 '!K53</f>
        <v>967240</v>
      </c>
      <c r="L53" s="14">
        <f>'23年度'!L53+'24年度 '!L53</f>
        <v>25750</v>
      </c>
      <c r="M53" s="14">
        <f>'23年度'!M53+'24年度 '!M53</f>
        <v>35850</v>
      </c>
      <c r="N53" s="14">
        <f>'23年度'!N53+'24年度 '!N53</f>
        <v>177540</v>
      </c>
      <c r="O53" s="13">
        <f t="shared" si="2"/>
        <v>1215180</v>
      </c>
      <c r="P53" s="9">
        <f t="shared" si="3"/>
        <v>1581342</v>
      </c>
    </row>
    <row r="54" spans="1:16" ht="12.95" customHeight="1" x14ac:dyDescent="0.15">
      <c r="A54" s="4" t="s">
        <v>111</v>
      </c>
      <c r="B54" s="14">
        <f>'23年度'!B54+'24年度 '!B54</f>
        <v>674938</v>
      </c>
      <c r="C54" s="14">
        <f>'23年度'!C54+'24年度 '!C54</f>
        <v>1291048</v>
      </c>
      <c r="D54" s="14">
        <f>'23年度'!D54+'24年度 '!D54</f>
        <v>810983</v>
      </c>
      <c r="E54" s="14">
        <f>'23年度'!E54+'24年度 '!E54</f>
        <v>1269255</v>
      </c>
      <c r="F54" s="14">
        <f>'23年度'!F54+'24年度 '!F54</f>
        <v>780845</v>
      </c>
      <c r="G54" s="14">
        <f>'23年度'!G54+'24年度 '!G54</f>
        <v>1008572</v>
      </c>
      <c r="H54" s="9">
        <f t="shared" si="8"/>
        <v>5835641</v>
      </c>
      <c r="I54" s="14">
        <f>'23年度'!I54+'24年度 '!I54</f>
        <v>1303065</v>
      </c>
      <c r="J54" s="14">
        <f>'23年度'!J54+'24年度 '!J54</f>
        <v>1258235</v>
      </c>
      <c r="K54" s="14">
        <f>'23年度'!K54+'24年度 '!K54</f>
        <v>744269</v>
      </c>
      <c r="L54" s="14">
        <f>'23年度'!L54+'24年度 '!L54</f>
        <v>1249013</v>
      </c>
      <c r="M54" s="14">
        <f>'23年度'!M54+'24年度 '!M54</f>
        <v>931488</v>
      </c>
      <c r="N54" s="14">
        <f>'23年度'!N54+'24年度 '!N54</f>
        <v>1635289</v>
      </c>
      <c r="O54" s="13">
        <f t="shared" si="2"/>
        <v>7121359</v>
      </c>
      <c r="P54" s="9">
        <f t="shared" si="3"/>
        <v>12957000</v>
      </c>
    </row>
    <row r="55" spans="1:16" ht="12.95" customHeight="1" x14ac:dyDescent="0.15">
      <c r="A55" s="4" t="s">
        <v>112</v>
      </c>
      <c r="B55" s="14">
        <f>'23年度'!B55+'24年度 '!B55</f>
        <v>30975</v>
      </c>
      <c r="C55" s="14">
        <f>'23年度'!C55+'24年度 '!C55</f>
        <v>0</v>
      </c>
      <c r="D55" s="14">
        <f>'23年度'!D55+'24年度 '!D55</f>
        <v>166950</v>
      </c>
      <c r="E55" s="14">
        <f>'23年度'!E55+'24年度 '!E55</f>
        <v>30870</v>
      </c>
      <c r="F55" s="14">
        <f>'23年度'!F55+'24年度 '!F55</f>
        <v>1161300</v>
      </c>
      <c r="G55" s="14">
        <f>'23年度'!G55+'24年度 '!G55</f>
        <v>144900</v>
      </c>
      <c r="H55" s="9">
        <f t="shared" si="8"/>
        <v>1534995</v>
      </c>
      <c r="I55" s="14">
        <f>'23年度'!I55+'24年度 '!I55</f>
        <v>123900</v>
      </c>
      <c r="J55" s="14">
        <f>'23年度'!J55+'24年度 '!J55</f>
        <v>0</v>
      </c>
      <c r="K55" s="14">
        <f>'23年度'!K55+'24年度 '!K55</f>
        <v>49350</v>
      </c>
      <c r="L55" s="14">
        <f>'23年度'!L55+'24年度 '!L55</f>
        <v>0</v>
      </c>
      <c r="M55" s="14">
        <f>'23年度'!M55+'24年度 '!M55</f>
        <v>2098320</v>
      </c>
      <c r="N55" s="14">
        <f>'23年度'!N55+'24年度 '!N55</f>
        <v>-1624350</v>
      </c>
      <c r="O55" s="13">
        <f t="shared" si="2"/>
        <v>647220</v>
      </c>
      <c r="P55" s="9">
        <f t="shared" si="3"/>
        <v>2182215</v>
      </c>
    </row>
    <row r="56" spans="1:16" ht="12.95" customHeight="1" x14ac:dyDescent="0.15">
      <c r="A56" s="4" t="s">
        <v>113</v>
      </c>
      <c r="B56" s="14">
        <f>'23年度'!B56+'24年度 '!B56</f>
        <v>778360</v>
      </c>
      <c r="C56" s="14">
        <f>'23年度'!C56+'24年度 '!C56</f>
        <v>778360</v>
      </c>
      <c r="D56" s="14">
        <f>'23年度'!D56+'24年度 '!D56</f>
        <v>778360</v>
      </c>
      <c r="E56" s="14">
        <f>'23年度'!E56+'24年度 '!E56</f>
        <v>778360</v>
      </c>
      <c r="F56" s="14">
        <f>'23年度'!F56+'24年度 '!F56</f>
        <v>778360</v>
      </c>
      <c r="G56" s="14">
        <f>'23年度'!G56+'24年度 '!G56</f>
        <v>776365</v>
      </c>
      <c r="H56" s="9">
        <f t="shared" si="8"/>
        <v>4668165</v>
      </c>
      <c r="I56" s="14">
        <f>'23年度'!I56+'24年度 '!I56</f>
        <v>816565</v>
      </c>
      <c r="J56" s="14">
        <f>'23年度'!J56+'24年度 '!J56</f>
        <v>917095</v>
      </c>
      <c r="K56" s="14">
        <f>'23年度'!K56+'24年度 '!K56</f>
        <v>817240</v>
      </c>
      <c r="L56" s="14">
        <f>'23年度'!L56+'24年度 '!L56</f>
        <v>811780</v>
      </c>
      <c r="M56" s="14">
        <f>'23年度'!M56+'24年度 '!M56</f>
        <v>811780</v>
      </c>
      <c r="N56" s="14">
        <f>'23年度'!N56+'24年度 '!N56</f>
        <v>811780</v>
      </c>
      <c r="O56" s="13">
        <f t="shared" si="2"/>
        <v>4986240</v>
      </c>
      <c r="P56" s="9">
        <f t="shared" si="3"/>
        <v>9654405</v>
      </c>
    </row>
    <row r="57" spans="1:16" ht="12.95" customHeight="1" x14ac:dyDescent="0.15">
      <c r="A57" s="4" t="s">
        <v>121</v>
      </c>
      <c r="B57" s="14">
        <f>'23年度'!B57+'24年度 '!B57</f>
        <v>500000</v>
      </c>
      <c r="C57" s="14">
        <f>'23年度'!C57+'24年度 '!C57</f>
        <v>690000</v>
      </c>
      <c r="D57" s="14">
        <f>'23年度'!D57+'24年度 '!D57</f>
        <v>550000</v>
      </c>
      <c r="E57" s="14">
        <f>'23年度'!E57+'24年度 '!E57</f>
        <v>500000</v>
      </c>
      <c r="F57" s="14">
        <f>'23年度'!F57+'24年度 '!F57</f>
        <v>500000</v>
      </c>
      <c r="G57" s="14">
        <f>'23年度'!G57+'24年度 '!G57</f>
        <v>500000</v>
      </c>
      <c r="H57" s="9">
        <f t="shared" si="8"/>
        <v>3240000</v>
      </c>
      <c r="I57" s="14">
        <f>'23年度'!I57+'24年度 '!I57</f>
        <v>500000</v>
      </c>
      <c r="J57" s="14">
        <f>'23年度'!J57+'24年度 '!J57</f>
        <v>500000</v>
      </c>
      <c r="K57" s="14">
        <f>'23年度'!K57+'24年度 '!K57</f>
        <v>500000</v>
      </c>
      <c r="L57" s="14">
        <f>'23年度'!L57+'24年度 '!L57</f>
        <v>500000</v>
      </c>
      <c r="M57" s="14">
        <f>'23年度'!M57+'24年度 '!M57</f>
        <v>590000</v>
      </c>
      <c r="N57" s="14">
        <f>'23年度'!N57+'24年度 '!N57</f>
        <v>545000</v>
      </c>
      <c r="O57" s="13">
        <f t="shared" si="2"/>
        <v>3135000</v>
      </c>
      <c r="P57" s="9">
        <f t="shared" si="3"/>
        <v>6375000</v>
      </c>
    </row>
    <row r="58" spans="1:16" ht="12.95" customHeight="1" x14ac:dyDescent="0.15">
      <c r="A58" s="4" t="s">
        <v>122</v>
      </c>
      <c r="B58" s="14">
        <f>'23年度'!B58+'24年度 '!B58</f>
        <v>160000</v>
      </c>
      <c r="C58" s="14">
        <f>'23年度'!C58+'24年度 '!C58</f>
        <v>9187200</v>
      </c>
      <c r="D58" s="14">
        <f>'23年度'!D58+'24年度 '!D58</f>
        <v>7000</v>
      </c>
      <c r="E58" s="14">
        <f>'23年度'!E58+'24年度 '!E58</f>
        <v>59500</v>
      </c>
      <c r="F58" s="14">
        <f>'23年度'!F58+'24年度 '!F58</f>
        <v>31230</v>
      </c>
      <c r="G58" s="14">
        <f>'23年度'!G58+'24年度 '!G58</f>
        <v>0</v>
      </c>
      <c r="H58" s="9">
        <f t="shared" si="8"/>
        <v>9444930</v>
      </c>
      <c r="I58" s="14">
        <f>'23年度'!I58+'24年度 '!I58</f>
        <v>3210</v>
      </c>
      <c r="J58" s="14">
        <f>'23年度'!J58+'24年度 '!J58</f>
        <v>0</v>
      </c>
      <c r="K58" s="14">
        <f>'23年度'!K58+'24年度 '!K58</f>
        <v>113000</v>
      </c>
      <c r="L58" s="14">
        <f>'23年度'!L58+'24年度 '!L58</f>
        <v>6000</v>
      </c>
      <c r="M58" s="14">
        <f>'23年度'!M58+'24年度 '!M58</f>
        <v>107000</v>
      </c>
      <c r="N58" s="14">
        <f>'23年度'!N58+'24年度 '!N58</f>
        <v>2479</v>
      </c>
      <c r="O58" s="13">
        <f t="shared" si="2"/>
        <v>231689</v>
      </c>
      <c r="P58" s="9">
        <f t="shared" si="3"/>
        <v>9676619</v>
      </c>
    </row>
    <row r="59" spans="1:16" ht="12.95" customHeight="1" x14ac:dyDescent="0.15">
      <c r="A59" s="4" t="s">
        <v>37</v>
      </c>
      <c r="B59" s="14">
        <f>'23年度'!B59+'24年度 '!B59</f>
        <v>60183</v>
      </c>
      <c r="C59" s="14">
        <f>'23年度'!C59+'24年度 '!C59</f>
        <v>383157</v>
      </c>
      <c r="D59" s="14">
        <f>'23年度'!D59+'24年度 '!D59</f>
        <v>488059</v>
      </c>
      <c r="E59" s="14">
        <f>'23年度'!E59+'24年度 '!E59</f>
        <v>316176</v>
      </c>
      <c r="F59" s="14">
        <f>'23年度'!F59+'24年度 '!F59</f>
        <v>204942</v>
      </c>
      <c r="G59" s="14">
        <f>'23年度'!G59+'24年度 '!G59</f>
        <v>838664</v>
      </c>
      <c r="H59" s="9">
        <f t="shared" si="8"/>
        <v>2291181</v>
      </c>
      <c r="I59" s="14">
        <f>'23年度'!I59+'24年度 '!I59</f>
        <v>192867</v>
      </c>
      <c r="J59" s="14">
        <f>'23年度'!J59+'24年度 '!J59</f>
        <v>183315</v>
      </c>
      <c r="K59" s="14">
        <f>'23年度'!K59+'24年度 '!K59</f>
        <v>457900</v>
      </c>
      <c r="L59" s="14">
        <f>'23年度'!L59+'24年度 '!L59</f>
        <v>245129</v>
      </c>
      <c r="M59" s="14">
        <f>'23年度'!M59+'24年度 '!M59</f>
        <v>114088</v>
      </c>
      <c r="N59" s="14">
        <f>'23年度'!N59+'24年度 '!N59</f>
        <v>264600</v>
      </c>
      <c r="O59" s="13">
        <f t="shared" si="2"/>
        <v>1457899</v>
      </c>
      <c r="P59" s="9">
        <f t="shared" si="3"/>
        <v>3749080</v>
      </c>
    </row>
    <row r="60" spans="1:16" ht="12.95" customHeight="1" x14ac:dyDescent="0.15">
      <c r="A60" s="4" t="s">
        <v>114</v>
      </c>
      <c r="B60" s="14">
        <f>'23年度'!B60+'24年度 '!B60</f>
        <v>22050</v>
      </c>
      <c r="C60" s="14">
        <f>'23年度'!C60+'24年度 '!C60</f>
        <v>0</v>
      </c>
      <c r="D60" s="14">
        <f>'23年度'!D60+'24年度 '!D60</f>
        <v>9765</v>
      </c>
      <c r="E60" s="14">
        <f>'23年度'!E60+'24年度 '!E60</f>
        <v>945</v>
      </c>
      <c r="F60" s="14">
        <f>'23年度'!F60+'24年度 '!F60</f>
        <v>0</v>
      </c>
      <c r="G60" s="14">
        <f>'23年度'!G60+'24年度 '!G60</f>
        <v>107894</v>
      </c>
      <c r="H60" s="14">
        <f t="shared" si="8"/>
        <v>140654</v>
      </c>
      <c r="I60" s="14">
        <f>'23年度'!I60+'24年度 '!I60</f>
        <v>126622</v>
      </c>
      <c r="J60" s="14">
        <f>'23年度'!J60+'24年度 '!J60</f>
        <v>16065</v>
      </c>
      <c r="K60" s="14">
        <f>'23年度'!K60+'24年度 '!K60</f>
        <v>30111</v>
      </c>
      <c r="L60" s="14">
        <f>'23年度'!L60+'24年度 '!L60</f>
        <v>0</v>
      </c>
      <c r="M60" s="14">
        <f>'23年度'!M60+'24年度 '!M60</f>
        <v>1300</v>
      </c>
      <c r="N60" s="14">
        <f>'23年度'!N60+'24年度 '!N60</f>
        <v>0</v>
      </c>
      <c r="O60" s="14">
        <f t="shared" si="2"/>
        <v>174098</v>
      </c>
      <c r="P60" s="14">
        <f t="shared" si="3"/>
        <v>314752</v>
      </c>
    </row>
    <row r="61" spans="1:16" ht="12.95" customHeight="1" x14ac:dyDescent="0.15">
      <c r="A61" s="12" t="s">
        <v>115</v>
      </c>
      <c r="B61" s="14">
        <f>'23年度'!B61+'24年度 '!B61</f>
        <v>720728</v>
      </c>
      <c r="C61" s="14">
        <f>'23年度'!C61+'24年度 '!C61</f>
        <v>574070</v>
      </c>
      <c r="D61" s="14">
        <f>'23年度'!D61+'24年度 '!D61</f>
        <v>870992</v>
      </c>
      <c r="E61" s="14">
        <f>'23年度'!E61+'24年度 '!E61</f>
        <v>829942</v>
      </c>
      <c r="F61" s="14">
        <f>'23年度'!F61+'24年度 '!F61</f>
        <v>697722</v>
      </c>
      <c r="G61" s="14">
        <f>'23年度'!G61+'24年度 '!G61</f>
        <v>438743</v>
      </c>
      <c r="H61" s="14">
        <f t="shared" si="8"/>
        <v>4132197</v>
      </c>
      <c r="I61" s="14">
        <f>'23年度'!I61+'24年度 '!I61</f>
        <v>548784</v>
      </c>
      <c r="J61" s="14">
        <f>'23年度'!J61+'24年度 '!J61</f>
        <v>866119</v>
      </c>
      <c r="K61" s="14">
        <f>'23年度'!K61+'24年度 '!K61</f>
        <v>752926</v>
      </c>
      <c r="L61" s="14">
        <f>'23年度'!L61+'24年度 '!L61</f>
        <v>626959</v>
      </c>
      <c r="M61" s="14">
        <f>'23年度'!M61+'24年度 '!M61</f>
        <v>695808</v>
      </c>
      <c r="N61" s="14">
        <f>'23年度'!N61+'24年度 '!N61</f>
        <v>850389</v>
      </c>
      <c r="O61" s="14">
        <f t="shared" si="2"/>
        <v>4340985</v>
      </c>
      <c r="P61" s="14">
        <f t="shared" si="3"/>
        <v>8473182</v>
      </c>
    </row>
    <row r="62" spans="1:16" ht="12.95" customHeight="1" x14ac:dyDescent="0.15">
      <c r="A62" s="4" t="s">
        <v>46</v>
      </c>
      <c r="B62" s="14">
        <f>'23年度'!B62+'24年度 '!B62</f>
        <v>0</v>
      </c>
      <c r="C62" s="14">
        <f>'23年度'!C62+'24年度 '!C62</f>
        <v>0</v>
      </c>
      <c r="D62" s="14">
        <f>'23年度'!D62+'24年度 '!D62</f>
        <v>0</v>
      </c>
      <c r="E62" s="14">
        <f>'23年度'!E62+'24年度 '!E62</f>
        <v>0</v>
      </c>
      <c r="F62" s="14">
        <f>'23年度'!F62+'24年度 '!F62</f>
        <v>0</v>
      </c>
      <c r="G62" s="14">
        <f>'23年度'!G62+'24年度 '!G62</f>
        <v>6785278</v>
      </c>
      <c r="H62" s="9">
        <f t="shared" si="8"/>
        <v>6785278</v>
      </c>
      <c r="I62" s="14">
        <f>'23年度'!I62+'24年度 '!I62</f>
        <v>0</v>
      </c>
      <c r="J62" s="14">
        <f>'23年度'!J62+'24年度 '!J62</f>
        <v>0</v>
      </c>
      <c r="K62" s="14">
        <f>'23年度'!K62+'24年度 '!K62</f>
        <v>0</v>
      </c>
      <c r="L62" s="14">
        <f>'23年度'!L62+'24年度 '!L62</f>
        <v>0</v>
      </c>
      <c r="M62" s="14">
        <f>'23年度'!M62+'24年度 '!M62</f>
        <v>0</v>
      </c>
      <c r="N62" s="14">
        <f>'23年度'!N62+'24年度 '!N62</f>
        <v>7083582</v>
      </c>
      <c r="O62" s="13">
        <f t="shared" si="2"/>
        <v>7083582</v>
      </c>
      <c r="P62" s="9">
        <f t="shared" si="3"/>
        <v>13868860</v>
      </c>
    </row>
    <row r="63" spans="1:16" x14ac:dyDescent="0.15">
      <c r="A63" s="8" t="s">
        <v>29</v>
      </c>
      <c r="B63" s="10">
        <f t="shared" ref="B63:N63" si="10">B31+B37</f>
        <v>30227983</v>
      </c>
      <c r="C63" s="10">
        <f t="shared" si="10"/>
        <v>38715846</v>
      </c>
      <c r="D63" s="10">
        <f t="shared" si="10"/>
        <v>30021274</v>
      </c>
      <c r="E63" s="10">
        <f t="shared" si="10"/>
        <v>49475373</v>
      </c>
      <c r="F63" s="10">
        <f t="shared" si="10"/>
        <v>32269586</v>
      </c>
      <c r="G63" s="10">
        <f t="shared" si="10"/>
        <v>38222168</v>
      </c>
      <c r="H63" s="10">
        <f t="shared" si="8"/>
        <v>218932230</v>
      </c>
      <c r="I63" s="10">
        <f t="shared" si="10"/>
        <v>31396503</v>
      </c>
      <c r="J63" s="10">
        <f t="shared" si="10"/>
        <v>30264261</v>
      </c>
      <c r="K63" s="10">
        <f t="shared" si="10"/>
        <v>48982884</v>
      </c>
      <c r="L63" s="10">
        <f t="shared" si="10"/>
        <v>29434616</v>
      </c>
      <c r="M63" s="10">
        <f t="shared" si="10"/>
        <v>32180909</v>
      </c>
      <c r="N63" s="10">
        <f t="shared" si="10"/>
        <v>35609613</v>
      </c>
      <c r="O63" s="10">
        <f t="shared" si="2"/>
        <v>207868786</v>
      </c>
      <c r="P63" s="10">
        <f t="shared" si="3"/>
        <v>426801016</v>
      </c>
    </row>
    <row r="64" spans="1:16" x14ac:dyDescent="0.15">
      <c r="A64" s="8" t="s">
        <v>61</v>
      </c>
      <c r="B64" s="10">
        <f t="shared" ref="B64:G64" si="11">B28-B63</f>
        <v>6324555</v>
      </c>
      <c r="C64" s="10">
        <f t="shared" si="11"/>
        <v>-2564460</v>
      </c>
      <c r="D64" s="10">
        <f t="shared" si="11"/>
        <v>6642986</v>
      </c>
      <c r="E64" s="32">
        <f t="shared" si="11"/>
        <v>-11680845</v>
      </c>
      <c r="F64" s="10">
        <f t="shared" si="11"/>
        <v>6922132</v>
      </c>
      <c r="G64" s="10">
        <f t="shared" si="11"/>
        <v>-2174677</v>
      </c>
      <c r="H64" s="10">
        <f t="shared" si="8"/>
        <v>3469691</v>
      </c>
      <c r="I64" s="10">
        <f t="shared" ref="I64:N64" si="12">I28-I63</f>
        <v>6048984</v>
      </c>
      <c r="J64" s="10">
        <f t="shared" si="12"/>
        <v>5421191</v>
      </c>
      <c r="K64" s="10">
        <f t="shared" si="12"/>
        <v>-14658295</v>
      </c>
      <c r="L64" s="10">
        <f t="shared" si="12"/>
        <v>2681930</v>
      </c>
      <c r="M64" s="10">
        <f t="shared" si="12"/>
        <v>5520524</v>
      </c>
      <c r="N64" s="10">
        <f t="shared" si="12"/>
        <v>3061924</v>
      </c>
      <c r="O64" s="10">
        <f t="shared" si="2"/>
        <v>8076258</v>
      </c>
      <c r="P64" s="10">
        <f t="shared" si="3"/>
        <v>11545949</v>
      </c>
    </row>
    <row r="65" spans="1:16" x14ac:dyDescent="0.15">
      <c r="A65" s="23" t="s">
        <v>126</v>
      </c>
      <c r="B65" s="14">
        <f>'23年度'!B65+'24年度 '!B65</f>
        <v>131</v>
      </c>
      <c r="C65" s="14">
        <f>'23年度'!C65+'24年度 '!C65</f>
        <v>6</v>
      </c>
      <c r="D65" s="14">
        <f>'23年度'!D65+'24年度 '!D65</f>
        <v>0</v>
      </c>
      <c r="E65" s="14">
        <f>'23年度'!E65+'24年度 '!E65</f>
        <v>0</v>
      </c>
      <c r="F65" s="14">
        <f>'23年度'!F65+'24年度 '!F65</f>
        <v>1523</v>
      </c>
      <c r="G65" s="14">
        <f>'23年度'!G65+'24年度 '!G65</f>
        <v>39</v>
      </c>
      <c r="H65" s="10">
        <f t="shared" si="8"/>
        <v>1699</v>
      </c>
      <c r="I65" s="14">
        <f>'23年度'!I65+'24年度 '!I65</f>
        <v>166</v>
      </c>
      <c r="J65" s="14">
        <f>'23年度'!J65+'24年度 '!J65</f>
        <v>0</v>
      </c>
      <c r="K65" s="14">
        <f>'23年度'!K65+'24年度 '!K65</f>
        <v>0</v>
      </c>
      <c r="L65" s="14">
        <f>'23年度'!L65+'24年度 '!L65</f>
        <v>0</v>
      </c>
      <c r="M65" s="14">
        <f>'23年度'!M65+'24年度 '!M65</f>
        <v>1920</v>
      </c>
      <c r="N65" s="14">
        <f>'23年度'!N65+'24年度 '!N65</f>
        <v>509</v>
      </c>
      <c r="O65" s="10">
        <f t="shared" si="2"/>
        <v>2595</v>
      </c>
      <c r="P65" s="10">
        <f t="shared" si="3"/>
        <v>4294</v>
      </c>
    </row>
    <row r="66" spans="1:16" x14ac:dyDescent="0.15">
      <c r="A66" s="23" t="s">
        <v>127</v>
      </c>
      <c r="B66" s="14">
        <f>'23年度'!B66+'24年度 '!B66</f>
        <v>175325</v>
      </c>
      <c r="C66" s="14">
        <f>'23年度'!C66+'24年度 '!C66</f>
        <v>195413</v>
      </c>
      <c r="D66" s="14">
        <f>'23年度'!D66+'24年度 '!D66</f>
        <v>226216</v>
      </c>
      <c r="E66" s="14">
        <f>'23年度'!E66+'24年度 '!E66</f>
        <v>399666</v>
      </c>
      <c r="F66" s="14">
        <f>'23年度'!F66+'24年度 '!F66</f>
        <v>177427</v>
      </c>
      <c r="G66" s="14">
        <f>'23年度'!G66+'24年度 '!G66</f>
        <v>166712</v>
      </c>
      <c r="H66" s="10">
        <f t="shared" si="8"/>
        <v>1340759</v>
      </c>
      <c r="I66" s="14">
        <f>'23年度'!I66+'24年度 '!I66</f>
        <v>178494</v>
      </c>
      <c r="J66" s="14">
        <f>'23年度'!J66+'24年度 '!J66</f>
        <v>166003</v>
      </c>
      <c r="K66" s="14">
        <f>'23年度'!K66+'24年度 '!K66</f>
        <v>373091</v>
      </c>
      <c r="L66" s="14">
        <f>'23年度'!L66+'24年度 '!L66</f>
        <v>151341</v>
      </c>
      <c r="M66" s="14">
        <f>'23年度'!M66+'24年度 '!M66</f>
        <v>146726</v>
      </c>
      <c r="N66" s="14">
        <f>'23年度'!N66+'24年度 '!N66</f>
        <v>232570</v>
      </c>
      <c r="O66" s="10">
        <f t="shared" si="2"/>
        <v>1248225</v>
      </c>
      <c r="P66" s="10">
        <f t="shared" si="3"/>
        <v>2588984</v>
      </c>
    </row>
    <row r="67" spans="1:16" x14ac:dyDescent="0.15">
      <c r="A67" s="8" t="s">
        <v>60</v>
      </c>
      <c r="B67" s="15">
        <f t="shared" ref="B67:G67" si="13">B64+B65-B66</f>
        <v>6149361</v>
      </c>
      <c r="C67" s="15">
        <f t="shared" si="13"/>
        <v>-2759867</v>
      </c>
      <c r="D67" s="15">
        <f t="shared" si="13"/>
        <v>6416770</v>
      </c>
      <c r="E67" s="33">
        <f t="shared" si="13"/>
        <v>-12080511</v>
      </c>
      <c r="F67" s="15">
        <f t="shared" si="13"/>
        <v>6746228</v>
      </c>
      <c r="G67" s="15">
        <f t="shared" si="13"/>
        <v>-2341350</v>
      </c>
      <c r="H67" s="10">
        <f t="shared" si="8"/>
        <v>2130631</v>
      </c>
      <c r="I67" s="15">
        <f t="shared" ref="I67:N67" si="14">I64+I65-I66</f>
        <v>5870656</v>
      </c>
      <c r="J67" s="15">
        <f t="shared" si="14"/>
        <v>5255188</v>
      </c>
      <c r="K67" s="15">
        <f t="shared" si="14"/>
        <v>-15031386</v>
      </c>
      <c r="L67" s="15">
        <f t="shared" si="14"/>
        <v>2530589</v>
      </c>
      <c r="M67" s="15">
        <f t="shared" si="14"/>
        <v>5375718</v>
      </c>
      <c r="N67" s="15">
        <f t="shared" si="14"/>
        <v>2829863</v>
      </c>
      <c r="O67" s="10">
        <f t="shared" si="2"/>
        <v>6830628</v>
      </c>
      <c r="P67" s="10">
        <f t="shared" si="3"/>
        <v>8961259</v>
      </c>
    </row>
    <row r="68" spans="1:16" x14ac:dyDescent="0.15">
      <c r="A68" s="26" t="s">
        <v>116</v>
      </c>
      <c r="B68" s="14">
        <v>416000</v>
      </c>
      <c r="C68" s="14">
        <v>416000</v>
      </c>
      <c r="D68" s="14">
        <v>416000</v>
      </c>
      <c r="E68" s="14">
        <v>416000</v>
      </c>
      <c r="F68" s="14">
        <v>416000</v>
      </c>
      <c r="G68" s="14">
        <v>416000</v>
      </c>
      <c r="H68" s="10">
        <f t="shared" si="8"/>
        <v>2496000</v>
      </c>
      <c r="I68" s="4">
        <v>416000</v>
      </c>
      <c r="J68" s="4">
        <v>416000</v>
      </c>
      <c r="K68" s="9">
        <v>416000</v>
      </c>
      <c r="L68" s="9">
        <v>416000</v>
      </c>
      <c r="M68" s="9">
        <v>416000</v>
      </c>
      <c r="N68" s="9">
        <v>416000</v>
      </c>
      <c r="O68" s="14">
        <f t="shared" si="2"/>
        <v>2496000</v>
      </c>
      <c r="P68" s="9">
        <f t="shared" si="3"/>
        <v>4992000</v>
      </c>
    </row>
  </sheetData>
  <phoneticPr fontId="3"/>
  <pageMargins left="0.51181102362204722" right="0.19685039370078741" top="7.874015748031496E-2" bottom="0" header="0.23622047244094491" footer="0.27559055118110237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6</vt:i4>
      </vt:variant>
    </vt:vector>
  </HeadingPairs>
  <TitlesOfParts>
    <vt:vector size="30" baseType="lpstr">
      <vt:lpstr>平成21年度</vt:lpstr>
      <vt:lpstr>22年度</vt:lpstr>
      <vt:lpstr>23予測</vt:lpstr>
      <vt:lpstr>23年度</vt:lpstr>
      <vt:lpstr>予測対比</vt:lpstr>
      <vt:lpstr>22・23年度合計</vt:lpstr>
      <vt:lpstr>24年度計画</vt:lpstr>
      <vt:lpstr>24年度 </vt:lpstr>
      <vt:lpstr>23・24年度合計</vt:lpstr>
      <vt:lpstr>25年度</vt:lpstr>
      <vt:lpstr>26年度</vt:lpstr>
      <vt:lpstr>27年度</vt:lpstr>
      <vt:lpstr>28年度 </vt:lpstr>
      <vt:lpstr>29年度</vt:lpstr>
      <vt:lpstr>30年度</vt:lpstr>
      <vt:lpstr>31・令和元年度</vt:lpstr>
      <vt:lpstr>令和2年度 </vt:lpstr>
      <vt:lpstr>令和3年度</vt:lpstr>
      <vt:lpstr>令和4年度</vt:lpstr>
      <vt:lpstr>令和５年度</vt:lpstr>
      <vt:lpstr>令和６年度</vt:lpstr>
      <vt:lpstr>令和７年度</vt:lpstr>
      <vt:lpstr>収支推移</vt:lpstr>
      <vt:lpstr>Sheet1 (2)</vt:lpstr>
      <vt:lpstr>'令和2年度 '!Print_Area</vt:lpstr>
      <vt:lpstr>令和3年度!Print_Area</vt:lpstr>
      <vt:lpstr>令和4年度!Print_Area</vt:lpstr>
      <vt:lpstr>令和５年度!Print_Area</vt:lpstr>
      <vt:lpstr>令和６年度!Print_Area</vt:lpstr>
      <vt:lpstr>令和７年度!Print_Area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koyama yoshihiro</dc:creator>
  <cp:lastModifiedBy>hotto-h@hotaru.yoitoko.jp</cp:lastModifiedBy>
  <cp:lastPrinted>2025-09-17T06:45:28Z</cp:lastPrinted>
  <dcterms:created xsi:type="dcterms:W3CDTF">2002-04-24T05:42:29Z</dcterms:created>
  <dcterms:modified xsi:type="dcterms:W3CDTF">2025-10-27T04:24:57Z</dcterms:modified>
</cp:coreProperties>
</file>