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CE2222E-719D-4513-93F9-AAFA4F584ADE}" xr6:coauthVersionLast="47" xr6:coauthVersionMax="47" xr10:uidLastSave="{00000000-0000-0000-0000-000000000000}"/>
  <bookViews>
    <workbookView xWindow="-120" yWindow="-120" windowWidth="20730" windowHeight="11160" firstSheet="78" activeTab="80" xr2:uid="{71517ECB-24F4-4EC7-9578-4CC4B0F7CD53}"/>
  </bookViews>
  <sheets>
    <sheet name="22.3月" sheetId="4" r:id="rId1"/>
    <sheet name="23.3月" sheetId="5" r:id="rId2"/>
    <sheet name="24.3月 " sheetId="17" r:id="rId3"/>
    <sheet name="25.3月" sheetId="29" r:id="rId4"/>
    <sheet name="26.3月 " sheetId="41" r:id="rId5"/>
    <sheet name="27.3月" sheetId="53" r:id="rId6"/>
    <sheet name="28.3月" sheetId="65" r:id="rId7"/>
    <sheet name="29.3月" sheetId="77" r:id="rId8"/>
    <sheet name="30.3月 " sheetId="89" r:id="rId9"/>
    <sheet name="31.3月 " sheetId="101" r:id="rId10"/>
    <sheet name="31.4月" sheetId="102" r:id="rId11"/>
    <sheet name="令和1.5月" sheetId="103" r:id="rId12"/>
    <sheet name="1.6月 " sheetId="104" r:id="rId13"/>
    <sheet name="1.7月 " sheetId="105" r:id="rId14"/>
    <sheet name="1.8月 " sheetId="106" r:id="rId15"/>
    <sheet name="1.9月 " sheetId="107" r:id="rId16"/>
    <sheet name="1.10月 " sheetId="108" r:id="rId17"/>
    <sheet name="1.11月" sheetId="109" r:id="rId18"/>
    <sheet name="1.12月 " sheetId="110" r:id="rId19"/>
    <sheet name="2.1月" sheetId="111" r:id="rId20"/>
    <sheet name="2.2月 " sheetId="112" r:id="rId21"/>
    <sheet name="2.3月" sheetId="113" r:id="rId22"/>
    <sheet name="2.4月" sheetId="114" r:id="rId23"/>
    <sheet name="2.5月" sheetId="116" r:id="rId24"/>
    <sheet name="2.6月" sheetId="117" r:id="rId25"/>
    <sheet name="2.7月 " sheetId="118" r:id="rId26"/>
    <sheet name="2.8月" sheetId="119" r:id="rId27"/>
    <sheet name="2.9月 " sheetId="120" r:id="rId28"/>
    <sheet name="2.10月" sheetId="121" r:id="rId29"/>
    <sheet name="2.11月" sheetId="122" r:id="rId30"/>
    <sheet name="2.12月" sheetId="123" r:id="rId31"/>
    <sheet name="3.1月" sheetId="124" r:id="rId32"/>
    <sheet name="3.2月 " sheetId="125" r:id="rId33"/>
    <sheet name="3.3月" sheetId="126" r:id="rId34"/>
    <sheet name="3.4月" sheetId="127" r:id="rId35"/>
    <sheet name="3.5月 " sheetId="128" r:id="rId36"/>
    <sheet name="3.6月  " sheetId="129" r:id="rId37"/>
    <sheet name="3.7月" sheetId="130" r:id="rId38"/>
    <sheet name="3.8月" sheetId="131" r:id="rId39"/>
    <sheet name="3.9月 " sheetId="133" r:id="rId40"/>
    <sheet name="3.10月" sheetId="134" r:id="rId41"/>
    <sheet name="3.11月" sheetId="136" r:id="rId42"/>
    <sheet name="3.12月" sheetId="137" r:id="rId43"/>
    <sheet name="4.1月" sheetId="139" r:id="rId44"/>
    <sheet name="4.2月" sheetId="140" r:id="rId45"/>
    <sheet name="4.3月" sheetId="141" r:id="rId46"/>
    <sheet name="4.4月" sheetId="142" r:id="rId47"/>
    <sheet name="4.５月" sheetId="143" r:id="rId48"/>
    <sheet name="4.6月" sheetId="144" r:id="rId49"/>
    <sheet name="4.7月" sheetId="145" r:id="rId50"/>
    <sheet name="4.8月" sheetId="146" r:id="rId51"/>
    <sheet name="4.9月" sheetId="147" r:id="rId52"/>
    <sheet name="4.10月" sheetId="148" r:id="rId53"/>
    <sheet name="4.11月" sheetId="149" r:id="rId54"/>
    <sheet name="4.12月" sheetId="150" r:id="rId55"/>
    <sheet name="5.1月" sheetId="151" r:id="rId56"/>
    <sheet name="5.2月" sheetId="152" r:id="rId57"/>
    <sheet name="5.3月" sheetId="153" r:id="rId58"/>
    <sheet name="5.4月" sheetId="154" r:id="rId59"/>
    <sheet name="5.5月" sheetId="155" r:id="rId60"/>
    <sheet name="5.6月" sheetId="156" r:id="rId61"/>
    <sheet name="5.7月" sheetId="157" r:id="rId62"/>
    <sheet name="5.8月" sheetId="158" r:id="rId63"/>
    <sheet name="5.9月" sheetId="159" r:id="rId64"/>
    <sheet name="5.10月" sheetId="160" r:id="rId65"/>
    <sheet name="5.11月" sheetId="161" r:id="rId66"/>
    <sheet name="5.12月" sheetId="162" r:id="rId67"/>
    <sheet name="6.1月" sheetId="163" r:id="rId68"/>
    <sheet name="6.2月" sheetId="164" r:id="rId69"/>
    <sheet name="6.3月" sheetId="165" r:id="rId70"/>
    <sheet name="6.5月" sheetId="166" r:id="rId71"/>
    <sheet name="6.6月" sheetId="167" r:id="rId72"/>
    <sheet name="6.7月" sheetId="168" r:id="rId73"/>
    <sheet name="6.8月" sheetId="169" r:id="rId74"/>
    <sheet name="6.9月" sheetId="170" r:id="rId75"/>
    <sheet name="6.10月" sheetId="171" r:id="rId76"/>
    <sheet name="6.11月" sheetId="172" r:id="rId77"/>
    <sheet name="6.12月" sheetId="173" r:id="rId78"/>
    <sheet name="7.1月" sheetId="174" r:id="rId79"/>
    <sheet name="7.2月" sheetId="175" r:id="rId80"/>
    <sheet name="7.3月" sheetId="176" r:id="rId81"/>
    <sheet name="7.４月" sheetId="177" r:id="rId82"/>
    <sheet name="7.５月" sheetId="178" r:id="rId83"/>
    <sheet name="7.6月" sheetId="179" r:id="rId84"/>
    <sheet name="7.7月 " sheetId="180" r:id="rId85"/>
    <sheet name="7.8月 " sheetId="181" r:id="rId86"/>
    <sheet name="Sheet1" sheetId="138" r:id="rId87"/>
  </sheets>
  <externalReferences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</externalReferences>
  <definedNames>
    <definedName name="_xlnm.Print_Area" localSheetId="16">'1.10月 '!$A$1:$D$62</definedName>
    <definedName name="_xlnm.Print_Area" localSheetId="17">'1.11月'!$A$1:$D$63</definedName>
    <definedName name="_xlnm.Print_Area" localSheetId="18">'1.12月 '!$A$1:$D$63</definedName>
    <definedName name="_xlnm.Print_Area" localSheetId="12">'1.6月 '!$A$1:$D$62</definedName>
    <definedName name="_xlnm.Print_Area" localSheetId="13">'1.7月 '!$A$1:$D$62</definedName>
    <definedName name="_xlnm.Print_Area" localSheetId="14">'1.8月 '!$A$1:$D$62</definedName>
    <definedName name="_xlnm.Print_Area" localSheetId="15">'1.9月 '!$A$1:$D$62</definedName>
    <definedName name="_xlnm.Print_Area" localSheetId="28">'2.10月'!$A$1:$D$64</definedName>
    <definedName name="_xlnm.Print_Area" localSheetId="29">'2.11月'!$A$1:$D$64</definedName>
    <definedName name="_xlnm.Print_Area" localSheetId="30">'2.12月'!$A$1:$D$64</definedName>
    <definedName name="_xlnm.Print_Area" localSheetId="19">'2.1月'!$A$1:$D$63</definedName>
    <definedName name="_xlnm.Print_Area" localSheetId="20">'2.2月 '!$A$1:$D$63</definedName>
    <definedName name="_xlnm.Print_Area" localSheetId="21">'2.3月'!$A$1:$D$63</definedName>
    <definedName name="_xlnm.Print_Area" localSheetId="22">'2.4月'!$A$1:$D$64</definedName>
    <definedName name="_xlnm.Print_Area" localSheetId="23">'2.5月'!$A$1:$D$64</definedName>
    <definedName name="_xlnm.Print_Area" localSheetId="24">'2.6月'!$A$1:$D$64</definedName>
    <definedName name="_xlnm.Print_Area" localSheetId="25">'2.7月 '!$A$1:$D$64</definedName>
    <definedName name="_xlnm.Print_Area" localSheetId="26">'2.8月'!$A$1:$D$64</definedName>
    <definedName name="_xlnm.Print_Area" localSheetId="27">'2.9月 '!$A$1:$D$64</definedName>
    <definedName name="_xlnm.Print_Area" localSheetId="3">'25.3月'!$A$1:$D$58</definedName>
    <definedName name="_xlnm.Print_Area" localSheetId="4">'26.3月 '!$A$1:$D$58</definedName>
    <definedName name="_xlnm.Print_Area" localSheetId="5">'27.3月'!$A$1:$D$59</definedName>
    <definedName name="_xlnm.Print_Area" localSheetId="6">'28.3月'!$A$1:$D$59</definedName>
    <definedName name="_xlnm.Print_Area" localSheetId="7">'29.3月'!$A$1:$D$60</definedName>
    <definedName name="_xlnm.Print_Area" localSheetId="40">'3.10月'!$A$1:$D$64</definedName>
    <definedName name="_xlnm.Print_Area" localSheetId="41">'3.11月'!$A$1:$D$64</definedName>
    <definedName name="_xlnm.Print_Area" localSheetId="42">'3.12月'!$A$1:$D$64</definedName>
    <definedName name="_xlnm.Print_Area" localSheetId="31">'3.1月'!$A$1:$D$64</definedName>
    <definedName name="_xlnm.Print_Area" localSheetId="32">'3.2月 '!$A$1:$D$64</definedName>
    <definedName name="_xlnm.Print_Area" localSheetId="33">'3.3月'!$A$1:$D$64</definedName>
    <definedName name="_xlnm.Print_Area" localSheetId="34">'3.4月'!$A$1:$D$64</definedName>
    <definedName name="_xlnm.Print_Area" localSheetId="35">'3.5月 '!$A$1:$D$64</definedName>
    <definedName name="_xlnm.Print_Area" localSheetId="36">'3.6月  '!$A$1:$D$64</definedName>
    <definedName name="_xlnm.Print_Area" localSheetId="37">'3.7月'!$A$1:$D$64</definedName>
    <definedName name="_xlnm.Print_Area" localSheetId="38">'3.8月'!$A$1:$D$64</definedName>
    <definedName name="_xlnm.Print_Area" localSheetId="39">'3.9月 '!$A$1:$D$64</definedName>
    <definedName name="_xlnm.Print_Area" localSheetId="8">'30.3月 '!$A$1:$D$62</definedName>
    <definedName name="_xlnm.Print_Area" localSheetId="9">'31.3月 '!$A$1:$D$62</definedName>
    <definedName name="_xlnm.Print_Area" localSheetId="10">'31.4月'!$A$1:$D$62</definedName>
    <definedName name="_xlnm.Print_Area" localSheetId="52">'4.10月'!$A$1:$D$65</definedName>
    <definedName name="_xlnm.Print_Area" localSheetId="53">'4.11月'!$A$1:$D$65</definedName>
    <definedName name="_xlnm.Print_Area" localSheetId="54">'4.12月'!$A$1:$D$65</definedName>
    <definedName name="_xlnm.Print_Area" localSheetId="43">'4.1月'!$A$1:$D$64</definedName>
    <definedName name="_xlnm.Print_Area" localSheetId="44">'4.2月'!$A$1:$D$64</definedName>
    <definedName name="_xlnm.Print_Area" localSheetId="45">'4.3月'!$A$1:$D$64</definedName>
    <definedName name="_xlnm.Print_Area" localSheetId="46">'4.4月'!$A$1:$D$64</definedName>
    <definedName name="_xlnm.Print_Area" localSheetId="47">'4.５月'!$A$1:$D$64</definedName>
    <definedName name="_xlnm.Print_Area" localSheetId="48">'4.6月'!$A$1:$D$64</definedName>
    <definedName name="_xlnm.Print_Area" localSheetId="49">'4.7月'!$A$1:$D$64</definedName>
    <definedName name="_xlnm.Print_Area" localSheetId="50">'4.8月'!$A$1:$D$64</definedName>
    <definedName name="_xlnm.Print_Area" localSheetId="51">'4.9月'!$A$1:$D$64</definedName>
    <definedName name="_xlnm.Print_Area" localSheetId="64">'5.10月'!$A$1:$D$65</definedName>
    <definedName name="_xlnm.Print_Area" localSheetId="65">'5.11月'!$A$1:$D$65</definedName>
    <definedName name="_xlnm.Print_Area" localSheetId="66">'5.12月'!$A$1:$D$65</definedName>
    <definedName name="_xlnm.Print_Area" localSheetId="55">'5.1月'!$A$1:$D$65</definedName>
    <definedName name="_xlnm.Print_Area" localSheetId="56">'5.2月'!$A$1:$D$65</definedName>
    <definedName name="_xlnm.Print_Area" localSheetId="57">'5.3月'!$A$1:$D$65</definedName>
    <definedName name="_xlnm.Print_Area" localSheetId="58">'5.4月'!$A$1:$D$65</definedName>
    <definedName name="_xlnm.Print_Area" localSheetId="59">'5.5月'!$A$1:$D$65</definedName>
    <definedName name="_xlnm.Print_Area" localSheetId="60">'5.6月'!$A$1:$D$65</definedName>
    <definedName name="_xlnm.Print_Area" localSheetId="61">'5.7月'!$A$1:$D$65</definedName>
    <definedName name="_xlnm.Print_Area" localSheetId="62">'5.8月'!$A$1:$D$65</definedName>
    <definedName name="_xlnm.Print_Area" localSheetId="63">'5.9月'!$A$1:$D$65</definedName>
    <definedName name="_xlnm.Print_Area" localSheetId="75">'6.10月'!$A$1:$D$65</definedName>
    <definedName name="_xlnm.Print_Area" localSheetId="76">'6.11月'!$A$1:$D$65</definedName>
    <definedName name="_xlnm.Print_Area" localSheetId="77">'6.12月'!$A$1:$D$65</definedName>
    <definedName name="_xlnm.Print_Area" localSheetId="67">'6.1月'!$A$1:$D$65</definedName>
    <definedName name="_xlnm.Print_Area" localSheetId="68">'6.2月'!$A$1:$D$65</definedName>
    <definedName name="_xlnm.Print_Area" localSheetId="69">'6.3月'!$A$1:$D$65</definedName>
    <definedName name="_xlnm.Print_Area" localSheetId="70">'6.5月'!$A$1:$D$65</definedName>
    <definedName name="_xlnm.Print_Area" localSheetId="71">'6.6月'!$A$1:$D$65</definedName>
    <definedName name="_xlnm.Print_Area" localSheetId="72">'6.7月'!$A$1:$D$65</definedName>
    <definedName name="_xlnm.Print_Area" localSheetId="73">'6.8月'!$A$1:$D$65</definedName>
    <definedName name="_xlnm.Print_Area" localSheetId="74">'6.9月'!$A$1:$D$65</definedName>
    <definedName name="_xlnm.Print_Area" localSheetId="78">'7.1月'!$A$1:$D$65</definedName>
    <definedName name="_xlnm.Print_Area" localSheetId="79">'7.2月'!$A$1:$D$65</definedName>
    <definedName name="_xlnm.Print_Area" localSheetId="80">'7.3月'!$A$1:$D$65</definedName>
    <definedName name="_xlnm.Print_Area" localSheetId="81">'7.４月'!$A$1:$D$65</definedName>
    <definedName name="_xlnm.Print_Area" localSheetId="82">'7.５月'!$A$1:$D$65</definedName>
    <definedName name="_xlnm.Print_Area" localSheetId="83">'7.6月'!$A$1:$D$65</definedName>
    <definedName name="_xlnm.Print_Area" localSheetId="84">'7.7月 '!$A$1:$D$65</definedName>
    <definedName name="_xlnm.Print_Area" localSheetId="85">'7.8月 '!$A$1:$D$65</definedName>
    <definedName name="_xlnm.Print_Area" localSheetId="11">'令和1.5月'!$A$1:$D$62</definedName>
  </definedNames>
  <calcPr calcId="181029"/>
</workbook>
</file>

<file path=xl/calcChain.xml><?xml version="1.0" encoding="utf-8"?>
<calcChain xmlns="http://schemas.openxmlformats.org/spreadsheetml/2006/main">
  <c r="F9" i="181" l="1"/>
  <c r="C56" i="181" l="1"/>
  <c r="B49" i="181"/>
  <c r="C51" i="181"/>
  <c r="D58" i="181" s="1"/>
  <c r="B41" i="181"/>
  <c r="H40" i="181"/>
  <c r="G40" i="181"/>
  <c r="F40" i="181"/>
  <c r="B40" i="181"/>
  <c r="L39" i="181"/>
  <c r="K39" i="181"/>
  <c r="J39" i="181"/>
  <c r="I39" i="181"/>
  <c r="H39" i="181"/>
  <c r="G39" i="181"/>
  <c r="B38" i="181" s="1"/>
  <c r="F39" i="181"/>
  <c r="B39" i="181"/>
  <c r="G38" i="181"/>
  <c r="F38" i="181"/>
  <c r="B37" i="181" s="1"/>
  <c r="H37" i="181"/>
  <c r="G37" i="181"/>
  <c r="F37" i="181"/>
  <c r="B36" i="181" s="1"/>
  <c r="L36" i="181"/>
  <c r="K36" i="181"/>
  <c r="J36" i="181"/>
  <c r="I36" i="181"/>
  <c r="H36" i="181"/>
  <c r="G36" i="181"/>
  <c r="F36" i="181"/>
  <c r="L35" i="181"/>
  <c r="K35" i="181"/>
  <c r="J35" i="181"/>
  <c r="I35" i="181"/>
  <c r="H35" i="181"/>
  <c r="G35" i="181"/>
  <c r="F35" i="181"/>
  <c r="B35" i="181" s="1"/>
  <c r="J34" i="181"/>
  <c r="I34" i="181"/>
  <c r="H34" i="181"/>
  <c r="G34" i="181"/>
  <c r="F34" i="181"/>
  <c r="B30" i="181"/>
  <c r="H29" i="181"/>
  <c r="G29" i="181"/>
  <c r="F29" i="181"/>
  <c r="B24" i="181" s="1"/>
  <c r="B29" i="181"/>
  <c r="G27" i="181"/>
  <c r="F27" i="181"/>
  <c r="B21" i="181" s="1"/>
  <c r="B27" i="181"/>
  <c r="B26" i="181"/>
  <c r="K25" i="181"/>
  <c r="J25" i="181"/>
  <c r="G25" i="181"/>
  <c r="B20" i="181" s="1"/>
  <c r="F25" i="181"/>
  <c r="B25" i="181"/>
  <c r="H23" i="181"/>
  <c r="G23" i="181"/>
  <c r="F23" i="181"/>
  <c r="B23" i="181"/>
  <c r="B22" i="181"/>
  <c r="H20" i="181"/>
  <c r="G20" i="181"/>
  <c r="F20" i="181"/>
  <c r="H18" i="181"/>
  <c r="G18" i="181"/>
  <c r="B17" i="181" s="1"/>
  <c r="F18" i="181"/>
  <c r="G16" i="181"/>
  <c r="F16" i="181"/>
  <c r="B14" i="181"/>
  <c r="J13" i="181"/>
  <c r="H13" i="181"/>
  <c r="F13" i="181"/>
  <c r="B12" i="181" s="1"/>
  <c r="B13" i="181"/>
  <c r="H11" i="181"/>
  <c r="G11" i="181"/>
  <c r="F11" i="181"/>
  <c r="B11" i="181" s="1"/>
  <c r="K9" i="181"/>
  <c r="J9" i="181"/>
  <c r="I9" i="181"/>
  <c r="H9" i="181"/>
  <c r="G9" i="181"/>
  <c r="B34" i="181" l="1"/>
  <c r="B19" i="181"/>
  <c r="B18" i="181"/>
  <c r="B16" i="181"/>
  <c r="B15" i="181" s="1"/>
  <c r="B10" i="181"/>
  <c r="B9" i="181" s="1"/>
  <c r="C42" i="181"/>
  <c r="B54" i="180"/>
  <c r="C56" i="180" s="1"/>
  <c r="B49" i="180"/>
  <c r="B48" i="180"/>
  <c r="B41" i="180"/>
  <c r="H40" i="180"/>
  <c r="G40" i="180"/>
  <c r="F40" i="180"/>
  <c r="B40" i="180"/>
  <c r="L39" i="180"/>
  <c r="K39" i="180"/>
  <c r="J39" i="180"/>
  <c r="I39" i="180"/>
  <c r="H39" i="180"/>
  <c r="G39" i="180"/>
  <c r="F39" i="180"/>
  <c r="B39" i="180"/>
  <c r="G38" i="180"/>
  <c r="F38" i="180"/>
  <c r="B37" i="180" s="1"/>
  <c r="H37" i="180"/>
  <c r="G37" i="180"/>
  <c r="F37" i="180"/>
  <c r="L36" i="180"/>
  <c r="K36" i="180"/>
  <c r="J36" i="180"/>
  <c r="I36" i="180"/>
  <c r="H36" i="180"/>
  <c r="G36" i="180"/>
  <c r="F36" i="180"/>
  <c r="L35" i="180"/>
  <c r="K35" i="180"/>
  <c r="J35" i="180"/>
  <c r="I35" i="180"/>
  <c r="H35" i="180"/>
  <c r="G35" i="180"/>
  <c r="F35" i="180"/>
  <c r="J34" i="180"/>
  <c r="I34" i="180"/>
  <c r="H34" i="180"/>
  <c r="G34" i="180"/>
  <c r="F34" i="180"/>
  <c r="B30" i="180"/>
  <c r="H29" i="180"/>
  <c r="G29" i="180"/>
  <c r="F29" i="180"/>
  <c r="B29" i="180"/>
  <c r="G27" i="180"/>
  <c r="F27" i="180"/>
  <c r="B27" i="180"/>
  <c r="B26" i="180"/>
  <c r="K25" i="180"/>
  <c r="B22" i="180" s="1"/>
  <c r="J25" i="180"/>
  <c r="G25" i="180"/>
  <c r="F25" i="180"/>
  <c r="B25" i="180"/>
  <c r="H23" i="180"/>
  <c r="G23" i="180"/>
  <c r="F23" i="180"/>
  <c r="B23" i="180"/>
  <c r="H20" i="180"/>
  <c r="G20" i="180"/>
  <c r="F20" i="180"/>
  <c r="H18" i="180"/>
  <c r="G18" i="180"/>
  <c r="F18" i="180"/>
  <c r="G16" i="180"/>
  <c r="F16" i="180"/>
  <c r="J13" i="180"/>
  <c r="B14" i="180" s="1"/>
  <c r="H13" i="180"/>
  <c r="B13" i="180" s="1"/>
  <c r="F13" i="180"/>
  <c r="B12" i="180" s="1"/>
  <c r="H11" i="180"/>
  <c r="G11" i="180"/>
  <c r="F11" i="180"/>
  <c r="K9" i="180"/>
  <c r="J9" i="180"/>
  <c r="I9" i="180"/>
  <c r="H9" i="180"/>
  <c r="G9" i="180"/>
  <c r="B48" i="179"/>
  <c r="B54" i="179"/>
  <c r="C56" i="179" s="1"/>
  <c r="B49" i="179"/>
  <c r="B41" i="179"/>
  <c r="H40" i="179"/>
  <c r="G40" i="179"/>
  <c r="F40" i="179"/>
  <c r="B40" i="179"/>
  <c r="L39" i="179"/>
  <c r="K39" i="179"/>
  <c r="J39" i="179"/>
  <c r="I39" i="179"/>
  <c r="H39" i="179"/>
  <c r="G39" i="179"/>
  <c r="F39" i="179"/>
  <c r="B39" i="179"/>
  <c r="G38" i="179"/>
  <c r="F38" i="179"/>
  <c r="H37" i="179"/>
  <c r="G37" i="179"/>
  <c r="F37" i="179"/>
  <c r="L36" i="179"/>
  <c r="K36" i="179"/>
  <c r="J36" i="179"/>
  <c r="I36" i="179"/>
  <c r="H36" i="179"/>
  <c r="G36" i="179"/>
  <c r="F36" i="179"/>
  <c r="L35" i="179"/>
  <c r="K35" i="179"/>
  <c r="J35" i="179"/>
  <c r="I35" i="179"/>
  <c r="H35" i="179"/>
  <c r="G35" i="179"/>
  <c r="F35" i="179"/>
  <c r="J34" i="179"/>
  <c r="I34" i="179"/>
  <c r="H34" i="179"/>
  <c r="G34" i="179"/>
  <c r="F34" i="179"/>
  <c r="B30" i="179"/>
  <c r="H29" i="179"/>
  <c r="G29" i="179"/>
  <c r="F29" i="179"/>
  <c r="B29" i="179"/>
  <c r="G27" i="179"/>
  <c r="F27" i="179"/>
  <c r="B27" i="179"/>
  <c r="B26" i="179"/>
  <c r="K25" i="179"/>
  <c r="B22" i="179" s="1"/>
  <c r="J25" i="179"/>
  <c r="G25" i="179"/>
  <c r="F25" i="179"/>
  <c r="B25" i="179"/>
  <c r="H23" i="179"/>
  <c r="G23" i="179"/>
  <c r="F23" i="179"/>
  <c r="B23" i="179"/>
  <c r="H20" i="179"/>
  <c r="G20" i="179"/>
  <c r="F20" i="179"/>
  <c r="H18" i="179"/>
  <c r="G18" i="179"/>
  <c r="F18" i="179"/>
  <c r="G16" i="179"/>
  <c r="F16" i="179"/>
  <c r="J13" i="179"/>
  <c r="B14" i="179" s="1"/>
  <c r="H13" i="179"/>
  <c r="B13" i="179" s="1"/>
  <c r="F13" i="179"/>
  <c r="B12" i="179" s="1"/>
  <c r="H11" i="179"/>
  <c r="G11" i="179"/>
  <c r="F11" i="179"/>
  <c r="K9" i="179"/>
  <c r="J9" i="179"/>
  <c r="I9" i="179"/>
  <c r="H9" i="179"/>
  <c r="G9" i="179"/>
  <c r="F9" i="179"/>
  <c r="B30" i="178"/>
  <c r="B27" i="178"/>
  <c r="B26" i="178"/>
  <c r="B37" i="179" l="1"/>
  <c r="C51" i="180"/>
  <c r="D58" i="180" s="1"/>
  <c r="B16" i="180"/>
  <c r="B21" i="180"/>
  <c r="C31" i="181"/>
  <c r="D44" i="181" s="1"/>
  <c r="D62" i="181" s="1"/>
  <c r="D64" i="181" s="1"/>
  <c r="D63" i="181" s="1"/>
  <c r="F63" i="181" s="1"/>
  <c r="B11" i="179"/>
  <c r="B21" i="179"/>
  <c r="B10" i="180"/>
  <c r="B11" i="180"/>
  <c r="B17" i="180"/>
  <c r="B19" i="180"/>
  <c r="B20" i="180"/>
  <c r="B24" i="180"/>
  <c r="B18" i="180"/>
  <c r="B24" i="179"/>
  <c r="B35" i="180"/>
  <c r="C51" i="179"/>
  <c r="D58" i="179" s="1"/>
  <c r="B34" i="180"/>
  <c r="B38" i="180"/>
  <c r="B36" i="180"/>
  <c r="B17" i="179"/>
  <c r="B20" i="179"/>
  <c r="B19" i="179"/>
  <c r="B16" i="179"/>
  <c r="B18" i="179"/>
  <c r="B10" i="179"/>
  <c r="B35" i="179"/>
  <c r="B34" i="179"/>
  <c r="B38" i="179"/>
  <c r="B36" i="179"/>
  <c r="B25" i="178"/>
  <c r="B15" i="180" l="1"/>
  <c r="D65" i="181"/>
  <c r="B9" i="179"/>
  <c r="B9" i="180"/>
  <c r="C31" i="180" s="1"/>
  <c r="C42" i="180"/>
  <c r="B15" i="179"/>
  <c r="C42" i="179"/>
  <c r="C31" i="179"/>
  <c r="B23" i="178"/>
  <c r="D44" i="180" l="1"/>
  <c r="D62" i="180" s="1"/>
  <c r="D64" i="180" s="1"/>
  <c r="D44" i="179"/>
  <c r="D62" i="179" s="1"/>
  <c r="D64" i="179" s="1"/>
  <c r="D63" i="179" s="1"/>
  <c r="F63" i="179" s="1"/>
  <c r="D63" i="180"/>
  <c r="F63" i="180" s="1"/>
  <c r="D65" i="180"/>
  <c r="B41" i="178"/>
  <c r="B40" i="178"/>
  <c r="B39" i="178"/>
  <c r="B54" i="178"/>
  <c r="B49" i="178"/>
  <c r="H40" i="178"/>
  <c r="G40" i="178"/>
  <c r="F40" i="178"/>
  <c r="L39" i="178"/>
  <c r="K39" i="178"/>
  <c r="J39" i="178"/>
  <c r="I39" i="178"/>
  <c r="H39" i="178"/>
  <c r="G39" i="178"/>
  <c r="F39" i="178"/>
  <c r="G38" i="178"/>
  <c r="F38" i="178"/>
  <c r="H37" i="178"/>
  <c r="G37" i="178"/>
  <c r="F37" i="178"/>
  <c r="L36" i="178"/>
  <c r="K36" i="178"/>
  <c r="J36" i="178"/>
  <c r="I36" i="178"/>
  <c r="H36" i="178"/>
  <c r="G36" i="178"/>
  <c r="F36" i="178"/>
  <c r="L35" i="178"/>
  <c r="K35" i="178"/>
  <c r="J35" i="178"/>
  <c r="I35" i="178"/>
  <c r="H35" i="178"/>
  <c r="G35" i="178"/>
  <c r="F35" i="178"/>
  <c r="J34" i="178"/>
  <c r="I34" i="178"/>
  <c r="H34" i="178"/>
  <c r="G34" i="178"/>
  <c r="F34" i="178"/>
  <c r="H29" i="178"/>
  <c r="G29" i="178"/>
  <c r="F29" i="178"/>
  <c r="K25" i="178"/>
  <c r="J25" i="178"/>
  <c r="G27" i="178"/>
  <c r="F27" i="178"/>
  <c r="G25" i="178"/>
  <c r="F25" i="178"/>
  <c r="H23" i="178"/>
  <c r="G23" i="178"/>
  <c r="F23" i="178"/>
  <c r="H20" i="178"/>
  <c r="G20" i="178"/>
  <c r="F20" i="178"/>
  <c r="H18" i="178"/>
  <c r="G18" i="178"/>
  <c r="F18" i="178"/>
  <c r="G16" i="178"/>
  <c r="F16" i="178"/>
  <c r="B48" i="178"/>
  <c r="B29" i="178"/>
  <c r="D65" i="179" l="1"/>
  <c r="C56" i="178"/>
  <c r="C51" i="178"/>
  <c r="B37" i="178"/>
  <c r="B16" i="178"/>
  <c r="J13" i="178"/>
  <c r="B14" i="178" s="1"/>
  <c r="H13" i="178"/>
  <c r="B13" i="178" s="1"/>
  <c r="F13" i="178"/>
  <c r="B12" i="178" s="1"/>
  <c r="H11" i="178"/>
  <c r="G11" i="178"/>
  <c r="F11" i="178"/>
  <c r="K9" i="178"/>
  <c r="J9" i="178"/>
  <c r="I9" i="178"/>
  <c r="H9" i="178"/>
  <c r="G9" i="178"/>
  <c r="F9" i="178"/>
  <c r="D58" i="178" l="1"/>
  <c r="B19" i="178"/>
  <c r="B17" i="178"/>
  <c r="B21" i="178"/>
  <c r="B18" i="178"/>
  <c r="B20" i="178"/>
  <c r="B24" i="178"/>
  <c r="B22" i="178"/>
  <c r="B36" i="178"/>
  <c r="B38" i="178"/>
  <c r="B35" i="178"/>
  <c r="B34" i="178"/>
  <c r="B11" i="178"/>
  <c r="B10" i="178"/>
  <c r="B9" i="178" l="1"/>
  <c r="B15" i="178"/>
  <c r="C42" i="178"/>
  <c r="C31" i="178" l="1"/>
  <c r="D44" i="178" s="1"/>
  <c r="D62" i="178" s="1"/>
  <c r="D64" i="178" s="1"/>
  <c r="D63" i="178" s="1"/>
  <c r="F9" i="177"/>
  <c r="G9" i="177"/>
  <c r="H9" i="177"/>
  <c r="I9" i="177"/>
  <c r="J9" i="177"/>
  <c r="K9" i="177"/>
  <c r="F11" i="177"/>
  <c r="G11" i="177"/>
  <c r="H11" i="177"/>
  <c r="F13" i="177"/>
  <c r="H13" i="177"/>
  <c r="J13" i="177"/>
  <c r="F16" i="177"/>
  <c r="G16" i="177"/>
  <c r="F18" i="177"/>
  <c r="G18" i="177"/>
  <c r="H18" i="177"/>
  <c r="F20" i="177"/>
  <c r="G20" i="177"/>
  <c r="H20" i="177"/>
  <c r="F23" i="177"/>
  <c r="G23" i="177"/>
  <c r="H23" i="177"/>
  <c r="F25" i="177"/>
  <c r="G25" i="177"/>
  <c r="J25" i="177"/>
  <c r="K25" i="177"/>
  <c r="F27" i="177"/>
  <c r="G27" i="177"/>
  <c r="F29" i="177"/>
  <c r="G29" i="177"/>
  <c r="H29" i="177"/>
  <c r="F34" i="177"/>
  <c r="G34" i="177"/>
  <c r="H34" i="177"/>
  <c r="I34" i="177"/>
  <c r="J34" i="177"/>
  <c r="F35" i="177"/>
  <c r="G35" i="177"/>
  <c r="H35" i="177"/>
  <c r="I35" i="177"/>
  <c r="J35" i="177"/>
  <c r="K35" i="177"/>
  <c r="L35" i="177"/>
  <c r="F36" i="177"/>
  <c r="G36" i="177"/>
  <c r="H36" i="177"/>
  <c r="I36" i="177"/>
  <c r="J36" i="177"/>
  <c r="K36" i="177"/>
  <c r="L36" i="177"/>
  <c r="F37" i="177"/>
  <c r="G37" i="177"/>
  <c r="H37" i="177"/>
  <c r="F38" i="177"/>
  <c r="G38" i="177"/>
  <c r="F39" i="177"/>
  <c r="G39" i="177"/>
  <c r="H39" i="177"/>
  <c r="I39" i="177"/>
  <c r="J39" i="177"/>
  <c r="K39" i="177"/>
  <c r="L39" i="177"/>
  <c r="F40" i="177"/>
  <c r="G40" i="177"/>
  <c r="H40" i="177"/>
  <c r="F9" i="176"/>
  <c r="G9" i="176"/>
  <c r="H9" i="176"/>
  <c r="I9" i="176"/>
  <c r="J9" i="176"/>
  <c r="K9" i="176"/>
  <c r="F11" i="176"/>
  <c r="G11" i="176"/>
  <c r="H11" i="176"/>
  <c r="F13" i="176"/>
  <c r="H13" i="176"/>
  <c r="J13" i="176"/>
  <c r="F16" i="176"/>
  <c r="G16" i="176"/>
  <c r="F18" i="176"/>
  <c r="G18" i="176"/>
  <c r="H18" i="176"/>
  <c r="F20" i="176"/>
  <c r="G20" i="176"/>
  <c r="H20" i="176"/>
  <c r="F23" i="176"/>
  <c r="G23" i="176"/>
  <c r="H23" i="176"/>
  <c r="F25" i="176"/>
  <c r="G25" i="176"/>
  <c r="J25" i="176"/>
  <c r="K25" i="176"/>
  <c r="F27" i="176"/>
  <c r="G27" i="176"/>
  <c r="F29" i="176"/>
  <c r="G29" i="176"/>
  <c r="H29" i="176"/>
  <c r="F34" i="176"/>
  <c r="G34" i="176"/>
  <c r="H34" i="176"/>
  <c r="I34" i="176"/>
  <c r="J34" i="176"/>
  <c r="F35" i="176"/>
  <c r="G35" i="176"/>
  <c r="H35" i="176"/>
  <c r="I35" i="176"/>
  <c r="J35" i="176"/>
  <c r="K35" i="176"/>
  <c r="L35" i="176"/>
  <c r="F36" i="176"/>
  <c r="G36" i="176"/>
  <c r="H36" i="176"/>
  <c r="I36" i="176"/>
  <c r="J36" i="176"/>
  <c r="K36" i="176"/>
  <c r="L36" i="176"/>
  <c r="F37" i="176"/>
  <c r="G37" i="176"/>
  <c r="H37" i="176"/>
  <c r="F38" i="176"/>
  <c r="G38" i="176"/>
  <c r="F39" i="176"/>
  <c r="G39" i="176"/>
  <c r="H39" i="176"/>
  <c r="I39" i="176"/>
  <c r="J39" i="176"/>
  <c r="K39" i="176"/>
  <c r="L39" i="176"/>
  <c r="F40" i="176"/>
  <c r="G40" i="176"/>
  <c r="H40" i="176"/>
  <c r="F63" i="176"/>
  <c r="F9" i="175"/>
  <c r="G9" i="175"/>
  <c r="H9" i="175"/>
  <c r="I9" i="175"/>
  <c r="J9" i="175"/>
  <c r="K9" i="175"/>
  <c r="F11" i="175"/>
  <c r="G11" i="175"/>
  <c r="H11" i="175"/>
  <c r="F13" i="175"/>
  <c r="H13" i="175"/>
  <c r="J13" i="175"/>
  <c r="F16" i="175"/>
  <c r="G16" i="175"/>
  <c r="F18" i="175"/>
  <c r="G18" i="175"/>
  <c r="H18" i="175"/>
  <c r="F20" i="175"/>
  <c r="G20" i="175"/>
  <c r="H20" i="175"/>
  <c r="F23" i="175"/>
  <c r="G23" i="175"/>
  <c r="H23" i="175"/>
  <c r="F25" i="175"/>
  <c r="G25" i="175"/>
  <c r="J25" i="175"/>
  <c r="K25" i="175"/>
  <c r="F27" i="175"/>
  <c r="G27" i="175"/>
  <c r="F29" i="175"/>
  <c r="G29" i="175"/>
  <c r="H29" i="175"/>
  <c r="F34" i="175"/>
  <c r="G34" i="175"/>
  <c r="H34" i="175"/>
  <c r="I34" i="175"/>
  <c r="J34" i="175"/>
  <c r="F35" i="175"/>
  <c r="G35" i="175"/>
  <c r="H35" i="175"/>
  <c r="I35" i="175"/>
  <c r="J35" i="175"/>
  <c r="K35" i="175"/>
  <c r="L35" i="175"/>
  <c r="F36" i="175"/>
  <c r="G36" i="175"/>
  <c r="H36" i="175"/>
  <c r="I36" i="175"/>
  <c r="J36" i="175"/>
  <c r="K36" i="175"/>
  <c r="L36" i="175"/>
  <c r="F37" i="175"/>
  <c r="G37" i="175"/>
  <c r="H37" i="175"/>
  <c r="F38" i="175"/>
  <c r="G38" i="175"/>
  <c r="F39" i="175"/>
  <c r="G39" i="175"/>
  <c r="H39" i="175"/>
  <c r="I39" i="175"/>
  <c r="J39" i="175"/>
  <c r="K39" i="175"/>
  <c r="L39" i="175"/>
  <c r="F40" i="175"/>
  <c r="G40" i="175"/>
  <c r="H40" i="175"/>
  <c r="F63" i="175"/>
  <c r="F9" i="174"/>
  <c r="G9" i="174"/>
  <c r="H9" i="174"/>
  <c r="I9" i="174"/>
  <c r="J9" i="174"/>
  <c r="K9" i="174"/>
  <c r="F11" i="174"/>
  <c r="G11" i="174"/>
  <c r="H11" i="174"/>
  <c r="F13" i="174"/>
  <c r="H13" i="174"/>
  <c r="J13" i="174"/>
  <c r="F16" i="174"/>
  <c r="G16" i="174"/>
  <c r="F18" i="174"/>
  <c r="G18" i="174"/>
  <c r="H18" i="174"/>
  <c r="F20" i="174"/>
  <c r="G20" i="174"/>
  <c r="H20" i="174"/>
  <c r="F23" i="174"/>
  <c r="G23" i="174"/>
  <c r="H23" i="174"/>
  <c r="F25" i="174"/>
  <c r="G25" i="174"/>
  <c r="J25" i="174"/>
  <c r="K25" i="174"/>
  <c r="F27" i="174"/>
  <c r="G27" i="174"/>
  <c r="F29" i="174"/>
  <c r="G29" i="174"/>
  <c r="H29" i="174"/>
  <c r="F34" i="174"/>
  <c r="G34" i="174"/>
  <c r="H34" i="174"/>
  <c r="I34" i="174"/>
  <c r="J34" i="174"/>
  <c r="F35" i="174"/>
  <c r="G35" i="174"/>
  <c r="H35" i="174"/>
  <c r="I35" i="174"/>
  <c r="J35" i="174"/>
  <c r="K35" i="174"/>
  <c r="L35" i="174"/>
  <c r="F36" i="174"/>
  <c r="G36" i="174"/>
  <c r="H36" i="174"/>
  <c r="I36" i="174"/>
  <c r="J36" i="174"/>
  <c r="K36" i="174"/>
  <c r="L36" i="174"/>
  <c r="F37" i="174"/>
  <c r="G37" i="174"/>
  <c r="H37" i="174"/>
  <c r="F38" i="174"/>
  <c r="G38" i="174"/>
  <c r="F39" i="174"/>
  <c r="G39" i="174"/>
  <c r="H39" i="174"/>
  <c r="I39" i="174"/>
  <c r="J39" i="174"/>
  <c r="K39" i="174"/>
  <c r="L39" i="174"/>
  <c r="F40" i="174"/>
  <c r="G40" i="174"/>
  <c r="H40" i="174"/>
  <c r="F63" i="174"/>
  <c r="F9" i="173"/>
  <c r="G9" i="173"/>
  <c r="H9" i="173"/>
  <c r="I9" i="173"/>
  <c r="J9" i="173"/>
  <c r="K9" i="173"/>
  <c r="F11" i="173"/>
  <c r="G11" i="173"/>
  <c r="H11" i="173"/>
  <c r="F13" i="173"/>
  <c r="H13" i="173"/>
  <c r="J13" i="173"/>
  <c r="F16" i="173"/>
  <c r="G16" i="173"/>
  <c r="F18" i="173"/>
  <c r="G18" i="173"/>
  <c r="H18" i="173"/>
  <c r="F20" i="173"/>
  <c r="G20" i="173"/>
  <c r="H20" i="173"/>
  <c r="F23" i="173"/>
  <c r="G23" i="173"/>
  <c r="H23" i="173"/>
  <c r="F25" i="173"/>
  <c r="G25" i="173"/>
  <c r="J25" i="173"/>
  <c r="K25" i="173"/>
  <c r="F27" i="173"/>
  <c r="G27" i="173"/>
  <c r="F29" i="173"/>
  <c r="G29" i="173"/>
  <c r="H29" i="173"/>
  <c r="F34" i="173"/>
  <c r="G34" i="173"/>
  <c r="H34" i="173"/>
  <c r="I34" i="173"/>
  <c r="J34" i="173"/>
  <c r="F35" i="173"/>
  <c r="G35" i="173"/>
  <c r="H35" i="173"/>
  <c r="I35" i="173"/>
  <c r="J35" i="173"/>
  <c r="K35" i="173"/>
  <c r="L35" i="173"/>
  <c r="F36" i="173"/>
  <c r="G36" i="173"/>
  <c r="H36" i="173"/>
  <c r="I36" i="173"/>
  <c r="J36" i="173"/>
  <c r="K36" i="173"/>
  <c r="L36" i="173"/>
  <c r="F37" i="173"/>
  <c r="G37" i="173"/>
  <c r="H37" i="173"/>
  <c r="F38" i="173"/>
  <c r="G38" i="173"/>
  <c r="F39" i="173"/>
  <c r="G39" i="173"/>
  <c r="H39" i="173"/>
  <c r="I39" i="173"/>
  <c r="J39" i="173"/>
  <c r="K39" i="173"/>
  <c r="L39" i="173"/>
  <c r="F40" i="173"/>
  <c r="G40" i="173"/>
  <c r="H40" i="173"/>
  <c r="F63" i="173"/>
  <c r="F9" i="172"/>
  <c r="G9" i="172"/>
  <c r="H9" i="172"/>
  <c r="I9" i="172"/>
  <c r="J9" i="172"/>
  <c r="K9" i="172"/>
  <c r="F11" i="172"/>
  <c r="G11" i="172"/>
  <c r="H11" i="172"/>
  <c r="F13" i="172"/>
  <c r="H13" i="172"/>
  <c r="J13" i="172"/>
  <c r="F16" i="172"/>
  <c r="G16" i="172"/>
  <c r="F18" i="172"/>
  <c r="G18" i="172"/>
  <c r="H18" i="172"/>
  <c r="F20" i="172"/>
  <c r="G20" i="172"/>
  <c r="H20" i="172"/>
  <c r="F23" i="172"/>
  <c r="G23" i="172"/>
  <c r="H23" i="172"/>
  <c r="F25" i="172"/>
  <c r="G25" i="172"/>
  <c r="J25" i="172"/>
  <c r="K25" i="172"/>
  <c r="F27" i="172"/>
  <c r="G27" i="172"/>
  <c r="F29" i="172"/>
  <c r="G29" i="172"/>
  <c r="H29" i="172"/>
  <c r="F34" i="172"/>
  <c r="G34" i="172"/>
  <c r="H34" i="172"/>
  <c r="I34" i="172"/>
  <c r="J34" i="172"/>
  <c r="F35" i="172"/>
  <c r="G35" i="172"/>
  <c r="H35" i="172"/>
  <c r="I35" i="172"/>
  <c r="J35" i="172"/>
  <c r="K35" i="172"/>
  <c r="L35" i="172"/>
  <c r="F36" i="172"/>
  <c r="G36" i="172"/>
  <c r="H36" i="172"/>
  <c r="I36" i="172"/>
  <c r="J36" i="172"/>
  <c r="K36" i="172"/>
  <c r="L36" i="172"/>
  <c r="F37" i="172"/>
  <c r="G37" i="172"/>
  <c r="H37" i="172"/>
  <c r="F38" i="172"/>
  <c r="G38" i="172"/>
  <c r="F39" i="172"/>
  <c r="G39" i="172"/>
  <c r="H39" i="172"/>
  <c r="I39" i="172"/>
  <c r="J39" i="172"/>
  <c r="K39" i="172"/>
  <c r="L39" i="172"/>
  <c r="F40" i="172"/>
  <c r="G40" i="172"/>
  <c r="H40" i="172"/>
  <c r="F63" i="172"/>
  <c r="F9" i="171"/>
  <c r="G9" i="171"/>
  <c r="H9" i="171"/>
  <c r="I9" i="171"/>
  <c r="J9" i="171"/>
  <c r="K9" i="171"/>
  <c r="F11" i="171"/>
  <c r="G11" i="171"/>
  <c r="H11" i="171"/>
  <c r="F13" i="171"/>
  <c r="H13" i="171"/>
  <c r="J13" i="171"/>
  <c r="F16" i="171"/>
  <c r="G16" i="171"/>
  <c r="F18" i="171"/>
  <c r="G18" i="171"/>
  <c r="H18" i="171"/>
  <c r="F20" i="171"/>
  <c r="G20" i="171"/>
  <c r="H20" i="171"/>
  <c r="F23" i="171"/>
  <c r="G23" i="171"/>
  <c r="H23" i="171"/>
  <c r="F25" i="171"/>
  <c r="G25" i="171"/>
  <c r="J25" i="171"/>
  <c r="K25" i="171"/>
  <c r="F27" i="171"/>
  <c r="G27" i="171"/>
  <c r="F29" i="171"/>
  <c r="G29" i="171"/>
  <c r="H29" i="171"/>
  <c r="F34" i="171"/>
  <c r="G34" i="171"/>
  <c r="H34" i="171"/>
  <c r="I34" i="171"/>
  <c r="J34" i="171"/>
  <c r="F35" i="171"/>
  <c r="G35" i="171"/>
  <c r="H35" i="171"/>
  <c r="I35" i="171"/>
  <c r="J35" i="171"/>
  <c r="K35" i="171"/>
  <c r="L35" i="171"/>
  <c r="F36" i="171"/>
  <c r="G36" i="171"/>
  <c r="H36" i="171"/>
  <c r="I36" i="171"/>
  <c r="J36" i="171"/>
  <c r="K36" i="171"/>
  <c r="L36" i="171"/>
  <c r="F37" i="171"/>
  <c r="G37" i="171"/>
  <c r="H37" i="171"/>
  <c r="F38" i="171"/>
  <c r="G38" i="171"/>
  <c r="F39" i="171"/>
  <c r="G39" i="171"/>
  <c r="H39" i="171"/>
  <c r="I39" i="171"/>
  <c r="J39" i="171"/>
  <c r="K39" i="171"/>
  <c r="L39" i="171"/>
  <c r="F40" i="171"/>
  <c r="G40" i="171"/>
  <c r="H40" i="171"/>
  <c r="F63" i="171"/>
  <c r="F9" i="170"/>
  <c r="G9" i="170"/>
  <c r="H9" i="170"/>
  <c r="I9" i="170"/>
  <c r="J9" i="170"/>
  <c r="K9" i="170"/>
  <c r="F11" i="170"/>
  <c r="G11" i="170"/>
  <c r="H11" i="170"/>
  <c r="F13" i="170"/>
  <c r="H13" i="170"/>
  <c r="J13" i="170"/>
  <c r="F16" i="170"/>
  <c r="G16" i="170"/>
  <c r="F18" i="170"/>
  <c r="G18" i="170"/>
  <c r="H18" i="170"/>
  <c r="F20" i="170"/>
  <c r="G20" i="170"/>
  <c r="H20" i="170"/>
  <c r="F23" i="170"/>
  <c r="G23" i="170"/>
  <c r="H23" i="170"/>
  <c r="F25" i="170"/>
  <c r="G25" i="170"/>
  <c r="J25" i="170"/>
  <c r="K25" i="170"/>
  <c r="F27" i="170"/>
  <c r="G27" i="170"/>
  <c r="F29" i="170"/>
  <c r="G29" i="170"/>
  <c r="H29" i="170"/>
  <c r="F34" i="170"/>
  <c r="G34" i="170"/>
  <c r="H34" i="170"/>
  <c r="I34" i="170"/>
  <c r="J34" i="170"/>
  <c r="F35" i="170"/>
  <c r="G35" i="170"/>
  <c r="H35" i="170"/>
  <c r="I35" i="170"/>
  <c r="J35" i="170"/>
  <c r="K35" i="170"/>
  <c r="L35" i="170"/>
  <c r="F36" i="170"/>
  <c r="G36" i="170"/>
  <c r="H36" i="170"/>
  <c r="I36" i="170"/>
  <c r="J36" i="170"/>
  <c r="K36" i="170"/>
  <c r="L36" i="170"/>
  <c r="F37" i="170"/>
  <c r="G37" i="170"/>
  <c r="H37" i="170"/>
  <c r="F38" i="170"/>
  <c r="G38" i="170"/>
  <c r="F39" i="170"/>
  <c r="G39" i="170"/>
  <c r="H39" i="170"/>
  <c r="I39" i="170"/>
  <c r="J39" i="170"/>
  <c r="K39" i="170"/>
  <c r="L39" i="170"/>
  <c r="F40" i="170"/>
  <c r="G40" i="170"/>
  <c r="H40" i="170"/>
  <c r="F63" i="170"/>
  <c r="F9" i="169"/>
  <c r="G9" i="169"/>
  <c r="H9" i="169"/>
  <c r="I9" i="169"/>
  <c r="J9" i="169"/>
  <c r="K9" i="169"/>
  <c r="F11" i="169"/>
  <c r="G11" i="169"/>
  <c r="H11" i="169"/>
  <c r="F13" i="169"/>
  <c r="H13" i="169"/>
  <c r="J13" i="169"/>
  <c r="F16" i="169"/>
  <c r="G16" i="169"/>
  <c r="F18" i="169"/>
  <c r="G18" i="169"/>
  <c r="H18" i="169"/>
  <c r="F20" i="169"/>
  <c r="G20" i="169"/>
  <c r="H20" i="169"/>
  <c r="F23" i="169"/>
  <c r="G23" i="169"/>
  <c r="H23" i="169"/>
  <c r="F25" i="169"/>
  <c r="G25" i="169"/>
  <c r="J25" i="169"/>
  <c r="K25" i="169"/>
  <c r="F27" i="169"/>
  <c r="G27" i="169"/>
  <c r="F29" i="169"/>
  <c r="G29" i="169"/>
  <c r="H29" i="169"/>
  <c r="F34" i="169"/>
  <c r="G34" i="169"/>
  <c r="H34" i="169"/>
  <c r="I34" i="169"/>
  <c r="J34" i="169"/>
  <c r="F35" i="169"/>
  <c r="G35" i="169"/>
  <c r="H35" i="169"/>
  <c r="I35" i="169"/>
  <c r="J35" i="169"/>
  <c r="K35" i="169"/>
  <c r="L35" i="169"/>
  <c r="F36" i="169"/>
  <c r="G36" i="169"/>
  <c r="H36" i="169"/>
  <c r="I36" i="169"/>
  <c r="J36" i="169"/>
  <c r="K36" i="169"/>
  <c r="L36" i="169"/>
  <c r="F37" i="169"/>
  <c r="G37" i="169"/>
  <c r="H37" i="169"/>
  <c r="F38" i="169"/>
  <c r="G38" i="169"/>
  <c r="F39" i="169"/>
  <c r="G39" i="169"/>
  <c r="H39" i="169"/>
  <c r="I39" i="169"/>
  <c r="J39" i="169"/>
  <c r="K39" i="169"/>
  <c r="L39" i="169"/>
  <c r="F40" i="169"/>
  <c r="G40" i="169"/>
  <c r="H40" i="169"/>
  <c r="F63" i="169"/>
  <c r="F9" i="168"/>
  <c r="G9" i="168"/>
  <c r="H9" i="168"/>
  <c r="I9" i="168"/>
  <c r="J9" i="168"/>
  <c r="K9" i="168"/>
  <c r="F11" i="168"/>
  <c r="G11" i="168"/>
  <c r="H11" i="168"/>
  <c r="F13" i="168"/>
  <c r="H13" i="168"/>
  <c r="J13" i="168"/>
  <c r="F16" i="168"/>
  <c r="G16" i="168"/>
  <c r="F18" i="168"/>
  <c r="G18" i="168"/>
  <c r="H18" i="168"/>
  <c r="F20" i="168"/>
  <c r="G20" i="168"/>
  <c r="H20" i="168"/>
  <c r="F23" i="168"/>
  <c r="G23" i="168"/>
  <c r="H23" i="168"/>
  <c r="F25" i="168"/>
  <c r="G25" i="168"/>
  <c r="J25" i="168"/>
  <c r="K25" i="168"/>
  <c r="F27" i="168"/>
  <c r="G27" i="168"/>
  <c r="F29" i="168"/>
  <c r="G29" i="168"/>
  <c r="H29" i="168"/>
  <c r="F34" i="168"/>
  <c r="G34" i="168"/>
  <c r="H34" i="168"/>
  <c r="I34" i="168"/>
  <c r="J34" i="168"/>
  <c r="F35" i="168"/>
  <c r="G35" i="168"/>
  <c r="H35" i="168"/>
  <c r="I35" i="168"/>
  <c r="J35" i="168"/>
  <c r="K35" i="168"/>
  <c r="L35" i="168"/>
  <c r="F36" i="168"/>
  <c r="G36" i="168"/>
  <c r="H36" i="168"/>
  <c r="I36" i="168"/>
  <c r="J36" i="168"/>
  <c r="K36" i="168"/>
  <c r="L36" i="168"/>
  <c r="F37" i="168"/>
  <c r="G37" i="168"/>
  <c r="H37" i="168"/>
  <c r="F38" i="168"/>
  <c r="G38" i="168"/>
  <c r="F39" i="168"/>
  <c r="G39" i="168"/>
  <c r="H39" i="168"/>
  <c r="I39" i="168"/>
  <c r="J39" i="168"/>
  <c r="K39" i="168"/>
  <c r="L39" i="168"/>
  <c r="F40" i="168"/>
  <c r="G40" i="168"/>
  <c r="H40" i="168"/>
  <c r="F63" i="168"/>
  <c r="F9" i="167"/>
  <c r="G9" i="167"/>
  <c r="H9" i="167"/>
  <c r="I9" i="167"/>
  <c r="J9" i="167"/>
  <c r="K9" i="167"/>
  <c r="F11" i="167"/>
  <c r="G11" i="167"/>
  <c r="H11" i="167"/>
  <c r="F13" i="167"/>
  <c r="H13" i="167"/>
  <c r="J13" i="167"/>
  <c r="F16" i="167"/>
  <c r="G16" i="167"/>
  <c r="F18" i="167"/>
  <c r="G18" i="167"/>
  <c r="H18" i="167"/>
  <c r="F20" i="167"/>
  <c r="G20" i="167"/>
  <c r="H20" i="167"/>
  <c r="F23" i="167"/>
  <c r="G23" i="167"/>
  <c r="H23" i="167"/>
  <c r="F25" i="167"/>
  <c r="G25" i="167"/>
  <c r="J25" i="167"/>
  <c r="K25" i="167"/>
  <c r="F27" i="167"/>
  <c r="G27" i="167"/>
  <c r="F29" i="167"/>
  <c r="G29" i="167"/>
  <c r="H29" i="167"/>
  <c r="F34" i="167"/>
  <c r="G34" i="167"/>
  <c r="H34" i="167"/>
  <c r="I34" i="167"/>
  <c r="J34" i="167"/>
  <c r="F35" i="167"/>
  <c r="G35" i="167"/>
  <c r="H35" i="167"/>
  <c r="I35" i="167"/>
  <c r="J35" i="167"/>
  <c r="K35" i="167"/>
  <c r="L35" i="167"/>
  <c r="F36" i="167"/>
  <c r="G36" i="167"/>
  <c r="H36" i="167"/>
  <c r="I36" i="167"/>
  <c r="J36" i="167"/>
  <c r="K36" i="167"/>
  <c r="L36" i="167"/>
  <c r="F37" i="167"/>
  <c r="G37" i="167"/>
  <c r="H37" i="167"/>
  <c r="F38" i="167"/>
  <c r="G38" i="167"/>
  <c r="F39" i="167"/>
  <c r="G39" i="167"/>
  <c r="H39" i="167"/>
  <c r="I39" i="167"/>
  <c r="J39" i="167"/>
  <c r="K39" i="167"/>
  <c r="L39" i="167"/>
  <c r="F40" i="167"/>
  <c r="G40" i="167"/>
  <c r="H40" i="167"/>
  <c r="B49" i="167"/>
  <c r="B54" i="167"/>
  <c r="F63" i="167"/>
  <c r="F9" i="166"/>
  <c r="G9" i="166"/>
  <c r="H9" i="166"/>
  <c r="I9" i="166"/>
  <c r="J9" i="166"/>
  <c r="K9" i="166"/>
  <c r="F11" i="166"/>
  <c r="G11" i="166"/>
  <c r="H11" i="166"/>
  <c r="F13" i="166"/>
  <c r="H13" i="166"/>
  <c r="J13" i="166"/>
  <c r="F16" i="166"/>
  <c r="G16" i="166"/>
  <c r="F18" i="166"/>
  <c r="G18" i="166"/>
  <c r="H18" i="166"/>
  <c r="F20" i="166"/>
  <c r="G20" i="166"/>
  <c r="H20" i="166"/>
  <c r="F23" i="166"/>
  <c r="G23" i="166"/>
  <c r="H23" i="166"/>
  <c r="F25" i="166"/>
  <c r="G25" i="166"/>
  <c r="J25" i="166"/>
  <c r="K25" i="166"/>
  <c r="F27" i="166"/>
  <c r="G27" i="166"/>
  <c r="F29" i="166"/>
  <c r="G29" i="166"/>
  <c r="H29" i="166"/>
  <c r="F34" i="166"/>
  <c r="G34" i="166"/>
  <c r="H34" i="166"/>
  <c r="I34" i="166"/>
  <c r="J34" i="166"/>
  <c r="F35" i="166"/>
  <c r="G35" i="166"/>
  <c r="H35" i="166"/>
  <c r="I35" i="166"/>
  <c r="J35" i="166"/>
  <c r="K35" i="166"/>
  <c r="L35" i="166"/>
  <c r="F36" i="166"/>
  <c r="G36" i="166"/>
  <c r="H36" i="166"/>
  <c r="I36" i="166"/>
  <c r="J36" i="166"/>
  <c r="K36" i="166"/>
  <c r="L36" i="166"/>
  <c r="F37" i="166"/>
  <c r="G37" i="166"/>
  <c r="H37" i="166"/>
  <c r="F38" i="166"/>
  <c r="G38" i="166"/>
  <c r="F39" i="166"/>
  <c r="G39" i="166"/>
  <c r="H39" i="166"/>
  <c r="I39" i="166"/>
  <c r="J39" i="166"/>
  <c r="K39" i="166"/>
  <c r="L39" i="166"/>
  <c r="F40" i="166"/>
  <c r="G40" i="166"/>
  <c r="H40" i="166"/>
  <c r="F63" i="166"/>
  <c r="F9" i="165"/>
  <c r="G9" i="165"/>
  <c r="H9" i="165"/>
  <c r="I9" i="165"/>
  <c r="J9" i="165"/>
  <c r="K9" i="165"/>
  <c r="F11" i="165"/>
  <c r="G11" i="165"/>
  <c r="H11" i="165"/>
  <c r="F13" i="165"/>
  <c r="H13" i="165"/>
  <c r="J13" i="165"/>
  <c r="F16" i="165"/>
  <c r="G16" i="165"/>
  <c r="F18" i="165"/>
  <c r="G18" i="165"/>
  <c r="H18" i="165"/>
  <c r="F20" i="165"/>
  <c r="G20" i="165"/>
  <c r="H20" i="165"/>
  <c r="F23" i="165"/>
  <c r="G23" i="165"/>
  <c r="H23" i="165"/>
  <c r="F25" i="165"/>
  <c r="G25" i="165"/>
  <c r="J25" i="165"/>
  <c r="K25" i="165"/>
  <c r="F27" i="165"/>
  <c r="G27" i="165"/>
  <c r="F29" i="165"/>
  <c r="G29" i="165"/>
  <c r="H29" i="165"/>
  <c r="F34" i="165"/>
  <c r="G34" i="165"/>
  <c r="H34" i="165"/>
  <c r="I34" i="165"/>
  <c r="J34" i="165"/>
  <c r="F35" i="165"/>
  <c r="G35" i="165"/>
  <c r="H35" i="165"/>
  <c r="I35" i="165"/>
  <c r="J35" i="165"/>
  <c r="K35" i="165"/>
  <c r="L35" i="165"/>
  <c r="F36" i="165"/>
  <c r="G36" i="165"/>
  <c r="H36" i="165"/>
  <c r="I36" i="165"/>
  <c r="J36" i="165"/>
  <c r="K36" i="165"/>
  <c r="L36" i="165"/>
  <c r="F37" i="165"/>
  <c r="G37" i="165"/>
  <c r="H37" i="165"/>
  <c r="F38" i="165"/>
  <c r="G38" i="165"/>
  <c r="F39" i="165"/>
  <c r="G39" i="165"/>
  <c r="H39" i="165"/>
  <c r="I39" i="165"/>
  <c r="J39" i="165"/>
  <c r="K39" i="165"/>
  <c r="L39" i="165"/>
  <c r="F40" i="165"/>
  <c r="G40" i="165"/>
  <c r="H40" i="165"/>
  <c r="F63" i="165"/>
  <c r="F9" i="164"/>
  <c r="G9" i="164"/>
  <c r="H9" i="164"/>
  <c r="I9" i="164"/>
  <c r="J9" i="164"/>
  <c r="K9" i="164"/>
  <c r="F11" i="164"/>
  <c r="G11" i="164"/>
  <c r="H11" i="164"/>
  <c r="F13" i="164"/>
  <c r="H13" i="164"/>
  <c r="J13" i="164"/>
  <c r="F16" i="164"/>
  <c r="G16" i="164"/>
  <c r="F18" i="164"/>
  <c r="G18" i="164"/>
  <c r="H18" i="164"/>
  <c r="F20" i="164"/>
  <c r="G20" i="164"/>
  <c r="H20" i="164"/>
  <c r="F23" i="164"/>
  <c r="G23" i="164"/>
  <c r="H23" i="164"/>
  <c r="F25" i="164"/>
  <c r="G25" i="164"/>
  <c r="J25" i="164"/>
  <c r="K25" i="164"/>
  <c r="F27" i="164"/>
  <c r="G27" i="164"/>
  <c r="F29" i="164"/>
  <c r="G29" i="164"/>
  <c r="H29" i="164"/>
  <c r="F34" i="164"/>
  <c r="G34" i="164"/>
  <c r="H34" i="164"/>
  <c r="I34" i="164"/>
  <c r="J34" i="164"/>
  <c r="F35" i="164"/>
  <c r="G35" i="164"/>
  <c r="H35" i="164"/>
  <c r="I35" i="164"/>
  <c r="J35" i="164"/>
  <c r="K35" i="164"/>
  <c r="L35" i="164"/>
  <c r="F36" i="164"/>
  <c r="G36" i="164"/>
  <c r="H36" i="164"/>
  <c r="I36" i="164"/>
  <c r="J36" i="164"/>
  <c r="K36" i="164"/>
  <c r="L36" i="164"/>
  <c r="F37" i="164"/>
  <c r="G37" i="164"/>
  <c r="H37" i="164"/>
  <c r="F38" i="164"/>
  <c r="G38" i="164"/>
  <c r="F39" i="164"/>
  <c r="G39" i="164"/>
  <c r="H39" i="164"/>
  <c r="I39" i="164"/>
  <c r="J39" i="164"/>
  <c r="K39" i="164"/>
  <c r="L39" i="164"/>
  <c r="F40" i="164"/>
  <c r="G40" i="164"/>
  <c r="H40" i="164"/>
  <c r="F63" i="164"/>
  <c r="F9" i="163"/>
  <c r="G9" i="163"/>
  <c r="H9" i="163"/>
  <c r="I9" i="163"/>
  <c r="J9" i="163"/>
  <c r="K9" i="163"/>
  <c r="F11" i="163"/>
  <c r="G11" i="163"/>
  <c r="H11" i="163"/>
  <c r="F13" i="163"/>
  <c r="H13" i="163"/>
  <c r="J13" i="163"/>
  <c r="F16" i="163"/>
  <c r="G16" i="163"/>
  <c r="F18" i="163"/>
  <c r="G18" i="163"/>
  <c r="H18" i="163"/>
  <c r="F20" i="163"/>
  <c r="G20" i="163"/>
  <c r="H20" i="163"/>
  <c r="F23" i="163"/>
  <c r="G23" i="163"/>
  <c r="H23" i="163"/>
  <c r="F25" i="163"/>
  <c r="G25" i="163"/>
  <c r="J25" i="163"/>
  <c r="K25" i="163"/>
  <c r="F27" i="163"/>
  <c r="G27" i="163"/>
  <c r="F29" i="163"/>
  <c r="G29" i="163"/>
  <c r="H29" i="163"/>
  <c r="F34" i="163"/>
  <c r="G34" i="163"/>
  <c r="H34" i="163"/>
  <c r="I34" i="163"/>
  <c r="J34" i="163"/>
  <c r="F35" i="163"/>
  <c r="G35" i="163"/>
  <c r="H35" i="163"/>
  <c r="I35" i="163"/>
  <c r="J35" i="163"/>
  <c r="K35" i="163"/>
  <c r="L35" i="163"/>
  <c r="F36" i="163"/>
  <c r="G36" i="163"/>
  <c r="H36" i="163"/>
  <c r="I36" i="163"/>
  <c r="J36" i="163"/>
  <c r="K36" i="163"/>
  <c r="L36" i="163"/>
  <c r="F37" i="163"/>
  <c r="G37" i="163"/>
  <c r="H37" i="163"/>
  <c r="F38" i="163"/>
  <c r="G38" i="163"/>
  <c r="F39" i="163"/>
  <c r="G39" i="163"/>
  <c r="H39" i="163"/>
  <c r="I39" i="163"/>
  <c r="J39" i="163"/>
  <c r="K39" i="163"/>
  <c r="L39" i="163"/>
  <c r="F40" i="163"/>
  <c r="G40" i="163"/>
  <c r="H40" i="163"/>
  <c r="F63" i="163"/>
  <c r="F9" i="162"/>
  <c r="G9" i="162"/>
  <c r="H9" i="162"/>
  <c r="I9" i="162"/>
  <c r="J9" i="162"/>
  <c r="K9" i="162"/>
  <c r="F11" i="162"/>
  <c r="G11" i="162"/>
  <c r="H11" i="162"/>
  <c r="F13" i="162"/>
  <c r="H13" i="162"/>
  <c r="J13" i="162"/>
  <c r="F16" i="162"/>
  <c r="G16" i="162"/>
  <c r="F18" i="162"/>
  <c r="G18" i="162"/>
  <c r="H18" i="162"/>
  <c r="F20" i="162"/>
  <c r="G20" i="162"/>
  <c r="H20" i="162"/>
  <c r="F23" i="162"/>
  <c r="G23" i="162"/>
  <c r="H23" i="162"/>
  <c r="F25" i="162"/>
  <c r="G25" i="162"/>
  <c r="J25" i="162"/>
  <c r="K25" i="162"/>
  <c r="F27" i="162"/>
  <c r="G27" i="162"/>
  <c r="F29" i="162"/>
  <c r="G29" i="162"/>
  <c r="H29" i="162"/>
  <c r="F34" i="162"/>
  <c r="G34" i="162"/>
  <c r="H34" i="162"/>
  <c r="I34" i="162"/>
  <c r="J34" i="162"/>
  <c r="F35" i="162"/>
  <c r="G35" i="162"/>
  <c r="H35" i="162"/>
  <c r="I35" i="162"/>
  <c r="J35" i="162"/>
  <c r="K35" i="162"/>
  <c r="L35" i="162"/>
  <c r="F36" i="162"/>
  <c r="G36" i="162"/>
  <c r="H36" i="162"/>
  <c r="I36" i="162"/>
  <c r="J36" i="162"/>
  <c r="K36" i="162"/>
  <c r="L36" i="162"/>
  <c r="F37" i="162"/>
  <c r="G37" i="162"/>
  <c r="H37" i="162"/>
  <c r="F38" i="162"/>
  <c r="G38" i="162"/>
  <c r="F39" i="162"/>
  <c r="G39" i="162"/>
  <c r="H39" i="162"/>
  <c r="I39" i="162"/>
  <c r="J39" i="162"/>
  <c r="K39" i="162"/>
  <c r="L39" i="162"/>
  <c r="F40" i="162"/>
  <c r="G40" i="162"/>
  <c r="H40" i="162"/>
  <c r="B54" i="162"/>
  <c r="F63" i="162"/>
  <c r="F9" i="161"/>
  <c r="G9" i="161"/>
  <c r="H9" i="161"/>
  <c r="I9" i="161"/>
  <c r="J9" i="161"/>
  <c r="K9" i="161"/>
  <c r="F11" i="161"/>
  <c r="G11" i="161"/>
  <c r="H11" i="161"/>
  <c r="F13" i="161"/>
  <c r="H13" i="161"/>
  <c r="J13" i="161"/>
  <c r="F16" i="161"/>
  <c r="G16" i="161"/>
  <c r="F18" i="161"/>
  <c r="G18" i="161"/>
  <c r="H18" i="161"/>
  <c r="F20" i="161"/>
  <c r="G20" i="161"/>
  <c r="H20" i="161"/>
  <c r="F23" i="161"/>
  <c r="G23" i="161"/>
  <c r="H23" i="161"/>
  <c r="F25" i="161"/>
  <c r="G25" i="161"/>
  <c r="J25" i="161"/>
  <c r="K25" i="161"/>
  <c r="F27" i="161"/>
  <c r="G27" i="161"/>
  <c r="F29" i="161"/>
  <c r="G29" i="161"/>
  <c r="H29" i="161"/>
  <c r="C31" i="161"/>
  <c r="F34" i="161"/>
  <c r="G34" i="161"/>
  <c r="H34" i="161"/>
  <c r="I34" i="161"/>
  <c r="J34" i="161"/>
  <c r="F35" i="161"/>
  <c r="G35" i="161"/>
  <c r="H35" i="161"/>
  <c r="I35" i="161"/>
  <c r="J35" i="161"/>
  <c r="K35" i="161"/>
  <c r="L35" i="161"/>
  <c r="F36" i="161"/>
  <c r="G36" i="161"/>
  <c r="H36" i="161"/>
  <c r="I36" i="161"/>
  <c r="J36" i="161"/>
  <c r="K36" i="161"/>
  <c r="L36" i="161"/>
  <c r="F37" i="161"/>
  <c r="G37" i="161"/>
  <c r="H37" i="161"/>
  <c r="F38" i="161"/>
  <c r="G38" i="161"/>
  <c r="F39" i="161"/>
  <c r="G39" i="161"/>
  <c r="H39" i="161"/>
  <c r="I39" i="161"/>
  <c r="J39" i="161"/>
  <c r="K39" i="161"/>
  <c r="L39" i="161"/>
  <c r="F40" i="161"/>
  <c r="G40" i="161"/>
  <c r="H40" i="161"/>
  <c r="C42" i="161"/>
  <c r="D44" i="161"/>
  <c r="B49" i="161"/>
  <c r="C51" i="161"/>
  <c r="C56" i="161"/>
  <c r="D58" i="161"/>
  <c r="D62" i="161" s="1"/>
  <c r="D64" i="161" s="1"/>
  <c r="D63" i="161" s="1"/>
  <c r="F63" i="161" s="1"/>
  <c r="F9" i="160"/>
  <c r="G9" i="160"/>
  <c r="H9" i="160"/>
  <c r="I9" i="160"/>
  <c r="J9" i="160"/>
  <c r="K9" i="160"/>
  <c r="F11" i="160"/>
  <c r="G11" i="160"/>
  <c r="H11" i="160"/>
  <c r="F13" i="160"/>
  <c r="H13" i="160"/>
  <c r="J13" i="160"/>
  <c r="F16" i="160"/>
  <c r="G16" i="160"/>
  <c r="F18" i="160"/>
  <c r="G18" i="160"/>
  <c r="H18" i="160"/>
  <c r="F20" i="160"/>
  <c r="G20" i="160"/>
  <c r="H20" i="160"/>
  <c r="F23" i="160"/>
  <c r="G23" i="160"/>
  <c r="H23" i="160"/>
  <c r="F25" i="160"/>
  <c r="G25" i="160"/>
  <c r="J25" i="160"/>
  <c r="K25" i="160"/>
  <c r="F27" i="160"/>
  <c r="G27" i="160"/>
  <c r="F29" i="160"/>
  <c r="G29" i="160"/>
  <c r="H29" i="160"/>
  <c r="C31" i="160"/>
  <c r="F34" i="160"/>
  <c r="G34" i="160"/>
  <c r="H34" i="160"/>
  <c r="I34" i="160"/>
  <c r="J34" i="160"/>
  <c r="F35" i="160"/>
  <c r="G35" i="160"/>
  <c r="H35" i="160"/>
  <c r="I35" i="160"/>
  <c r="J35" i="160"/>
  <c r="K35" i="160"/>
  <c r="L35" i="160"/>
  <c r="F36" i="160"/>
  <c r="G36" i="160"/>
  <c r="H36" i="160"/>
  <c r="I36" i="160"/>
  <c r="J36" i="160"/>
  <c r="K36" i="160"/>
  <c r="L36" i="160"/>
  <c r="F37" i="160"/>
  <c r="G37" i="160"/>
  <c r="H37" i="160"/>
  <c r="F38" i="160"/>
  <c r="G38" i="160"/>
  <c r="F39" i="160"/>
  <c r="G39" i="160"/>
  <c r="H39" i="160"/>
  <c r="I39" i="160"/>
  <c r="J39" i="160"/>
  <c r="K39" i="160"/>
  <c r="L39" i="160"/>
  <c r="F40" i="160"/>
  <c r="G40" i="160"/>
  <c r="H40" i="160"/>
  <c r="C42" i="160"/>
  <c r="D44" i="160"/>
  <c r="C51" i="160"/>
  <c r="C56" i="160"/>
  <c r="D58" i="160"/>
  <c r="D62" i="160"/>
  <c r="D63" i="160"/>
  <c r="F63" i="160"/>
  <c r="D64" i="160"/>
  <c r="D65" i="160"/>
  <c r="F9" i="159"/>
  <c r="G9" i="159"/>
  <c r="H9" i="159"/>
  <c r="I9" i="159"/>
  <c r="J9" i="159"/>
  <c r="K9" i="159"/>
  <c r="F11" i="159"/>
  <c r="G11" i="159"/>
  <c r="H11" i="159"/>
  <c r="F13" i="159"/>
  <c r="H13" i="159"/>
  <c r="J13" i="159"/>
  <c r="F16" i="159"/>
  <c r="G16" i="159"/>
  <c r="F18" i="159"/>
  <c r="G18" i="159"/>
  <c r="H18" i="159"/>
  <c r="F20" i="159"/>
  <c r="G20" i="159"/>
  <c r="H20" i="159"/>
  <c r="F23" i="159"/>
  <c r="G23" i="159"/>
  <c r="H23" i="159"/>
  <c r="F25" i="159"/>
  <c r="G25" i="159"/>
  <c r="J25" i="159"/>
  <c r="K25" i="159"/>
  <c r="F27" i="159"/>
  <c r="G27" i="159"/>
  <c r="F29" i="159"/>
  <c r="G29" i="159"/>
  <c r="H29" i="159"/>
  <c r="C31" i="159"/>
  <c r="F34" i="159"/>
  <c r="G34" i="159"/>
  <c r="H34" i="159"/>
  <c r="I34" i="159"/>
  <c r="J34" i="159"/>
  <c r="F35" i="159"/>
  <c r="G35" i="159"/>
  <c r="H35" i="159"/>
  <c r="I35" i="159"/>
  <c r="J35" i="159"/>
  <c r="K35" i="159"/>
  <c r="L35" i="159"/>
  <c r="F36" i="159"/>
  <c r="G36" i="159"/>
  <c r="H36" i="159"/>
  <c r="I36" i="159"/>
  <c r="J36" i="159"/>
  <c r="K36" i="159"/>
  <c r="L36" i="159"/>
  <c r="F37" i="159"/>
  <c r="G37" i="159"/>
  <c r="H37" i="159"/>
  <c r="F38" i="159"/>
  <c r="G38" i="159"/>
  <c r="F39" i="159"/>
  <c r="G39" i="159"/>
  <c r="H39" i="159"/>
  <c r="I39" i="159"/>
  <c r="J39" i="159"/>
  <c r="K39" i="159"/>
  <c r="L39" i="159"/>
  <c r="F40" i="159"/>
  <c r="G40" i="159"/>
  <c r="H40" i="159"/>
  <c r="C42" i="159"/>
  <c r="D44" i="159"/>
  <c r="C51" i="159"/>
  <c r="C56" i="159"/>
  <c r="D58" i="159"/>
  <c r="D62" i="159"/>
  <c r="D63" i="159"/>
  <c r="F63" i="159"/>
  <c r="D64" i="159"/>
  <c r="D65" i="159"/>
  <c r="F9" i="158"/>
  <c r="G9" i="158"/>
  <c r="H9" i="158"/>
  <c r="I9" i="158"/>
  <c r="J9" i="158"/>
  <c r="K9" i="158"/>
  <c r="F11" i="158"/>
  <c r="G11" i="158"/>
  <c r="H11" i="158"/>
  <c r="F13" i="158"/>
  <c r="H13" i="158"/>
  <c r="J13" i="158"/>
  <c r="F16" i="158"/>
  <c r="G16" i="158"/>
  <c r="F18" i="158"/>
  <c r="G18" i="158"/>
  <c r="H18" i="158"/>
  <c r="F20" i="158"/>
  <c r="G20" i="158"/>
  <c r="H20" i="158"/>
  <c r="F23" i="158"/>
  <c r="G23" i="158"/>
  <c r="H23" i="158"/>
  <c r="F25" i="158"/>
  <c r="G25" i="158"/>
  <c r="J25" i="158"/>
  <c r="K25" i="158"/>
  <c r="F27" i="158"/>
  <c r="G27" i="158"/>
  <c r="F29" i="158"/>
  <c r="G29" i="158"/>
  <c r="H29" i="158"/>
  <c r="C31" i="158"/>
  <c r="F34" i="158"/>
  <c r="G34" i="158"/>
  <c r="H34" i="158"/>
  <c r="I34" i="158"/>
  <c r="J34" i="158"/>
  <c r="F35" i="158"/>
  <c r="G35" i="158"/>
  <c r="H35" i="158"/>
  <c r="I35" i="158"/>
  <c r="J35" i="158"/>
  <c r="K35" i="158"/>
  <c r="L35" i="158"/>
  <c r="F36" i="158"/>
  <c r="G36" i="158"/>
  <c r="H36" i="158"/>
  <c r="I36" i="158"/>
  <c r="J36" i="158"/>
  <c r="K36" i="158"/>
  <c r="L36" i="158"/>
  <c r="F37" i="158"/>
  <c r="G37" i="158"/>
  <c r="H37" i="158"/>
  <c r="F38" i="158"/>
  <c r="G38" i="158"/>
  <c r="F39" i="158"/>
  <c r="G39" i="158"/>
  <c r="H39" i="158"/>
  <c r="I39" i="158"/>
  <c r="J39" i="158"/>
  <c r="K39" i="158"/>
  <c r="L39" i="158"/>
  <c r="F40" i="158"/>
  <c r="G40" i="158"/>
  <c r="H40" i="158"/>
  <c r="C42" i="158"/>
  <c r="D44" i="158"/>
  <c r="C51" i="158"/>
  <c r="C56" i="158"/>
  <c r="D58" i="158"/>
  <c r="D62" i="158"/>
  <c r="D63" i="158"/>
  <c r="F63" i="158"/>
  <c r="D64" i="158"/>
  <c r="D65" i="158"/>
  <c r="B9" i="157"/>
  <c r="F9" i="157"/>
  <c r="G9" i="157"/>
  <c r="H9" i="157"/>
  <c r="I9" i="157"/>
  <c r="J9" i="157"/>
  <c r="K9" i="157"/>
  <c r="F11" i="157"/>
  <c r="G11" i="157"/>
  <c r="H11" i="157"/>
  <c r="F13" i="157"/>
  <c r="H13" i="157"/>
  <c r="J13" i="157"/>
  <c r="B15" i="157"/>
  <c r="F16" i="157"/>
  <c r="G16" i="157"/>
  <c r="F18" i="157"/>
  <c r="G18" i="157"/>
  <c r="H18" i="157"/>
  <c r="F20" i="157"/>
  <c r="G20" i="157"/>
  <c r="H20" i="157"/>
  <c r="F23" i="157"/>
  <c r="G23" i="157"/>
  <c r="H23" i="157"/>
  <c r="F25" i="157"/>
  <c r="G25" i="157"/>
  <c r="J25" i="157"/>
  <c r="K25" i="157"/>
  <c r="F27" i="157"/>
  <c r="G27" i="157"/>
  <c r="F29" i="157"/>
  <c r="G29" i="157"/>
  <c r="H29" i="157"/>
  <c r="C31" i="157"/>
  <c r="F34" i="157"/>
  <c r="G34" i="157"/>
  <c r="H34" i="157"/>
  <c r="B34" i="157" s="1"/>
  <c r="C42" i="157" s="1"/>
  <c r="D44" i="157" s="1"/>
  <c r="D62" i="157" s="1"/>
  <c r="D64" i="157" s="1"/>
  <c r="I34" i="157"/>
  <c r="J34" i="157"/>
  <c r="F35" i="157"/>
  <c r="G35" i="157"/>
  <c r="H35" i="157"/>
  <c r="I35" i="157"/>
  <c r="J35" i="157"/>
  <c r="K35" i="157"/>
  <c r="L35" i="157"/>
  <c r="F36" i="157"/>
  <c r="G36" i="157"/>
  <c r="H36" i="157"/>
  <c r="I36" i="157"/>
  <c r="J36" i="157"/>
  <c r="K36" i="157"/>
  <c r="L36" i="157"/>
  <c r="F37" i="157"/>
  <c r="G37" i="157"/>
  <c r="H37" i="157"/>
  <c r="F38" i="157"/>
  <c r="G38" i="157"/>
  <c r="F39" i="157"/>
  <c r="G39" i="157"/>
  <c r="H39" i="157"/>
  <c r="I39" i="157"/>
  <c r="J39" i="157"/>
  <c r="K39" i="157"/>
  <c r="L39" i="157"/>
  <c r="F40" i="157"/>
  <c r="G40" i="157"/>
  <c r="H40" i="157"/>
  <c r="C51" i="157"/>
  <c r="C56" i="157"/>
  <c r="D58" i="157"/>
  <c r="B9" i="156"/>
  <c r="F9" i="156"/>
  <c r="G9" i="156"/>
  <c r="H9" i="156"/>
  <c r="I9" i="156"/>
  <c r="J9" i="156"/>
  <c r="K9" i="156"/>
  <c r="F11" i="156"/>
  <c r="G11" i="156"/>
  <c r="H11" i="156"/>
  <c r="F13" i="156"/>
  <c r="H13" i="156"/>
  <c r="J13" i="156"/>
  <c r="B15" i="156"/>
  <c r="F16" i="156"/>
  <c r="G16" i="156"/>
  <c r="F18" i="156"/>
  <c r="G18" i="156"/>
  <c r="H18" i="156"/>
  <c r="F20" i="156"/>
  <c r="G20" i="156"/>
  <c r="H20" i="156"/>
  <c r="F23" i="156"/>
  <c r="G23" i="156"/>
  <c r="H23" i="156"/>
  <c r="F25" i="156"/>
  <c r="G25" i="156"/>
  <c r="J25" i="156"/>
  <c r="K25" i="156"/>
  <c r="F27" i="156"/>
  <c r="G27" i="156"/>
  <c r="F29" i="156"/>
  <c r="G29" i="156"/>
  <c r="H29" i="156"/>
  <c r="C31" i="156"/>
  <c r="F34" i="156"/>
  <c r="G34" i="156"/>
  <c r="H34" i="156"/>
  <c r="I34" i="156"/>
  <c r="J34" i="156"/>
  <c r="F35" i="156"/>
  <c r="G35" i="156"/>
  <c r="H35" i="156"/>
  <c r="I35" i="156"/>
  <c r="J35" i="156"/>
  <c r="K35" i="156"/>
  <c r="L35" i="156"/>
  <c r="F36" i="156"/>
  <c r="G36" i="156"/>
  <c r="H36" i="156"/>
  <c r="I36" i="156"/>
  <c r="J36" i="156"/>
  <c r="K36" i="156"/>
  <c r="L36" i="156"/>
  <c r="F37" i="156"/>
  <c r="G37" i="156"/>
  <c r="H37" i="156"/>
  <c r="F38" i="156"/>
  <c r="G38" i="156"/>
  <c r="F39" i="156"/>
  <c r="G39" i="156"/>
  <c r="H39" i="156"/>
  <c r="I39" i="156"/>
  <c r="J39" i="156"/>
  <c r="K39" i="156"/>
  <c r="L39" i="156"/>
  <c r="F40" i="156"/>
  <c r="G40" i="156"/>
  <c r="H40" i="156"/>
  <c r="C42" i="156"/>
  <c r="D44" i="156"/>
  <c r="C51" i="156"/>
  <c r="C56" i="156"/>
  <c r="D58" i="156"/>
  <c r="D62" i="156"/>
  <c r="D63" i="156"/>
  <c r="F63" i="156"/>
  <c r="D64" i="156"/>
  <c r="D65" i="156"/>
  <c r="F9" i="155"/>
  <c r="G9" i="155"/>
  <c r="H9" i="155"/>
  <c r="I9" i="155"/>
  <c r="J9" i="155"/>
  <c r="K9" i="155"/>
  <c r="F11" i="155"/>
  <c r="G11" i="155"/>
  <c r="H11" i="155"/>
  <c r="F13" i="155"/>
  <c r="H13" i="155"/>
  <c r="J13" i="155"/>
  <c r="F16" i="155"/>
  <c r="G16" i="155"/>
  <c r="F18" i="155"/>
  <c r="G18" i="155"/>
  <c r="H18" i="155"/>
  <c r="F20" i="155"/>
  <c r="G20" i="155"/>
  <c r="H20" i="155"/>
  <c r="F23" i="155"/>
  <c r="G23" i="155"/>
  <c r="H23" i="155"/>
  <c r="F25" i="155"/>
  <c r="G25" i="155"/>
  <c r="J25" i="155"/>
  <c r="K25" i="155"/>
  <c r="F27" i="155"/>
  <c r="G27" i="155"/>
  <c r="F29" i="155"/>
  <c r="G29" i="155"/>
  <c r="H29" i="155"/>
  <c r="C31" i="155"/>
  <c r="F34" i="155"/>
  <c r="G34" i="155"/>
  <c r="H34" i="155"/>
  <c r="I34" i="155"/>
  <c r="J34" i="155"/>
  <c r="F35" i="155"/>
  <c r="G35" i="155"/>
  <c r="H35" i="155"/>
  <c r="I35" i="155"/>
  <c r="J35" i="155"/>
  <c r="K35" i="155"/>
  <c r="L35" i="155"/>
  <c r="F36" i="155"/>
  <c r="G36" i="155"/>
  <c r="H36" i="155"/>
  <c r="I36" i="155"/>
  <c r="J36" i="155"/>
  <c r="K36" i="155"/>
  <c r="L36" i="155"/>
  <c r="F37" i="155"/>
  <c r="G37" i="155"/>
  <c r="H37" i="155"/>
  <c r="F38" i="155"/>
  <c r="G38" i="155"/>
  <c r="F39" i="155"/>
  <c r="G39" i="155"/>
  <c r="H39" i="155"/>
  <c r="I39" i="155"/>
  <c r="J39" i="155"/>
  <c r="K39" i="155"/>
  <c r="L39" i="155"/>
  <c r="F40" i="155"/>
  <c r="G40" i="155"/>
  <c r="H40" i="155"/>
  <c r="C42" i="155"/>
  <c r="D44" i="155"/>
  <c r="C51" i="155"/>
  <c r="C56" i="155"/>
  <c r="D58" i="155"/>
  <c r="D62" i="155"/>
  <c r="F63" i="155"/>
  <c r="D64" i="155"/>
  <c r="D65" i="155"/>
  <c r="F9" i="154"/>
  <c r="G9" i="154"/>
  <c r="H9" i="154"/>
  <c r="I9" i="154"/>
  <c r="J9" i="154"/>
  <c r="K9" i="154"/>
  <c r="B10" i="154"/>
  <c r="F11" i="154"/>
  <c r="G11" i="154"/>
  <c r="H11" i="154"/>
  <c r="B11" i="154" s="1"/>
  <c r="B12" i="154"/>
  <c r="F13" i="154"/>
  <c r="H13" i="154"/>
  <c r="B13" i="154" s="1"/>
  <c r="J13" i="154"/>
  <c r="B14" i="154" s="1"/>
  <c r="B16" i="154"/>
  <c r="F16" i="154"/>
  <c r="G16" i="154"/>
  <c r="F18" i="154"/>
  <c r="B17" i="154" s="1"/>
  <c r="G18" i="154"/>
  <c r="H18" i="154"/>
  <c r="F20" i="154"/>
  <c r="G20" i="154"/>
  <c r="H20" i="154"/>
  <c r="B18" i="154" s="1"/>
  <c r="B23" i="154"/>
  <c r="F23" i="154"/>
  <c r="B19" i="154" s="1"/>
  <c r="G23" i="154"/>
  <c r="H23" i="154"/>
  <c r="B25" i="154"/>
  <c r="F25" i="154"/>
  <c r="B20" i="154" s="1"/>
  <c r="G25" i="154"/>
  <c r="J25" i="154"/>
  <c r="B22" i="154" s="1"/>
  <c r="K25" i="154"/>
  <c r="B26" i="154"/>
  <c r="B27" i="154"/>
  <c r="F27" i="154"/>
  <c r="G27" i="154"/>
  <c r="B21" i="154" s="1"/>
  <c r="B29" i="154"/>
  <c r="F29" i="154"/>
  <c r="B24" i="154" s="1"/>
  <c r="G29" i="154"/>
  <c r="H29" i="154"/>
  <c r="F34" i="154"/>
  <c r="B34" i="154" s="1"/>
  <c r="G34" i="154"/>
  <c r="H34" i="154"/>
  <c r="I34" i="154"/>
  <c r="J34" i="154"/>
  <c r="F35" i="154"/>
  <c r="G35" i="154"/>
  <c r="H35" i="154"/>
  <c r="I35" i="154"/>
  <c r="J35" i="154"/>
  <c r="K35" i="154"/>
  <c r="L35" i="154"/>
  <c r="B36" i="154"/>
  <c r="F36" i="154"/>
  <c r="G36" i="154"/>
  <c r="H36" i="154"/>
  <c r="I36" i="154"/>
  <c r="B35" i="154" s="1"/>
  <c r="J36" i="154"/>
  <c r="K36" i="154"/>
  <c r="L36" i="154"/>
  <c r="B37" i="154"/>
  <c r="F37" i="154"/>
  <c r="G37" i="154"/>
  <c r="H37" i="154"/>
  <c r="F38" i="154"/>
  <c r="G38" i="154"/>
  <c r="B39" i="154"/>
  <c r="F39" i="154"/>
  <c r="B38" i="154" s="1"/>
  <c r="G39" i="154"/>
  <c r="H39" i="154"/>
  <c r="I39" i="154"/>
  <c r="J39" i="154"/>
  <c r="K39" i="154"/>
  <c r="L39" i="154"/>
  <c r="B40" i="154"/>
  <c r="F40" i="154"/>
  <c r="G40" i="154"/>
  <c r="H40" i="154"/>
  <c r="B41" i="154"/>
  <c r="B48" i="154"/>
  <c r="C51" i="154" s="1"/>
  <c r="B54" i="154"/>
  <c r="C56" i="154" s="1"/>
  <c r="B9" i="153"/>
  <c r="F9" i="153"/>
  <c r="G9" i="153"/>
  <c r="H9" i="153"/>
  <c r="I9" i="153"/>
  <c r="J9" i="153"/>
  <c r="K9" i="153"/>
  <c r="F11" i="153"/>
  <c r="G11" i="153"/>
  <c r="H11" i="153"/>
  <c r="F13" i="153"/>
  <c r="H13" i="153"/>
  <c r="J13" i="153"/>
  <c r="B15" i="153"/>
  <c r="F16" i="153"/>
  <c r="G16" i="153"/>
  <c r="F18" i="153"/>
  <c r="G18" i="153"/>
  <c r="H18" i="153"/>
  <c r="F20" i="153"/>
  <c r="G20" i="153"/>
  <c r="H20" i="153"/>
  <c r="F23" i="153"/>
  <c r="G23" i="153"/>
  <c r="H23" i="153"/>
  <c r="F25" i="153"/>
  <c r="G25" i="153"/>
  <c r="J25" i="153"/>
  <c r="K25" i="153"/>
  <c r="F27" i="153"/>
  <c r="G27" i="153"/>
  <c r="F29" i="153"/>
  <c r="G29" i="153"/>
  <c r="H29" i="153"/>
  <c r="C31" i="153"/>
  <c r="F34" i="153"/>
  <c r="G34" i="153"/>
  <c r="H34" i="153"/>
  <c r="I34" i="153"/>
  <c r="J34" i="153"/>
  <c r="F35" i="153"/>
  <c r="G35" i="153"/>
  <c r="H35" i="153"/>
  <c r="I35" i="153"/>
  <c r="J35" i="153"/>
  <c r="K35" i="153"/>
  <c r="L35" i="153"/>
  <c r="F36" i="153"/>
  <c r="G36" i="153"/>
  <c r="H36" i="153"/>
  <c r="I36" i="153"/>
  <c r="J36" i="153"/>
  <c r="K36" i="153"/>
  <c r="L36" i="153"/>
  <c r="F37" i="153"/>
  <c r="G37" i="153"/>
  <c r="H37" i="153"/>
  <c r="F38" i="153"/>
  <c r="G38" i="153"/>
  <c r="F39" i="153"/>
  <c r="G39" i="153"/>
  <c r="H39" i="153"/>
  <c r="I39" i="153"/>
  <c r="J39" i="153"/>
  <c r="K39" i="153"/>
  <c r="L39" i="153"/>
  <c r="F40" i="153"/>
  <c r="G40" i="153"/>
  <c r="H40" i="153"/>
  <c r="C42" i="153"/>
  <c r="D44" i="153"/>
  <c r="C51" i="153"/>
  <c r="C56" i="153"/>
  <c r="D58" i="153"/>
  <c r="D62" i="153"/>
  <c r="F63" i="153"/>
  <c r="D64" i="153"/>
  <c r="D65" i="153"/>
  <c r="B9" i="152"/>
  <c r="F9" i="152"/>
  <c r="G9" i="152"/>
  <c r="H9" i="152"/>
  <c r="I9" i="152"/>
  <c r="J9" i="152"/>
  <c r="K9" i="152"/>
  <c r="F11" i="152"/>
  <c r="G11" i="152"/>
  <c r="H11" i="152"/>
  <c r="F13" i="152"/>
  <c r="H13" i="152"/>
  <c r="J13" i="152"/>
  <c r="B15" i="152"/>
  <c r="F16" i="152"/>
  <c r="G16" i="152"/>
  <c r="F18" i="152"/>
  <c r="G18" i="152"/>
  <c r="H18" i="152"/>
  <c r="F20" i="152"/>
  <c r="G20" i="152"/>
  <c r="H20" i="152"/>
  <c r="F23" i="152"/>
  <c r="G23" i="152"/>
  <c r="H23" i="152"/>
  <c r="F25" i="152"/>
  <c r="G25" i="152"/>
  <c r="J25" i="152"/>
  <c r="K25" i="152"/>
  <c r="F27" i="152"/>
  <c r="G27" i="152"/>
  <c r="F29" i="152"/>
  <c r="G29" i="152"/>
  <c r="H29" i="152"/>
  <c r="C31" i="152"/>
  <c r="F34" i="152"/>
  <c r="G34" i="152"/>
  <c r="H34" i="152"/>
  <c r="I34" i="152"/>
  <c r="J34" i="152"/>
  <c r="F35" i="152"/>
  <c r="G35" i="152"/>
  <c r="H35" i="152"/>
  <c r="I35" i="152"/>
  <c r="J35" i="152"/>
  <c r="K35" i="152"/>
  <c r="L35" i="152"/>
  <c r="F36" i="152"/>
  <c r="G36" i="152"/>
  <c r="H36" i="152"/>
  <c r="I36" i="152"/>
  <c r="J36" i="152"/>
  <c r="K36" i="152"/>
  <c r="L36" i="152"/>
  <c r="F37" i="152"/>
  <c r="G37" i="152"/>
  <c r="H37" i="152"/>
  <c r="F38" i="152"/>
  <c r="G38" i="152"/>
  <c r="F39" i="152"/>
  <c r="G39" i="152"/>
  <c r="H39" i="152"/>
  <c r="I39" i="152"/>
  <c r="J39" i="152"/>
  <c r="K39" i="152"/>
  <c r="L39" i="152"/>
  <c r="F40" i="152"/>
  <c r="G40" i="152"/>
  <c r="H40" i="152"/>
  <c r="C42" i="152"/>
  <c r="D44" i="152"/>
  <c r="C51" i="152"/>
  <c r="C56" i="152"/>
  <c r="D58" i="152"/>
  <c r="D62" i="152"/>
  <c r="F63" i="152"/>
  <c r="D64" i="152"/>
  <c r="D65" i="152"/>
  <c r="F9" i="151"/>
  <c r="G9" i="151"/>
  <c r="H9" i="151"/>
  <c r="I9" i="151"/>
  <c r="J9" i="151"/>
  <c r="K9" i="151"/>
  <c r="F11" i="151"/>
  <c r="G11" i="151"/>
  <c r="H11" i="151"/>
  <c r="F13" i="151"/>
  <c r="H13" i="151"/>
  <c r="J13" i="151"/>
  <c r="F16" i="151"/>
  <c r="G16" i="151"/>
  <c r="F18" i="151"/>
  <c r="G18" i="151"/>
  <c r="H18" i="151"/>
  <c r="F20" i="151"/>
  <c r="G20" i="151"/>
  <c r="H20" i="151"/>
  <c r="F23" i="151"/>
  <c r="G23" i="151"/>
  <c r="H23" i="151"/>
  <c r="F25" i="151"/>
  <c r="G25" i="151"/>
  <c r="J25" i="151"/>
  <c r="K25" i="151"/>
  <c r="F27" i="151"/>
  <c r="G27" i="151"/>
  <c r="F29" i="151"/>
  <c r="G29" i="151"/>
  <c r="H29" i="151"/>
  <c r="C31" i="151"/>
  <c r="F34" i="151"/>
  <c r="G34" i="151"/>
  <c r="H34" i="151"/>
  <c r="I34" i="151"/>
  <c r="J34" i="151"/>
  <c r="F35" i="151"/>
  <c r="G35" i="151"/>
  <c r="H35" i="151"/>
  <c r="I35" i="151"/>
  <c r="J35" i="151"/>
  <c r="K35" i="151"/>
  <c r="L35" i="151"/>
  <c r="F36" i="151"/>
  <c r="G36" i="151"/>
  <c r="H36" i="151"/>
  <c r="I36" i="151"/>
  <c r="J36" i="151"/>
  <c r="K36" i="151"/>
  <c r="L36" i="151"/>
  <c r="F37" i="151"/>
  <c r="G37" i="151"/>
  <c r="H37" i="151"/>
  <c r="F38" i="151"/>
  <c r="G38" i="151"/>
  <c r="F39" i="151"/>
  <c r="G39" i="151"/>
  <c r="H39" i="151"/>
  <c r="I39" i="151"/>
  <c r="J39" i="151"/>
  <c r="K39" i="151"/>
  <c r="L39" i="151"/>
  <c r="F40" i="151"/>
  <c r="G40" i="151"/>
  <c r="H40" i="151"/>
  <c r="C42" i="151"/>
  <c r="D44" i="151"/>
  <c r="C51" i="151"/>
  <c r="B54" i="151"/>
  <c r="C56" i="151"/>
  <c r="D58" i="151"/>
  <c r="F63" i="151"/>
  <c r="F9" i="150"/>
  <c r="G9" i="150"/>
  <c r="H9" i="150"/>
  <c r="I9" i="150"/>
  <c r="J9" i="150"/>
  <c r="K9" i="150"/>
  <c r="F11" i="150"/>
  <c r="G11" i="150"/>
  <c r="H11" i="150"/>
  <c r="F13" i="150"/>
  <c r="H13" i="150"/>
  <c r="J13" i="150"/>
  <c r="F16" i="150"/>
  <c r="G16" i="150"/>
  <c r="F18" i="150"/>
  <c r="G18" i="150"/>
  <c r="H18" i="150"/>
  <c r="F20" i="150"/>
  <c r="G20" i="150"/>
  <c r="H20" i="150"/>
  <c r="F23" i="150"/>
  <c r="G23" i="150"/>
  <c r="H23" i="150"/>
  <c r="F25" i="150"/>
  <c r="G25" i="150"/>
  <c r="J25" i="150"/>
  <c r="K25" i="150"/>
  <c r="F27" i="150"/>
  <c r="G27" i="150"/>
  <c r="F29" i="150"/>
  <c r="G29" i="150"/>
  <c r="H29" i="150"/>
  <c r="C31" i="150"/>
  <c r="F34" i="150"/>
  <c r="G34" i="150"/>
  <c r="H34" i="150"/>
  <c r="I34" i="150"/>
  <c r="J34" i="150"/>
  <c r="F35" i="150"/>
  <c r="G35" i="150"/>
  <c r="H35" i="150"/>
  <c r="I35" i="150"/>
  <c r="J35" i="150"/>
  <c r="K35" i="150"/>
  <c r="L35" i="150"/>
  <c r="F36" i="150"/>
  <c r="G36" i="150"/>
  <c r="H36" i="150"/>
  <c r="I36" i="150"/>
  <c r="J36" i="150"/>
  <c r="K36" i="150"/>
  <c r="L36" i="150"/>
  <c r="F37" i="150"/>
  <c r="G37" i="150"/>
  <c r="H37" i="150"/>
  <c r="F38" i="150"/>
  <c r="G38" i="150"/>
  <c r="F39" i="150"/>
  <c r="G39" i="150"/>
  <c r="H39" i="150"/>
  <c r="I39" i="150"/>
  <c r="J39" i="150"/>
  <c r="K39" i="150"/>
  <c r="L39" i="150"/>
  <c r="F40" i="150"/>
  <c r="G40" i="150"/>
  <c r="H40" i="150"/>
  <c r="C42" i="150"/>
  <c r="D44" i="150"/>
  <c r="C51" i="150"/>
  <c r="C56" i="150"/>
  <c r="D58" i="150"/>
  <c r="D62" i="150"/>
  <c r="D63" i="150"/>
  <c r="F63" i="150"/>
  <c r="D64" i="150"/>
  <c r="D65" i="150"/>
  <c r="B9" i="149"/>
  <c r="F9" i="149"/>
  <c r="G9" i="149"/>
  <c r="H9" i="149"/>
  <c r="I9" i="149"/>
  <c r="J9" i="149"/>
  <c r="K9" i="149"/>
  <c r="F11" i="149"/>
  <c r="G11" i="149"/>
  <c r="H11" i="149"/>
  <c r="F13" i="149"/>
  <c r="H13" i="149"/>
  <c r="J13" i="149"/>
  <c r="B15" i="149"/>
  <c r="F16" i="149"/>
  <c r="G16" i="149"/>
  <c r="F18" i="149"/>
  <c r="G18" i="149"/>
  <c r="H18" i="149"/>
  <c r="F20" i="149"/>
  <c r="G20" i="149"/>
  <c r="H20" i="149"/>
  <c r="F23" i="149"/>
  <c r="G23" i="149"/>
  <c r="H23" i="149"/>
  <c r="F25" i="149"/>
  <c r="G25" i="149"/>
  <c r="J25" i="149"/>
  <c r="K25" i="149"/>
  <c r="F27" i="149"/>
  <c r="G27" i="149"/>
  <c r="F29" i="149"/>
  <c r="G29" i="149"/>
  <c r="H29" i="149"/>
  <c r="C31" i="149"/>
  <c r="F34" i="149"/>
  <c r="G34" i="149"/>
  <c r="H34" i="149"/>
  <c r="I34" i="149"/>
  <c r="J34" i="149"/>
  <c r="F35" i="149"/>
  <c r="G35" i="149"/>
  <c r="H35" i="149"/>
  <c r="I35" i="149"/>
  <c r="J35" i="149"/>
  <c r="K35" i="149"/>
  <c r="L35" i="149"/>
  <c r="F36" i="149"/>
  <c r="G36" i="149"/>
  <c r="H36" i="149"/>
  <c r="I36" i="149"/>
  <c r="J36" i="149"/>
  <c r="K36" i="149"/>
  <c r="L36" i="149"/>
  <c r="F37" i="149"/>
  <c r="G37" i="149"/>
  <c r="H37" i="149"/>
  <c r="F38" i="149"/>
  <c r="G38" i="149"/>
  <c r="F39" i="149"/>
  <c r="G39" i="149"/>
  <c r="H39" i="149"/>
  <c r="I39" i="149"/>
  <c r="J39" i="149"/>
  <c r="K39" i="149"/>
  <c r="L39" i="149"/>
  <c r="F40" i="149"/>
  <c r="G40" i="149"/>
  <c r="H40" i="149"/>
  <c r="C42" i="149"/>
  <c r="D44" i="149"/>
  <c r="C51" i="149"/>
  <c r="C56" i="149"/>
  <c r="D58" i="149"/>
  <c r="D62" i="149"/>
  <c r="F63" i="149"/>
  <c r="D64" i="149"/>
  <c r="D65" i="149"/>
  <c r="F9" i="148"/>
  <c r="G9" i="148"/>
  <c r="H9" i="148"/>
  <c r="I9" i="148"/>
  <c r="J9" i="148"/>
  <c r="K9" i="148"/>
  <c r="F11" i="148"/>
  <c r="G11" i="148"/>
  <c r="H11" i="148"/>
  <c r="F13" i="148"/>
  <c r="H13" i="148"/>
  <c r="J13" i="148"/>
  <c r="F16" i="148"/>
  <c r="G16" i="148"/>
  <c r="F18" i="148"/>
  <c r="G18" i="148"/>
  <c r="H18" i="148"/>
  <c r="F20" i="148"/>
  <c r="G20" i="148"/>
  <c r="H20" i="148"/>
  <c r="F23" i="148"/>
  <c r="G23" i="148"/>
  <c r="H23" i="148"/>
  <c r="F25" i="148"/>
  <c r="G25" i="148"/>
  <c r="J25" i="148"/>
  <c r="K25" i="148"/>
  <c r="F27" i="148"/>
  <c r="G27" i="148"/>
  <c r="F29" i="148"/>
  <c r="G29" i="148"/>
  <c r="H29" i="148"/>
  <c r="C31" i="148"/>
  <c r="F34" i="148"/>
  <c r="G34" i="148"/>
  <c r="H34" i="148"/>
  <c r="I34" i="148"/>
  <c r="J34" i="148"/>
  <c r="F35" i="148"/>
  <c r="G35" i="148"/>
  <c r="H35" i="148"/>
  <c r="I35" i="148"/>
  <c r="J35" i="148"/>
  <c r="K35" i="148"/>
  <c r="L35" i="148"/>
  <c r="F36" i="148"/>
  <c r="G36" i="148"/>
  <c r="H36" i="148"/>
  <c r="I36" i="148"/>
  <c r="J36" i="148"/>
  <c r="K36" i="148"/>
  <c r="L36" i="148"/>
  <c r="F37" i="148"/>
  <c r="G37" i="148"/>
  <c r="H37" i="148"/>
  <c r="F38" i="148"/>
  <c r="G38" i="148"/>
  <c r="F39" i="148"/>
  <c r="G39" i="148"/>
  <c r="H39" i="148"/>
  <c r="I39" i="148"/>
  <c r="J39" i="148"/>
  <c r="K39" i="148"/>
  <c r="L39" i="148"/>
  <c r="F40" i="148"/>
  <c r="G40" i="148"/>
  <c r="H40" i="148"/>
  <c r="C42" i="148"/>
  <c r="D44" i="148"/>
  <c r="C51" i="148"/>
  <c r="C56" i="148"/>
  <c r="D58" i="148"/>
  <c r="D62" i="148"/>
  <c r="D63" i="148"/>
  <c r="F63" i="148"/>
  <c r="D64" i="148"/>
  <c r="D65" i="148"/>
  <c r="F9" i="147"/>
  <c r="G9" i="147"/>
  <c r="H9" i="147"/>
  <c r="I9" i="147"/>
  <c r="J9" i="147"/>
  <c r="K9" i="147"/>
  <c r="F11" i="147"/>
  <c r="G11" i="147"/>
  <c r="H11" i="147"/>
  <c r="F13" i="147"/>
  <c r="H13" i="147"/>
  <c r="J13" i="147"/>
  <c r="F16" i="147"/>
  <c r="G16" i="147"/>
  <c r="F18" i="147"/>
  <c r="G18" i="147"/>
  <c r="H18" i="147"/>
  <c r="F20" i="147"/>
  <c r="G20" i="147"/>
  <c r="H20" i="147"/>
  <c r="F22" i="147"/>
  <c r="G22" i="147"/>
  <c r="H22" i="147"/>
  <c r="F24" i="147"/>
  <c r="G24" i="147"/>
  <c r="F26" i="147"/>
  <c r="G26" i="147"/>
  <c r="F28" i="147"/>
  <c r="G28" i="147"/>
  <c r="H28" i="147"/>
  <c r="F33" i="147"/>
  <c r="G33" i="147"/>
  <c r="H33" i="147"/>
  <c r="I33" i="147"/>
  <c r="J33" i="147"/>
  <c r="F34" i="147"/>
  <c r="G34" i="147"/>
  <c r="H34" i="147"/>
  <c r="I34" i="147"/>
  <c r="J34" i="147"/>
  <c r="K34" i="147"/>
  <c r="L34" i="147"/>
  <c r="F35" i="147"/>
  <c r="G35" i="147"/>
  <c r="H35" i="147"/>
  <c r="I35" i="147"/>
  <c r="J35" i="147"/>
  <c r="K35" i="147"/>
  <c r="L35" i="147"/>
  <c r="F36" i="147"/>
  <c r="G36" i="147"/>
  <c r="H36" i="147"/>
  <c r="F37" i="147"/>
  <c r="G37" i="147"/>
  <c r="F38" i="147"/>
  <c r="G38" i="147"/>
  <c r="H38" i="147"/>
  <c r="I38" i="147"/>
  <c r="J38" i="147"/>
  <c r="K38" i="147"/>
  <c r="L38" i="147"/>
  <c r="F39" i="147"/>
  <c r="G39" i="147"/>
  <c r="H39" i="147"/>
  <c r="D43" i="147"/>
  <c r="C55" i="147"/>
  <c r="D61" i="147"/>
  <c r="D62" i="147"/>
  <c r="F62" i="147"/>
  <c r="D63" i="147"/>
  <c r="D64" i="147"/>
  <c r="F9" i="146"/>
  <c r="G9" i="146"/>
  <c r="H9" i="146"/>
  <c r="I9" i="146"/>
  <c r="J9" i="146"/>
  <c r="K9" i="146"/>
  <c r="F11" i="146"/>
  <c r="G11" i="146"/>
  <c r="H11" i="146"/>
  <c r="F13" i="146"/>
  <c r="H13" i="146"/>
  <c r="J13" i="146"/>
  <c r="F16" i="146"/>
  <c r="G16" i="146"/>
  <c r="F18" i="146"/>
  <c r="G18" i="146"/>
  <c r="H18" i="146"/>
  <c r="F20" i="146"/>
  <c r="G20" i="146"/>
  <c r="H20" i="146"/>
  <c r="F22" i="146"/>
  <c r="G22" i="146"/>
  <c r="H22" i="146"/>
  <c r="F24" i="146"/>
  <c r="G24" i="146"/>
  <c r="F26" i="146"/>
  <c r="G26" i="146"/>
  <c r="F28" i="146"/>
  <c r="G28" i="146"/>
  <c r="H28" i="146"/>
  <c r="C30" i="146"/>
  <c r="F33" i="146"/>
  <c r="G33" i="146"/>
  <c r="H33" i="146"/>
  <c r="I33" i="146"/>
  <c r="J33" i="146"/>
  <c r="F34" i="146"/>
  <c r="G34" i="146"/>
  <c r="H34" i="146"/>
  <c r="I34" i="146"/>
  <c r="J34" i="146"/>
  <c r="K34" i="146"/>
  <c r="L34" i="146"/>
  <c r="F35" i="146"/>
  <c r="G35" i="146"/>
  <c r="H35" i="146"/>
  <c r="I35" i="146"/>
  <c r="J35" i="146"/>
  <c r="K35" i="146"/>
  <c r="L35" i="146"/>
  <c r="F36" i="146"/>
  <c r="G36" i="146"/>
  <c r="H36" i="146"/>
  <c r="F37" i="146"/>
  <c r="G37" i="146"/>
  <c r="F38" i="146"/>
  <c r="G38" i="146"/>
  <c r="H38" i="146"/>
  <c r="I38" i="146"/>
  <c r="J38" i="146"/>
  <c r="K38" i="146"/>
  <c r="L38" i="146"/>
  <c r="F39" i="146"/>
  <c r="G39" i="146"/>
  <c r="H39" i="146"/>
  <c r="C41" i="146"/>
  <c r="D43" i="146"/>
  <c r="C50" i="146"/>
  <c r="C55" i="146"/>
  <c r="D57" i="146"/>
  <c r="D61" i="146"/>
  <c r="D62" i="146"/>
  <c r="F62" i="146"/>
  <c r="D63" i="146"/>
  <c r="D64" i="146"/>
  <c r="B9" i="145"/>
  <c r="F9" i="145"/>
  <c r="G9" i="145"/>
  <c r="H9" i="145"/>
  <c r="I9" i="145"/>
  <c r="J9" i="145"/>
  <c r="K9" i="145"/>
  <c r="F11" i="145"/>
  <c r="G11" i="145"/>
  <c r="H11" i="145"/>
  <c r="F13" i="145"/>
  <c r="H13" i="145"/>
  <c r="J13" i="145"/>
  <c r="B15" i="145"/>
  <c r="F16" i="145"/>
  <c r="G16" i="145"/>
  <c r="F18" i="145"/>
  <c r="G18" i="145"/>
  <c r="H18" i="145"/>
  <c r="F20" i="145"/>
  <c r="G20" i="145"/>
  <c r="H20" i="145"/>
  <c r="F22" i="145"/>
  <c r="G22" i="145"/>
  <c r="H22" i="145"/>
  <c r="F24" i="145"/>
  <c r="G24" i="145"/>
  <c r="F26" i="145"/>
  <c r="G26" i="145"/>
  <c r="F28" i="145"/>
  <c r="G28" i="145"/>
  <c r="H28" i="145"/>
  <c r="C30" i="145"/>
  <c r="F33" i="145"/>
  <c r="G33" i="145"/>
  <c r="H33" i="145"/>
  <c r="I33" i="145"/>
  <c r="J33" i="145"/>
  <c r="F34" i="145"/>
  <c r="G34" i="145"/>
  <c r="H34" i="145"/>
  <c r="I34" i="145"/>
  <c r="J34" i="145"/>
  <c r="K34" i="145"/>
  <c r="L34" i="145"/>
  <c r="F35" i="145"/>
  <c r="G35" i="145"/>
  <c r="H35" i="145"/>
  <c r="I35" i="145"/>
  <c r="J35" i="145"/>
  <c r="K35" i="145"/>
  <c r="L35" i="145"/>
  <c r="F36" i="145"/>
  <c r="G36" i="145"/>
  <c r="H36" i="145"/>
  <c r="F37" i="145"/>
  <c r="G37" i="145"/>
  <c r="F38" i="145"/>
  <c r="G38" i="145"/>
  <c r="H38" i="145"/>
  <c r="I38" i="145"/>
  <c r="J38" i="145"/>
  <c r="K38" i="145"/>
  <c r="L38" i="145"/>
  <c r="F39" i="145"/>
  <c r="G39" i="145"/>
  <c r="H39" i="145"/>
  <c r="C41" i="145"/>
  <c r="D43" i="145"/>
  <c r="C50" i="145"/>
  <c r="C55" i="145"/>
  <c r="D57" i="145"/>
  <c r="D61" i="145"/>
  <c r="D62" i="145"/>
  <c r="F62" i="145"/>
  <c r="D63" i="145"/>
  <c r="D64" i="145"/>
  <c r="F9" i="144"/>
  <c r="G9" i="144"/>
  <c r="H9" i="144"/>
  <c r="I9" i="144"/>
  <c r="J9" i="144"/>
  <c r="K9" i="144"/>
  <c r="F11" i="144"/>
  <c r="G11" i="144"/>
  <c r="H11" i="144"/>
  <c r="F13" i="144"/>
  <c r="H13" i="144"/>
  <c r="J13" i="144"/>
  <c r="F16" i="144"/>
  <c r="G16" i="144"/>
  <c r="F18" i="144"/>
  <c r="G18" i="144"/>
  <c r="H18" i="144"/>
  <c r="F20" i="144"/>
  <c r="G20" i="144"/>
  <c r="H20" i="144"/>
  <c r="F22" i="144"/>
  <c r="G22" i="144"/>
  <c r="H22" i="144"/>
  <c r="F24" i="144"/>
  <c r="G24" i="144"/>
  <c r="F26" i="144"/>
  <c r="G26" i="144"/>
  <c r="F28" i="144"/>
  <c r="G28" i="144"/>
  <c r="H28" i="144"/>
  <c r="F33" i="144"/>
  <c r="G33" i="144"/>
  <c r="H33" i="144"/>
  <c r="I33" i="144"/>
  <c r="J33" i="144"/>
  <c r="F34" i="144"/>
  <c r="G34" i="144"/>
  <c r="H34" i="144"/>
  <c r="I34" i="144"/>
  <c r="J34" i="144"/>
  <c r="K34" i="144"/>
  <c r="L34" i="144"/>
  <c r="F35" i="144"/>
  <c r="G35" i="144"/>
  <c r="H35" i="144"/>
  <c r="I35" i="144"/>
  <c r="J35" i="144"/>
  <c r="K35" i="144"/>
  <c r="L35" i="144"/>
  <c r="F36" i="144"/>
  <c r="G36" i="144"/>
  <c r="H36" i="144"/>
  <c r="F37" i="144"/>
  <c r="G37" i="144"/>
  <c r="F38" i="144"/>
  <c r="G38" i="144"/>
  <c r="H38" i="144"/>
  <c r="I38" i="144"/>
  <c r="J38" i="144"/>
  <c r="K38" i="144"/>
  <c r="L38" i="144"/>
  <c r="F39" i="144"/>
  <c r="G39" i="144"/>
  <c r="H39" i="144"/>
  <c r="F62" i="144"/>
  <c r="B9" i="143"/>
  <c r="B15" i="143"/>
  <c r="C30" i="143"/>
  <c r="C41" i="143"/>
  <c r="D43" i="143"/>
  <c r="C50" i="143"/>
  <c r="C55" i="143"/>
  <c r="D57" i="143"/>
  <c r="D61" i="143"/>
  <c r="D62" i="143"/>
  <c r="F62" i="143"/>
  <c r="D63" i="143"/>
  <c r="D64" i="143"/>
  <c r="F9" i="142"/>
  <c r="G9" i="142"/>
  <c r="H9" i="142"/>
  <c r="I9" i="142"/>
  <c r="J9" i="142"/>
  <c r="K9" i="142"/>
  <c r="F11" i="142"/>
  <c r="G11" i="142"/>
  <c r="H11" i="142"/>
  <c r="F13" i="142"/>
  <c r="H13" i="142"/>
  <c r="J13" i="142"/>
  <c r="F16" i="142"/>
  <c r="G16" i="142"/>
  <c r="F18" i="142"/>
  <c r="G18" i="142"/>
  <c r="H18" i="142"/>
  <c r="F20" i="142"/>
  <c r="G20" i="142"/>
  <c r="H20" i="142"/>
  <c r="F22" i="142"/>
  <c r="G22" i="142"/>
  <c r="H22" i="142"/>
  <c r="F24" i="142"/>
  <c r="G24" i="142"/>
  <c r="F26" i="142"/>
  <c r="G26" i="142"/>
  <c r="F28" i="142"/>
  <c r="G28" i="142"/>
  <c r="H28" i="142"/>
  <c r="C30" i="142"/>
  <c r="F33" i="142"/>
  <c r="G33" i="142"/>
  <c r="H33" i="142"/>
  <c r="I33" i="142"/>
  <c r="J33" i="142"/>
  <c r="F34" i="142"/>
  <c r="G34" i="142"/>
  <c r="H34" i="142"/>
  <c r="I34" i="142"/>
  <c r="J34" i="142"/>
  <c r="K34" i="142"/>
  <c r="L34" i="142"/>
  <c r="F35" i="142"/>
  <c r="G35" i="142"/>
  <c r="H35" i="142"/>
  <c r="I35" i="142"/>
  <c r="J35" i="142"/>
  <c r="K35" i="142"/>
  <c r="L35" i="142"/>
  <c r="F36" i="142"/>
  <c r="G36" i="142"/>
  <c r="H36" i="142"/>
  <c r="F37" i="142"/>
  <c r="G37" i="142"/>
  <c r="F38" i="142"/>
  <c r="G38" i="142"/>
  <c r="H38" i="142"/>
  <c r="I38" i="142"/>
  <c r="J38" i="142"/>
  <c r="K38" i="142"/>
  <c r="L38" i="142"/>
  <c r="F39" i="142"/>
  <c r="G39" i="142"/>
  <c r="H39" i="142"/>
  <c r="C41" i="142"/>
  <c r="D43" i="142"/>
  <c r="C50" i="142"/>
  <c r="C55" i="142"/>
  <c r="D57" i="142"/>
  <c r="D61" i="142"/>
  <c r="F62" i="142"/>
  <c r="D63" i="142"/>
  <c r="D64" i="142"/>
  <c r="B9" i="141"/>
  <c r="F9" i="141"/>
  <c r="G9" i="141"/>
  <c r="H9" i="141"/>
  <c r="I9" i="141"/>
  <c r="J9" i="141"/>
  <c r="K9" i="141"/>
  <c r="F11" i="141"/>
  <c r="G11" i="141"/>
  <c r="H11" i="141"/>
  <c r="F13" i="141"/>
  <c r="H13" i="141"/>
  <c r="J13" i="141"/>
  <c r="B15" i="141"/>
  <c r="F16" i="141"/>
  <c r="G16" i="141"/>
  <c r="F18" i="141"/>
  <c r="G18" i="141"/>
  <c r="H18" i="141"/>
  <c r="F20" i="141"/>
  <c r="G20" i="141"/>
  <c r="H20" i="141"/>
  <c r="F22" i="141"/>
  <c r="G22" i="141"/>
  <c r="H22" i="141"/>
  <c r="F24" i="141"/>
  <c r="G24" i="141"/>
  <c r="F26" i="141"/>
  <c r="G26" i="141"/>
  <c r="F28" i="141"/>
  <c r="G28" i="141"/>
  <c r="H28" i="141"/>
  <c r="C30" i="141"/>
  <c r="F33" i="141"/>
  <c r="G33" i="141"/>
  <c r="H33" i="141"/>
  <c r="I33" i="141"/>
  <c r="J33" i="141"/>
  <c r="F34" i="141"/>
  <c r="G34" i="141"/>
  <c r="H34" i="141"/>
  <c r="I34" i="141"/>
  <c r="J34" i="141"/>
  <c r="K34" i="141"/>
  <c r="L34" i="141"/>
  <c r="F35" i="141"/>
  <c r="G35" i="141"/>
  <c r="H35" i="141"/>
  <c r="I35" i="141"/>
  <c r="J35" i="141"/>
  <c r="K35" i="141"/>
  <c r="L35" i="141"/>
  <c r="F36" i="141"/>
  <c r="G36" i="141"/>
  <c r="H36" i="141"/>
  <c r="F37" i="141"/>
  <c r="G37" i="141"/>
  <c r="F38" i="141"/>
  <c r="G38" i="141"/>
  <c r="H38" i="141"/>
  <c r="I38" i="141"/>
  <c r="J38" i="141"/>
  <c r="K38" i="141"/>
  <c r="L38" i="141"/>
  <c r="F39" i="141"/>
  <c r="G39" i="141"/>
  <c r="H39" i="141"/>
  <c r="C41" i="141"/>
  <c r="D43" i="141"/>
  <c r="C50" i="141"/>
  <c r="C55" i="141"/>
  <c r="D57" i="141"/>
  <c r="D62" i="141"/>
  <c r="F62" i="141"/>
  <c r="D64" i="141"/>
  <c r="B9" i="140"/>
  <c r="F9" i="140"/>
  <c r="G9" i="140"/>
  <c r="H9" i="140"/>
  <c r="I9" i="140"/>
  <c r="J9" i="140"/>
  <c r="K9" i="140"/>
  <c r="F11" i="140"/>
  <c r="G11" i="140"/>
  <c r="H11" i="140"/>
  <c r="F13" i="140"/>
  <c r="H13" i="140"/>
  <c r="J13" i="140"/>
  <c r="B15" i="140"/>
  <c r="F16" i="140"/>
  <c r="G16" i="140"/>
  <c r="F18" i="140"/>
  <c r="G18" i="140"/>
  <c r="H18" i="140"/>
  <c r="F20" i="140"/>
  <c r="G20" i="140"/>
  <c r="H20" i="140"/>
  <c r="F22" i="140"/>
  <c r="G22" i="140"/>
  <c r="H22" i="140"/>
  <c r="F24" i="140"/>
  <c r="G24" i="140"/>
  <c r="F26" i="140"/>
  <c r="G26" i="140"/>
  <c r="F28" i="140"/>
  <c r="G28" i="140"/>
  <c r="H28" i="140"/>
  <c r="C30" i="140"/>
  <c r="F33" i="140"/>
  <c r="G33" i="140"/>
  <c r="H33" i="140"/>
  <c r="I33" i="140"/>
  <c r="J33" i="140"/>
  <c r="F34" i="140"/>
  <c r="G34" i="140"/>
  <c r="H34" i="140"/>
  <c r="I34" i="140"/>
  <c r="J34" i="140"/>
  <c r="K34" i="140"/>
  <c r="L34" i="140"/>
  <c r="F35" i="140"/>
  <c r="G35" i="140"/>
  <c r="H35" i="140"/>
  <c r="I35" i="140"/>
  <c r="J35" i="140"/>
  <c r="K35" i="140"/>
  <c r="L35" i="140"/>
  <c r="F36" i="140"/>
  <c r="G36" i="140"/>
  <c r="H36" i="140"/>
  <c r="F37" i="140"/>
  <c r="G37" i="140"/>
  <c r="F38" i="140"/>
  <c r="G38" i="140"/>
  <c r="H38" i="140"/>
  <c r="I38" i="140"/>
  <c r="J38" i="140"/>
  <c r="K38" i="140"/>
  <c r="L38" i="140"/>
  <c r="F39" i="140"/>
  <c r="G39" i="140"/>
  <c r="H39" i="140"/>
  <c r="C41" i="140"/>
  <c r="D43" i="140"/>
  <c r="C50" i="140"/>
  <c r="C55" i="140"/>
  <c r="D57" i="140"/>
  <c r="D61" i="140"/>
  <c r="D62" i="140"/>
  <c r="F62" i="140"/>
  <c r="D63" i="140"/>
  <c r="D64" i="140"/>
  <c r="B9" i="139"/>
  <c r="F9" i="139"/>
  <c r="G9" i="139"/>
  <c r="H9" i="139"/>
  <c r="I9" i="139"/>
  <c r="J9" i="139"/>
  <c r="K9" i="139"/>
  <c r="F11" i="139"/>
  <c r="G11" i="139"/>
  <c r="H11" i="139"/>
  <c r="F13" i="139"/>
  <c r="H13" i="139"/>
  <c r="J13" i="139"/>
  <c r="B15" i="139"/>
  <c r="F16" i="139"/>
  <c r="G16" i="139"/>
  <c r="F18" i="139"/>
  <c r="G18" i="139"/>
  <c r="H18" i="139"/>
  <c r="F20" i="139"/>
  <c r="G20" i="139"/>
  <c r="H20" i="139"/>
  <c r="F22" i="139"/>
  <c r="G22" i="139"/>
  <c r="H22" i="139"/>
  <c r="F24" i="139"/>
  <c r="G24" i="139"/>
  <c r="F26" i="139"/>
  <c r="G26" i="139"/>
  <c r="F28" i="139"/>
  <c r="G28" i="139"/>
  <c r="H28" i="139"/>
  <c r="C30" i="139"/>
  <c r="F33" i="139"/>
  <c r="G33" i="139"/>
  <c r="H33" i="139"/>
  <c r="I33" i="139"/>
  <c r="J33" i="139"/>
  <c r="F34" i="139"/>
  <c r="G34" i="139"/>
  <c r="H34" i="139"/>
  <c r="I34" i="139"/>
  <c r="J34" i="139"/>
  <c r="K34" i="139"/>
  <c r="L34" i="139"/>
  <c r="F35" i="139"/>
  <c r="G35" i="139"/>
  <c r="H35" i="139"/>
  <c r="I35" i="139"/>
  <c r="J35" i="139"/>
  <c r="K35" i="139"/>
  <c r="L35" i="139"/>
  <c r="F36" i="139"/>
  <c r="G36" i="139"/>
  <c r="H36" i="139"/>
  <c r="F37" i="139"/>
  <c r="G37" i="139"/>
  <c r="F38" i="139"/>
  <c r="G38" i="139"/>
  <c r="H38" i="139"/>
  <c r="I38" i="139"/>
  <c r="J38" i="139"/>
  <c r="K38" i="139"/>
  <c r="L38" i="139"/>
  <c r="F39" i="139"/>
  <c r="G39" i="139"/>
  <c r="H39" i="139"/>
  <c r="C41" i="139"/>
  <c r="D43" i="139"/>
  <c r="C50" i="139"/>
  <c r="C55" i="139"/>
  <c r="D57" i="139"/>
  <c r="D61" i="139"/>
  <c r="D62" i="139"/>
  <c r="F62" i="139"/>
  <c r="D63" i="139"/>
  <c r="D64" i="139"/>
  <c r="B9" i="137"/>
  <c r="F9" i="137"/>
  <c r="G9" i="137"/>
  <c r="H9" i="137"/>
  <c r="I9" i="137"/>
  <c r="J9" i="137"/>
  <c r="K9" i="137"/>
  <c r="F11" i="137"/>
  <c r="G11" i="137"/>
  <c r="H11" i="137"/>
  <c r="F13" i="137"/>
  <c r="H13" i="137"/>
  <c r="J13" i="137"/>
  <c r="B15" i="137"/>
  <c r="F16" i="137"/>
  <c r="G16" i="137"/>
  <c r="F18" i="137"/>
  <c r="G18" i="137"/>
  <c r="H18" i="137"/>
  <c r="F20" i="137"/>
  <c r="G20" i="137"/>
  <c r="H20" i="137"/>
  <c r="F22" i="137"/>
  <c r="G22" i="137"/>
  <c r="H22" i="137"/>
  <c r="F24" i="137"/>
  <c r="G24" i="137"/>
  <c r="F26" i="137"/>
  <c r="G26" i="137"/>
  <c r="F28" i="137"/>
  <c r="G28" i="137"/>
  <c r="H28" i="137"/>
  <c r="C30" i="137"/>
  <c r="F33" i="137"/>
  <c r="G33" i="137"/>
  <c r="H33" i="137"/>
  <c r="I33" i="137"/>
  <c r="J33" i="137"/>
  <c r="F34" i="137"/>
  <c r="G34" i="137"/>
  <c r="H34" i="137"/>
  <c r="I34" i="137"/>
  <c r="J34" i="137"/>
  <c r="K34" i="137"/>
  <c r="L34" i="137"/>
  <c r="F35" i="137"/>
  <c r="G35" i="137"/>
  <c r="H35" i="137"/>
  <c r="I35" i="137"/>
  <c r="J35" i="137"/>
  <c r="K35" i="137"/>
  <c r="L35" i="137"/>
  <c r="F36" i="137"/>
  <c r="G36" i="137"/>
  <c r="H36" i="137"/>
  <c r="F37" i="137"/>
  <c r="G37" i="137"/>
  <c r="F38" i="137"/>
  <c r="G38" i="137"/>
  <c r="H38" i="137"/>
  <c r="I38" i="137"/>
  <c r="J38" i="137"/>
  <c r="K38" i="137"/>
  <c r="L38" i="137"/>
  <c r="F39" i="137"/>
  <c r="G39" i="137"/>
  <c r="H39" i="137"/>
  <c r="C41" i="137"/>
  <c r="D43" i="137"/>
  <c r="C50" i="137"/>
  <c r="C55" i="137"/>
  <c r="D57" i="137"/>
  <c r="D61" i="137"/>
  <c r="D62" i="137"/>
  <c r="F62" i="137"/>
  <c r="D63" i="137"/>
  <c r="D64" i="137"/>
  <c r="B9" i="136"/>
  <c r="F9" i="136"/>
  <c r="G9" i="136"/>
  <c r="H9" i="136"/>
  <c r="I9" i="136"/>
  <c r="J9" i="136"/>
  <c r="K9" i="136"/>
  <c r="F11" i="136"/>
  <c r="G11" i="136"/>
  <c r="H11" i="136"/>
  <c r="F13" i="136"/>
  <c r="H13" i="136"/>
  <c r="J13" i="136"/>
  <c r="B15" i="136"/>
  <c r="F16" i="136"/>
  <c r="G16" i="136"/>
  <c r="F18" i="136"/>
  <c r="G18" i="136"/>
  <c r="H18" i="136"/>
  <c r="F20" i="136"/>
  <c r="G20" i="136"/>
  <c r="H20" i="136"/>
  <c r="F22" i="136"/>
  <c r="G22" i="136"/>
  <c r="H22" i="136"/>
  <c r="F24" i="136"/>
  <c r="G24" i="136"/>
  <c r="F26" i="136"/>
  <c r="G26" i="136"/>
  <c r="F28" i="136"/>
  <c r="G28" i="136"/>
  <c r="H28" i="136"/>
  <c r="C30" i="136"/>
  <c r="F33" i="136"/>
  <c r="G33" i="136"/>
  <c r="H33" i="136"/>
  <c r="I33" i="136"/>
  <c r="J33" i="136"/>
  <c r="F34" i="136"/>
  <c r="G34" i="136"/>
  <c r="H34" i="136"/>
  <c r="I34" i="136"/>
  <c r="J34" i="136"/>
  <c r="K34" i="136"/>
  <c r="L34" i="136"/>
  <c r="F35" i="136"/>
  <c r="G35" i="136"/>
  <c r="H35" i="136"/>
  <c r="I35" i="136"/>
  <c r="J35" i="136"/>
  <c r="K35" i="136"/>
  <c r="L35" i="136"/>
  <c r="F36" i="136"/>
  <c r="G36" i="136"/>
  <c r="H36" i="136"/>
  <c r="F37" i="136"/>
  <c r="G37" i="136"/>
  <c r="F38" i="136"/>
  <c r="G38" i="136"/>
  <c r="H38" i="136"/>
  <c r="I38" i="136"/>
  <c r="J38" i="136"/>
  <c r="K38" i="136"/>
  <c r="L38" i="136"/>
  <c r="F39" i="136"/>
  <c r="G39" i="136"/>
  <c r="H39" i="136"/>
  <c r="C41" i="136"/>
  <c r="D43" i="136"/>
  <c r="C50" i="136"/>
  <c r="C55" i="136"/>
  <c r="D57" i="136"/>
  <c r="D61" i="136"/>
  <c r="D62" i="136"/>
  <c r="F62" i="136"/>
  <c r="D63" i="136"/>
  <c r="D64" i="136"/>
  <c r="B9" i="134"/>
  <c r="F9" i="134"/>
  <c r="G9" i="134"/>
  <c r="H9" i="134"/>
  <c r="I9" i="134"/>
  <c r="J9" i="134"/>
  <c r="K9" i="134"/>
  <c r="F11" i="134"/>
  <c r="G11" i="134"/>
  <c r="H11" i="134"/>
  <c r="F13" i="134"/>
  <c r="H13" i="134"/>
  <c r="J13" i="134"/>
  <c r="B15" i="134"/>
  <c r="F16" i="134"/>
  <c r="G16" i="134"/>
  <c r="F18" i="134"/>
  <c r="G18" i="134"/>
  <c r="H18" i="134"/>
  <c r="F20" i="134"/>
  <c r="G20" i="134"/>
  <c r="H20" i="134"/>
  <c r="F22" i="134"/>
  <c r="G22" i="134"/>
  <c r="H22" i="134"/>
  <c r="F24" i="134"/>
  <c r="G24" i="134"/>
  <c r="F26" i="134"/>
  <c r="G26" i="134"/>
  <c r="F28" i="134"/>
  <c r="G28" i="134"/>
  <c r="H28" i="134"/>
  <c r="C30" i="134"/>
  <c r="F33" i="134"/>
  <c r="G33" i="134"/>
  <c r="H33" i="134"/>
  <c r="I33" i="134"/>
  <c r="J33" i="134"/>
  <c r="F34" i="134"/>
  <c r="G34" i="134"/>
  <c r="H34" i="134"/>
  <c r="I34" i="134"/>
  <c r="J34" i="134"/>
  <c r="K34" i="134"/>
  <c r="L34" i="134"/>
  <c r="F35" i="134"/>
  <c r="G35" i="134"/>
  <c r="H35" i="134"/>
  <c r="I35" i="134"/>
  <c r="J35" i="134"/>
  <c r="K35" i="134"/>
  <c r="L35" i="134"/>
  <c r="F36" i="134"/>
  <c r="G36" i="134"/>
  <c r="H36" i="134"/>
  <c r="F37" i="134"/>
  <c r="G37" i="134"/>
  <c r="F38" i="134"/>
  <c r="G38" i="134"/>
  <c r="H38" i="134"/>
  <c r="I38" i="134"/>
  <c r="J38" i="134"/>
  <c r="K38" i="134"/>
  <c r="L38" i="134"/>
  <c r="F39" i="134"/>
  <c r="G39" i="134"/>
  <c r="C41" i="134"/>
  <c r="D43" i="134"/>
  <c r="C50" i="134"/>
  <c r="C55" i="134"/>
  <c r="D57" i="134"/>
  <c r="D61" i="134"/>
  <c r="F62" i="134"/>
  <c r="D63" i="134"/>
  <c r="D64" i="134"/>
  <c r="B9" i="133"/>
  <c r="F9" i="133"/>
  <c r="G9" i="133"/>
  <c r="H9" i="133"/>
  <c r="I9" i="133"/>
  <c r="J9" i="133"/>
  <c r="K9" i="133"/>
  <c r="F11" i="133"/>
  <c r="G11" i="133"/>
  <c r="H11" i="133"/>
  <c r="F13" i="133"/>
  <c r="H13" i="133"/>
  <c r="J13" i="133"/>
  <c r="B15" i="133"/>
  <c r="F16" i="133"/>
  <c r="G16" i="133"/>
  <c r="F18" i="133"/>
  <c r="G18" i="133"/>
  <c r="H18" i="133"/>
  <c r="F20" i="133"/>
  <c r="G20" i="133"/>
  <c r="H20" i="133"/>
  <c r="F22" i="133"/>
  <c r="G22" i="133"/>
  <c r="H22" i="133"/>
  <c r="F24" i="133"/>
  <c r="G24" i="133"/>
  <c r="F26" i="133"/>
  <c r="G26" i="133"/>
  <c r="F28" i="133"/>
  <c r="G28" i="133"/>
  <c r="H28" i="133"/>
  <c r="C30" i="133"/>
  <c r="F33" i="133"/>
  <c r="G33" i="133"/>
  <c r="H33" i="133"/>
  <c r="I33" i="133"/>
  <c r="J33" i="133"/>
  <c r="F34" i="133"/>
  <c r="G34" i="133"/>
  <c r="H34" i="133"/>
  <c r="I34" i="133"/>
  <c r="J34" i="133"/>
  <c r="K34" i="133"/>
  <c r="L34" i="133"/>
  <c r="F35" i="133"/>
  <c r="G35" i="133"/>
  <c r="H35" i="133"/>
  <c r="I35" i="133"/>
  <c r="J35" i="133"/>
  <c r="K35" i="133"/>
  <c r="L35" i="133"/>
  <c r="F36" i="133"/>
  <c r="G36" i="133"/>
  <c r="H36" i="133"/>
  <c r="F37" i="133"/>
  <c r="G37" i="133"/>
  <c r="F38" i="133"/>
  <c r="G38" i="133"/>
  <c r="H38" i="133"/>
  <c r="I38" i="133"/>
  <c r="J38" i="133"/>
  <c r="K38" i="133"/>
  <c r="L38" i="133"/>
  <c r="F39" i="133"/>
  <c r="G39" i="133"/>
  <c r="C41" i="133"/>
  <c r="D43" i="133"/>
  <c r="C50" i="133"/>
  <c r="C55" i="133"/>
  <c r="D57" i="133"/>
  <c r="D61" i="133"/>
  <c r="D62" i="133"/>
  <c r="F62" i="133"/>
  <c r="D63" i="133"/>
  <c r="D64" i="133"/>
  <c r="B9" i="131"/>
  <c r="F9" i="131"/>
  <c r="G9" i="131"/>
  <c r="H9" i="131"/>
  <c r="I9" i="131"/>
  <c r="J9" i="131"/>
  <c r="K9" i="131"/>
  <c r="F11" i="131"/>
  <c r="G11" i="131"/>
  <c r="H11" i="131"/>
  <c r="F13" i="131"/>
  <c r="H13" i="131"/>
  <c r="J13" i="131"/>
  <c r="B15" i="131"/>
  <c r="F16" i="131"/>
  <c r="G16" i="131"/>
  <c r="F18" i="131"/>
  <c r="G18" i="131"/>
  <c r="H18" i="131"/>
  <c r="F20" i="131"/>
  <c r="G20" i="131"/>
  <c r="H20" i="131"/>
  <c r="F22" i="131"/>
  <c r="G22" i="131"/>
  <c r="H22" i="131"/>
  <c r="F24" i="131"/>
  <c r="G24" i="131"/>
  <c r="F26" i="131"/>
  <c r="G26" i="131"/>
  <c r="F28" i="131"/>
  <c r="G28" i="131"/>
  <c r="H28" i="131"/>
  <c r="C30" i="131"/>
  <c r="B33" i="131"/>
  <c r="B34" i="131"/>
  <c r="B35" i="131"/>
  <c r="B36" i="131"/>
  <c r="B37" i="131"/>
  <c r="C41" i="131"/>
  <c r="D43" i="131"/>
  <c r="C50" i="131"/>
  <c r="C55" i="131"/>
  <c r="D57" i="131"/>
  <c r="D61" i="131"/>
  <c r="F62" i="131"/>
  <c r="D63" i="131"/>
  <c r="D64" i="131"/>
  <c r="B9" i="130"/>
  <c r="F9" i="130"/>
  <c r="G9" i="130"/>
  <c r="H9" i="130"/>
  <c r="I9" i="130"/>
  <c r="J9" i="130"/>
  <c r="K9" i="130"/>
  <c r="F11" i="130"/>
  <c r="G11" i="130"/>
  <c r="H11" i="130"/>
  <c r="B15" i="130"/>
  <c r="F16" i="130"/>
  <c r="G16" i="130"/>
  <c r="F18" i="130"/>
  <c r="G18" i="130"/>
  <c r="H18" i="130"/>
  <c r="F20" i="130"/>
  <c r="G20" i="130"/>
  <c r="H20" i="130"/>
  <c r="F22" i="130"/>
  <c r="G22" i="130"/>
  <c r="H22" i="130"/>
  <c r="F24" i="130"/>
  <c r="G24" i="130"/>
  <c r="F26" i="130"/>
  <c r="G26" i="130"/>
  <c r="F28" i="130"/>
  <c r="G28" i="130"/>
  <c r="H28" i="130"/>
  <c r="C30" i="130"/>
  <c r="B33" i="130"/>
  <c r="B34" i="130"/>
  <c r="B35" i="130"/>
  <c r="B36" i="130"/>
  <c r="B37" i="130"/>
  <c r="C41" i="130"/>
  <c r="D43" i="130"/>
  <c r="C50" i="130"/>
  <c r="C55" i="130"/>
  <c r="D57" i="130"/>
  <c r="D61" i="130"/>
  <c r="F62" i="130"/>
  <c r="D63" i="130"/>
  <c r="D64" i="130"/>
  <c r="B9" i="129"/>
  <c r="F9" i="129"/>
  <c r="G9" i="129"/>
  <c r="H9" i="129"/>
  <c r="I9" i="129"/>
  <c r="J9" i="129"/>
  <c r="K9" i="129"/>
  <c r="F11" i="129"/>
  <c r="G11" i="129"/>
  <c r="H11" i="129"/>
  <c r="B15" i="129"/>
  <c r="F16" i="129"/>
  <c r="G16" i="129"/>
  <c r="F18" i="129"/>
  <c r="G18" i="129"/>
  <c r="H18" i="129"/>
  <c r="F20" i="129"/>
  <c r="G20" i="129"/>
  <c r="H20" i="129"/>
  <c r="F22" i="129"/>
  <c r="G22" i="129"/>
  <c r="H22" i="129"/>
  <c r="F24" i="129"/>
  <c r="G24" i="129"/>
  <c r="F26" i="129"/>
  <c r="G26" i="129"/>
  <c r="F28" i="129"/>
  <c r="G28" i="129"/>
  <c r="H28" i="129"/>
  <c r="C30" i="129"/>
  <c r="B33" i="129"/>
  <c r="B34" i="129"/>
  <c r="B35" i="129"/>
  <c r="B36" i="129"/>
  <c r="B37" i="129"/>
  <c r="C41" i="129"/>
  <c r="D43" i="129"/>
  <c r="C50" i="129"/>
  <c r="C55" i="129"/>
  <c r="D57" i="129"/>
  <c r="D61" i="129"/>
  <c r="D62" i="129"/>
  <c r="F62" i="129"/>
  <c r="D63" i="129"/>
  <c r="D64" i="129"/>
  <c r="B9" i="128"/>
  <c r="F9" i="128"/>
  <c r="G9" i="128"/>
  <c r="H9" i="128"/>
  <c r="I9" i="128"/>
  <c r="J9" i="128"/>
  <c r="K9" i="128"/>
  <c r="F11" i="128"/>
  <c r="G11" i="128"/>
  <c r="H11" i="128"/>
  <c r="B15" i="128"/>
  <c r="F16" i="128"/>
  <c r="G16" i="128"/>
  <c r="F18" i="128"/>
  <c r="G18" i="128"/>
  <c r="H18" i="128"/>
  <c r="F20" i="128"/>
  <c r="G20" i="128"/>
  <c r="H20" i="128"/>
  <c r="F22" i="128"/>
  <c r="G22" i="128"/>
  <c r="H22" i="128"/>
  <c r="F24" i="128"/>
  <c r="G24" i="128"/>
  <c r="F26" i="128"/>
  <c r="G26" i="128"/>
  <c r="F28" i="128"/>
  <c r="G28" i="128"/>
  <c r="H28" i="128"/>
  <c r="C30" i="128"/>
  <c r="B33" i="128"/>
  <c r="B34" i="128"/>
  <c r="B35" i="128"/>
  <c r="B36" i="128"/>
  <c r="B37" i="128"/>
  <c r="C41" i="128"/>
  <c r="D43" i="128"/>
  <c r="C50" i="128"/>
  <c r="C55" i="128"/>
  <c r="D57" i="128"/>
  <c r="D61" i="128"/>
  <c r="D62" i="128"/>
  <c r="F62" i="128"/>
  <c r="D63" i="128"/>
  <c r="D64" i="128"/>
  <c r="B9" i="127"/>
  <c r="F9" i="127"/>
  <c r="G9" i="127"/>
  <c r="H9" i="127"/>
  <c r="I9" i="127"/>
  <c r="J9" i="127"/>
  <c r="K9" i="127"/>
  <c r="F11" i="127"/>
  <c r="G11" i="127"/>
  <c r="H11" i="127"/>
  <c r="B15" i="127"/>
  <c r="F16" i="127"/>
  <c r="G16" i="127"/>
  <c r="F18" i="127"/>
  <c r="G18" i="127"/>
  <c r="H18" i="127"/>
  <c r="F20" i="127"/>
  <c r="G20" i="127"/>
  <c r="H20" i="127"/>
  <c r="F22" i="127"/>
  <c r="G22" i="127"/>
  <c r="H22" i="127"/>
  <c r="F24" i="127"/>
  <c r="G24" i="127"/>
  <c r="F26" i="127"/>
  <c r="G26" i="127"/>
  <c r="F28" i="127"/>
  <c r="G28" i="127"/>
  <c r="H28" i="127"/>
  <c r="C30" i="127"/>
  <c r="C41" i="127"/>
  <c r="D43" i="127"/>
  <c r="C50" i="127"/>
  <c r="C55" i="127"/>
  <c r="D57" i="127"/>
  <c r="D61" i="127"/>
  <c r="D62" i="127"/>
  <c r="F62" i="127"/>
  <c r="D63" i="127"/>
  <c r="D64" i="127"/>
  <c r="B9" i="126"/>
  <c r="B10" i="126"/>
  <c r="B11" i="126"/>
  <c r="B15" i="126"/>
  <c r="B16" i="126"/>
  <c r="B17" i="126"/>
  <c r="B18" i="126"/>
  <c r="B19" i="126"/>
  <c r="B20" i="126"/>
  <c r="B21" i="126"/>
  <c r="B23" i="126"/>
  <c r="C30" i="126"/>
  <c r="B33" i="126"/>
  <c r="B34" i="126"/>
  <c r="B35" i="126"/>
  <c r="B36" i="126"/>
  <c r="B37" i="126"/>
  <c r="C41" i="126"/>
  <c r="D43" i="126"/>
  <c r="C50" i="126"/>
  <c r="C55" i="126"/>
  <c r="D57" i="126"/>
  <c r="D61" i="126"/>
  <c r="D62" i="126"/>
  <c r="F62" i="126"/>
  <c r="D63" i="126"/>
  <c r="D64" i="126"/>
  <c r="B9" i="125"/>
  <c r="B10" i="125"/>
  <c r="B11" i="125"/>
  <c r="B15" i="125"/>
  <c r="B16" i="125"/>
  <c r="B17" i="125"/>
  <c r="B18" i="125"/>
  <c r="B19" i="125"/>
  <c r="B20" i="125"/>
  <c r="B21" i="125"/>
  <c r="B23" i="125"/>
  <c r="C30" i="125"/>
  <c r="B33" i="125"/>
  <c r="B34" i="125"/>
  <c r="B35" i="125"/>
  <c r="B37" i="125"/>
  <c r="C41" i="125"/>
  <c r="D43" i="125"/>
  <c r="C50" i="125"/>
  <c r="C55" i="125"/>
  <c r="D57" i="125"/>
  <c r="D61" i="125"/>
  <c r="D62" i="125"/>
  <c r="F62" i="125"/>
  <c r="D63" i="125"/>
  <c r="D64" i="125"/>
  <c r="B9" i="124"/>
  <c r="B10" i="124"/>
  <c r="B11" i="124"/>
  <c r="B15" i="124"/>
  <c r="B16" i="124"/>
  <c r="B17" i="124"/>
  <c r="B18" i="124"/>
  <c r="B19" i="124"/>
  <c r="B20" i="124"/>
  <c r="B21" i="124"/>
  <c r="B23" i="124"/>
  <c r="C30" i="124"/>
  <c r="B33" i="124"/>
  <c r="B34" i="124"/>
  <c r="B35" i="124"/>
  <c r="B37" i="124"/>
  <c r="C41" i="124"/>
  <c r="D43" i="124"/>
  <c r="C50" i="124"/>
  <c r="C55" i="124"/>
  <c r="D57" i="124"/>
  <c r="D61" i="124"/>
  <c r="D62" i="124"/>
  <c r="F62" i="124"/>
  <c r="D63" i="124"/>
  <c r="D64" i="124"/>
  <c r="B9" i="123"/>
  <c r="B10" i="123"/>
  <c r="B11" i="123"/>
  <c r="B15" i="123"/>
  <c r="B16" i="123"/>
  <c r="B17" i="123"/>
  <c r="B18" i="123"/>
  <c r="B19" i="123"/>
  <c r="B20" i="123"/>
  <c r="B21" i="123"/>
  <c r="B23" i="123"/>
  <c r="C30" i="123"/>
  <c r="B33" i="123"/>
  <c r="B34" i="123"/>
  <c r="B35" i="123"/>
  <c r="B37" i="123"/>
  <c r="C41" i="123"/>
  <c r="D43" i="123"/>
  <c r="C50" i="123"/>
  <c r="C55" i="123"/>
  <c r="D57" i="123"/>
  <c r="D61" i="123"/>
  <c r="D62" i="123"/>
  <c r="F62" i="123"/>
  <c r="D63" i="123"/>
  <c r="D64" i="123"/>
  <c r="B9" i="122"/>
  <c r="B10" i="122"/>
  <c r="B11" i="122"/>
  <c r="B15" i="122"/>
  <c r="B16" i="122"/>
  <c r="B17" i="122"/>
  <c r="B18" i="122"/>
  <c r="B19" i="122"/>
  <c r="B20" i="122"/>
  <c r="B21" i="122"/>
  <c r="B23" i="122"/>
  <c r="C30" i="122"/>
  <c r="B33" i="122"/>
  <c r="B34" i="122"/>
  <c r="B35" i="122"/>
  <c r="B37" i="122"/>
  <c r="C41" i="122"/>
  <c r="D43" i="122"/>
  <c r="C50" i="122"/>
  <c r="C55" i="122"/>
  <c r="D57" i="122"/>
  <c r="D61" i="122"/>
  <c r="D62" i="122"/>
  <c r="F62" i="122"/>
  <c r="D63" i="122"/>
  <c r="D64" i="122"/>
  <c r="B9" i="121"/>
  <c r="B10" i="121"/>
  <c r="B11" i="121"/>
  <c r="B15" i="121"/>
  <c r="B16" i="121"/>
  <c r="B17" i="121"/>
  <c r="B18" i="121"/>
  <c r="B19" i="121"/>
  <c r="B20" i="121"/>
  <c r="B21" i="121"/>
  <c r="B23" i="121"/>
  <c r="C30" i="121"/>
  <c r="B33" i="121"/>
  <c r="B34" i="121"/>
  <c r="B35" i="121"/>
  <c r="B37" i="121"/>
  <c r="C41" i="121"/>
  <c r="D43" i="121"/>
  <c r="C50" i="121"/>
  <c r="C55" i="121"/>
  <c r="D57" i="121"/>
  <c r="D61" i="121"/>
  <c r="D62" i="121"/>
  <c r="F62" i="121"/>
  <c r="D63" i="121"/>
  <c r="D64" i="121"/>
  <c r="B9" i="120"/>
  <c r="B10" i="120"/>
  <c r="B11" i="120"/>
  <c r="B15" i="120"/>
  <c r="B16" i="120"/>
  <c r="B17" i="120"/>
  <c r="B18" i="120"/>
  <c r="B19" i="120"/>
  <c r="B20" i="120"/>
  <c r="B21" i="120"/>
  <c r="B23" i="120"/>
  <c r="C30" i="120"/>
  <c r="B33" i="120"/>
  <c r="B34" i="120"/>
  <c r="B35" i="120"/>
  <c r="B37" i="120"/>
  <c r="C41" i="120"/>
  <c r="D43" i="120"/>
  <c r="C50" i="120"/>
  <c r="C55" i="120"/>
  <c r="D57" i="120"/>
  <c r="D61" i="120"/>
  <c r="D62" i="120"/>
  <c r="F62" i="120"/>
  <c r="D63" i="120"/>
  <c r="D64" i="120"/>
  <c r="B9" i="119"/>
  <c r="B10" i="119"/>
  <c r="B11" i="119"/>
  <c r="B15" i="119"/>
  <c r="B16" i="119"/>
  <c r="B17" i="119"/>
  <c r="B18" i="119"/>
  <c r="B19" i="119"/>
  <c r="B20" i="119"/>
  <c r="B21" i="119"/>
  <c r="B23" i="119"/>
  <c r="C30" i="119"/>
  <c r="B33" i="119"/>
  <c r="B34" i="119"/>
  <c r="B35" i="119"/>
  <c r="B37" i="119"/>
  <c r="C41" i="119"/>
  <c r="D43" i="119"/>
  <c r="C50" i="119"/>
  <c r="C55" i="119"/>
  <c r="D57" i="119"/>
  <c r="D61" i="119"/>
  <c r="D62" i="119"/>
  <c r="D63" i="119"/>
  <c r="D64" i="119"/>
  <c r="B9" i="118"/>
  <c r="B10" i="118"/>
  <c r="B11" i="118"/>
  <c r="B15" i="118"/>
  <c r="B16" i="118"/>
  <c r="B17" i="118"/>
  <c r="B18" i="118"/>
  <c r="B19" i="118"/>
  <c r="B20" i="118"/>
  <c r="B21" i="118"/>
  <c r="B23" i="118"/>
  <c r="C30" i="118"/>
  <c r="B33" i="118"/>
  <c r="B34" i="118"/>
  <c r="B35" i="118"/>
  <c r="B37" i="118"/>
  <c r="C41" i="118"/>
  <c r="D43" i="118"/>
  <c r="C50" i="118"/>
  <c r="C55" i="118"/>
  <c r="D57" i="118"/>
  <c r="D61" i="118"/>
  <c r="D62" i="118"/>
  <c r="D63" i="118"/>
  <c r="D64" i="118"/>
  <c r="B9" i="117"/>
  <c r="B10" i="117"/>
  <c r="B11" i="117"/>
  <c r="B15" i="117"/>
  <c r="B16" i="117"/>
  <c r="B17" i="117"/>
  <c r="B18" i="117"/>
  <c r="B19" i="117"/>
  <c r="B20" i="117"/>
  <c r="B21" i="117"/>
  <c r="B23" i="117"/>
  <c r="C30" i="117"/>
  <c r="B33" i="117"/>
  <c r="B34" i="117"/>
  <c r="B35" i="117"/>
  <c r="B37" i="117"/>
  <c r="C41" i="117"/>
  <c r="D43" i="117"/>
  <c r="C50" i="117"/>
  <c r="C55" i="117"/>
  <c r="D57" i="117"/>
  <c r="D61" i="117"/>
  <c r="D62" i="117"/>
  <c r="D63" i="117"/>
  <c r="D64" i="117"/>
  <c r="B9" i="116"/>
  <c r="B10" i="116"/>
  <c r="B11" i="116"/>
  <c r="B15" i="116"/>
  <c r="B16" i="116"/>
  <c r="B17" i="116"/>
  <c r="B18" i="116"/>
  <c r="B19" i="116"/>
  <c r="B20" i="116"/>
  <c r="B21" i="116"/>
  <c r="B23" i="116"/>
  <c r="C30" i="116"/>
  <c r="B33" i="116"/>
  <c r="B34" i="116"/>
  <c r="B35" i="116"/>
  <c r="B37" i="116"/>
  <c r="C41" i="116"/>
  <c r="D43" i="116"/>
  <c r="C50" i="116"/>
  <c r="C55" i="116"/>
  <c r="D57" i="116"/>
  <c r="D61" i="116"/>
  <c r="D62" i="116"/>
  <c r="D63" i="116"/>
  <c r="D64" i="116"/>
  <c r="B9" i="114"/>
  <c r="B10" i="114"/>
  <c r="B11" i="114"/>
  <c r="B15" i="114"/>
  <c r="B16" i="114"/>
  <c r="B17" i="114"/>
  <c r="B18" i="114"/>
  <c r="B19" i="114"/>
  <c r="B20" i="114"/>
  <c r="B21" i="114"/>
  <c r="B23" i="114"/>
  <c r="C30" i="114"/>
  <c r="B33" i="114"/>
  <c r="B34" i="114"/>
  <c r="B35" i="114"/>
  <c r="B37" i="114"/>
  <c r="C41" i="114"/>
  <c r="D43" i="114"/>
  <c r="C50" i="114"/>
  <c r="C55" i="114"/>
  <c r="D57" i="114"/>
  <c r="D61" i="114"/>
  <c r="D62" i="114"/>
  <c r="D63" i="114"/>
  <c r="D64" i="114"/>
  <c r="B9" i="113"/>
  <c r="B10" i="113"/>
  <c r="B11" i="113"/>
  <c r="B15" i="113"/>
  <c r="B16" i="113"/>
  <c r="B17" i="113"/>
  <c r="B18" i="113"/>
  <c r="B19" i="113"/>
  <c r="B20" i="113"/>
  <c r="B22" i="113"/>
  <c r="C29" i="113"/>
  <c r="B32" i="113"/>
  <c r="B33" i="113"/>
  <c r="B34" i="113"/>
  <c r="B36" i="113"/>
  <c r="C40" i="113"/>
  <c r="D42" i="113"/>
  <c r="C49" i="113"/>
  <c r="C54" i="113"/>
  <c r="D56" i="113"/>
  <c r="D60" i="113"/>
  <c r="D61" i="113"/>
  <c r="D62" i="113"/>
  <c r="D63" i="113"/>
  <c r="B9" i="112"/>
  <c r="B10" i="112"/>
  <c r="B11" i="112"/>
  <c r="B15" i="112"/>
  <c r="B16" i="112"/>
  <c r="B17" i="112"/>
  <c r="B18" i="112"/>
  <c r="B19" i="112"/>
  <c r="B20" i="112"/>
  <c r="B22" i="112"/>
  <c r="C29" i="112"/>
  <c r="B32" i="112"/>
  <c r="B33" i="112"/>
  <c r="B34" i="112"/>
  <c r="B36" i="112"/>
  <c r="C40" i="112"/>
  <c r="D42" i="112"/>
  <c r="C49" i="112"/>
  <c r="C54" i="112"/>
  <c r="D56" i="112"/>
  <c r="D60" i="112"/>
  <c r="D61" i="112"/>
  <c r="D62" i="112"/>
  <c r="D63" i="112"/>
  <c r="B9" i="111"/>
  <c r="B10" i="111"/>
  <c r="B11" i="111"/>
  <c r="B15" i="111"/>
  <c r="B16" i="111"/>
  <c r="B17" i="111"/>
  <c r="B18" i="111"/>
  <c r="B19" i="111"/>
  <c r="B20" i="111"/>
  <c r="B22" i="111"/>
  <c r="C29" i="111"/>
  <c r="B32" i="111"/>
  <c r="B33" i="111"/>
  <c r="B34" i="111"/>
  <c r="B36" i="111"/>
  <c r="C40" i="111"/>
  <c r="D42" i="111"/>
  <c r="C49" i="111"/>
  <c r="C54" i="111"/>
  <c r="D56" i="111"/>
  <c r="D60" i="111"/>
  <c r="D61" i="111"/>
  <c r="D62" i="111"/>
  <c r="D63" i="111"/>
  <c r="B9" i="110"/>
  <c r="B10" i="110"/>
  <c r="B11" i="110"/>
  <c r="B15" i="110"/>
  <c r="B16" i="110"/>
  <c r="B17" i="110"/>
  <c r="B18" i="110"/>
  <c r="B19" i="110"/>
  <c r="B20" i="110"/>
  <c r="B22" i="110"/>
  <c r="C29" i="110"/>
  <c r="B32" i="110"/>
  <c r="B33" i="110"/>
  <c r="B34" i="110"/>
  <c r="B36" i="110"/>
  <c r="C40" i="110"/>
  <c r="D42" i="110"/>
  <c r="C49" i="110"/>
  <c r="C54" i="110"/>
  <c r="D56" i="110"/>
  <c r="D60" i="110"/>
  <c r="D61" i="110"/>
  <c r="D62" i="110"/>
  <c r="D63" i="110"/>
  <c r="B9" i="109"/>
  <c r="B10" i="109"/>
  <c r="B11" i="109"/>
  <c r="B15" i="109"/>
  <c r="B16" i="109"/>
  <c r="B17" i="109"/>
  <c r="B18" i="109"/>
  <c r="B19" i="109"/>
  <c r="B20" i="109"/>
  <c r="B22" i="109"/>
  <c r="C29" i="109"/>
  <c r="B32" i="109"/>
  <c r="B33" i="109"/>
  <c r="B34" i="109"/>
  <c r="B36" i="109"/>
  <c r="C40" i="109"/>
  <c r="D42" i="109"/>
  <c r="C49" i="109"/>
  <c r="C54" i="109"/>
  <c r="D56" i="109"/>
  <c r="D60" i="109"/>
  <c r="D61" i="109"/>
  <c r="D62" i="109"/>
  <c r="D63" i="109"/>
  <c r="B9" i="108"/>
  <c r="B10" i="108"/>
  <c r="B11" i="108"/>
  <c r="B15" i="108"/>
  <c r="B16" i="108"/>
  <c r="B17" i="108"/>
  <c r="B18" i="108"/>
  <c r="B19" i="108"/>
  <c r="B20" i="108"/>
  <c r="B22" i="108"/>
  <c r="C28" i="108"/>
  <c r="B31" i="108"/>
  <c r="B32" i="108"/>
  <c r="B33" i="108"/>
  <c r="B35" i="108"/>
  <c r="C39" i="108"/>
  <c r="D41" i="108"/>
  <c r="C48" i="108"/>
  <c r="C53" i="108"/>
  <c r="D55" i="108"/>
  <c r="D59" i="108"/>
  <c r="D60" i="108"/>
  <c r="D61" i="108"/>
  <c r="D62" i="108"/>
  <c r="B9" i="107"/>
  <c r="B10" i="107"/>
  <c r="B11" i="107"/>
  <c r="B15" i="107"/>
  <c r="B16" i="107"/>
  <c r="B17" i="107"/>
  <c r="B18" i="107"/>
  <c r="B19" i="107"/>
  <c r="B20" i="107"/>
  <c r="B22" i="107"/>
  <c r="C28" i="107"/>
  <c r="B31" i="107"/>
  <c r="B32" i="107"/>
  <c r="B33" i="107"/>
  <c r="B35" i="107"/>
  <c r="C39" i="107"/>
  <c r="D41" i="107"/>
  <c r="C48" i="107"/>
  <c r="C53" i="107"/>
  <c r="D55" i="107"/>
  <c r="D59" i="107"/>
  <c r="D60" i="107"/>
  <c r="D61" i="107"/>
  <c r="D62" i="107"/>
  <c r="B9" i="106"/>
  <c r="B10" i="106"/>
  <c r="B11" i="106"/>
  <c r="B15" i="106"/>
  <c r="B16" i="106"/>
  <c r="B17" i="106"/>
  <c r="B18" i="106"/>
  <c r="B19" i="106"/>
  <c r="B20" i="106"/>
  <c r="B22" i="106"/>
  <c r="C28" i="106"/>
  <c r="B35" i="106"/>
  <c r="C39" i="106"/>
  <c r="D41" i="106"/>
  <c r="C48" i="106"/>
  <c r="C53" i="106"/>
  <c r="D55" i="106"/>
  <c r="D59" i="106"/>
  <c r="D60" i="106"/>
  <c r="D61" i="106"/>
  <c r="D62" i="106"/>
  <c r="B9" i="105"/>
  <c r="B10" i="105"/>
  <c r="B11" i="105"/>
  <c r="B15" i="105"/>
  <c r="B16" i="105"/>
  <c r="B17" i="105"/>
  <c r="B18" i="105"/>
  <c r="B19" i="105"/>
  <c r="B20" i="105"/>
  <c r="B22" i="105"/>
  <c r="C28" i="105"/>
  <c r="B35" i="105"/>
  <c r="C39" i="105"/>
  <c r="D41" i="105"/>
  <c r="C48" i="105"/>
  <c r="C53" i="105"/>
  <c r="D55" i="105"/>
  <c r="D59" i="105"/>
  <c r="D60" i="105"/>
  <c r="D61" i="105"/>
  <c r="D62" i="105"/>
  <c r="B9" i="104"/>
  <c r="B10" i="104"/>
  <c r="B11" i="104"/>
  <c r="B15" i="104"/>
  <c r="B16" i="104"/>
  <c r="B17" i="104"/>
  <c r="B18" i="104"/>
  <c r="B19" i="104"/>
  <c r="B20" i="104"/>
  <c r="B22" i="104"/>
  <c r="C28" i="104"/>
  <c r="B35" i="104"/>
  <c r="C39" i="104"/>
  <c r="D41" i="104"/>
  <c r="C48" i="104"/>
  <c r="C53" i="104"/>
  <c r="D55" i="104"/>
  <c r="D59" i="104"/>
  <c r="D60" i="104"/>
  <c r="D61" i="104"/>
  <c r="D62" i="104"/>
  <c r="B9" i="103"/>
  <c r="B10" i="103"/>
  <c r="B11" i="103"/>
  <c r="B15" i="103"/>
  <c r="B16" i="103"/>
  <c r="B17" i="103"/>
  <c r="B18" i="103"/>
  <c r="B19" i="103"/>
  <c r="B20" i="103"/>
  <c r="B22" i="103"/>
  <c r="C28" i="103"/>
  <c r="B35" i="103"/>
  <c r="C39" i="103"/>
  <c r="D41" i="103"/>
  <c r="C48" i="103"/>
  <c r="C53" i="103"/>
  <c r="D55" i="103"/>
  <c r="D59" i="103"/>
  <c r="D60" i="103"/>
  <c r="D61" i="103"/>
  <c r="D62" i="103"/>
  <c r="B9" i="102"/>
  <c r="B10" i="102"/>
  <c r="B11" i="102"/>
  <c r="B15" i="102"/>
  <c r="B16" i="102"/>
  <c r="B17" i="102"/>
  <c r="B18" i="102"/>
  <c r="B19" i="102"/>
  <c r="B20" i="102"/>
  <c r="B22" i="102"/>
  <c r="C28" i="102"/>
  <c r="B35" i="102"/>
  <c r="C39" i="102"/>
  <c r="D41" i="102"/>
  <c r="C48" i="102"/>
  <c r="C53" i="102"/>
  <c r="D55" i="102"/>
  <c r="D59" i="102"/>
  <c r="D60" i="102"/>
  <c r="D61" i="102"/>
  <c r="D62" i="102"/>
  <c r="B9" i="101"/>
  <c r="B10" i="101"/>
  <c r="B11" i="101"/>
  <c r="B15" i="101"/>
  <c r="B16" i="101"/>
  <c r="B17" i="101"/>
  <c r="B18" i="101"/>
  <c r="B19" i="101"/>
  <c r="B20" i="101"/>
  <c r="B22" i="101"/>
  <c r="C28" i="101"/>
  <c r="B35" i="101"/>
  <c r="C39" i="101"/>
  <c r="D41" i="101"/>
  <c r="C48" i="101"/>
  <c r="C53" i="101"/>
  <c r="D55" i="101"/>
  <c r="D59" i="101"/>
  <c r="D60" i="101"/>
  <c r="D61" i="101"/>
  <c r="D62" i="101"/>
  <c r="B9" i="89"/>
  <c r="B10" i="89"/>
  <c r="B11" i="89"/>
  <c r="B15" i="89"/>
  <c r="B16" i="89"/>
  <c r="B17" i="89"/>
  <c r="B18" i="89"/>
  <c r="B19" i="89"/>
  <c r="B20" i="89"/>
  <c r="B22" i="89"/>
  <c r="C28" i="89"/>
  <c r="B31" i="89"/>
  <c r="B32" i="89"/>
  <c r="B33" i="89"/>
  <c r="B35" i="89"/>
  <c r="C39" i="89"/>
  <c r="D41" i="89"/>
  <c r="C48" i="89"/>
  <c r="C53" i="89"/>
  <c r="D55" i="89"/>
  <c r="D59" i="89"/>
  <c r="D60" i="89"/>
  <c r="D61" i="89"/>
  <c r="D62" i="89"/>
  <c r="B9" i="77"/>
  <c r="B10" i="77"/>
  <c r="B11" i="77"/>
  <c r="B15" i="77"/>
  <c r="B16" i="77"/>
  <c r="B17" i="77"/>
  <c r="B18" i="77"/>
  <c r="B19" i="77"/>
  <c r="B20" i="77"/>
  <c r="C26" i="77"/>
  <c r="B29" i="77"/>
  <c r="B30" i="77"/>
  <c r="B31" i="77"/>
  <c r="B33" i="77"/>
  <c r="C37" i="77"/>
  <c r="D39" i="77"/>
  <c r="C46" i="77"/>
  <c r="B49" i="77"/>
  <c r="C51" i="77"/>
  <c r="D53" i="77"/>
  <c r="D57" i="77"/>
  <c r="D58" i="77"/>
  <c r="D59" i="77"/>
  <c r="D60" i="77"/>
  <c r="B9" i="65"/>
  <c r="B10" i="65"/>
  <c r="B11" i="65"/>
  <c r="B15" i="65"/>
  <c r="B16" i="65"/>
  <c r="B17" i="65"/>
  <c r="B18" i="65"/>
  <c r="B19" i="65"/>
  <c r="B20" i="65"/>
  <c r="C25" i="65"/>
  <c r="B28" i="65"/>
  <c r="B29" i="65"/>
  <c r="B30" i="65"/>
  <c r="B32" i="65"/>
  <c r="B35" i="65"/>
  <c r="C36" i="65"/>
  <c r="D38" i="65"/>
  <c r="C45" i="65"/>
  <c r="B48" i="65"/>
  <c r="C50" i="65"/>
  <c r="D52" i="65"/>
  <c r="D56" i="65"/>
  <c r="D57" i="65"/>
  <c r="D58" i="65"/>
  <c r="D59" i="65"/>
  <c r="B9" i="53"/>
  <c r="B10" i="53"/>
  <c r="B11" i="53"/>
  <c r="B15" i="53"/>
  <c r="B16" i="53"/>
  <c r="B17" i="53"/>
  <c r="B18" i="53"/>
  <c r="B19" i="53"/>
  <c r="B20" i="53"/>
  <c r="C25" i="53"/>
  <c r="B28" i="53"/>
  <c r="B29" i="53"/>
  <c r="B30" i="53"/>
  <c r="B31" i="53"/>
  <c r="B34" i="53"/>
  <c r="C35" i="53"/>
  <c r="D37" i="53"/>
  <c r="C44" i="53"/>
  <c r="B47" i="53"/>
  <c r="C49" i="53"/>
  <c r="D51" i="53"/>
  <c r="D55" i="53"/>
  <c r="D56" i="53"/>
  <c r="D57" i="53"/>
  <c r="D58" i="53"/>
  <c r="B9" i="41"/>
  <c r="B10" i="41"/>
  <c r="B11" i="41"/>
  <c r="B15" i="41"/>
  <c r="B16" i="41"/>
  <c r="B17" i="41"/>
  <c r="B18" i="41"/>
  <c r="B19" i="41"/>
  <c r="B20" i="41"/>
  <c r="C24" i="41"/>
  <c r="B27" i="41"/>
  <c r="B28" i="41"/>
  <c r="B29" i="41"/>
  <c r="B30" i="41"/>
  <c r="C34" i="41"/>
  <c r="D36" i="41"/>
  <c r="C43" i="41"/>
  <c r="B46" i="41"/>
  <c r="C48" i="41"/>
  <c r="D50" i="41"/>
  <c r="D54" i="41"/>
  <c r="D55" i="41"/>
  <c r="D56" i="41"/>
  <c r="D57" i="41"/>
  <c r="B9" i="29"/>
  <c r="B10" i="29"/>
  <c r="B11" i="29"/>
  <c r="B15" i="29"/>
  <c r="B16" i="29"/>
  <c r="B17" i="29"/>
  <c r="B18" i="29"/>
  <c r="B19" i="29"/>
  <c r="B20" i="29"/>
  <c r="C24" i="29"/>
  <c r="B27" i="29"/>
  <c r="B28" i="29"/>
  <c r="B29" i="29"/>
  <c r="B30" i="29"/>
  <c r="C34" i="29"/>
  <c r="D36" i="29"/>
  <c r="C43" i="29"/>
  <c r="B46" i="29"/>
  <c r="C48" i="29"/>
  <c r="D50" i="29"/>
  <c r="D54" i="29"/>
  <c r="D55" i="29"/>
  <c r="D56" i="29"/>
  <c r="D57" i="29"/>
  <c r="B9" i="17"/>
  <c r="B10" i="17"/>
  <c r="B11" i="17"/>
  <c r="B15" i="17"/>
  <c r="B16" i="17"/>
  <c r="B17" i="17"/>
  <c r="B18" i="17"/>
  <c r="B19" i="17"/>
  <c r="C23" i="17"/>
  <c r="B26" i="17"/>
  <c r="B27" i="17"/>
  <c r="B28" i="17"/>
  <c r="B29" i="17"/>
  <c r="C33" i="17"/>
  <c r="D35" i="17"/>
  <c r="C42" i="17"/>
  <c r="B45" i="17"/>
  <c r="C47" i="17"/>
  <c r="D49" i="17"/>
  <c r="D53" i="17"/>
  <c r="D54" i="17"/>
  <c r="D55" i="17"/>
  <c r="D56" i="17"/>
  <c r="B9" i="5"/>
  <c r="B15" i="5"/>
  <c r="C23" i="5"/>
  <c r="C33" i="5"/>
  <c r="D35" i="5"/>
  <c r="C42" i="5"/>
  <c r="C47" i="5"/>
  <c r="D49" i="5"/>
  <c r="D53" i="5"/>
  <c r="D55" i="5"/>
  <c r="D56" i="5"/>
  <c r="B10" i="4"/>
  <c r="B16" i="4"/>
  <c r="C22" i="4"/>
  <c r="C31" i="4"/>
  <c r="D33" i="4"/>
  <c r="C39" i="4"/>
  <c r="C43" i="4"/>
  <c r="D45" i="4"/>
  <c r="D49" i="4"/>
  <c r="D51" i="4"/>
  <c r="D52" i="4"/>
  <c r="C42" i="154" l="1"/>
  <c r="D58" i="154"/>
  <c r="B15" i="154"/>
  <c r="B9" i="154"/>
  <c r="D63" i="157"/>
  <c r="F63" i="157" s="1"/>
  <c r="D65" i="157"/>
  <c r="D62" i="151"/>
  <c r="D64" i="151" s="1"/>
  <c r="D65" i="151" s="1"/>
  <c r="D65" i="161"/>
  <c r="F63" i="178"/>
  <c r="D65" i="178"/>
  <c r="F63" i="177"/>
  <c r="C31" i="154" l="1"/>
  <c r="D44" i="154" s="1"/>
  <c r="D62" i="154" s="1"/>
  <c r="D64" i="154" s="1"/>
  <c r="D63" i="154" s="1"/>
  <c r="F63" i="154" s="1"/>
  <c r="D65" i="154" l="1"/>
</calcChain>
</file>

<file path=xl/sharedStrings.xml><?xml version="1.0" encoding="utf-8"?>
<sst xmlns="http://schemas.openxmlformats.org/spreadsheetml/2006/main" count="8112" uniqueCount="208">
  <si>
    <t>　</t>
    <phoneticPr fontId="3"/>
  </si>
  <si>
    <t>　　　　　　　　特定非営利活動法人</t>
    <rPh sb="8" eb="10">
      <t>トクテイ</t>
    </rPh>
    <rPh sb="10" eb="11">
      <t>ヒ</t>
    </rPh>
    <rPh sb="11" eb="13">
      <t>エイリ</t>
    </rPh>
    <rPh sb="13" eb="15">
      <t>カツドウ</t>
    </rPh>
    <rPh sb="15" eb="17">
      <t>ホウジン</t>
    </rPh>
    <phoneticPr fontId="3"/>
  </si>
  <si>
    <t>　Ⅰ　資　　産　　の　　部</t>
    <rPh sb="3" eb="4">
      <t>シ</t>
    </rPh>
    <rPh sb="6" eb="7">
      <t>サン</t>
    </rPh>
    <rPh sb="12" eb="13">
      <t>ブ</t>
    </rPh>
    <phoneticPr fontId="3"/>
  </si>
  <si>
    <t>　Ⅲ　正　味　財　産　の　部</t>
    <rPh sb="3" eb="4">
      <t>セイ</t>
    </rPh>
    <rPh sb="5" eb="6">
      <t>アジ</t>
    </rPh>
    <rPh sb="7" eb="8">
      <t>ザイ</t>
    </rPh>
    <rPh sb="9" eb="10">
      <t>サン</t>
    </rPh>
    <rPh sb="13" eb="14">
      <t>ブ</t>
    </rPh>
    <phoneticPr fontId="3"/>
  </si>
  <si>
    <t>金　　　　　　　　額　</t>
    <rPh sb="0" eb="1">
      <t>キン</t>
    </rPh>
    <rPh sb="9" eb="10">
      <t>ガク</t>
    </rPh>
    <phoneticPr fontId="3"/>
  </si>
  <si>
    <t>　　　　科　目　・　摘　要</t>
    <rPh sb="10" eb="11">
      <t>チャク</t>
    </rPh>
    <rPh sb="12" eb="13">
      <t>ヨウ</t>
    </rPh>
    <phoneticPr fontId="3"/>
  </si>
  <si>
    <t>　</t>
    <phoneticPr fontId="3"/>
  </si>
  <si>
    <t>　</t>
    <phoneticPr fontId="3"/>
  </si>
  <si>
    <t>　</t>
    <phoneticPr fontId="3"/>
  </si>
  <si>
    <t>　</t>
    <phoneticPr fontId="3"/>
  </si>
  <si>
    <t>　　　　　　　　　　　　　　ほっと大東</t>
    <rPh sb="17" eb="19">
      <t>ダイトウ</t>
    </rPh>
    <phoneticPr fontId="3"/>
  </si>
  <si>
    <t>　　　　　　　(うち当期正味財産増加額）</t>
    <rPh sb="10" eb="12">
      <t>トウキ</t>
    </rPh>
    <rPh sb="12" eb="14">
      <t>ショウミ</t>
    </rPh>
    <rPh sb="14" eb="16">
      <t>ザイサン</t>
    </rPh>
    <rPh sb="16" eb="18">
      <t>ゾウカ</t>
    </rPh>
    <rPh sb="18" eb="19">
      <t>ガク</t>
    </rPh>
    <phoneticPr fontId="3"/>
  </si>
  <si>
    <t>　　　　　　　　　　　　　（山陰合同銀行大東支店）</t>
    <rPh sb="14" eb="16">
      <t>サンイン</t>
    </rPh>
    <rPh sb="16" eb="18">
      <t>ゴウドウ</t>
    </rPh>
    <rPh sb="18" eb="20">
      <t>ギンコウ</t>
    </rPh>
    <rPh sb="20" eb="22">
      <t>ダイトウ</t>
    </rPh>
    <rPh sb="22" eb="24">
      <t>シテン</t>
    </rPh>
    <phoneticPr fontId="3"/>
  </si>
  <si>
    <t>　　　　　　　　　　　　　（島根銀行大東支店）</t>
    <rPh sb="14" eb="16">
      <t>シマネ</t>
    </rPh>
    <rPh sb="16" eb="18">
      <t>ギンコウ</t>
    </rPh>
    <rPh sb="18" eb="20">
      <t>ダイトウ</t>
    </rPh>
    <rPh sb="20" eb="22">
      <t>シテン</t>
    </rPh>
    <phoneticPr fontId="3"/>
  </si>
  <si>
    <t>　　　　　　 　　　　 　　（居宅介護部門）</t>
    <rPh sb="15" eb="17">
      <t>キョタク</t>
    </rPh>
    <rPh sb="17" eb="19">
      <t>カイゴ</t>
    </rPh>
    <rPh sb="19" eb="21">
      <t>ブモン</t>
    </rPh>
    <phoneticPr fontId="3"/>
  </si>
  <si>
    <t>　　　　　  　　　　　　　（通所介護部門）</t>
    <rPh sb="15" eb="16">
      <t>ツウ</t>
    </rPh>
    <rPh sb="16" eb="17">
      <t>ショ</t>
    </rPh>
    <rPh sb="17" eb="19">
      <t>カイゴ</t>
    </rPh>
    <rPh sb="19" eb="21">
      <t>ブモン</t>
    </rPh>
    <phoneticPr fontId="3"/>
  </si>
  <si>
    <t>　　　　　　　　　  　　　（予防通所介護部門）</t>
    <rPh sb="15" eb="17">
      <t>ヨボウ</t>
    </rPh>
    <rPh sb="17" eb="18">
      <t>ツウ</t>
    </rPh>
    <rPh sb="18" eb="19">
      <t>ショ</t>
    </rPh>
    <rPh sb="19" eb="21">
      <t>カイゴ</t>
    </rPh>
    <rPh sb="21" eb="23">
      <t>ブモン</t>
    </rPh>
    <phoneticPr fontId="3"/>
  </si>
  <si>
    <t>　　　　　　　　  　　　　（預り保育部門）</t>
    <rPh sb="15" eb="16">
      <t>アズカ</t>
    </rPh>
    <rPh sb="17" eb="19">
      <t>ホイク</t>
    </rPh>
    <rPh sb="19" eb="21">
      <t>ブモン</t>
    </rPh>
    <phoneticPr fontId="3"/>
  </si>
  <si>
    <t>　Ⅱ　負　　債　　の　　部</t>
    <rPh sb="3" eb="4">
      <t>フ</t>
    </rPh>
    <rPh sb="6" eb="7">
      <t>サイ</t>
    </rPh>
    <rPh sb="12" eb="13">
      <t>ブ</t>
    </rPh>
    <phoneticPr fontId="3"/>
  </si>
  <si>
    <t>　　　１　流　動　資　産</t>
    <rPh sb="5" eb="6">
      <t>ナガレ</t>
    </rPh>
    <rPh sb="7" eb="8">
      <t>ドウ</t>
    </rPh>
    <rPh sb="9" eb="10">
      <t>シ</t>
    </rPh>
    <rPh sb="11" eb="12">
      <t>サン</t>
    </rPh>
    <phoneticPr fontId="3"/>
  </si>
  <si>
    <t>　　　２　固　定　資　産</t>
    <rPh sb="5" eb="6">
      <t>ガタマリ</t>
    </rPh>
    <rPh sb="7" eb="8">
      <t>サダム</t>
    </rPh>
    <rPh sb="9" eb="10">
      <t>シ</t>
    </rPh>
    <rPh sb="11" eb="12">
      <t>サン</t>
    </rPh>
    <phoneticPr fontId="3"/>
  </si>
  <si>
    <t>　　　1　流　動　負　債</t>
    <rPh sb="5" eb="6">
      <t>ナガレ</t>
    </rPh>
    <rPh sb="7" eb="8">
      <t>ドウ</t>
    </rPh>
    <rPh sb="9" eb="10">
      <t>フ</t>
    </rPh>
    <rPh sb="11" eb="12">
      <t>サイ</t>
    </rPh>
    <phoneticPr fontId="3"/>
  </si>
  <si>
    <t>　　　２　固　定　負　債</t>
    <rPh sb="5" eb="6">
      <t>ガタマリ</t>
    </rPh>
    <rPh sb="7" eb="8">
      <t>サダム</t>
    </rPh>
    <rPh sb="9" eb="10">
      <t>フ</t>
    </rPh>
    <rPh sb="11" eb="12">
      <t>サイ</t>
    </rPh>
    <phoneticPr fontId="3"/>
  </si>
  <si>
    <r>
      <t>　　　　資　　　産　　　合　　　計　　　</t>
    </r>
    <r>
      <rPr>
        <b/>
        <sz val="10"/>
        <rFont val="ＭＳ Ｐゴシック"/>
        <family val="3"/>
        <charset val="128"/>
      </rPr>
      <t>（Ａ）</t>
    </r>
    <rPh sb="4" eb="5">
      <t>シ</t>
    </rPh>
    <rPh sb="8" eb="9">
      <t>サン</t>
    </rPh>
    <rPh sb="12" eb="13">
      <t>ゴウ</t>
    </rPh>
    <rPh sb="16" eb="17">
      <t>ケイ</t>
    </rPh>
    <phoneticPr fontId="3"/>
  </si>
  <si>
    <r>
      <t>　　　　負　　　債　　　合　　　計　　　</t>
    </r>
    <r>
      <rPr>
        <b/>
        <sz val="10"/>
        <rFont val="ＭＳ Ｐゴシック"/>
        <family val="3"/>
        <charset val="128"/>
      </rPr>
      <t>（Ｂ）</t>
    </r>
    <rPh sb="4" eb="5">
      <t>フ</t>
    </rPh>
    <rPh sb="8" eb="9">
      <t>サイ</t>
    </rPh>
    <rPh sb="12" eb="13">
      <t>ゴウ</t>
    </rPh>
    <rPh sb="16" eb="17">
      <t>ケイ</t>
    </rPh>
    <phoneticPr fontId="3"/>
  </si>
  <si>
    <r>
      <t>　　　　　　負債</t>
    </r>
    <r>
      <rPr>
        <b/>
        <sz val="10"/>
        <rFont val="ＭＳ Ｐゴシック"/>
        <family val="3"/>
        <charset val="128"/>
      </rPr>
      <t>及び</t>
    </r>
    <r>
      <rPr>
        <b/>
        <sz val="12"/>
        <rFont val="ＭＳ Ｐゴシック"/>
        <family val="3"/>
        <charset val="128"/>
      </rPr>
      <t>正味財産合計</t>
    </r>
    <rPh sb="6" eb="8">
      <t>フサイ</t>
    </rPh>
    <rPh sb="8" eb="9">
      <t>オヨ</t>
    </rPh>
    <rPh sb="10" eb="12">
      <t>ショウミ</t>
    </rPh>
    <rPh sb="12" eb="14">
      <t>ザイサン</t>
    </rPh>
    <rPh sb="14" eb="16">
      <t>ゴウケイ</t>
    </rPh>
    <phoneticPr fontId="3"/>
  </si>
  <si>
    <r>
      <t>　　　　　　正　味　財　産　合　計　</t>
    </r>
    <r>
      <rPr>
        <b/>
        <sz val="10"/>
        <rFont val="ＭＳ Ｐゴシック"/>
        <family val="3"/>
        <charset val="128"/>
      </rPr>
      <t>（Ａ）-（Ｂ）</t>
    </r>
    <rPh sb="6" eb="7">
      <t>セイ</t>
    </rPh>
    <rPh sb="8" eb="9">
      <t>アジ</t>
    </rPh>
    <rPh sb="10" eb="11">
      <t>ザイ</t>
    </rPh>
    <rPh sb="12" eb="13">
      <t>サン</t>
    </rPh>
    <rPh sb="14" eb="15">
      <t>ゴウ</t>
    </rPh>
    <rPh sb="16" eb="17">
      <t>ケイ</t>
    </rPh>
    <phoneticPr fontId="3"/>
  </si>
  <si>
    <t>　　　　　　基　　　本　　　金</t>
    <rPh sb="6" eb="7">
      <t>モト</t>
    </rPh>
    <rPh sb="10" eb="11">
      <t>ホン</t>
    </rPh>
    <rPh sb="14" eb="15">
      <t>キン</t>
    </rPh>
    <phoneticPr fontId="3"/>
  </si>
  <si>
    <t>　　　　　　正味財産増加額</t>
    <rPh sb="6" eb="8">
      <t>ショウミ</t>
    </rPh>
    <rPh sb="8" eb="10">
      <t>ザイサン</t>
    </rPh>
    <rPh sb="10" eb="12">
      <t>ゾウカ</t>
    </rPh>
    <rPh sb="12" eb="13">
      <t>ガク</t>
    </rPh>
    <phoneticPr fontId="3"/>
  </si>
  <si>
    <t>固　定　負　債　合　計</t>
    <rPh sb="0" eb="1">
      <t>ガタマリ</t>
    </rPh>
    <rPh sb="2" eb="3">
      <t>サダム</t>
    </rPh>
    <rPh sb="4" eb="5">
      <t>フ</t>
    </rPh>
    <rPh sb="6" eb="7">
      <t>サイ</t>
    </rPh>
    <rPh sb="8" eb="9">
      <t>ゴウ</t>
    </rPh>
    <rPh sb="10" eb="11">
      <t>ケイ</t>
    </rPh>
    <phoneticPr fontId="3"/>
  </si>
  <si>
    <t>　　　　　　長　期　借　入　金</t>
    <rPh sb="6" eb="7">
      <t>チョウ</t>
    </rPh>
    <rPh sb="8" eb="9">
      <t>キ</t>
    </rPh>
    <rPh sb="10" eb="11">
      <t>シャク</t>
    </rPh>
    <rPh sb="12" eb="13">
      <t>イ</t>
    </rPh>
    <rPh sb="14" eb="15">
      <t>キン</t>
    </rPh>
    <phoneticPr fontId="3"/>
  </si>
  <si>
    <t>　　　　　　流　動　負　債　合　計</t>
    <rPh sb="6" eb="7">
      <t>ナガレ</t>
    </rPh>
    <rPh sb="8" eb="9">
      <t>ドウ</t>
    </rPh>
    <rPh sb="10" eb="11">
      <t>フ</t>
    </rPh>
    <rPh sb="12" eb="13">
      <t>サイ</t>
    </rPh>
    <rPh sb="14" eb="15">
      <t>ゴウ</t>
    </rPh>
    <rPh sb="16" eb="17">
      <t>ケイ</t>
    </rPh>
    <phoneticPr fontId="3"/>
  </si>
  <si>
    <t>　　　　　　預　　り　　金</t>
    <rPh sb="6" eb="7">
      <t>アズカ</t>
    </rPh>
    <rPh sb="12" eb="13">
      <t>キン</t>
    </rPh>
    <phoneticPr fontId="3"/>
  </si>
  <si>
    <t>　　　　　　短期借入金</t>
    <rPh sb="6" eb="8">
      <t>タンキ</t>
    </rPh>
    <rPh sb="8" eb="10">
      <t>カリイレ</t>
    </rPh>
    <rPh sb="10" eb="11">
      <t>キン</t>
    </rPh>
    <phoneticPr fontId="3"/>
  </si>
  <si>
    <t>　　　　　　現　　　　　　金</t>
    <rPh sb="6" eb="7">
      <t>ウツツ</t>
    </rPh>
    <rPh sb="13" eb="14">
      <t>キン</t>
    </rPh>
    <phoneticPr fontId="3"/>
  </si>
  <si>
    <t>　　　　　　普　通　預　金</t>
    <rPh sb="6" eb="7">
      <t>アマネ</t>
    </rPh>
    <rPh sb="8" eb="9">
      <t>ツウ</t>
    </rPh>
    <rPh sb="10" eb="11">
      <t>アズカリ</t>
    </rPh>
    <rPh sb="12" eb="13">
      <t>カネ</t>
    </rPh>
    <phoneticPr fontId="3"/>
  </si>
  <si>
    <t>　　　　　　未　　収　　金　</t>
    <rPh sb="6" eb="7">
      <t>ミ</t>
    </rPh>
    <rPh sb="9" eb="10">
      <t>オサム</t>
    </rPh>
    <rPh sb="12" eb="13">
      <t>カネ</t>
    </rPh>
    <phoneticPr fontId="3"/>
  </si>
  <si>
    <t>　　　　　　仮　　払　　金</t>
    <rPh sb="6" eb="7">
      <t>カリ</t>
    </rPh>
    <rPh sb="9" eb="10">
      <t>ハラ</t>
    </rPh>
    <rPh sb="12" eb="13">
      <t>キン</t>
    </rPh>
    <phoneticPr fontId="3"/>
  </si>
  <si>
    <t>流　動　資　産　合　計</t>
    <rPh sb="0" eb="1">
      <t>ナガレ</t>
    </rPh>
    <rPh sb="2" eb="3">
      <t>ドウ</t>
    </rPh>
    <rPh sb="4" eb="5">
      <t>シ</t>
    </rPh>
    <rPh sb="6" eb="7">
      <t>サン</t>
    </rPh>
    <rPh sb="8" eb="9">
      <t>ゴウ</t>
    </rPh>
    <rPh sb="10" eb="11">
      <t>ケイ</t>
    </rPh>
    <phoneticPr fontId="3"/>
  </si>
  <si>
    <t>　　　　　　建　　　　　　物</t>
    <rPh sb="6" eb="7">
      <t>タツル</t>
    </rPh>
    <rPh sb="13" eb="14">
      <t>モノ</t>
    </rPh>
    <phoneticPr fontId="3"/>
  </si>
  <si>
    <t>　　　　　　車　両　運　搬　具</t>
    <rPh sb="6" eb="7">
      <t>クルマ</t>
    </rPh>
    <rPh sb="8" eb="9">
      <t>リョウ</t>
    </rPh>
    <rPh sb="10" eb="11">
      <t>ウン</t>
    </rPh>
    <rPh sb="12" eb="13">
      <t>ハコ</t>
    </rPh>
    <rPh sb="14" eb="15">
      <t>グ</t>
    </rPh>
    <phoneticPr fontId="3"/>
  </si>
  <si>
    <t>　　　　　　電　話　加　入　権</t>
    <rPh sb="6" eb="7">
      <t>デン</t>
    </rPh>
    <rPh sb="8" eb="9">
      <t>ハナシ</t>
    </rPh>
    <rPh sb="10" eb="11">
      <t>クワ</t>
    </rPh>
    <rPh sb="12" eb="13">
      <t>イ</t>
    </rPh>
    <rPh sb="14" eb="15">
      <t>ケン</t>
    </rPh>
    <phoneticPr fontId="3"/>
  </si>
  <si>
    <t>　　　　　　敷　金　・　保　証　金</t>
    <rPh sb="6" eb="7">
      <t>シキ</t>
    </rPh>
    <rPh sb="8" eb="9">
      <t>キン</t>
    </rPh>
    <rPh sb="12" eb="13">
      <t>タモツ</t>
    </rPh>
    <rPh sb="14" eb="15">
      <t>アカシ</t>
    </rPh>
    <rPh sb="16" eb="17">
      <t>カネ</t>
    </rPh>
    <phoneticPr fontId="3"/>
  </si>
  <si>
    <t>固　定　資　産　合　計</t>
    <rPh sb="0" eb="1">
      <t>ガタマリ</t>
    </rPh>
    <rPh sb="2" eb="3">
      <t>サダム</t>
    </rPh>
    <rPh sb="4" eb="5">
      <t>シ</t>
    </rPh>
    <rPh sb="6" eb="7">
      <t>サン</t>
    </rPh>
    <rPh sb="8" eb="9">
      <t>ゴウ</t>
    </rPh>
    <rPh sb="10" eb="11">
      <t>ケイ</t>
    </rPh>
    <phoneticPr fontId="3"/>
  </si>
  <si>
    <t>　　　　　　　　　　　　　（郵貯銀行大東支店）</t>
    <rPh sb="14" eb="15">
      <t>ユウ</t>
    </rPh>
    <rPh sb="15" eb="16">
      <t>チョ</t>
    </rPh>
    <rPh sb="16" eb="18">
      <t>ギンコウ</t>
    </rPh>
    <rPh sb="18" eb="20">
      <t>ダイトウ</t>
    </rPh>
    <rPh sb="20" eb="22">
      <t>シテン</t>
    </rPh>
    <phoneticPr fontId="3"/>
  </si>
  <si>
    <t>　　　　　　　　　　　　　（JA雲南大東支店）</t>
    <rPh sb="16" eb="17">
      <t>ウン</t>
    </rPh>
    <rPh sb="17" eb="18">
      <t>ナン</t>
    </rPh>
    <rPh sb="18" eb="20">
      <t>ダイトウ</t>
    </rPh>
    <rPh sb="20" eb="22">
      <t>シテン</t>
    </rPh>
    <phoneticPr fontId="3"/>
  </si>
  <si>
    <t>　　　　　　　　　　　　　（しまね信金大東支店）</t>
    <rPh sb="17" eb="19">
      <t>シンキン</t>
    </rPh>
    <rPh sb="19" eb="21">
      <t>ダイトウ</t>
    </rPh>
    <rPh sb="21" eb="23">
      <t>シテン</t>
    </rPh>
    <phoneticPr fontId="3"/>
  </si>
  <si>
    <t>　　　　　　仮　　払　　金</t>
    <rPh sb="6" eb="7">
      <t>カリ</t>
    </rPh>
    <rPh sb="9" eb="10">
      <t>フツ</t>
    </rPh>
    <rPh sb="12" eb="13">
      <t>キン</t>
    </rPh>
    <phoneticPr fontId="3"/>
  </si>
  <si>
    <r>
      <t>　特定非営利活動法人　</t>
    </r>
    <r>
      <rPr>
        <sz val="11"/>
        <rFont val="ＭＳ Ｐゴシック"/>
        <family val="3"/>
        <charset val="128"/>
      </rPr>
      <t>ほっと大東</t>
    </r>
    <rPh sb="1" eb="3">
      <t>トクテイ</t>
    </rPh>
    <rPh sb="3" eb="4">
      <t>ヒ</t>
    </rPh>
    <rPh sb="4" eb="6">
      <t>エイリ</t>
    </rPh>
    <rPh sb="6" eb="8">
      <t>カツドウ</t>
    </rPh>
    <rPh sb="8" eb="10">
      <t>ホウジン</t>
    </rPh>
    <rPh sb="14" eb="16">
      <t>ダイトウ</t>
    </rPh>
    <phoneticPr fontId="3"/>
  </si>
  <si>
    <t>　　　　　　　　　　　　　　　　　　　　　　単位：円　　　　　　　　</t>
    <rPh sb="22" eb="24">
      <t>タンイ</t>
    </rPh>
    <rPh sb="25" eb="26">
      <t>エン</t>
    </rPh>
    <phoneticPr fontId="3"/>
  </si>
  <si>
    <t>単位：円</t>
    <rPh sb="0" eb="2">
      <t>タンイ</t>
    </rPh>
    <rPh sb="3" eb="4">
      <t>エン</t>
    </rPh>
    <phoneticPr fontId="3"/>
  </si>
  <si>
    <t>　　　　　　建物付属設備</t>
    <rPh sb="6" eb="8">
      <t>タテモノ</t>
    </rPh>
    <rPh sb="8" eb="10">
      <t>フゾク</t>
    </rPh>
    <rPh sb="10" eb="12">
      <t>セツビ</t>
    </rPh>
    <phoneticPr fontId="3"/>
  </si>
  <si>
    <t>　　　　　　構　　築　　物</t>
    <rPh sb="6" eb="7">
      <t>カマエ</t>
    </rPh>
    <rPh sb="9" eb="10">
      <t>チク</t>
    </rPh>
    <rPh sb="12" eb="13">
      <t>ブツ</t>
    </rPh>
    <phoneticPr fontId="3"/>
  </si>
  <si>
    <t>　　　　　　　平成２２年度「特定非営利活動に係る事業」会計貸借対照表</t>
    <rPh sb="7" eb="9">
      <t>ヘイセイ</t>
    </rPh>
    <rPh sb="11" eb="13">
      <t>ネンド</t>
    </rPh>
    <rPh sb="14" eb="16">
      <t>トクテイ</t>
    </rPh>
    <rPh sb="16" eb="17">
      <t>ヒ</t>
    </rPh>
    <rPh sb="17" eb="19">
      <t>エイリ</t>
    </rPh>
    <rPh sb="19" eb="21">
      <t>カツドウ</t>
    </rPh>
    <rPh sb="22" eb="23">
      <t>カカ</t>
    </rPh>
    <rPh sb="24" eb="26">
      <t>ジギョウ</t>
    </rPh>
    <rPh sb="27" eb="29">
      <t>カイケイ</t>
    </rPh>
    <rPh sb="29" eb="31">
      <t>タイシャク</t>
    </rPh>
    <rPh sb="31" eb="33">
      <t>タイショウ</t>
    </rPh>
    <rPh sb="33" eb="34">
      <t>ヒョウ</t>
    </rPh>
    <phoneticPr fontId="3"/>
  </si>
  <si>
    <t>　　　　　　建物付属設備</t>
    <rPh sb="6" eb="7">
      <t>ケン</t>
    </rPh>
    <rPh sb="7" eb="8">
      <t>ブツ</t>
    </rPh>
    <rPh sb="8" eb="9">
      <t>ツキ</t>
    </rPh>
    <rPh sb="9" eb="10">
      <t>ゾク</t>
    </rPh>
    <rPh sb="10" eb="11">
      <t>セツ</t>
    </rPh>
    <rPh sb="11" eb="12">
      <t>ビ</t>
    </rPh>
    <phoneticPr fontId="3"/>
  </si>
  <si>
    <t>　　　　　　構　築　物</t>
    <rPh sb="6" eb="7">
      <t>カマエ</t>
    </rPh>
    <rPh sb="8" eb="9">
      <t>チク</t>
    </rPh>
    <rPh sb="10" eb="11">
      <t>ブツ</t>
    </rPh>
    <phoneticPr fontId="3"/>
  </si>
  <si>
    <t xml:space="preserve">               　　 平　成　２２年  ７月　３１日　　現在</t>
    <rPh sb="18" eb="19">
      <t>ヒラ</t>
    </rPh>
    <rPh sb="20" eb="21">
      <t>シゲル</t>
    </rPh>
    <rPh sb="24" eb="25">
      <t>ネン</t>
    </rPh>
    <rPh sb="28" eb="29">
      <t>ガツ</t>
    </rPh>
    <rPh sb="32" eb="33">
      <t>ヒ</t>
    </rPh>
    <rPh sb="35" eb="37">
      <t>ゲンザイ</t>
    </rPh>
    <phoneticPr fontId="3"/>
  </si>
  <si>
    <t>　　　　　　建　設　仮　勘　定</t>
    <rPh sb="6" eb="7">
      <t>ケン</t>
    </rPh>
    <rPh sb="8" eb="9">
      <t>セツ</t>
    </rPh>
    <rPh sb="10" eb="11">
      <t>カリ</t>
    </rPh>
    <rPh sb="12" eb="13">
      <t>カン</t>
    </rPh>
    <rPh sb="14" eb="15">
      <t>テイ</t>
    </rPh>
    <phoneticPr fontId="3"/>
  </si>
  <si>
    <t>　　　　　　　　　　　　　(認知症対応型通所部門）</t>
    <rPh sb="14" eb="16">
      <t>ニンチ</t>
    </rPh>
    <rPh sb="16" eb="17">
      <t>ショウ</t>
    </rPh>
    <rPh sb="17" eb="20">
      <t>タイオウガタ</t>
    </rPh>
    <rPh sb="20" eb="22">
      <t>ツウショ</t>
    </rPh>
    <rPh sb="22" eb="24">
      <t>ブモン</t>
    </rPh>
    <phoneticPr fontId="3"/>
  </si>
  <si>
    <t>平　成　２３年　 ３月　３１日　　現在</t>
    <rPh sb="0" eb="1">
      <t>ヒラ</t>
    </rPh>
    <rPh sb="2" eb="3">
      <t>シゲル</t>
    </rPh>
    <rPh sb="6" eb="7">
      <t>ネン</t>
    </rPh>
    <rPh sb="10" eb="11">
      <t>ガツ</t>
    </rPh>
    <rPh sb="14" eb="15">
      <t>ヒ</t>
    </rPh>
    <rPh sb="17" eb="19">
      <t>ゲンザイ</t>
    </rPh>
    <phoneticPr fontId="3"/>
  </si>
  <si>
    <t>　　　　　　　　  　　　　（福祉タクシー部門）</t>
    <rPh sb="15" eb="17">
      <t>フクシ</t>
    </rPh>
    <rPh sb="21" eb="23">
      <t>ブモン</t>
    </rPh>
    <phoneticPr fontId="3"/>
  </si>
  <si>
    <t>　　　　　　　平成２３年度「特定非営利活動に係る事業」会計貸借対照表</t>
    <rPh sb="7" eb="9">
      <t>ヘイセイ</t>
    </rPh>
    <rPh sb="11" eb="13">
      <t>ネンド</t>
    </rPh>
    <rPh sb="14" eb="16">
      <t>トクテイ</t>
    </rPh>
    <rPh sb="16" eb="17">
      <t>ヒ</t>
    </rPh>
    <rPh sb="17" eb="19">
      <t>エイリ</t>
    </rPh>
    <rPh sb="19" eb="21">
      <t>カツドウ</t>
    </rPh>
    <rPh sb="22" eb="23">
      <t>カカ</t>
    </rPh>
    <rPh sb="24" eb="26">
      <t>ジギョウ</t>
    </rPh>
    <rPh sb="27" eb="29">
      <t>カイケイ</t>
    </rPh>
    <rPh sb="29" eb="31">
      <t>タイシャク</t>
    </rPh>
    <rPh sb="31" eb="33">
      <t>タイショウ</t>
    </rPh>
    <rPh sb="33" eb="34">
      <t>ヒョウ</t>
    </rPh>
    <phoneticPr fontId="3"/>
  </si>
  <si>
    <t>平　成　24年　 3月　31日　　現在</t>
    <rPh sb="0" eb="1">
      <t>ヒラ</t>
    </rPh>
    <rPh sb="2" eb="3">
      <t>シゲル</t>
    </rPh>
    <rPh sb="6" eb="7">
      <t>ネン</t>
    </rPh>
    <rPh sb="10" eb="11">
      <t>ガツ</t>
    </rPh>
    <rPh sb="14" eb="15">
      <t>ヒ</t>
    </rPh>
    <rPh sb="17" eb="19">
      <t>ゲンザイ</t>
    </rPh>
    <phoneticPr fontId="3"/>
  </si>
  <si>
    <t>　　　　　　　平成２４年度「特定非営利活動に係る事業」会計貸借対照表</t>
    <rPh sb="7" eb="9">
      <t>ヘイセイ</t>
    </rPh>
    <rPh sb="11" eb="13">
      <t>ネンド</t>
    </rPh>
    <rPh sb="14" eb="16">
      <t>トクテイ</t>
    </rPh>
    <rPh sb="16" eb="17">
      <t>ヒ</t>
    </rPh>
    <rPh sb="17" eb="19">
      <t>エイリ</t>
    </rPh>
    <rPh sb="19" eb="21">
      <t>カツドウ</t>
    </rPh>
    <rPh sb="22" eb="23">
      <t>カカ</t>
    </rPh>
    <rPh sb="24" eb="26">
      <t>ジギョウ</t>
    </rPh>
    <rPh sb="27" eb="29">
      <t>カイケイ</t>
    </rPh>
    <rPh sb="29" eb="31">
      <t>タイシャク</t>
    </rPh>
    <rPh sb="31" eb="33">
      <t>タイショウ</t>
    </rPh>
    <rPh sb="33" eb="34">
      <t>ヒョウ</t>
    </rPh>
    <phoneticPr fontId="3"/>
  </si>
  <si>
    <t>　　　　　　　　　  　　　（処遇改善交付金）</t>
    <rPh sb="15" eb="17">
      <t>ショグウ</t>
    </rPh>
    <rPh sb="17" eb="19">
      <t>カイゼン</t>
    </rPh>
    <rPh sb="19" eb="22">
      <t>コウフキン</t>
    </rPh>
    <phoneticPr fontId="3"/>
  </si>
  <si>
    <t>平　成　25年　 3月　31日　　現在</t>
    <rPh sb="0" eb="1">
      <t>ヒラ</t>
    </rPh>
    <rPh sb="2" eb="3">
      <t>シゲル</t>
    </rPh>
    <rPh sb="6" eb="7">
      <t>ネン</t>
    </rPh>
    <rPh sb="10" eb="11">
      <t>ガツ</t>
    </rPh>
    <rPh sb="14" eb="15">
      <t>ヒ</t>
    </rPh>
    <rPh sb="17" eb="19">
      <t>ゲンザイ</t>
    </rPh>
    <phoneticPr fontId="3"/>
  </si>
  <si>
    <t>　　　　　　預　　託　　金</t>
    <rPh sb="6" eb="7">
      <t>アズカリ</t>
    </rPh>
    <rPh sb="9" eb="10">
      <t>タク</t>
    </rPh>
    <rPh sb="12" eb="13">
      <t>キン</t>
    </rPh>
    <phoneticPr fontId="3"/>
  </si>
  <si>
    <t>　　　　　　　　　  　　　（処遇改善加算金）</t>
    <rPh sb="15" eb="17">
      <t>ショグウ</t>
    </rPh>
    <rPh sb="17" eb="19">
      <t>カイゼン</t>
    </rPh>
    <rPh sb="19" eb="21">
      <t>カサン</t>
    </rPh>
    <rPh sb="21" eb="22">
      <t>キン</t>
    </rPh>
    <phoneticPr fontId="3"/>
  </si>
  <si>
    <t>　　　　　　　平成２５年度「特定非営利活動に係る事業」会計貸借対照表</t>
    <rPh sb="7" eb="9">
      <t>ヘイセイ</t>
    </rPh>
    <rPh sb="11" eb="13">
      <t>ネンド</t>
    </rPh>
    <rPh sb="14" eb="16">
      <t>トクテイ</t>
    </rPh>
    <rPh sb="16" eb="17">
      <t>ヒ</t>
    </rPh>
    <rPh sb="17" eb="19">
      <t>エイリ</t>
    </rPh>
    <rPh sb="19" eb="21">
      <t>カツドウ</t>
    </rPh>
    <rPh sb="22" eb="23">
      <t>カカ</t>
    </rPh>
    <rPh sb="24" eb="26">
      <t>ジギョウ</t>
    </rPh>
    <rPh sb="27" eb="29">
      <t>カイケイ</t>
    </rPh>
    <rPh sb="29" eb="31">
      <t>タイシャク</t>
    </rPh>
    <rPh sb="31" eb="33">
      <t>タイショウ</t>
    </rPh>
    <rPh sb="33" eb="34">
      <t>ヒョウ</t>
    </rPh>
    <phoneticPr fontId="3"/>
  </si>
  <si>
    <t>平　成　26年　 3月　31日　　現在</t>
    <rPh sb="0" eb="1">
      <t>ヒラ</t>
    </rPh>
    <rPh sb="2" eb="3">
      <t>シゲル</t>
    </rPh>
    <rPh sb="6" eb="7">
      <t>ネン</t>
    </rPh>
    <rPh sb="10" eb="11">
      <t>ガツ</t>
    </rPh>
    <rPh sb="14" eb="15">
      <t>ヒ</t>
    </rPh>
    <rPh sb="17" eb="19">
      <t>ゲンザイ</t>
    </rPh>
    <phoneticPr fontId="3"/>
  </si>
  <si>
    <t>　　　　　　　平成２６年度「特定非営利活動に係る事業」会計貸借対照表</t>
    <rPh sb="7" eb="9">
      <t>ヘイセイ</t>
    </rPh>
    <rPh sb="11" eb="13">
      <t>ネンド</t>
    </rPh>
    <rPh sb="14" eb="16">
      <t>トクテイ</t>
    </rPh>
    <rPh sb="16" eb="17">
      <t>ヒ</t>
    </rPh>
    <rPh sb="17" eb="19">
      <t>エイリ</t>
    </rPh>
    <rPh sb="19" eb="21">
      <t>カツドウ</t>
    </rPh>
    <rPh sb="22" eb="23">
      <t>カカ</t>
    </rPh>
    <rPh sb="24" eb="26">
      <t>ジギョウ</t>
    </rPh>
    <rPh sb="27" eb="29">
      <t>カイケイ</t>
    </rPh>
    <rPh sb="29" eb="31">
      <t>タイシャク</t>
    </rPh>
    <rPh sb="31" eb="33">
      <t>タイショウ</t>
    </rPh>
    <rPh sb="33" eb="34">
      <t>ヒョウ</t>
    </rPh>
    <phoneticPr fontId="3"/>
  </si>
  <si>
    <t>　　　　　　　　  　　　　（福祉タクシー・助け合い部門）</t>
    <rPh sb="15" eb="17">
      <t>フクシ</t>
    </rPh>
    <rPh sb="22" eb="23">
      <t>タス</t>
    </rPh>
    <rPh sb="24" eb="25">
      <t>ア</t>
    </rPh>
    <rPh sb="26" eb="28">
      <t>ブモン</t>
    </rPh>
    <phoneticPr fontId="3"/>
  </si>
  <si>
    <t>　　　　　　　　　  　　　（通所キャンセル料）</t>
    <rPh sb="15" eb="17">
      <t>ツウショ</t>
    </rPh>
    <rPh sb="22" eb="23">
      <t>リョウ</t>
    </rPh>
    <phoneticPr fontId="3"/>
  </si>
  <si>
    <t>平　成　27年　 3月　31日　　現在</t>
    <rPh sb="0" eb="1">
      <t>ヒラ</t>
    </rPh>
    <rPh sb="2" eb="3">
      <t>シゲル</t>
    </rPh>
    <rPh sb="6" eb="7">
      <t>ネン</t>
    </rPh>
    <rPh sb="10" eb="11">
      <t>ガツ</t>
    </rPh>
    <rPh sb="14" eb="15">
      <t>ヒ</t>
    </rPh>
    <rPh sb="17" eb="19">
      <t>ゲンザイ</t>
    </rPh>
    <phoneticPr fontId="3"/>
  </si>
  <si>
    <t>　　　　　　　平成２７年度「特定非営利活動に係る事業」会計貸借対照表</t>
    <rPh sb="7" eb="9">
      <t>ヘイセイ</t>
    </rPh>
    <rPh sb="11" eb="13">
      <t>ネンド</t>
    </rPh>
    <rPh sb="14" eb="16">
      <t>トクテイ</t>
    </rPh>
    <rPh sb="16" eb="17">
      <t>ヒ</t>
    </rPh>
    <rPh sb="17" eb="19">
      <t>エイリ</t>
    </rPh>
    <rPh sb="19" eb="21">
      <t>カツドウ</t>
    </rPh>
    <rPh sb="22" eb="23">
      <t>カカ</t>
    </rPh>
    <rPh sb="24" eb="26">
      <t>ジギョウ</t>
    </rPh>
    <rPh sb="27" eb="29">
      <t>カイケイ</t>
    </rPh>
    <rPh sb="29" eb="31">
      <t>タイシャク</t>
    </rPh>
    <rPh sb="31" eb="33">
      <t>タイショウ</t>
    </rPh>
    <rPh sb="33" eb="34">
      <t>ヒョウ</t>
    </rPh>
    <phoneticPr fontId="3"/>
  </si>
  <si>
    <t>　　　　　　器具及び備品</t>
    <rPh sb="6" eb="8">
      <t>キグ</t>
    </rPh>
    <rPh sb="8" eb="9">
      <t>オヨ</t>
    </rPh>
    <rPh sb="10" eb="12">
      <t>ビヒン</t>
    </rPh>
    <phoneticPr fontId="3"/>
  </si>
  <si>
    <t>平　成　28年　 3月　31日　　現在</t>
    <rPh sb="0" eb="1">
      <t>ヒラ</t>
    </rPh>
    <rPh sb="2" eb="3">
      <t>シゲル</t>
    </rPh>
    <rPh sb="6" eb="7">
      <t>ネン</t>
    </rPh>
    <rPh sb="10" eb="11">
      <t>ガツ</t>
    </rPh>
    <rPh sb="14" eb="15">
      <t>ヒ</t>
    </rPh>
    <rPh sb="17" eb="19">
      <t>ゲンザイ</t>
    </rPh>
    <phoneticPr fontId="3"/>
  </si>
  <si>
    <t>　　　　　　　平成２８年度「特定非営利活動に係る事業」会計貸借対照表</t>
    <rPh sb="7" eb="9">
      <t>ヘイセイ</t>
    </rPh>
    <rPh sb="11" eb="13">
      <t>ネンド</t>
    </rPh>
    <rPh sb="14" eb="16">
      <t>トクテイ</t>
    </rPh>
    <rPh sb="16" eb="17">
      <t>ヒ</t>
    </rPh>
    <rPh sb="17" eb="19">
      <t>エイリ</t>
    </rPh>
    <rPh sb="19" eb="21">
      <t>カツドウ</t>
    </rPh>
    <rPh sb="22" eb="23">
      <t>カカ</t>
    </rPh>
    <rPh sb="24" eb="26">
      <t>ジギョウ</t>
    </rPh>
    <rPh sb="27" eb="29">
      <t>カイケイ</t>
    </rPh>
    <rPh sb="29" eb="31">
      <t>タイシャク</t>
    </rPh>
    <rPh sb="31" eb="33">
      <t>タイショウ</t>
    </rPh>
    <rPh sb="33" eb="34">
      <t>ヒョウ</t>
    </rPh>
    <phoneticPr fontId="3"/>
  </si>
  <si>
    <t>平　成　29年　 3月　31日　　現在</t>
    <rPh sb="0" eb="1">
      <t>ヒラ</t>
    </rPh>
    <rPh sb="2" eb="3">
      <t>シゲル</t>
    </rPh>
    <rPh sb="6" eb="7">
      <t>ネン</t>
    </rPh>
    <rPh sb="10" eb="11">
      <t>ガツ</t>
    </rPh>
    <rPh sb="14" eb="15">
      <t>ヒ</t>
    </rPh>
    <rPh sb="17" eb="19">
      <t>ゲンザイ</t>
    </rPh>
    <phoneticPr fontId="3"/>
  </si>
  <si>
    <t>　　　　　　 　　　　 　　（介護サービス補助金）</t>
    <rPh sb="15" eb="17">
      <t>カイゴ</t>
    </rPh>
    <rPh sb="21" eb="24">
      <t>ホジョキン</t>
    </rPh>
    <phoneticPr fontId="3"/>
  </si>
  <si>
    <t>　　　　　　　平成２９年度「特定非営利活動に係る事業」会計貸借対照表</t>
    <rPh sb="7" eb="9">
      <t>ヘイセイ</t>
    </rPh>
    <rPh sb="11" eb="13">
      <t>ネンド</t>
    </rPh>
    <rPh sb="14" eb="16">
      <t>トクテイ</t>
    </rPh>
    <rPh sb="16" eb="17">
      <t>ヒ</t>
    </rPh>
    <rPh sb="17" eb="19">
      <t>エイリ</t>
    </rPh>
    <rPh sb="19" eb="21">
      <t>カツドウ</t>
    </rPh>
    <rPh sb="22" eb="23">
      <t>カカ</t>
    </rPh>
    <rPh sb="24" eb="26">
      <t>ジギョウ</t>
    </rPh>
    <rPh sb="27" eb="29">
      <t>カイケイ</t>
    </rPh>
    <rPh sb="29" eb="31">
      <t>タイシャク</t>
    </rPh>
    <rPh sb="31" eb="33">
      <t>タイショウ</t>
    </rPh>
    <rPh sb="33" eb="34">
      <t>ヒョウ</t>
    </rPh>
    <phoneticPr fontId="3"/>
  </si>
  <si>
    <t>　　　　　　　　　  　　　（サロンほっと部門）</t>
    <rPh sb="21" eb="23">
      <t>ブモン</t>
    </rPh>
    <phoneticPr fontId="3"/>
  </si>
  <si>
    <t>　　　　　　　　　  　　　（ミニデイ部門）</t>
    <rPh sb="19" eb="21">
      <t>ブモン</t>
    </rPh>
    <phoneticPr fontId="3"/>
  </si>
  <si>
    <t>平　成　30年　 3月　31日　　現在</t>
    <rPh sb="0" eb="1">
      <t>ヒラ</t>
    </rPh>
    <rPh sb="2" eb="3">
      <t>シゲル</t>
    </rPh>
    <rPh sb="6" eb="7">
      <t>ネン</t>
    </rPh>
    <rPh sb="10" eb="11">
      <t>ガツ</t>
    </rPh>
    <rPh sb="14" eb="15">
      <t>ヒ</t>
    </rPh>
    <rPh sb="17" eb="19">
      <t>ゲンザイ</t>
    </rPh>
    <phoneticPr fontId="3"/>
  </si>
  <si>
    <t>　　　　　　　平成30年度「特定非営利活動に係る事業」会計貸借対照表</t>
    <rPh sb="7" eb="9">
      <t>ヘイセイ</t>
    </rPh>
    <rPh sb="11" eb="13">
      <t>ネンド</t>
    </rPh>
    <rPh sb="14" eb="16">
      <t>トクテイ</t>
    </rPh>
    <rPh sb="16" eb="17">
      <t>ヒ</t>
    </rPh>
    <rPh sb="17" eb="19">
      <t>エイリ</t>
    </rPh>
    <rPh sb="19" eb="21">
      <t>カツドウ</t>
    </rPh>
    <rPh sb="22" eb="23">
      <t>カカ</t>
    </rPh>
    <rPh sb="24" eb="26">
      <t>ジギョウ</t>
    </rPh>
    <rPh sb="27" eb="29">
      <t>カイケイ</t>
    </rPh>
    <rPh sb="29" eb="31">
      <t>タイシャク</t>
    </rPh>
    <rPh sb="31" eb="33">
      <t>タイショウ</t>
    </rPh>
    <rPh sb="33" eb="34">
      <t>ヒョウ</t>
    </rPh>
    <phoneticPr fontId="3"/>
  </si>
  <si>
    <t>平　成　31年　 3月　31日　　現在</t>
    <rPh sb="0" eb="1">
      <t>ヒラ</t>
    </rPh>
    <rPh sb="2" eb="3">
      <t>シゲル</t>
    </rPh>
    <rPh sb="6" eb="7">
      <t>ネン</t>
    </rPh>
    <rPh sb="10" eb="11">
      <t>ガツ</t>
    </rPh>
    <rPh sb="14" eb="15">
      <t>ヒ</t>
    </rPh>
    <rPh sb="17" eb="19">
      <t>ゲンザイ</t>
    </rPh>
    <phoneticPr fontId="3"/>
  </si>
  <si>
    <t>平　成　31年　 4月　30日　　現在</t>
    <rPh sb="0" eb="1">
      <t>ヒラ</t>
    </rPh>
    <rPh sb="2" eb="3">
      <t>シゲル</t>
    </rPh>
    <rPh sb="6" eb="7">
      <t>ネン</t>
    </rPh>
    <rPh sb="10" eb="11">
      <t>ガツ</t>
    </rPh>
    <rPh sb="14" eb="15">
      <t>ヒ</t>
    </rPh>
    <rPh sb="17" eb="19">
      <t>ゲンザイ</t>
    </rPh>
    <phoneticPr fontId="3"/>
  </si>
  <si>
    <t>　　　　　　　平成31年度「特定非営利活動に係る事業」会計貸借対照表</t>
    <rPh sb="7" eb="9">
      <t>ヘイセイ</t>
    </rPh>
    <rPh sb="11" eb="13">
      <t>ネンド</t>
    </rPh>
    <rPh sb="14" eb="16">
      <t>トクテイ</t>
    </rPh>
    <rPh sb="16" eb="17">
      <t>ヒ</t>
    </rPh>
    <rPh sb="17" eb="19">
      <t>エイリ</t>
    </rPh>
    <rPh sb="19" eb="21">
      <t>カツドウ</t>
    </rPh>
    <rPh sb="22" eb="23">
      <t>カカ</t>
    </rPh>
    <rPh sb="24" eb="26">
      <t>ジギョウ</t>
    </rPh>
    <rPh sb="27" eb="29">
      <t>カイケイ</t>
    </rPh>
    <rPh sb="29" eb="31">
      <t>タイシャク</t>
    </rPh>
    <rPh sb="31" eb="33">
      <t>タイショウ</t>
    </rPh>
    <rPh sb="33" eb="34">
      <t>ヒョウ</t>
    </rPh>
    <phoneticPr fontId="3"/>
  </si>
  <si>
    <t>　　　　　　　令和元年度「特定非営利活動に係る事業」会計貸借対照表</t>
    <rPh sb="7" eb="9">
      <t>レイワ</t>
    </rPh>
    <rPh sb="9" eb="11">
      <t>ガンネン</t>
    </rPh>
    <rPh sb="11" eb="12">
      <t>ド</t>
    </rPh>
    <rPh sb="13" eb="15">
      <t>トクテイ</t>
    </rPh>
    <rPh sb="15" eb="16">
      <t>ヒ</t>
    </rPh>
    <rPh sb="16" eb="18">
      <t>エイリ</t>
    </rPh>
    <rPh sb="18" eb="20">
      <t>カツドウ</t>
    </rPh>
    <rPh sb="21" eb="22">
      <t>カカ</t>
    </rPh>
    <rPh sb="23" eb="25">
      <t>ジギョウ</t>
    </rPh>
    <rPh sb="26" eb="28">
      <t>カイケイ</t>
    </rPh>
    <rPh sb="28" eb="30">
      <t>タイシャク</t>
    </rPh>
    <rPh sb="30" eb="32">
      <t>タイショウ</t>
    </rPh>
    <rPh sb="32" eb="33">
      <t>ヒョウ</t>
    </rPh>
    <phoneticPr fontId="3"/>
  </si>
  <si>
    <t>令和　1年　 5月　31日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</si>
  <si>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1年　 6月　30日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</si>
  <si>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1年　 7月　31日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</si>
  <si>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1年　 8月　31日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</si>
  <si>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1年　 9月　30日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</si>
  <si>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1年　 10月　31日　　現在</t>
    <rPh sb="0" eb="2">
      <t>レイワ</t>
    </rPh>
    <rPh sb="4" eb="5">
      <t>ネン</t>
    </rPh>
    <rPh sb="9" eb="10">
      <t>ガツ</t>
    </rPh>
    <rPh sb="13" eb="14">
      <t>ヒ</t>
    </rPh>
    <rPh sb="16" eb="18">
      <t>ゲンザイ</t>
    </rPh>
    <phoneticPr fontId="3"/>
  </si>
  <si>
    <t>令和　1年　 11月　30日　　現在</t>
    <rPh sb="0" eb="2">
      <t>レイワ</t>
    </rPh>
    <rPh sb="4" eb="5">
      <t>ネン</t>
    </rPh>
    <rPh sb="9" eb="10">
      <t>ガツ</t>
    </rPh>
    <rPh sb="13" eb="14">
      <t>ヒ</t>
    </rPh>
    <rPh sb="16" eb="18">
      <t>ゲンザイ</t>
    </rPh>
    <phoneticPr fontId="3"/>
  </si>
  <si>
    <t>前　払　費　用</t>
    <rPh sb="0" eb="1">
      <t>マエ</t>
    </rPh>
    <rPh sb="2" eb="3">
      <t>フツ</t>
    </rPh>
    <rPh sb="4" eb="5">
      <t>ヒ</t>
    </rPh>
    <rPh sb="6" eb="7">
      <t>ヨウ</t>
    </rPh>
    <phoneticPr fontId="3"/>
  </si>
  <si>
    <t>令和　1年　 12月　31日　　現在</t>
    <rPh sb="0" eb="2">
      <t>レイワ</t>
    </rPh>
    <rPh sb="4" eb="5">
      <t>ネン</t>
    </rPh>
    <rPh sb="9" eb="10">
      <t>ガツ</t>
    </rPh>
    <rPh sb="13" eb="14">
      <t>ヒ</t>
    </rPh>
    <rPh sb="16" eb="18">
      <t>ゲンザイ</t>
    </rPh>
    <phoneticPr fontId="3"/>
  </si>
  <si>
    <t>令和　2年　 1月　31日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</si>
  <si>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2年　 2月　29日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</si>
  <si>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2年　 3月　31日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</si>
  <si>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2年　 4月　30日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</si>
  <si>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　　　　　　　　　　　　　（島根銀行雲南支店）</t>
    <rPh sb="14" eb="16">
      <t>シマネ</t>
    </rPh>
    <rPh sb="16" eb="18">
      <t>ギンコウ</t>
    </rPh>
    <rPh sb="18" eb="20">
      <t>ウンナン</t>
    </rPh>
    <rPh sb="20" eb="22">
      <t>シテン</t>
    </rPh>
    <phoneticPr fontId="3"/>
  </si>
  <si>
    <r>
      <t>　　　　　　　　　  　　　（</t>
    </r>
    <r>
      <rPr>
        <sz val="10"/>
        <color indexed="10"/>
        <rFont val="ＭＳ Ｐゴシック"/>
        <family val="3"/>
        <charset val="128"/>
      </rPr>
      <t>特定処遇</t>
    </r>
    <r>
      <rPr>
        <sz val="10"/>
        <rFont val="ＭＳ Ｐゴシック"/>
        <family val="3"/>
        <charset val="128"/>
      </rPr>
      <t>改善加算金）</t>
    </r>
    <rPh sb="15" eb="17">
      <t>トクテイ</t>
    </rPh>
    <rPh sb="17" eb="19">
      <t>ショグウ</t>
    </rPh>
    <rPh sb="19" eb="21">
      <t>カイゼン</t>
    </rPh>
    <rPh sb="21" eb="23">
      <t>カサン</t>
    </rPh>
    <rPh sb="23" eb="24">
      <t>キン</t>
    </rPh>
    <phoneticPr fontId="3"/>
  </si>
  <si>
    <t>令和　2年　 5月　31日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</si>
  <si>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2年　 6月　30日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</si>
  <si>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2年　 7月　31日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</si>
  <si>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2年　 8月　31日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</si>
  <si>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 xml:space="preserve"> </t>
    <phoneticPr fontId="3"/>
  </si>
  <si>
    <t>令和　2年　 9月　30日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</si>
  <si>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島根BK</t>
    <rPh sb="0" eb="2">
      <t>シマネ</t>
    </rPh>
    <phoneticPr fontId="3"/>
  </si>
  <si>
    <t>山陰合同BK</t>
    <rPh sb="0" eb="2">
      <t>サンイン</t>
    </rPh>
    <rPh sb="2" eb="4">
      <t>ゴウドウ</t>
    </rPh>
    <phoneticPr fontId="3"/>
  </si>
  <si>
    <t>居宅</t>
    <rPh sb="0" eb="2">
      <t>キョタク</t>
    </rPh>
    <phoneticPr fontId="3"/>
  </si>
  <si>
    <t>委託料</t>
    <rPh sb="0" eb="3">
      <t>イタクリョウ</t>
    </rPh>
    <phoneticPr fontId="3"/>
  </si>
  <si>
    <t>介護報酬</t>
    <rPh sb="0" eb="2">
      <t>カイゴ</t>
    </rPh>
    <rPh sb="2" eb="4">
      <t>ホウシュウ</t>
    </rPh>
    <phoneticPr fontId="3"/>
  </si>
  <si>
    <t>通所</t>
    <rPh sb="0" eb="2">
      <t>ツウショ</t>
    </rPh>
    <phoneticPr fontId="3"/>
  </si>
  <si>
    <t>保険</t>
    <rPh sb="0" eb="2">
      <t>ホケン</t>
    </rPh>
    <phoneticPr fontId="3"/>
  </si>
  <si>
    <t>利用者</t>
    <rPh sb="0" eb="3">
      <t>リヨウシャ</t>
    </rPh>
    <phoneticPr fontId="3"/>
  </si>
  <si>
    <t>食費</t>
    <rPh sb="0" eb="2">
      <t>ショクヒ</t>
    </rPh>
    <phoneticPr fontId="3"/>
  </si>
  <si>
    <t>認知</t>
    <rPh sb="0" eb="2">
      <t>ニンチ</t>
    </rPh>
    <phoneticPr fontId="3"/>
  </si>
  <si>
    <t>予防</t>
    <rPh sb="0" eb="2">
      <t>ヨボウ</t>
    </rPh>
    <phoneticPr fontId="3"/>
  </si>
  <si>
    <t>処遇改善</t>
    <rPh sb="0" eb="2">
      <t>ショグウ</t>
    </rPh>
    <rPh sb="2" eb="4">
      <t>カイゼン</t>
    </rPh>
    <phoneticPr fontId="3"/>
  </si>
  <si>
    <t>特定処遇改善</t>
    <rPh sb="0" eb="2">
      <t>トクテイ</t>
    </rPh>
    <rPh sb="2" eb="4">
      <t>ショグウ</t>
    </rPh>
    <rPh sb="4" eb="6">
      <t>カイゼン</t>
    </rPh>
    <phoneticPr fontId="3"/>
  </si>
  <si>
    <t>サロン</t>
    <phoneticPr fontId="3"/>
  </si>
  <si>
    <t>P/L差額</t>
    <rPh sb="3" eb="5">
      <t>サガク</t>
    </rPh>
    <phoneticPr fontId="3"/>
  </si>
  <si>
    <t>　　　　　　　　　　　　　（ゆうちょ銀行大東支店）</t>
    <rPh sb="18" eb="20">
      <t>ギンコウ</t>
    </rPh>
    <rPh sb="20" eb="22">
      <t>ダイトウ</t>
    </rPh>
    <rPh sb="22" eb="24">
      <t>シテン</t>
    </rPh>
    <phoneticPr fontId="3"/>
  </si>
  <si>
    <t>令和　2年　 10月　31日　　現在</t>
    <rPh sb="0" eb="2">
      <t>レイワ</t>
    </rPh>
    <rPh sb="4" eb="5">
      <t>ネン</t>
    </rPh>
    <rPh sb="9" eb="10">
      <t>ガツ</t>
    </rPh>
    <rPh sb="13" eb="14">
      <t>ヒ</t>
    </rPh>
    <rPh sb="16" eb="18">
      <t>ゲンザイ</t>
    </rPh>
    <phoneticPr fontId="3"/>
  </si>
  <si>
    <t>令和　2年　 11月　30日　　現在</t>
    <rPh sb="0" eb="2">
      <t>レイワ</t>
    </rPh>
    <rPh sb="4" eb="5">
      <t>ネン</t>
    </rPh>
    <rPh sb="9" eb="10">
      <t>ガツ</t>
    </rPh>
    <rPh sb="13" eb="14">
      <t>ヒ</t>
    </rPh>
    <rPh sb="16" eb="18">
      <t>ゲンザイ</t>
    </rPh>
    <phoneticPr fontId="3"/>
  </si>
  <si>
    <t>　　　　　　　　　　　　　（JA雲南大東支店）34628</t>
    <rPh sb="16" eb="17">
      <t>ウン</t>
    </rPh>
    <rPh sb="17" eb="18">
      <t>ナン</t>
    </rPh>
    <rPh sb="18" eb="20">
      <t>ダイトウ</t>
    </rPh>
    <rPh sb="20" eb="22">
      <t>シテン</t>
    </rPh>
    <phoneticPr fontId="3"/>
  </si>
  <si>
    <t>　　　　　　　　　　　　　（ゆうちょ銀行大東支店）6473091</t>
    <rPh sb="18" eb="20">
      <t>ギンコウ</t>
    </rPh>
    <rPh sb="20" eb="22">
      <t>ダイトウ</t>
    </rPh>
    <rPh sb="22" eb="24">
      <t>シテン</t>
    </rPh>
    <phoneticPr fontId="3"/>
  </si>
  <si>
    <t>　　　　　　　　　　　　　（しまね信金大東支店）116975</t>
    <rPh sb="17" eb="19">
      <t>シンキン</t>
    </rPh>
    <rPh sb="19" eb="21">
      <t>ダイトウ</t>
    </rPh>
    <rPh sb="21" eb="23">
      <t>シテン</t>
    </rPh>
    <phoneticPr fontId="3"/>
  </si>
  <si>
    <t>保険</t>
    <phoneticPr fontId="3"/>
  </si>
  <si>
    <t>令和　2年　 12月　31日　　現在</t>
    <rPh sb="0" eb="2">
      <t>レイワ</t>
    </rPh>
    <rPh sb="4" eb="5">
      <t>ネン</t>
    </rPh>
    <rPh sb="9" eb="10">
      <t>ガツ</t>
    </rPh>
    <rPh sb="13" eb="14">
      <t>ヒ</t>
    </rPh>
    <rPh sb="16" eb="18">
      <t>ゲンザイ</t>
    </rPh>
    <phoneticPr fontId="3"/>
  </si>
  <si>
    <t>令和　3年　 1月　31日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</si>
  <si>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3年　 2月　28日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</si>
  <si>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利用者</t>
    <phoneticPr fontId="3"/>
  </si>
  <si>
    <t>令和　3年　 3月　31日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</si>
  <si>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3年　 4月　30日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</si>
  <si>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3年　 5月　31日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</si>
  <si>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3年　 6月　30日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</si>
  <si>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3年　 7月　31日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</si>
  <si>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3年　 8月　31日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</si>
  <si>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JA</t>
    <phoneticPr fontId="3"/>
  </si>
  <si>
    <t>ゆうちょ</t>
    <phoneticPr fontId="3"/>
  </si>
  <si>
    <t>しま信</t>
    <rPh sb="2" eb="3">
      <t>シン</t>
    </rPh>
    <phoneticPr fontId="3"/>
  </si>
  <si>
    <t>令和　3年　 9月　30日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</si>
  <si>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建物</t>
    <rPh sb="0" eb="2">
      <t>タテモノ</t>
    </rPh>
    <phoneticPr fontId="3"/>
  </si>
  <si>
    <t>建物附属設備</t>
    <rPh sb="0" eb="6">
      <t>タテモノフゾクセツビ</t>
    </rPh>
    <phoneticPr fontId="3"/>
  </si>
  <si>
    <t>構築物</t>
    <rPh sb="0" eb="3">
      <t>コウチクブツ</t>
    </rPh>
    <phoneticPr fontId="3"/>
  </si>
  <si>
    <t>器具備品</t>
    <rPh sb="0" eb="4">
      <t>キグビヒン</t>
    </rPh>
    <phoneticPr fontId="3"/>
  </si>
  <si>
    <t>車両運搬具</t>
    <rPh sb="0" eb="5">
      <t>シャリョウウンパング</t>
    </rPh>
    <phoneticPr fontId="3"/>
  </si>
  <si>
    <t>令和　3年　 10月　31日　　現在</t>
    <rPh sb="0" eb="2">
      <t>レイワ</t>
    </rPh>
    <rPh sb="4" eb="5">
      <t>ネン</t>
    </rPh>
    <rPh sb="9" eb="10">
      <t>ガツ</t>
    </rPh>
    <rPh sb="13" eb="14">
      <t>ヒ</t>
    </rPh>
    <rPh sb="16" eb="18">
      <t>ゲンザイ</t>
    </rPh>
    <phoneticPr fontId="3"/>
  </si>
  <si>
    <t>　　　　　　　令和3年度「特定非営利活動に係る事業」会計貸借対照表</t>
    <rPh sb="7" eb="9">
      <t>レイワ</t>
    </rPh>
    <rPh sb="10" eb="12">
      <t>ネンド</t>
    </rPh>
    <rPh sb="11" eb="12">
      <t>ド</t>
    </rPh>
    <rPh sb="13" eb="15">
      <t>トクテイ</t>
    </rPh>
    <rPh sb="15" eb="16">
      <t>ヒ</t>
    </rPh>
    <rPh sb="16" eb="18">
      <t>エイリ</t>
    </rPh>
    <rPh sb="18" eb="20">
      <t>カツドウ</t>
    </rPh>
    <rPh sb="21" eb="22">
      <t>カカ</t>
    </rPh>
    <rPh sb="23" eb="25">
      <t>ジギョウ</t>
    </rPh>
    <rPh sb="26" eb="28">
      <t>カイケイ</t>
    </rPh>
    <rPh sb="28" eb="30">
      <t>タイシャク</t>
    </rPh>
    <rPh sb="30" eb="32">
      <t>タイショウ</t>
    </rPh>
    <rPh sb="32" eb="33">
      <t>ヒョウ</t>
    </rPh>
    <phoneticPr fontId="3"/>
  </si>
  <si>
    <t>　　　　　　　令和2年度「特定非営利活動に係る事業」会計貸借対照表</t>
    <rPh sb="7" eb="9">
      <t>レイワ</t>
    </rPh>
    <rPh sb="10" eb="12">
      <t>ネンド</t>
    </rPh>
    <rPh sb="11" eb="12">
      <t>ド</t>
    </rPh>
    <rPh sb="13" eb="15">
      <t>トクテイ</t>
    </rPh>
    <rPh sb="15" eb="16">
      <t>ヒ</t>
    </rPh>
    <rPh sb="16" eb="18">
      <t>エイリ</t>
    </rPh>
    <rPh sb="18" eb="20">
      <t>カツドウ</t>
    </rPh>
    <rPh sb="21" eb="22">
      <t>カカ</t>
    </rPh>
    <rPh sb="23" eb="25">
      <t>ジギョウ</t>
    </rPh>
    <rPh sb="26" eb="28">
      <t>カイケイ</t>
    </rPh>
    <rPh sb="28" eb="30">
      <t>タイシャク</t>
    </rPh>
    <rPh sb="30" eb="32">
      <t>タイショウ</t>
    </rPh>
    <rPh sb="32" eb="33">
      <t>ヒョウ</t>
    </rPh>
    <phoneticPr fontId="3"/>
  </si>
  <si>
    <t>令和　3年　 11月　30日　　現在</t>
    <rPh sb="0" eb="2">
      <t>レイワ</t>
    </rPh>
    <rPh sb="4" eb="5">
      <t>ネン</t>
    </rPh>
    <rPh sb="9" eb="10">
      <t>ガツ</t>
    </rPh>
    <rPh sb="13" eb="14">
      <t>ヒ</t>
    </rPh>
    <rPh sb="16" eb="18">
      <t>ゲンザイ</t>
    </rPh>
    <phoneticPr fontId="3"/>
  </si>
  <si>
    <t>令和　3年　 12月　31日　　現在</t>
    <rPh sb="0" eb="2">
      <t>レイワ</t>
    </rPh>
    <rPh sb="4" eb="5">
      <t>ネン</t>
    </rPh>
    <rPh sb="9" eb="10">
      <t>ガツ</t>
    </rPh>
    <rPh sb="13" eb="14">
      <t>ヒ</t>
    </rPh>
    <rPh sb="16" eb="18">
      <t>ゲンザイ</t>
    </rPh>
    <phoneticPr fontId="3"/>
  </si>
  <si>
    <t>令和　4年　 1月　31日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</si>
  <si>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4年　 2月　28日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</si>
  <si>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４年　 ３月　３１日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</si>
  <si>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４年　 ４月　３０日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</si>
  <si>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令和3年度「特定非営利活動に係る事業」会計貸借対照表</t>
    <rPh sb="0" eb="2">
      <t>レイワ</t>
    </rPh>
    <rPh sb="3" eb="5">
      <t>ネンド</t>
    </rPh>
    <rPh sb="4" eb="5">
      <t>ド</t>
    </rPh>
    <rPh sb="6" eb="8">
      <t>トクテイ</t>
    </rPh>
    <rPh sb="8" eb="9">
      <t>ヒ</t>
    </rPh>
    <rPh sb="9" eb="11">
      <t>エイリ</t>
    </rPh>
    <rPh sb="11" eb="13">
      <t>カツドウ</t>
    </rPh>
    <rPh sb="14" eb="15">
      <t>カカ</t>
    </rPh>
    <rPh sb="16" eb="18">
      <t>ジギョウ</t>
    </rPh>
    <rPh sb="19" eb="21">
      <t>カイケイ</t>
    </rPh>
    <rPh sb="21" eb="23">
      <t>タイシャク</t>
    </rPh>
    <rPh sb="23" eb="25">
      <t>タイショウ</t>
    </rPh>
    <rPh sb="25" eb="26">
      <t>ヒョウ</t>
    </rPh>
    <phoneticPr fontId="3"/>
  </si>
  <si>
    <t>令和　４年　 ５月　３１日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</si>
  <si>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４年　 ６月　３０日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</si>
  <si>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４年　 ７月　３１日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</si>
  <si>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４年　 ８月　３１日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</si>
  <si>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４年　 ９月　３０日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</si>
  <si>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４年　 １０月　３１日　　現在</t>
    <rPh sb="0" eb="2">
      <t>レイワ</t>
    </rPh>
    <rPh sb="4" eb="5">
      <t>ネン</t>
    </rPh>
    <rPh sb="9" eb="10">
      <t>ガツ</t>
    </rPh>
    <rPh sb="13" eb="14">
      <t>ヒ</t>
    </rPh>
    <rPh sb="16" eb="18">
      <t>ゲンザイ</t>
    </rPh>
    <phoneticPr fontId="3"/>
  </si>
  <si>
    <t>　　　　　　　　　  　　　（特定処遇改善加算金）</t>
    <rPh sb="15" eb="17">
      <t>トクテイ</t>
    </rPh>
    <rPh sb="17" eb="19">
      <t>ショグウ</t>
    </rPh>
    <rPh sb="19" eb="21">
      <t>カイゼン</t>
    </rPh>
    <rPh sb="21" eb="23">
      <t>カサン</t>
    </rPh>
    <rPh sb="23" eb="24">
      <t>キン</t>
    </rPh>
    <phoneticPr fontId="3"/>
  </si>
  <si>
    <r>
      <t>　　　　　　　　　  　　　（</t>
    </r>
    <r>
      <rPr>
        <sz val="10"/>
        <color indexed="10"/>
        <rFont val="ＭＳ Ｐゴシック"/>
        <family val="3"/>
        <charset val="128"/>
      </rPr>
      <t>ベースアップ改善加算金</t>
    </r>
    <r>
      <rPr>
        <sz val="10"/>
        <rFont val="ＭＳ Ｐゴシック"/>
        <family val="3"/>
        <charset val="128"/>
      </rPr>
      <t>）</t>
    </r>
    <rPh sb="21" eb="23">
      <t>カイゼン</t>
    </rPh>
    <rPh sb="23" eb="25">
      <t>カサン</t>
    </rPh>
    <rPh sb="25" eb="26">
      <t>キン</t>
    </rPh>
    <phoneticPr fontId="3"/>
  </si>
  <si>
    <t>ベースアップ</t>
    <phoneticPr fontId="3"/>
  </si>
  <si>
    <t>令和　４年　 １１月　３０日　　現在</t>
    <rPh sb="0" eb="2">
      <t>レイワ</t>
    </rPh>
    <rPh sb="4" eb="5">
      <t>ネン</t>
    </rPh>
    <rPh sb="9" eb="10">
      <t>ガツ</t>
    </rPh>
    <rPh sb="13" eb="14">
      <t>ヒ</t>
    </rPh>
    <rPh sb="16" eb="18">
      <t>ゲンザイ</t>
    </rPh>
    <phoneticPr fontId="3"/>
  </si>
  <si>
    <t>令和４年度「特定非営利活動に係る事業」会計貸借対照表</t>
    <rPh sb="0" eb="2">
      <t>レイワ</t>
    </rPh>
    <rPh sb="3" eb="5">
      <t>ネンド</t>
    </rPh>
    <rPh sb="4" eb="5">
      <t>ド</t>
    </rPh>
    <rPh sb="6" eb="8">
      <t>トクテイ</t>
    </rPh>
    <rPh sb="8" eb="9">
      <t>ヒ</t>
    </rPh>
    <rPh sb="9" eb="11">
      <t>エイリ</t>
    </rPh>
    <rPh sb="11" eb="13">
      <t>カツドウ</t>
    </rPh>
    <rPh sb="14" eb="15">
      <t>カカ</t>
    </rPh>
    <rPh sb="16" eb="18">
      <t>ジギョウ</t>
    </rPh>
    <rPh sb="19" eb="21">
      <t>カイケイ</t>
    </rPh>
    <rPh sb="21" eb="23">
      <t>タイシャク</t>
    </rPh>
    <rPh sb="23" eb="25">
      <t>タイショウ</t>
    </rPh>
    <rPh sb="25" eb="26">
      <t>ヒョウ</t>
    </rPh>
    <phoneticPr fontId="3"/>
  </si>
  <si>
    <t>令和　４年　 １２月　３１日　　現在</t>
    <rPh sb="0" eb="2">
      <t>レイワ</t>
    </rPh>
    <rPh sb="4" eb="5">
      <t>ネン</t>
    </rPh>
    <rPh sb="9" eb="10">
      <t>ガツ</t>
    </rPh>
    <rPh sb="13" eb="14">
      <t>ヒ</t>
    </rPh>
    <rPh sb="16" eb="18">
      <t>ゲンザイ</t>
    </rPh>
    <phoneticPr fontId="3"/>
  </si>
  <si>
    <t>令和　５年　 １月　３１日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</si>
  <si>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５年　 ２月　２８日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</si>
  <si>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５年　 ３月　３１日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</si>
  <si>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５年　 ４月　３０日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</si>
  <si>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令和５年度「特定非営利活動に係る事業」会計貸借対照表</t>
    <rPh sb="0" eb="2">
      <t>レイワ</t>
    </rPh>
    <rPh sb="3" eb="5">
      <t>ネンド</t>
    </rPh>
    <rPh sb="4" eb="5">
      <t>ド</t>
    </rPh>
    <rPh sb="6" eb="8">
      <t>トクテイ</t>
    </rPh>
    <rPh sb="8" eb="9">
      <t>ヒ</t>
    </rPh>
    <rPh sb="9" eb="11">
      <t>エイリ</t>
    </rPh>
    <rPh sb="11" eb="13">
      <t>カツドウ</t>
    </rPh>
    <rPh sb="14" eb="15">
      <t>カカ</t>
    </rPh>
    <rPh sb="16" eb="18">
      <t>ジギョウ</t>
    </rPh>
    <rPh sb="19" eb="21">
      <t>カイケイ</t>
    </rPh>
    <rPh sb="21" eb="23">
      <t>タイシャク</t>
    </rPh>
    <rPh sb="23" eb="25">
      <t>タイショウ</t>
    </rPh>
    <rPh sb="25" eb="26">
      <t>ヒョウ</t>
    </rPh>
    <phoneticPr fontId="3"/>
  </si>
  <si>
    <t>令和　５年　 ５月　３１日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</si>
  <si>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５年　 ６月　３０日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</si>
  <si>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５年　 ７月　３１日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</si>
  <si>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５年　 ８月　３１日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</si>
  <si>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５年　 ９月　３０日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</si>
  <si>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５年　 １０月　３１日　　現在</t>
    <rPh sb="0" eb="2">
      <t>レイワ</t>
    </rPh>
    <rPh sb="4" eb="5">
      <t>ネン</t>
    </rPh>
    <rPh sb="9" eb="10">
      <t>ガツ</t>
    </rPh>
    <rPh sb="13" eb="14">
      <t>ヒ</t>
    </rPh>
    <rPh sb="16" eb="18">
      <t>ゲンザイ</t>
    </rPh>
    <phoneticPr fontId="3"/>
  </si>
  <si>
    <t>令和　５年　 １１月　３０日　　現在</t>
    <rPh sb="0" eb="2">
      <t>レイワ</t>
    </rPh>
    <rPh sb="4" eb="5">
      <t>ネン</t>
    </rPh>
    <rPh sb="9" eb="10">
      <t>ガツ</t>
    </rPh>
    <rPh sb="13" eb="14">
      <t>ヒ</t>
    </rPh>
    <rPh sb="16" eb="18">
      <t>ゲンザイ</t>
    </rPh>
    <phoneticPr fontId="3"/>
  </si>
  <si>
    <t>令和　５年　 １２月　３１日　　現在</t>
    <rPh sb="0" eb="2">
      <t>レイワ</t>
    </rPh>
    <rPh sb="4" eb="5">
      <t>ネン</t>
    </rPh>
    <rPh sb="9" eb="10">
      <t>ガツ</t>
    </rPh>
    <rPh sb="13" eb="14">
      <t>ヒ</t>
    </rPh>
    <rPh sb="16" eb="18">
      <t>ゲンザイ</t>
    </rPh>
    <phoneticPr fontId="3"/>
  </si>
  <si>
    <t>令和　６年　 １月　３１日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</si>
  <si>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６年　 ２月　２９日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</si>
  <si>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６年　 ３月　３１日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</si>
  <si>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６年　 ５月　３１日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</si>
  <si>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６年　 ６月　３０日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</si>
  <si>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６年　 ７月　３１日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</si>
  <si>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　　　　　　　　　  　　　（ベースアップ改善加算金）</t>
    <rPh sb="21" eb="23">
      <t>カイゼン</t>
    </rPh>
    <rPh sb="23" eb="25">
      <t>カサン</t>
    </rPh>
    <rPh sb="25" eb="26">
      <t>キン</t>
    </rPh>
    <phoneticPr fontId="3"/>
  </si>
  <si>
    <t>令和　６年　 ８月　３１日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</si>
  <si>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令和６年度「特定非営利活動に係る事業」会計貸借対照表</t>
    <rPh sb="0" eb="2">
      <t>レイワ</t>
    </rPh>
    <rPh sb="3" eb="5">
      <t>ネンド</t>
    </rPh>
    <rPh sb="4" eb="5">
      <t>ド</t>
    </rPh>
    <rPh sb="6" eb="8">
      <t>トクテイ</t>
    </rPh>
    <rPh sb="8" eb="9">
      <t>ヒ</t>
    </rPh>
    <rPh sb="9" eb="11">
      <t>エイリ</t>
    </rPh>
    <rPh sb="11" eb="13">
      <t>カツドウ</t>
    </rPh>
    <rPh sb="14" eb="15">
      <t>カカ</t>
    </rPh>
    <rPh sb="16" eb="18">
      <t>ジギョウ</t>
    </rPh>
    <rPh sb="19" eb="21">
      <t>カイケイ</t>
    </rPh>
    <rPh sb="21" eb="23">
      <t>タイシャク</t>
    </rPh>
    <rPh sb="23" eb="25">
      <t>タイショウ</t>
    </rPh>
    <rPh sb="25" eb="26">
      <t>ヒョウ</t>
    </rPh>
    <phoneticPr fontId="3"/>
  </si>
  <si>
    <t>令和　６年　 ９月　３０日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</si>
  <si>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６年　 １０月　３１日　　現在</t>
    <rPh sb="0" eb="2">
      <t>レイワ</t>
    </rPh>
    <rPh sb="4" eb="5">
      <t>ネン</t>
    </rPh>
    <rPh sb="9" eb="10">
      <t>ガツ</t>
    </rPh>
    <rPh sb="13" eb="14">
      <t>ヒ</t>
    </rPh>
    <rPh sb="16" eb="18">
      <t>ゲンザイ</t>
    </rPh>
    <phoneticPr fontId="3"/>
  </si>
  <si>
    <t>令和　６年　 １１月　３０日　　現在</t>
    <rPh sb="0" eb="2">
      <t>レイワ</t>
    </rPh>
    <rPh sb="4" eb="5">
      <t>ネン</t>
    </rPh>
    <rPh sb="9" eb="10">
      <t>ガツ</t>
    </rPh>
    <rPh sb="13" eb="14">
      <t>ヒ</t>
    </rPh>
    <rPh sb="16" eb="18">
      <t>ゲンザイ</t>
    </rPh>
    <phoneticPr fontId="3"/>
  </si>
  <si>
    <t>令和　６年　 １２月　３１日　　現在</t>
    <rPh sb="0" eb="2">
      <t>レイワ</t>
    </rPh>
    <rPh sb="4" eb="5">
      <t>ネン</t>
    </rPh>
    <rPh sb="9" eb="10">
      <t>ガツ</t>
    </rPh>
    <rPh sb="13" eb="14">
      <t>ヒ</t>
    </rPh>
    <rPh sb="16" eb="18">
      <t>ゲンザイ</t>
    </rPh>
    <phoneticPr fontId="3"/>
  </si>
  <si>
    <t>令和　７年　 １月　３１日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</si>
  <si>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７年　 ２月　２８日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</si>
  <si>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７年　 ３月　３１日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</si>
  <si>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７年　 ４月　３０日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</si>
  <si>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７年　 ５月　３１日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</si>
  <si>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令和7年度「特定非営利活動に係る事業」会計貸借対照表</t>
    <rPh sb="0" eb="2">
      <t>レイワ</t>
    </rPh>
    <rPh sb="3" eb="5">
      <t>ネンド</t>
    </rPh>
    <rPh sb="4" eb="5">
      <t>ド</t>
    </rPh>
    <rPh sb="6" eb="8">
      <t>トクテイ</t>
    </rPh>
    <rPh sb="8" eb="9">
      <t>ヒ</t>
    </rPh>
    <rPh sb="9" eb="11">
      <t>エイリ</t>
    </rPh>
    <rPh sb="11" eb="13">
      <t>カツドウ</t>
    </rPh>
    <rPh sb="14" eb="15">
      <t>カカ</t>
    </rPh>
    <rPh sb="16" eb="18">
      <t>ジギョウ</t>
    </rPh>
    <rPh sb="19" eb="21">
      <t>カイケイ</t>
    </rPh>
    <rPh sb="21" eb="23">
      <t>タイシャク</t>
    </rPh>
    <rPh sb="23" eb="25">
      <t>タイショウ</t>
    </rPh>
    <rPh sb="25" eb="26">
      <t>ヒョウ</t>
    </rPh>
    <phoneticPr fontId="3"/>
  </si>
  <si>
    <t>令和　７年　 6月　３0日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</si>
  <si>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７年　 7月　３1日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</si>
  <si>
    <t>令和　７年　 8月　３1日　　現在</t>
    <rPh sb="0" eb="2">
      <t>レイワ</t>
    </rPh>
    <rPh sb="4" eb="5">
      <t>ネン</t>
    </rPh>
    <rPh sb="8" eb="9">
      <t>ガツ</t>
    </rPh>
    <rPh sb="12" eb="13">
      <t>ヒ</t>
    </rPh>
    <rPh sb="15" eb="17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</si>
</sst>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;[Red]\-#,##0\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</cellStyleXfs>
  <cellXfs count="123">
    <xf numFmtId="0" fontId="0" fillId="0" borderId="0" xfId="0"/>
    <xf numFmtId="0" fontId="4" fillId="0" borderId="0" xfId="0" applyFont="1"/>
    <xf numFmtId="58" fontId="0" fillId="0" borderId="0" xfId="0" applyNumberForma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38" fontId="5" fillId="0" borderId="3" xfId="1" applyFont="1" applyBorder="1"/>
    <xf numFmtId="0" fontId="5" fillId="0" borderId="4" xfId="0" applyFont="1" applyBorder="1"/>
    <xf numFmtId="38" fontId="5" fillId="0" borderId="4" xfId="1" applyFont="1" applyBorder="1"/>
    <xf numFmtId="0" fontId="0" fillId="0" borderId="1" xfId="0" applyBorder="1"/>
    <xf numFmtId="0" fontId="0" fillId="0" borderId="4" xfId="0" applyBorder="1"/>
    <xf numFmtId="0" fontId="0" fillId="0" borderId="3" xfId="0" applyBorder="1"/>
    <xf numFmtId="0" fontId="5" fillId="0" borderId="5" xfId="0" applyFont="1" applyBorder="1"/>
    <xf numFmtId="38" fontId="5" fillId="0" borderId="0" xfId="1" applyFont="1"/>
    <xf numFmtId="0" fontId="5" fillId="0" borderId="6" xfId="0" applyFont="1" applyBorder="1"/>
    <xf numFmtId="38" fontId="5" fillId="0" borderId="3" xfId="0" applyNumberFormat="1" applyFont="1" applyBorder="1"/>
    <xf numFmtId="0" fontId="0" fillId="0" borderId="7" xfId="0" applyBorder="1"/>
    <xf numFmtId="0" fontId="5" fillId="0" borderId="0" xfId="0" applyFont="1"/>
    <xf numFmtId="38" fontId="5" fillId="0" borderId="0" xfId="0" applyNumberFormat="1" applyFont="1"/>
    <xf numFmtId="0" fontId="0" fillId="0" borderId="6" xfId="0" applyBorder="1"/>
    <xf numFmtId="38" fontId="0" fillId="0" borderId="0" xfId="1" applyFont="1"/>
    <xf numFmtId="0" fontId="4" fillId="0" borderId="0" xfId="0" applyFont="1" applyAlignment="1">
      <alignment horizontal="left"/>
    </xf>
    <xf numFmtId="0" fontId="0" fillId="0" borderId="8" xfId="0" applyBorder="1"/>
    <xf numFmtId="0" fontId="0" fillId="0" borderId="5" xfId="0" applyBorder="1"/>
    <xf numFmtId="0" fontId="5" fillId="0" borderId="9" xfId="0" applyFont="1" applyBorder="1"/>
    <xf numFmtId="38" fontId="5" fillId="0" borderId="5" xfId="0" applyNumberFormat="1" applyFont="1" applyBorder="1"/>
    <xf numFmtId="38" fontId="5" fillId="0" borderId="6" xfId="1" applyFont="1" applyBorder="1"/>
    <xf numFmtId="38" fontId="7" fillId="0" borderId="6" xfId="1" applyFont="1" applyBorder="1"/>
    <xf numFmtId="0" fontId="5" fillId="0" borderId="10" xfId="0" applyFont="1" applyBorder="1"/>
    <xf numFmtId="38" fontId="5" fillId="0" borderId="5" xfId="1" applyFont="1" applyBorder="1"/>
    <xf numFmtId="0" fontId="2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1" fillId="0" borderId="6" xfId="1" applyFont="1" applyBorder="1"/>
    <xf numFmtId="176" fontId="5" fillId="0" borderId="3" xfId="2" quotePrefix="1" applyNumberFormat="1" applyFont="1" applyBorder="1" applyAlignment="1">
      <alignment horizontal="right"/>
    </xf>
    <xf numFmtId="38" fontId="5" fillId="0" borderId="2" xfId="0" applyNumberFormat="1" applyFont="1" applyBorder="1"/>
    <xf numFmtId="0" fontId="5" fillId="0" borderId="3" xfId="0" applyFont="1" applyBorder="1" applyAlignment="1">
      <alignment horizontal="center"/>
    </xf>
    <xf numFmtId="38" fontId="7" fillId="0" borderId="4" xfId="1" applyFont="1" applyBorder="1"/>
    <xf numFmtId="38" fontId="7" fillId="0" borderId="4" xfId="0" applyNumberFormat="1" applyFont="1" applyBorder="1"/>
    <xf numFmtId="38" fontId="7" fillId="0" borderId="11" xfId="0" applyNumberFormat="1" applyFont="1" applyBorder="1"/>
    <xf numFmtId="0" fontId="8" fillId="0" borderId="4" xfId="0" applyFont="1" applyBorder="1"/>
    <xf numFmtId="58" fontId="0" fillId="0" borderId="4" xfId="0" applyNumberFormat="1" applyBorder="1" applyAlignment="1">
      <alignment horizontal="center"/>
    </xf>
    <xf numFmtId="38" fontId="2" fillId="0" borderId="6" xfId="1" applyBorder="1"/>
    <xf numFmtId="38" fontId="7" fillId="0" borderId="1" xfId="1" applyFont="1" applyBorder="1"/>
    <xf numFmtId="38" fontId="7" fillId="0" borderId="1" xfId="0" applyNumberFormat="1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58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58" fontId="5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4" fillId="0" borderId="12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38" fontId="7" fillId="0" borderId="6" xfId="1" applyFont="1" applyBorder="1" applyAlignment="1">
      <alignment vertical="center"/>
    </xf>
    <xf numFmtId="58" fontId="2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8" fillId="0" borderId="1" xfId="0" applyFont="1" applyBorder="1"/>
    <xf numFmtId="0" fontId="7" fillId="0" borderId="1" xfId="0" applyFont="1" applyBorder="1" applyAlignment="1">
      <alignment horizontal="left"/>
    </xf>
    <xf numFmtId="0" fontId="8" fillId="0" borderId="3" xfId="0" applyFont="1" applyBorder="1"/>
    <xf numFmtId="0" fontId="7" fillId="0" borderId="3" xfId="0" applyFont="1" applyBorder="1"/>
    <xf numFmtId="0" fontId="7" fillId="0" borderId="1" xfId="0" applyFont="1" applyBorder="1" applyAlignment="1">
      <alignment horizontal="center"/>
    </xf>
    <xf numFmtId="0" fontId="0" fillId="0" borderId="2" xfId="0" applyBorder="1"/>
    <xf numFmtId="38" fontId="8" fillId="0" borderId="6" xfId="1" applyFont="1" applyBorder="1"/>
    <xf numFmtId="0" fontId="11" fillId="0" borderId="0" xfId="0" applyFont="1" applyAlignment="1">
      <alignment horizontal="right" vertical="center"/>
    </xf>
    <xf numFmtId="38" fontId="2" fillId="2" borderId="6" xfId="1" applyFill="1" applyBorder="1"/>
    <xf numFmtId="0" fontId="5" fillId="2" borderId="3" xfId="0" applyFont="1" applyFill="1" applyBorder="1"/>
    <xf numFmtId="38" fontId="0" fillId="0" borderId="6" xfId="1" applyFont="1" applyBorder="1"/>
    <xf numFmtId="38" fontId="0" fillId="0" borderId="0" xfId="0" applyNumberFormat="1"/>
    <xf numFmtId="38" fontId="7" fillId="0" borderId="12" xfId="0" applyNumberFormat="1" applyFont="1" applyBorder="1"/>
    <xf numFmtId="38" fontId="7" fillId="3" borderId="1" xfId="1" applyFont="1" applyFill="1" applyBorder="1"/>
    <xf numFmtId="38" fontId="7" fillId="0" borderId="6" xfId="1" applyFont="1" applyFill="1" applyBorder="1"/>
    <xf numFmtId="38" fontId="7" fillId="0" borderId="6" xfId="1" applyFont="1" applyFill="1" applyBorder="1" applyAlignment="1">
      <alignment vertical="center"/>
    </xf>
    <xf numFmtId="38" fontId="2" fillId="0" borderId="6" xfId="1" applyFont="1" applyFill="1" applyBorder="1"/>
    <xf numFmtId="38" fontId="1" fillId="0" borderId="6" xfId="1" applyFont="1" applyFill="1" applyBorder="1"/>
    <xf numFmtId="38" fontId="2" fillId="0" borderId="6" xfId="1" applyFill="1" applyBorder="1"/>
    <xf numFmtId="38" fontId="5" fillId="0" borderId="3" xfId="1" applyFont="1" applyFill="1" applyBorder="1"/>
    <xf numFmtId="38" fontId="7" fillId="0" borderId="4" xfId="1" applyFont="1" applyFill="1" applyBorder="1"/>
    <xf numFmtId="38" fontId="5" fillId="0" borderId="5" xfId="1" applyFont="1" applyFill="1" applyBorder="1"/>
    <xf numFmtId="38" fontId="5" fillId="0" borderId="6" xfId="1" applyFont="1" applyFill="1" applyBorder="1"/>
    <xf numFmtId="38" fontId="5" fillId="0" borderId="4" xfId="1" applyFont="1" applyFill="1" applyBorder="1"/>
    <xf numFmtId="176" fontId="5" fillId="0" borderId="3" xfId="2" quotePrefix="1" applyNumberFormat="1" applyFont="1" applyFill="1" applyBorder="1" applyAlignment="1">
      <alignment horizontal="right"/>
    </xf>
    <xf numFmtId="38" fontId="5" fillId="0" borderId="0" xfId="1" applyFont="1" applyFill="1"/>
    <xf numFmtId="38" fontId="0" fillId="0" borderId="0" xfId="1" applyFont="1" applyFill="1"/>
    <xf numFmtId="38" fontId="2" fillId="3" borderId="1" xfId="1" applyFont="1" applyFill="1" applyBorder="1"/>
    <xf numFmtId="38" fontId="2" fillId="4" borderId="6" xfId="1" applyFont="1" applyFill="1" applyBorder="1"/>
    <xf numFmtId="38" fontId="1" fillId="4" borderId="6" xfId="1" applyFont="1" applyFill="1" applyBorder="1"/>
    <xf numFmtId="38" fontId="2" fillId="4" borderId="6" xfId="1" applyFill="1" applyBorder="1"/>
    <xf numFmtId="38" fontId="7" fillId="4" borderId="6" xfId="1" applyFont="1" applyFill="1" applyBorder="1"/>
    <xf numFmtId="38" fontId="2" fillId="3" borderId="8" xfId="1" applyFont="1" applyFill="1" applyBorder="1"/>
    <xf numFmtId="0" fontId="0" fillId="3" borderId="0" xfId="0" applyFill="1"/>
    <xf numFmtId="0" fontId="0" fillId="0" borderId="0" xfId="0" applyAlignment="1">
      <alignment horizontal="center" shrinkToFit="1"/>
    </xf>
    <xf numFmtId="38" fontId="13" fillId="0" borderId="0" xfId="0" applyNumberFormat="1" applyFont="1"/>
    <xf numFmtId="0" fontId="0" fillId="0" borderId="0" xfId="0" applyAlignment="1">
      <alignment horizontal="right"/>
    </xf>
    <xf numFmtId="38" fontId="0" fillId="3" borderId="1" xfId="0" applyNumberFormat="1" applyFill="1" applyBorder="1"/>
    <xf numFmtId="38" fontId="6" fillId="3" borderId="2" xfId="0" applyNumberFormat="1" applyFont="1" applyFill="1" applyBorder="1" applyAlignment="1">
      <alignment vertical="center"/>
    </xf>
    <xf numFmtId="38" fontId="0" fillId="5" borderId="1" xfId="0" applyNumberFormat="1" applyFill="1" applyBorder="1"/>
    <xf numFmtId="0" fontId="0" fillId="5" borderId="1" xfId="0" applyFill="1" applyBorder="1"/>
    <xf numFmtId="38" fontId="0" fillId="5" borderId="2" xfId="0" applyNumberFormat="1" applyFill="1" applyBorder="1"/>
    <xf numFmtId="0" fontId="0" fillId="0" borderId="0" xfId="0" applyAlignment="1">
      <alignment shrinkToFit="1"/>
    </xf>
    <xf numFmtId="0" fontId="0" fillId="3" borderId="0" xfId="0" applyFill="1" applyAlignment="1">
      <alignment horizontal="center"/>
    </xf>
    <xf numFmtId="38" fontId="2" fillId="6" borderId="1" xfId="1" applyFont="1" applyFill="1" applyBorder="1"/>
    <xf numFmtId="38" fontId="2" fillId="7" borderId="8" xfId="1" applyFont="1" applyFill="1" applyBorder="1"/>
    <xf numFmtId="38" fontId="2" fillId="7" borderId="1" xfId="1" applyFont="1" applyFill="1" applyBorder="1"/>
    <xf numFmtId="38" fontId="0" fillId="7" borderId="1" xfId="0" applyNumberFormat="1" applyFill="1" applyBorder="1"/>
    <xf numFmtId="38" fontId="6" fillId="8" borderId="2" xfId="0" applyNumberFormat="1" applyFont="1" applyFill="1" applyBorder="1" applyAlignment="1">
      <alignment vertical="center"/>
    </xf>
    <xf numFmtId="38" fontId="0" fillId="9" borderId="1" xfId="0" applyNumberFormat="1" applyFill="1" applyBorder="1"/>
    <xf numFmtId="38" fontId="0" fillId="10" borderId="1" xfId="0" applyNumberFormat="1" applyFill="1" applyBorder="1"/>
    <xf numFmtId="38" fontId="0" fillId="11" borderId="2" xfId="0" applyNumberFormat="1" applyFill="1" applyBorder="1"/>
    <xf numFmtId="38" fontId="0" fillId="0" borderId="6" xfId="1" applyFont="1" applyFill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58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1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theme" Target="theme/theme1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externalLink" Target="externalLinks/externalLink15.xml"/><Relationship Id="rId110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externalLink" Target="externalLinks/externalLink3.xml"/><Relationship Id="rId95" Type="http://schemas.openxmlformats.org/officeDocument/2006/relationships/externalLink" Target="externalLinks/externalLink8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externalLink" Target="externalLinks/externalLink13.xml"/><Relationship Id="rId105" Type="http://schemas.openxmlformats.org/officeDocument/2006/relationships/externalLink" Target="externalLinks/externalLink1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externalLink" Target="externalLinks/externalLink6.xml"/><Relationship Id="rId9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externalLink" Target="externalLinks/externalLink16.xml"/><Relationship Id="rId108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externalLink" Target="externalLinks/externalLink1.xml"/><Relationship Id="rId91" Type="http://schemas.openxmlformats.org/officeDocument/2006/relationships/externalLink" Target="externalLinks/externalLink4.xml"/><Relationship Id="rId96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19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externalLink" Target="externalLinks/externalLink7.xml"/><Relationship Id="rId99" Type="http://schemas.openxmlformats.org/officeDocument/2006/relationships/externalLink" Target="externalLinks/externalLink12.xml"/><Relationship Id="rId101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sharedStrings" Target="sharedStrings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externalLink" Target="externalLinks/externalLink10.xml"/><Relationship Id="rId104" Type="http://schemas.openxmlformats.org/officeDocument/2006/relationships/externalLink" Target="externalLinks/externalLink1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31</xdr:row>
      <xdr:rowOff>133350</xdr:rowOff>
    </xdr:from>
    <xdr:to>
      <xdr:col>7</xdr:col>
      <xdr:colOff>676275</xdr:colOff>
      <xdr:row>37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5D259A-95E9-8967-7445-AC2B68F74964}"/>
            </a:ext>
          </a:extLst>
        </xdr:cNvPr>
        <xdr:cNvSpPr txBox="1"/>
      </xdr:nvSpPr>
      <xdr:spPr>
        <a:xfrm>
          <a:off x="7038975" y="5895975"/>
          <a:ext cx="25146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②科目数値を手入力により固定する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44</xdr:row>
      <xdr:rowOff>114300</xdr:rowOff>
    </xdr:from>
    <xdr:to>
      <xdr:col>8</xdr:col>
      <xdr:colOff>133350</xdr:colOff>
      <xdr:row>51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3F0D5D-47B8-7C4C-B088-3C59136A5C9C}"/>
            </a:ext>
          </a:extLst>
        </xdr:cNvPr>
        <xdr:cNvSpPr txBox="1"/>
      </xdr:nvSpPr>
      <xdr:spPr>
        <a:xfrm>
          <a:off x="7200900" y="8115300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②科目数値を手入力により固定する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44</xdr:row>
      <xdr:rowOff>114300</xdr:rowOff>
    </xdr:from>
    <xdr:to>
      <xdr:col>8</xdr:col>
      <xdr:colOff>133350</xdr:colOff>
      <xdr:row>51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848041-BAB5-57D5-5D40-D4B429A670ED}"/>
            </a:ext>
          </a:extLst>
        </xdr:cNvPr>
        <xdr:cNvSpPr txBox="1"/>
      </xdr:nvSpPr>
      <xdr:spPr>
        <a:xfrm>
          <a:off x="7200900" y="8115300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②科目数値を手入力により固定する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44</xdr:row>
      <xdr:rowOff>114300</xdr:rowOff>
    </xdr:from>
    <xdr:to>
      <xdr:col>8</xdr:col>
      <xdr:colOff>133350</xdr:colOff>
      <xdr:row>51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EBE8BD-E6EC-667D-0914-BD32F5B4D152}"/>
            </a:ext>
          </a:extLst>
        </xdr:cNvPr>
        <xdr:cNvSpPr txBox="1"/>
      </xdr:nvSpPr>
      <xdr:spPr>
        <a:xfrm>
          <a:off x="7200900" y="8115300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②科目数値を手入力により固定する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44</xdr:row>
      <xdr:rowOff>114300</xdr:rowOff>
    </xdr:from>
    <xdr:to>
      <xdr:col>8</xdr:col>
      <xdr:colOff>133350</xdr:colOff>
      <xdr:row>51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A3D622-0053-2781-08A3-EB95B9E1A15C}"/>
            </a:ext>
          </a:extLst>
        </xdr:cNvPr>
        <xdr:cNvSpPr txBox="1"/>
      </xdr:nvSpPr>
      <xdr:spPr>
        <a:xfrm>
          <a:off x="7200900" y="8115300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44</xdr:row>
      <xdr:rowOff>114300</xdr:rowOff>
    </xdr:from>
    <xdr:to>
      <xdr:col>8</xdr:col>
      <xdr:colOff>133350</xdr:colOff>
      <xdr:row>51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22DB68-B26C-F87A-9439-CE50E416D663}"/>
            </a:ext>
          </a:extLst>
        </xdr:cNvPr>
        <xdr:cNvSpPr txBox="1"/>
      </xdr:nvSpPr>
      <xdr:spPr>
        <a:xfrm>
          <a:off x="7200900" y="8115300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44</xdr:row>
      <xdr:rowOff>114300</xdr:rowOff>
    </xdr:from>
    <xdr:to>
      <xdr:col>8</xdr:col>
      <xdr:colOff>133350</xdr:colOff>
      <xdr:row>51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0AE463-561A-38AE-AA54-468B760FEC9E}"/>
            </a:ext>
          </a:extLst>
        </xdr:cNvPr>
        <xdr:cNvSpPr txBox="1"/>
      </xdr:nvSpPr>
      <xdr:spPr>
        <a:xfrm>
          <a:off x="7200900" y="8115300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44</xdr:row>
      <xdr:rowOff>114300</xdr:rowOff>
    </xdr:from>
    <xdr:to>
      <xdr:col>8</xdr:col>
      <xdr:colOff>133350</xdr:colOff>
      <xdr:row>51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AE4B1D-A176-3A81-00F1-A6C60931C080}"/>
            </a:ext>
          </a:extLst>
        </xdr:cNvPr>
        <xdr:cNvSpPr txBox="1"/>
      </xdr:nvSpPr>
      <xdr:spPr>
        <a:xfrm>
          <a:off x="7200900" y="8115300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44</xdr:row>
      <xdr:rowOff>114300</xdr:rowOff>
    </xdr:from>
    <xdr:to>
      <xdr:col>8</xdr:col>
      <xdr:colOff>133350</xdr:colOff>
      <xdr:row>51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A98E43-9291-2E9C-E55B-E95A3B6BF929}"/>
            </a:ext>
          </a:extLst>
        </xdr:cNvPr>
        <xdr:cNvSpPr txBox="1"/>
      </xdr:nvSpPr>
      <xdr:spPr>
        <a:xfrm>
          <a:off x="7200900" y="8115300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44</xdr:row>
      <xdr:rowOff>114300</xdr:rowOff>
    </xdr:from>
    <xdr:to>
      <xdr:col>8</xdr:col>
      <xdr:colOff>133350</xdr:colOff>
      <xdr:row>51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A5F53A-E217-6E1A-0B01-54A532F273CD}"/>
            </a:ext>
          </a:extLst>
        </xdr:cNvPr>
        <xdr:cNvSpPr txBox="1"/>
      </xdr:nvSpPr>
      <xdr:spPr>
        <a:xfrm>
          <a:off x="7200900" y="8115300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B6F286-5FA7-2775-DADF-56D06C40DE1C}"/>
            </a:ext>
          </a:extLst>
        </xdr:cNvPr>
        <xdr:cNvSpPr txBox="1"/>
      </xdr:nvSpPr>
      <xdr:spPr>
        <a:xfrm>
          <a:off x="7200900" y="8115300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31</xdr:row>
      <xdr:rowOff>0</xdr:rowOff>
    </xdr:from>
    <xdr:to>
      <xdr:col>8</xdr:col>
      <xdr:colOff>323850</xdr:colOff>
      <xdr:row>36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83EFA7-1BA7-ED7A-9F17-72F5BA235016}"/>
            </a:ext>
          </a:extLst>
        </xdr:cNvPr>
        <xdr:cNvSpPr txBox="1"/>
      </xdr:nvSpPr>
      <xdr:spPr>
        <a:xfrm>
          <a:off x="7391400" y="5762625"/>
          <a:ext cx="25146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②科目数値を手入力により固定する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E85D6F-544B-0673-F871-E1E525AF5555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DE8E45-5A11-52E3-04E4-BE0FC1E8A7B6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821B6F-B901-3961-1D57-1D1A8740C342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9A1785-A735-8507-6C10-9FF35130E599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07F9D4-A203-54EE-34CD-741410727296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7C9458-2114-D402-A717-28E2C1B5B75D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9AC2B8-53B9-5BFE-CDB6-52F24E461B8F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8FC7F4-9069-8500-C043-A6288DED87D1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859357-3582-53F2-BDED-FC31C32535A5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22653F-D859-0AA0-6A78-506287EAF8A4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31</xdr:row>
      <xdr:rowOff>0</xdr:rowOff>
    </xdr:from>
    <xdr:to>
      <xdr:col>8</xdr:col>
      <xdr:colOff>323850</xdr:colOff>
      <xdr:row>36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1BADE7-01E7-E7A0-30E8-6AFDC5CD9078}"/>
            </a:ext>
          </a:extLst>
        </xdr:cNvPr>
        <xdr:cNvSpPr txBox="1"/>
      </xdr:nvSpPr>
      <xdr:spPr>
        <a:xfrm>
          <a:off x="7391400" y="5762625"/>
          <a:ext cx="25146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②科目数値を手入力により固定する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8183A6-4B3B-5E93-F087-3F25D85EC49D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8B72E3-A682-2B49-93E9-F28C5439B404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71F926-F70A-F807-09E1-851D8926C32B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520F35-7666-5681-3BCA-E0CCF735B85D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96F86E-A140-D388-4030-DF6424810AE2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463825-9DE9-3C9E-F65A-DF42F8B17E2F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3A2213-7578-3017-106E-849CD590D4C5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163683-204E-D794-0892-DAA7382C42B5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030B17-09CA-7559-C115-1B1DA2ACFB8D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0B6182-EF95-2538-6C3D-0797AF03F5F8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31</xdr:row>
      <xdr:rowOff>0</xdr:rowOff>
    </xdr:from>
    <xdr:to>
      <xdr:col>8</xdr:col>
      <xdr:colOff>323850</xdr:colOff>
      <xdr:row>36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F9BD9A-A9E0-C27B-0F93-336C0B35B8CF}"/>
            </a:ext>
          </a:extLst>
        </xdr:cNvPr>
        <xdr:cNvSpPr txBox="1"/>
      </xdr:nvSpPr>
      <xdr:spPr>
        <a:xfrm>
          <a:off x="7391400" y="5762625"/>
          <a:ext cx="25146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②科目数値を手入力により固定する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E7346B-2AFF-791E-3516-F6E6194368C5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4847E4-9861-D0D5-A614-4DD9CD694A2E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47B78D-AC90-B185-3F77-30BE9BC1206A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259D35-51C7-61A3-E9E4-4D8E3007511F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73506E-EEED-402A-7E8D-69B2AEE7F0E0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603B44-DBBC-4BBE-207D-23561794BC77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D5BFFC-696B-8A42-D64F-0E171156D99C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D5CF47-A7CE-A210-B1E3-348ABC70EBE0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D24C79-CFF8-A221-BC16-C7B318F2CBB9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8F3015-370F-4709-9783-D47F97621639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31</xdr:row>
      <xdr:rowOff>0</xdr:rowOff>
    </xdr:from>
    <xdr:to>
      <xdr:col>8</xdr:col>
      <xdr:colOff>323850</xdr:colOff>
      <xdr:row>36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58162C-75CB-0079-A613-C83C42634A6B}"/>
            </a:ext>
          </a:extLst>
        </xdr:cNvPr>
        <xdr:cNvSpPr txBox="1"/>
      </xdr:nvSpPr>
      <xdr:spPr>
        <a:xfrm>
          <a:off x="7391400" y="5762625"/>
          <a:ext cx="25146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②科目数値を手入力により固定する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EDF4D8-B33E-41B5-AD65-461780463B85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19EF68-425B-44FB-97FD-DB4C9DCB95E7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45</xdr:row>
      <xdr:rowOff>114300</xdr:rowOff>
    </xdr:from>
    <xdr:to>
      <xdr:col>8</xdr:col>
      <xdr:colOff>133350</xdr:colOff>
      <xdr:row>52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4DD2F1-400C-4848-A47C-BF56323B392F}"/>
            </a:ext>
          </a:extLst>
        </xdr:cNvPr>
        <xdr:cNvSpPr txBox="1"/>
      </xdr:nvSpPr>
      <xdr:spPr>
        <a:xfrm>
          <a:off x="7200900" y="8296275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②前月の科目数値を手入力により固定　</a:t>
          </a:r>
          <a:endParaRPr kumimoji="1" lang="en-US" altLang="ja-JP" sz="1100"/>
        </a:p>
        <a:p>
          <a:r>
            <a:rPr kumimoji="1" lang="ja-JP" altLang="en-US" sz="1100"/>
            <a:t>　　　する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44</xdr:row>
      <xdr:rowOff>114300</xdr:rowOff>
    </xdr:from>
    <xdr:to>
      <xdr:col>8</xdr:col>
      <xdr:colOff>133350</xdr:colOff>
      <xdr:row>51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8BAA31-B0D8-C322-FC53-F5E5C9C73B92}"/>
            </a:ext>
          </a:extLst>
        </xdr:cNvPr>
        <xdr:cNvSpPr txBox="1"/>
      </xdr:nvSpPr>
      <xdr:spPr>
        <a:xfrm>
          <a:off x="7200900" y="8115300"/>
          <a:ext cx="25146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②科目数値を手入力により固定する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44</xdr:row>
      <xdr:rowOff>114300</xdr:rowOff>
    </xdr:from>
    <xdr:to>
      <xdr:col>8</xdr:col>
      <xdr:colOff>133350</xdr:colOff>
      <xdr:row>51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247BDF-11BF-D1D6-DA24-A74C0822EACB}"/>
            </a:ext>
          </a:extLst>
        </xdr:cNvPr>
        <xdr:cNvSpPr txBox="1"/>
      </xdr:nvSpPr>
      <xdr:spPr>
        <a:xfrm>
          <a:off x="7200900" y="8115300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②科目数値を手入力により固定する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44</xdr:row>
      <xdr:rowOff>114300</xdr:rowOff>
    </xdr:from>
    <xdr:to>
      <xdr:col>8</xdr:col>
      <xdr:colOff>133350</xdr:colOff>
      <xdr:row>51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D132D0-6259-B01F-26F5-0015E8F5BAE5}"/>
            </a:ext>
          </a:extLst>
        </xdr:cNvPr>
        <xdr:cNvSpPr txBox="1"/>
      </xdr:nvSpPr>
      <xdr:spPr>
        <a:xfrm>
          <a:off x="7200900" y="8115300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②科目数値を手入力により固定する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44</xdr:row>
      <xdr:rowOff>114300</xdr:rowOff>
    </xdr:from>
    <xdr:to>
      <xdr:col>8</xdr:col>
      <xdr:colOff>133350</xdr:colOff>
      <xdr:row>51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53F6B1-CBCA-6443-8B9F-68AAFCBCA371}"/>
            </a:ext>
          </a:extLst>
        </xdr:cNvPr>
        <xdr:cNvSpPr txBox="1"/>
      </xdr:nvSpPr>
      <xdr:spPr>
        <a:xfrm>
          <a:off x="7200900" y="8115300"/>
          <a:ext cx="25908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月次更新処理</a:t>
          </a:r>
          <a:endParaRPr kumimoji="1" lang="en-US" altLang="ja-JP" sz="1100"/>
        </a:p>
        <a:p>
          <a:r>
            <a:rPr kumimoji="1" lang="ja-JP" altLang="en-US" sz="1100"/>
            <a:t>　①翌月タブを作る</a:t>
          </a:r>
          <a:endParaRPr kumimoji="1" lang="en-US" altLang="ja-JP" sz="1100"/>
        </a:p>
        <a:p>
          <a:r>
            <a:rPr kumimoji="1" lang="ja-JP" altLang="en-US" sz="1100"/>
            <a:t>　②科目数値を手入力により固定する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tto-disk\&#20107;&#21209;&#23616;\&#20013;&#20117;\kari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otto-disk\&#20107;&#21209;&#23616;\&#20013;&#20117;\&#36001;&#21209;&#35576;&#34920;\&#35430;&#31639;&#34920;&#27491;&#26412;.xlsx" TargetMode="External"/><Relationship Id="rId1" Type="http://schemas.openxmlformats.org/officeDocument/2006/relationships/externalLinkPath" Target="file:///\\Hotto-disk\&#20107;&#21209;&#23616;\&#20013;&#20117;\&#36001;&#21209;&#35576;&#34920;\&#35430;&#31639;&#34920;&#27491;&#26412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tto-disk\&#20107;&#21209;&#23616;\&#20013;&#20117;&#24341;&#32153;\&#36001;&#21209;&#35576;&#34920;\&#24115;&#31807;\R6&#24180;&#24230;&#24115;&#31807;\&#38928;&#37329;&#24115;&#31807;R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tto-disk\&#20107;&#21209;&#23616;\&#20013;&#20117;&#24341;&#32153;\&#36001;&#21209;&#35576;&#34920;\&#24115;&#31807;\R6&#24180;&#24230;&#24115;&#31807;\&#26410;&#21454;&#37329;R6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tto-disk\&#20107;&#21209;&#23616;\&#20013;&#20117;&#24341;&#32153;\&#36001;&#21209;&#35576;&#34920;\&#24115;&#31807;\R6&#24180;&#24230;&#24115;&#31807;\&#36039;&#29987;&#21488;&#24115;R6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otto-disk\&#20107;&#21209;&#23616;\&#20013;&#20117;&#24341;&#32153;\&#36001;&#21209;&#35576;&#34920;\&#24115;&#31807;\R7&#24180;&#24230;&#24115;&#31807;\&#38928;&#37329;&#24115;&#31807;R7.xlsx" TargetMode="External"/><Relationship Id="rId1" Type="http://schemas.openxmlformats.org/officeDocument/2006/relationships/externalLinkPath" Target="file:///\\Hotto-disk\&#20107;&#21209;&#23616;\&#20013;&#20117;&#24341;&#32153;\&#36001;&#21209;&#35576;&#34920;\&#24115;&#31807;\R7&#24180;&#24230;&#24115;&#31807;\&#38928;&#37329;&#24115;&#31807;R7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otto-disk\&#20107;&#21209;&#23616;\&#20013;&#20117;\&#36001;&#21209;&#35576;&#34920;\&#24115;&#31807;\R7&#24180;&#24230;&#24115;&#31807;\&#26410;&#21454;&#37329;R7&#27491;&#26412;.xlsx" TargetMode="External"/><Relationship Id="rId1" Type="http://schemas.openxmlformats.org/officeDocument/2006/relationships/externalLinkPath" Target="file:///\\Hotto-disk\&#20107;&#21209;&#23616;\&#20013;&#20117;\&#36001;&#21209;&#35576;&#34920;\&#24115;&#31807;\R7&#24180;&#24230;&#24115;&#31807;\&#26410;&#21454;&#37329;R7&#27491;&#26412;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otto-disk\&#20107;&#21209;&#23616;\&#20013;&#20117;\&#36001;&#21209;&#35576;&#34920;\&#24115;&#31807;\R7&#24180;&#24230;&#24115;&#31807;\&#36039;&#29987;&#21488;&#24115;R7&#27491;&#26412;.xlsx" TargetMode="External"/><Relationship Id="rId1" Type="http://schemas.openxmlformats.org/officeDocument/2006/relationships/externalLinkPath" Target="file:///\\Hotto-disk\&#20107;&#21209;&#23616;\&#20013;&#20117;\&#36001;&#21209;&#35576;&#34920;\&#24115;&#31807;\R7&#24180;&#24230;&#24115;&#31807;\&#36039;&#29987;&#21488;&#24115;R7&#27491;&#26412;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otto-disk\&#20107;&#21209;&#23616;\&#20013;&#20117;&#24341;&#32153;\&#36001;&#21209;&#35576;&#34920;\&#24115;&#31807;\R7&#24180;&#24230;&#24115;&#31807;\&#26410;&#21454;&#37329;R7.xlsx" TargetMode="External"/><Relationship Id="rId1" Type="http://schemas.openxmlformats.org/officeDocument/2006/relationships/externalLinkPath" Target="file:///\\Hotto-disk\&#20107;&#21209;&#23616;\&#20013;&#20117;&#24341;&#32153;\&#36001;&#21209;&#35576;&#34920;\&#24115;&#31807;\R7&#24180;&#24230;&#24115;&#31807;\&#26410;&#21454;&#37329;R7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otto-disk\&#20107;&#21209;&#23616;\&#20013;&#20117;&#24341;&#32153;\&#36001;&#21209;&#35576;&#34920;\&#24115;&#31807;\R7&#24180;&#24230;&#24115;&#31807;\&#36039;&#29987;&#21488;&#24115;R7.xlsx" TargetMode="External"/><Relationship Id="rId1" Type="http://schemas.openxmlformats.org/officeDocument/2006/relationships/externalLinkPath" Target="file:///\\Hotto-disk\&#20107;&#21209;&#23616;\&#20013;&#20117;&#24341;&#32153;\&#36001;&#21209;&#35576;&#34920;\&#24115;&#31807;\R7&#24180;&#24230;&#24115;&#31807;\&#36039;&#29987;&#21488;&#24115;R7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otto-disk\&#20107;&#21209;&#23616;\&#20013;&#20117;&#24341;&#32153;\&#36001;&#21209;&#35576;&#34920;\&#35430;&#31639;&#34920;.xlsx" TargetMode="External"/><Relationship Id="rId1" Type="http://schemas.openxmlformats.org/officeDocument/2006/relationships/externalLinkPath" Target="file:///\\Hotto-disk\&#20107;&#21209;&#23616;\&#20013;&#20117;&#24341;&#32153;\&#36001;&#21209;&#35576;&#34920;\&#35430;&#31639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tto-disk\&#20107;&#21209;&#23616;\&#20013;&#20117;\&#36001;&#21209;&#35576;&#34920;\&#12467;&#12500;&#12540;&#26376;&#21029;&#21454;&#25903;&#23455;&#32318;&#65288;&#26368;&#2603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tto-disk\&#20107;&#21209;&#23616;\&#20013;&#20117;\&#36001;&#21209;&#35576;&#34920;\&#26376;&#21029;&#21454;&#25903;&#23455;&#3231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tto-disk\&#20107;&#21209;&#23616;\&#20013;&#20117;\&#36001;&#21209;&#35576;&#34920;\&#24115;&#31807;\R4&#24180;&#24230;&#24115;&#31807;\&#38928;&#37329;&#24115;&#3180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tto-disk\&#20107;&#21209;&#23616;\&#20013;&#20117;\&#36001;&#21209;&#35576;&#34920;\&#24115;&#31807;\R4&#24180;&#24230;&#24115;&#31807;\&#26410;&#21454;&#3732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tto-disk\&#20107;&#21209;&#23616;\&#20013;&#20117;\&#36001;&#21209;&#35576;&#34920;\&#24115;&#31807;\R4&#24180;&#24230;&#24115;&#31807;\&#36039;&#29987;&#21488;&#2411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tto-disk\&#20107;&#21209;&#23616;\&#20013;&#20117;&#24341;&#32153;\&#36001;&#21209;&#35576;&#34920;\&#24115;&#31807;\R4&#24180;&#24230;&#24115;&#31807;\&#38928;&#37329;&#24115;&#31807;R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tto-disk\&#20107;&#21209;&#23616;\&#20013;&#20117;&#24341;&#32153;\&#36001;&#21209;&#35576;&#34920;\&#24115;&#31807;\R4&#24180;&#24230;&#24115;&#31807;\&#26410;&#21454;&#37329;R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tto-disk\&#20107;&#21209;&#23616;\&#20013;&#20117;&#24341;&#32153;\&#36001;&#21209;&#35576;&#34920;\&#24115;&#31807;\R4&#24180;&#24230;&#24115;&#31807;\&#36039;&#29987;&#21488;&#24115;R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成21年度"/>
      <sheetName val="22年度"/>
      <sheetName val="23予測"/>
      <sheetName val="23年度"/>
      <sheetName val="予測対比"/>
      <sheetName val="22・23年度合計"/>
      <sheetName val="24年度計画"/>
      <sheetName val="24年度 "/>
      <sheetName val="23・24年度合計"/>
      <sheetName val="25年度"/>
      <sheetName val="26年度"/>
      <sheetName val="27年度"/>
      <sheetName val="28年度 "/>
      <sheetName val="29年度"/>
      <sheetName val="30年度"/>
      <sheetName val="31・令和元年度"/>
      <sheetName val="令和2年度 "/>
      <sheetName val="収支推移"/>
      <sheetName val="収支推移 (2)"/>
      <sheetName val="認定ＮＰＯ関連"/>
      <sheetName val="Sheet1"/>
      <sheetName val="Sheet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73">
          <cell r="P73">
            <v>1701940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平成21年度"/>
      <sheetName val="22年度"/>
      <sheetName val="23予測"/>
      <sheetName val="23年度"/>
      <sheetName val="予測対比"/>
      <sheetName val="22・23年度合計"/>
      <sheetName val="24年度計画"/>
      <sheetName val="24年度 "/>
      <sheetName val="23・24年度合計"/>
      <sheetName val="25年度"/>
      <sheetName val="26年度"/>
      <sheetName val="27年度"/>
      <sheetName val="28年度 "/>
      <sheetName val="29年度"/>
      <sheetName val="30年度"/>
      <sheetName val="31・令和元年度"/>
      <sheetName val="令和2年度 "/>
      <sheetName val="令和3年度"/>
      <sheetName val="令和4年度"/>
      <sheetName val="令和５年度"/>
      <sheetName val="令和６年度"/>
      <sheetName val="令和７年度"/>
      <sheetName val="収支推移"/>
      <sheetName val="収支推移 (2)"/>
      <sheetName val="認定ＮＰＯ関連"/>
      <sheetName val="Sheet1"/>
      <sheetName val="Sheet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74">
          <cell r="P74">
            <v>-5206797</v>
          </cell>
        </row>
      </sheetData>
      <sheetData sheetId="19">
        <row r="74">
          <cell r="P74">
            <v>-19456516</v>
          </cell>
        </row>
      </sheetData>
      <sheetData sheetId="20">
        <row r="74">
          <cell r="P74">
            <v>-4770050</v>
          </cell>
        </row>
      </sheetData>
      <sheetData sheetId="21">
        <row r="74">
          <cell r="P74">
            <v>997914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預金"/>
      <sheetName val="0138359"/>
      <sheetName val="0138642（居宅）"/>
      <sheetName val="0138655（通所）"/>
      <sheetName val="0156560（新庄）"/>
      <sheetName val="0158313（ゆけむり）"/>
      <sheetName val="0139101（ちゃれんじ）"/>
      <sheetName val="2253865（助け合い）"/>
      <sheetName val="2253871（通所）"/>
      <sheetName val="2254321（ミニ）"/>
      <sheetName val="JA0034628"/>
      <sheetName val="ゆうちょ6473091"/>
      <sheetName val="しま信0116975"/>
    </sheetNames>
    <sheetDataSet>
      <sheetData sheetId="0"/>
      <sheetData sheetId="1">
        <row r="37">
          <cell r="AJ37">
            <v>4981376</v>
          </cell>
        </row>
      </sheetData>
      <sheetData sheetId="2">
        <row r="37">
          <cell r="AJ37">
            <v>154091</v>
          </cell>
        </row>
      </sheetData>
      <sheetData sheetId="3">
        <row r="37">
          <cell r="AJ37">
            <v>5711</v>
          </cell>
        </row>
      </sheetData>
      <sheetData sheetId="4">
        <row r="37">
          <cell r="AJ37">
            <v>99191</v>
          </cell>
        </row>
      </sheetData>
      <sheetData sheetId="5">
        <row r="37">
          <cell r="AJ37">
            <v>50444</v>
          </cell>
        </row>
      </sheetData>
      <sheetData sheetId="6">
        <row r="37">
          <cell r="AJ37">
            <v>583296</v>
          </cell>
        </row>
      </sheetData>
      <sheetData sheetId="7">
        <row r="37">
          <cell r="AJ37">
            <v>222641</v>
          </cell>
        </row>
      </sheetData>
      <sheetData sheetId="8">
        <row r="37">
          <cell r="AJ37">
            <v>484375</v>
          </cell>
        </row>
      </sheetData>
      <sheetData sheetId="9">
        <row r="37">
          <cell r="AJ37">
            <v>6886188</v>
          </cell>
        </row>
      </sheetData>
      <sheetData sheetId="10">
        <row r="37">
          <cell r="AJ37">
            <v>568938</v>
          </cell>
        </row>
      </sheetData>
      <sheetData sheetId="11">
        <row r="37">
          <cell r="AJ37">
            <v>173053</v>
          </cell>
        </row>
      </sheetData>
      <sheetData sheetId="12">
        <row r="37">
          <cell r="AJ37">
            <v>289801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資産元帳"/>
      <sheetName val="未収金（認定調査委託料）"/>
      <sheetName val="未収金（居宅支援介護報酬）"/>
      <sheetName val="未収金（通所保険請求）"/>
      <sheetName val="未収金（通所利用者負担）"/>
      <sheetName val="未収金（通所食費）"/>
      <sheetName val="未収金（予防通所保険請求）"/>
      <sheetName val="未収金（予防通所利用者負担）"/>
      <sheetName val="未収金（予防通所食費）"/>
      <sheetName val="未収金（ゆけむり保険請求）"/>
      <sheetName val="未収金（ゆけむり利用者負担）"/>
      <sheetName val="未収金（ゆけむり食費）"/>
      <sheetName val="未収金（サロン保険請求）"/>
      <sheetName val="未収金（サロン利用者負担）"/>
      <sheetName val="未収金（サロン食費）"/>
      <sheetName val="未収金（ミニデイ）"/>
      <sheetName val="未収金（通所キャンセル）"/>
      <sheetName val="未収金（処遇改善保険請求）"/>
      <sheetName val="未収金（処遇改善利用者負担）"/>
      <sheetName val="未収金（特定処遇改善保険請求）"/>
      <sheetName val="未収金（特定処遇改善利用者負担）"/>
      <sheetName val="未収金（ベースアップ加算保険請求）"/>
      <sheetName val="未収金（ベースアップ加算利用者負担）"/>
      <sheetName val="未収金（ちゃれんじ）"/>
      <sheetName val="未収金（福祉タクシー）"/>
    </sheetNames>
    <sheetDataSet>
      <sheetData sheetId="0" refreshError="1"/>
      <sheetData sheetId="1">
        <row r="37">
          <cell r="AJ37">
            <v>9240</v>
          </cell>
        </row>
      </sheetData>
      <sheetData sheetId="2">
        <row r="37">
          <cell r="AJ37">
            <v>5110490</v>
          </cell>
        </row>
      </sheetData>
      <sheetData sheetId="3">
        <row r="37">
          <cell r="AJ37">
            <v>11757712</v>
          </cell>
        </row>
      </sheetData>
      <sheetData sheetId="4">
        <row r="37">
          <cell r="AJ37">
            <v>1233924</v>
          </cell>
        </row>
      </sheetData>
      <sheetData sheetId="5">
        <row r="37">
          <cell r="AJ37">
            <v>733900</v>
          </cell>
        </row>
      </sheetData>
      <sheetData sheetId="6">
        <row r="37">
          <cell r="AJ37">
            <v>1344043</v>
          </cell>
        </row>
      </sheetData>
      <sheetData sheetId="7">
        <row r="37">
          <cell r="AJ37">
            <v>78798</v>
          </cell>
        </row>
      </sheetData>
      <sheetData sheetId="8">
        <row r="37">
          <cell r="AJ37">
            <v>104300</v>
          </cell>
        </row>
      </sheetData>
      <sheetData sheetId="9">
        <row r="37">
          <cell r="AJ37">
            <v>0</v>
          </cell>
        </row>
      </sheetData>
      <sheetData sheetId="10">
        <row r="37">
          <cell r="AJ37">
            <v>14257</v>
          </cell>
        </row>
      </sheetData>
      <sheetData sheetId="11">
        <row r="37">
          <cell r="AJ37">
            <v>0</v>
          </cell>
        </row>
      </sheetData>
      <sheetData sheetId="12">
        <row r="37">
          <cell r="AJ37">
            <v>316516</v>
          </cell>
        </row>
      </sheetData>
      <sheetData sheetId="13">
        <row r="37">
          <cell r="AJ37">
            <v>21602</v>
          </cell>
        </row>
      </sheetData>
      <sheetData sheetId="14">
        <row r="37">
          <cell r="AJ37">
            <v>31500</v>
          </cell>
        </row>
      </sheetData>
      <sheetData sheetId="15">
        <row r="37">
          <cell r="AJ37">
            <v>72800</v>
          </cell>
        </row>
      </sheetData>
      <sheetData sheetId="16">
        <row r="37">
          <cell r="AJ37">
            <v>23600</v>
          </cell>
        </row>
      </sheetData>
      <sheetData sheetId="17">
        <row r="37">
          <cell r="AJ37">
            <v>1210522</v>
          </cell>
        </row>
      </sheetData>
      <sheetData sheetId="18">
        <row r="37">
          <cell r="AJ37">
            <v>116787</v>
          </cell>
        </row>
      </sheetData>
      <sheetData sheetId="19">
        <row r="37">
          <cell r="AJ37">
            <v>0</v>
          </cell>
        </row>
      </sheetData>
      <sheetData sheetId="20">
        <row r="37">
          <cell r="AJ37">
            <v>3289</v>
          </cell>
        </row>
      </sheetData>
      <sheetData sheetId="21">
        <row r="37">
          <cell r="AJ37">
            <v>198</v>
          </cell>
        </row>
      </sheetData>
      <sheetData sheetId="22">
        <row r="37">
          <cell r="AJ37">
            <v>343</v>
          </cell>
        </row>
      </sheetData>
      <sheetData sheetId="23">
        <row r="37">
          <cell r="AJ37">
            <v>1737100</v>
          </cell>
        </row>
      </sheetData>
      <sheetData sheetId="24">
        <row r="37">
          <cell r="AJ37">
            <v>26500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資産元帳"/>
      <sheetName val="固定資産台帳"/>
      <sheetName val="固定資産台帳 (2)"/>
      <sheetName val="仮払金"/>
      <sheetName val="前払費用"/>
      <sheetName val="建物（ほっと本体）"/>
      <sheetName val="建物（ほっと2階）"/>
      <sheetName val="建物（新庄）"/>
      <sheetName val="建物（ゆけむり）"/>
      <sheetName val="建物（ほっと浴室）"/>
      <sheetName val="附属建物（厨房）"/>
      <sheetName val="附属建物（浴室）"/>
      <sheetName val="附属建物（便所）"/>
      <sheetName val="附属建物（廊下）"/>
      <sheetName val="附属設備（電気設備その他）"/>
      <sheetName val="附属設備（給排水衛生設備）"/>
      <sheetName val="附属設備（消火排煙設備）"/>
      <sheetName val="附属設備（新庄電気設備）"/>
      <sheetName val="附属設備（新庄給排水設備）"/>
      <sheetName val="附属設備（電気設備）"/>
      <sheetName val="附属設備（給排水設備）"/>
      <sheetName val="附属設備（新庄浴槽改装ガス給湯設備）"/>
      <sheetName val="附属設備（ほっと浴室移設電気工事）"/>
      <sheetName val="附属設備（ほっと浴室移設給排水設備）"/>
      <sheetName val="構築物（舗装工事）"/>
      <sheetName val="構築物（ゆけむり）"/>
      <sheetName val="構築物（新庄駐車場舗装）"/>
      <sheetName val="器具備品（新庄玄関エアコン）"/>
      <sheetName val="器具備品（新庄事務室エアコン）"/>
      <sheetName val="車両（タウンボックス）"/>
      <sheetName val="車両（はとバン）"/>
      <sheetName val="車両（ノア）"/>
      <sheetName val="車両（セレナ）"/>
      <sheetName val="車両（アトレー１）"/>
      <sheetName val="車両（アトレー４）"/>
      <sheetName val="車両（キャラ３）"/>
      <sheetName val="車両（フリード２）"/>
      <sheetName val="車両（セブン２）"/>
      <sheetName val="車両（EK３）"/>
      <sheetName val="電話加入権"/>
      <sheetName val="敷金保証金"/>
      <sheetName val="預託金"/>
      <sheetName val="短期借入金"/>
      <sheetName val="長期借入金"/>
      <sheetName val="預り金"/>
    </sheetNames>
    <sheetDataSet>
      <sheetData sheetId="0"/>
      <sheetData sheetId="1"/>
      <sheetData sheetId="2"/>
      <sheetData sheetId="3">
        <row r="37">
          <cell r="AJ37">
            <v>1279291</v>
          </cell>
        </row>
      </sheetData>
      <sheetData sheetId="4"/>
      <sheetData sheetId="5">
        <row r="5">
          <cell r="AJ5">
            <v>225002</v>
          </cell>
        </row>
      </sheetData>
      <sheetData sheetId="6">
        <row r="5">
          <cell r="AJ5">
            <v>159976</v>
          </cell>
        </row>
      </sheetData>
      <sheetData sheetId="7">
        <row r="5">
          <cell r="AJ5">
            <v>14958933</v>
          </cell>
        </row>
      </sheetData>
      <sheetData sheetId="8">
        <row r="5">
          <cell r="AJ5">
            <v>22564101</v>
          </cell>
        </row>
      </sheetData>
      <sheetData sheetId="9">
        <row r="5">
          <cell r="AJ5">
            <v>3600857</v>
          </cell>
        </row>
      </sheetData>
      <sheetData sheetId="10">
        <row r="5">
          <cell r="AJ5">
            <v>1</v>
          </cell>
        </row>
      </sheetData>
      <sheetData sheetId="11">
        <row r="5">
          <cell r="AJ5">
            <v>1</v>
          </cell>
        </row>
      </sheetData>
      <sheetData sheetId="12">
        <row r="5">
          <cell r="AJ5">
            <v>1</v>
          </cell>
        </row>
      </sheetData>
      <sheetData sheetId="13">
        <row r="5">
          <cell r="AJ5">
            <v>1</v>
          </cell>
        </row>
      </sheetData>
      <sheetData sheetId="14">
        <row r="5">
          <cell r="AJ5">
            <v>82438</v>
          </cell>
        </row>
      </sheetData>
      <sheetData sheetId="15">
        <row r="5">
          <cell r="AJ5">
            <v>94536</v>
          </cell>
        </row>
      </sheetData>
      <sheetData sheetId="16">
        <row r="5">
          <cell r="AJ5">
            <v>5047</v>
          </cell>
        </row>
      </sheetData>
      <sheetData sheetId="17">
        <row r="5">
          <cell r="AJ5">
            <v>365715</v>
          </cell>
        </row>
      </sheetData>
      <sheetData sheetId="18">
        <row r="5">
          <cell r="AJ5">
            <v>446005</v>
          </cell>
        </row>
      </sheetData>
      <sheetData sheetId="19">
        <row r="5">
          <cell r="AJ5">
            <v>1028074</v>
          </cell>
        </row>
      </sheetData>
      <sheetData sheetId="20">
        <row r="5">
          <cell r="AJ5">
            <v>529605</v>
          </cell>
        </row>
      </sheetData>
      <sheetData sheetId="21">
        <row r="6">
          <cell r="AJ6">
            <v>513845</v>
          </cell>
        </row>
      </sheetData>
      <sheetData sheetId="22">
        <row r="5">
          <cell r="AJ5">
            <v>851136</v>
          </cell>
        </row>
      </sheetData>
      <sheetData sheetId="23">
        <row r="5">
          <cell r="AJ5">
            <v>1128476</v>
          </cell>
        </row>
      </sheetData>
      <sheetData sheetId="24">
        <row r="5">
          <cell r="AJ5">
            <v>1</v>
          </cell>
        </row>
      </sheetData>
      <sheetData sheetId="25">
        <row r="5">
          <cell r="AJ5">
            <v>358351</v>
          </cell>
        </row>
      </sheetData>
      <sheetData sheetId="26">
        <row r="5">
          <cell r="AJ5">
            <v>821220</v>
          </cell>
        </row>
      </sheetData>
      <sheetData sheetId="27">
        <row r="5">
          <cell r="AJ5">
            <v>31800</v>
          </cell>
        </row>
      </sheetData>
      <sheetData sheetId="28">
        <row r="5">
          <cell r="AJ5">
            <v>173084</v>
          </cell>
        </row>
      </sheetData>
      <sheetData sheetId="29">
        <row r="5">
          <cell r="AJ5">
            <v>1</v>
          </cell>
        </row>
      </sheetData>
      <sheetData sheetId="30">
        <row r="5">
          <cell r="AJ5">
            <v>1</v>
          </cell>
        </row>
      </sheetData>
      <sheetData sheetId="31">
        <row r="5">
          <cell r="AJ5">
            <v>1</v>
          </cell>
        </row>
      </sheetData>
      <sheetData sheetId="32">
        <row r="5">
          <cell r="AJ5">
            <v>1</v>
          </cell>
        </row>
      </sheetData>
      <sheetData sheetId="33">
        <row r="5">
          <cell r="AJ5">
            <v>1</v>
          </cell>
        </row>
      </sheetData>
      <sheetData sheetId="34">
        <row r="5">
          <cell r="AJ5">
            <v>2078860</v>
          </cell>
        </row>
      </sheetData>
      <sheetData sheetId="35">
        <row r="5">
          <cell r="AJ5">
            <v>0</v>
          </cell>
        </row>
      </sheetData>
      <sheetData sheetId="36">
        <row r="5">
          <cell r="AJ5">
            <v>477725</v>
          </cell>
        </row>
      </sheetData>
      <sheetData sheetId="37">
        <row r="5">
          <cell r="AJ5">
            <v>1</v>
          </cell>
        </row>
      </sheetData>
      <sheetData sheetId="38">
        <row r="5">
          <cell r="AJ5">
            <v>1</v>
          </cell>
        </row>
      </sheetData>
      <sheetData sheetId="39">
        <row r="5">
          <cell r="AJ5">
            <v>110600</v>
          </cell>
        </row>
      </sheetData>
      <sheetData sheetId="40">
        <row r="5">
          <cell r="AJ5">
            <v>50000</v>
          </cell>
        </row>
      </sheetData>
      <sheetData sheetId="41">
        <row r="5">
          <cell r="AJ5">
            <v>148120</v>
          </cell>
        </row>
      </sheetData>
      <sheetData sheetId="42">
        <row r="37">
          <cell r="AA37">
            <v>4000000</v>
          </cell>
        </row>
      </sheetData>
      <sheetData sheetId="43">
        <row r="37">
          <cell r="AA37">
            <v>18879000</v>
          </cell>
        </row>
      </sheetData>
      <sheetData sheetId="44">
        <row r="37">
          <cell r="AJ37">
            <v>671027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預金"/>
      <sheetName val="0138359"/>
      <sheetName val="0138642（居宅）"/>
      <sheetName val="0138655（通所）"/>
      <sheetName val="0156560（新庄）"/>
      <sheetName val="0158313（ゆけむり）"/>
      <sheetName val="0139101（ちゃれんじ）"/>
      <sheetName val="2253865（助け合い）"/>
      <sheetName val="2253871（通所）"/>
      <sheetName val="2254321（ミニ）"/>
      <sheetName val="JA0034628"/>
      <sheetName val="ゆうちょ6473091"/>
      <sheetName val="しま信0116975"/>
    </sheetNames>
    <sheetDataSet>
      <sheetData sheetId="0" refreshError="1"/>
      <sheetData sheetId="1">
        <row r="37">
          <cell r="AI37">
            <v>6091550</v>
          </cell>
        </row>
      </sheetData>
      <sheetData sheetId="2">
        <row r="37">
          <cell r="AJ37">
            <v>247971</v>
          </cell>
        </row>
      </sheetData>
      <sheetData sheetId="3">
        <row r="37">
          <cell r="AJ37">
            <v>5019</v>
          </cell>
        </row>
      </sheetData>
      <sheetData sheetId="4">
        <row r="37">
          <cell r="AJ37">
            <v>208826</v>
          </cell>
        </row>
      </sheetData>
      <sheetData sheetId="5">
        <row r="37">
          <cell r="AJ37">
            <v>28997</v>
          </cell>
        </row>
      </sheetData>
      <sheetData sheetId="6">
        <row r="37">
          <cell r="AJ37">
            <v>796379</v>
          </cell>
        </row>
      </sheetData>
      <sheetData sheetId="7">
        <row r="37">
          <cell r="AJ37">
            <v>239820</v>
          </cell>
        </row>
      </sheetData>
      <sheetData sheetId="8">
        <row r="37">
          <cell r="AJ37">
            <v>929649</v>
          </cell>
        </row>
      </sheetData>
      <sheetData sheetId="9">
        <row r="37">
          <cell r="AJ37">
            <v>8685267</v>
          </cell>
        </row>
      </sheetData>
      <sheetData sheetId="10">
        <row r="37">
          <cell r="AJ37">
            <v>591808</v>
          </cell>
        </row>
      </sheetData>
      <sheetData sheetId="11">
        <row r="37">
          <cell r="AJ37">
            <v>612212</v>
          </cell>
        </row>
      </sheetData>
      <sheetData sheetId="12">
        <row r="37">
          <cell r="AJ37">
            <v>114000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資産元帳"/>
      <sheetName val="未収金（認定調査委託料）"/>
      <sheetName val="未収金（居宅支援介護報酬）"/>
      <sheetName val="未収金（通所保険請求）"/>
      <sheetName val="未収金（通所利用者負担）"/>
      <sheetName val="未収金（通所食費）"/>
      <sheetName val="未収金（予防通所保険請求）"/>
      <sheetName val="未収金（予防通所利用者負担）"/>
      <sheetName val="未収金（予防通所食費）"/>
      <sheetName val="未収金（ゆけむり保険請求）"/>
      <sheetName val="未収金（ゆけむり利用者負担）"/>
      <sheetName val="未収金（ゆけむり食費）"/>
      <sheetName val="未収金（サロン保険請求）"/>
      <sheetName val="未収金（サロン利用者負担）"/>
      <sheetName val="未収金（サロン食費）"/>
      <sheetName val="未収金（ミニデイ）"/>
      <sheetName val="未収金（通所キャンセル）"/>
      <sheetName val="未収金（処遇改善保険請求）"/>
      <sheetName val="未収金（処遇改善利用者負担）"/>
      <sheetName val="未収金（特定処遇改善保険請求）"/>
      <sheetName val="未収金（特定処遇改善利用者負担）"/>
      <sheetName val="未収金（ベースアップ加算保険請求）"/>
      <sheetName val="未収金（ベースアップ加算利用者負担）"/>
      <sheetName val="未収金（ちゃれんじ）"/>
      <sheetName val="未収金（福祉タクシー）"/>
    </sheetNames>
    <sheetDataSet>
      <sheetData sheetId="0"/>
      <sheetData sheetId="1">
        <row r="37">
          <cell r="AJ37">
            <v>27720</v>
          </cell>
        </row>
      </sheetData>
      <sheetData sheetId="2">
        <row r="37">
          <cell r="AJ37">
            <v>5061530</v>
          </cell>
        </row>
      </sheetData>
      <sheetData sheetId="3">
        <row r="37">
          <cell r="AJ37">
            <v>12522920</v>
          </cell>
        </row>
      </sheetData>
      <sheetData sheetId="4">
        <row r="37">
          <cell r="AJ37">
            <v>1221783</v>
          </cell>
        </row>
      </sheetData>
      <sheetData sheetId="5">
        <row r="37">
          <cell r="AJ37">
            <v>725600</v>
          </cell>
        </row>
      </sheetData>
      <sheetData sheetId="6">
        <row r="37">
          <cell r="AJ37">
            <v>1316899</v>
          </cell>
        </row>
      </sheetData>
      <sheetData sheetId="7">
        <row r="37">
          <cell r="AJ37">
            <v>77209</v>
          </cell>
        </row>
      </sheetData>
      <sheetData sheetId="8">
        <row r="37">
          <cell r="AJ37">
            <v>111300</v>
          </cell>
        </row>
      </sheetData>
      <sheetData sheetId="9">
        <row r="37">
          <cell r="AJ37">
            <v>0</v>
          </cell>
        </row>
      </sheetData>
      <sheetData sheetId="10">
        <row r="37">
          <cell r="AJ37">
            <v>14257</v>
          </cell>
        </row>
      </sheetData>
      <sheetData sheetId="11">
        <row r="37">
          <cell r="AJ37">
            <v>0</v>
          </cell>
        </row>
      </sheetData>
      <sheetData sheetId="12">
        <row r="37">
          <cell r="AJ37">
            <v>158258</v>
          </cell>
        </row>
      </sheetData>
      <sheetData sheetId="13">
        <row r="37">
          <cell r="AJ37">
            <v>20902</v>
          </cell>
        </row>
      </sheetData>
      <sheetData sheetId="14">
        <row r="37">
          <cell r="AJ37">
            <v>32200</v>
          </cell>
        </row>
      </sheetData>
      <sheetData sheetId="15">
        <row r="37">
          <cell r="AJ37">
            <v>74900</v>
          </cell>
        </row>
      </sheetData>
      <sheetData sheetId="16">
        <row r="37">
          <cell r="AJ37">
            <v>10300</v>
          </cell>
        </row>
      </sheetData>
      <sheetData sheetId="17">
        <row r="37">
          <cell r="AJ37">
            <v>1278416</v>
          </cell>
        </row>
      </sheetData>
      <sheetData sheetId="18">
        <row r="37">
          <cell r="AJ37">
            <v>115550</v>
          </cell>
        </row>
      </sheetData>
      <sheetData sheetId="19">
        <row r="37">
          <cell r="AJ37">
            <v>0</v>
          </cell>
        </row>
      </sheetData>
      <sheetData sheetId="20">
        <row r="37">
          <cell r="AJ37">
            <v>3289</v>
          </cell>
        </row>
      </sheetData>
      <sheetData sheetId="21">
        <row r="37">
          <cell r="AJ37">
            <v>198</v>
          </cell>
        </row>
      </sheetData>
      <sheetData sheetId="22">
        <row r="37">
          <cell r="AJ37">
            <v>343</v>
          </cell>
        </row>
      </sheetData>
      <sheetData sheetId="23">
        <row r="37">
          <cell r="AJ37">
            <v>526100</v>
          </cell>
        </row>
      </sheetData>
      <sheetData sheetId="24">
        <row r="37">
          <cell r="AJ37">
            <v>2000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資産元帳"/>
      <sheetName val="固定資産台帳"/>
      <sheetName val="固定資産台帳 (2)"/>
      <sheetName val="仮払金"/>
      <sheetName val="前払費用"/>
      <sheetName val="建物（ほっと本体）"/>
      <sheetName val="建物（ほっと2階）"/>
      <sheetName val="建物（新庄）"/>
      <sheetName val="建物（ゆけむり）"/>
      <sheetName val="建物（ほっと浴室）"/>
      <sheetName val="附属建物（厨房）"/>
      <sheetName val="附属建物（浴室）"/>
      <sheetName val="附属建物（便所）"/>
      <sheetName val="附属建物（廊下）"/>
      <sheetName val="附属設備（電気設備その他）"/>
      <sheetName val="附属設備（給排水衛生設備）"/>
      <sheetName val="附属設備（消火排煙設備）"/>
      <sheetName val="附属設備（新庄電気設備）"/>
      <sheetName val="附属設備（新庄給排水設備）"/>
      <sheetName val="附属設備（電気設備）"/>
      <sheetName val="附属設備（給排水設備）"/>
      <sheetName val="附属設備（新庄浴槽改装ガス給湯設備）"/>
      <sheetName val="附属設備（ほっと浴室移設電気工事）"/>
      <sheetName val="附属設備（ほっと浴室移設給排水設備）"/>
      <sheetName val="構築物（舗装工事）"/>
      <sheetName val="構築物（ゆけむり）"/>
      <sheetName val="構築物（新庄駐車場舗装）"/>
      <sheetName val="器具備品（新庄玄関エアコン）"/>
      <sheetName val="器具備品（新庄事務室エアコン）"/>
      <sheetName val="車両（タウンボックス）"/>
      <sheetName val="車両（はとバン）"/>
      <sheetName val="車両（ノア）"/>
      <sheetName val="車両（セレナ）"/>
      <sheetName val="車両（アトレー１）"/>
      <sheetName val="車両（アトレー４）"/>
      <sheetName val="車両（キャラ３）"/>
      <sheetName val="車両（フリード２）"/>
      <sheetName val="車両（セブン２）"/>
      <sheetName val="車両（EK３）"/>
      <sheetName val="電話加入権"/>
      <sheetName val="敷金保証金"/>
      <sheetName val="預託金"/>
      <sheetName val="短期借入金"/>
      <sheetName val="長期借入金"/>
      <sheetName val="預り金"/>
    </sheetNames>
    <sheetDataSet>
      <sheetData sheetId="0"/>
      <sheetData sheetId="1"/>
      <sheetData sheetId="2"/>
      <sheetData sheetId="3">
        <row r="37">
          <cell r="AJ37">
            <v>592080</v>
          </cell>
        </row>
      </sheetData>
      <sheetData sheetId="4">
        <row r="37">
          <cell r="AA37">
            <v>393250</v>
          </cell>
        </row>
      </sheetData>
      <sheetData sheetId="5">
        <row r="5">
          <cell r="AJ5">
            <v>225002</v>
          </cell>
        </row>
      </sheetData>
      <sheetData sheetId="6">
        <row r="5">
          <cell r="AJ5">
            <v>159976</v>
          </cell>
        </row>
      </sheetData>
      <sheetData sheetId="7">
        <row r="5">
          <cell r="AJ5">
            <v>14958933</v>
          </cell>
        </row>
      </sheetData>
      <sheetData sheetId="8">
        <row r="5">
          <cell r="AJ5">
            <v>22564101</v>
          </cell>
        </row>
      </sheetData>
      <sheetData sheetId="9">
        <row r="5">
          <cell r="AJ5">
            <v>3600857</v>
          </cell>
        </row>
      </sheetData>
      <sheetData sheetId="10">
        <row r="5">
          <cell r="AJ5">
            <v>1</v>
          </cell>
        </row>
      </sheetData>
      <sheetData sheetId="11">
        <row r="5">
          <cell r="AJ5">
            <v>1</v>
          </cell>
        </row>
      </sheetData>
      <sheetData sheetId="12">
        <row r="5">
          <cell r="AJ5">
            <v>1</v>
          </cell>
        </row>
      </sheetData>
      <sheetData sheetId="13">
        <row r="5">
          <cell r="AJ5">
            <v>1</v>
          </cell>
        </row>
      </sheetData>
      <sheetData sheetId="14">
        <row r="5">
          <cell r="AJ5">
            <v>82438</v>
          </cell>
        </row>
      </sheetData>
      <sheetData sheetId="15">
        <row r="5">
          <cell r="AJ5">
            <v>94536</v>
          </cell>
        </row>
      </sheetData>
      <sheetData sheetId="16">
        <row r="5">
          <cell r="AJ5">
            <v>5047</v>
          </cell>
        </row>
      </sheetData>
      <sheetData sheetId="17">
        <row r="5">
          <cell r="AJ5">
            <v>365715</v>
          </cell>
        </row>
      </sheetData>
      <sheetData sheetId="18">
        <row r="5">
          <cell r="AJ5">
            <v>446005</v>
          </cell>
        </row>
      </sheetData>
      <sheetData sheetId="19">
        <row r="5">
          <cell r="AJ5">
            <v>1028074</v>
          </cell>
        </row>
      </sheetData>
      <sheetData sheetId="20">
        <row r="5">
          <cell r="AJ5">
            <v>529605</v>
          </cell>
        </row>
      </sheetData>
      <sheetData sheetId="21">
        <row r="6">
          <cell r="AJ6">
            <v>513845</v>
          </cell>
        </row>
      </sheetData>
      <sheetData sheetId="22">
        <row r="5">
          <cell r="AJ5">
            <v>851136</v>
          </cell>
        </row>
      </sheetData>
      <sheetData sheetId="23">
        <row r="5">
          <cell r="AJ5">
            <v>1128476</v>
          </cell>
        </row>
      </sheetData>
      <sheetData sheetId="24">
        <row r="5">
          <cell r="AJ5">
            <v>1</v>
          </cell>
        </row>
      </sheetData>
      <sheetData sheetId="25">
        <row r="5">
          <cell r="AJ5">
            <v>358351</v>
          </cell>
        </row>
      </sheetData>
      <sheetData sheetId="26">
        <row r="5">
          <cell r="AJ5">
            <v>821220</v>
          </cell>
        </row>
      </sheetData>
      <sheetData sheetId="27">
        <row r="5">
          <cell r="AJ5">
            <v>31800</v>
          </cell>
        </row>
      </sheetData>
      <sheetData sheetId="28">
        <row r="5">
          <cell r="AJ5">
            <v>173084</v>
          </cell>
        </row>
      </sheetData>
      <sheetData sheetId="29">
        <row r="5">
          <cell r="AJ5">
            <v>1</v>
          </cell>
        </row>
      </sheetData>
      <sheetData sheetId="30">
        <row r="5">
          <cell r="AJ5">
            <v>1</v>
          </cell>
        </row>
      </sheetData>
      <sheetData sheetId="31">
        <row r="5">
          <cell r="AJ5">
            <v>1</v>
          </cell>
        </row>
      </sheetData>
      <sheetData sheetId="32">
        <row r="5">
          <cell r="AJ5">
            <v>1</v>
          </cell>
        </row>
      </sheetData>
      <sheetData sheetId="33">
        <row r="5">
          <cell r="AJ5">
            <v>1</v>
          </cell>
        </row>
      </sheetData>
      <sheetData sheetId="34">
        <row r="5">
          <cell r="AJ5">
            <v>2078860</v>
          </cell>
        </row>
      </sheetData>
      <sheetData sheetId="35">
        <row r="5">
          <cell r="AJ5">
            <v>0</v>
          </cell>
        </row>
      </sheetData>
      <sheetData sheetId="36">
        <row r="5">
          <cell r="AJ5">
            <v>477725</v>
          </cell>
        </row>
      </sheetData>
      <sheetData sheetId="37">
        <row r="5">
          <cell r="AJ5">
            <v>1</v>
          </cell>
        </row>
      </sheetData>
      <sheetData sheetId="38">
        <row r="5">
          <cell r="AJ5">
            <v>1</v>
          </cell>
        </row>
      </sheetData>
      <sheetData sheetId="39">
        <row r="5">
          <cell r="AJ5">
            <v>110600</v>
          </cell>
        </row>
      </sheetData>
      <sheetData sheetId="40">
        <row r="5">
          <cell r="AJ5">
            <v>50000</v>
          </cell>
        </row>
      </sheetData>
      <sheetData sheetId="41">
        <row r="5">
          <cell r="AJ5">
            <v>148120</v>
          </cell>
        </row>
      </sheetData>
      <sheetData sheetId="42">
        <row r="37">
          <cell r="AA37">
            <v>3000000</v>
          </cell>
        </row>
      </sheetData>
      <sheetData sheetId="43">
        <row r="37">
          <cell r="AA37">
            <v>18558000</v>
          </cell>
        </row>
      </sheetData>
      <sheetData sheetId="44">
        <row r="37">
          <cell r="AJ37">
            <v>768489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資産元帳"/>
      <sheetName val="未収金（認定調査委託料）"/>
      <sheetName val="未収金（居宅支援介護報酬）"/>
      <sheetName val="未収金（通所保険請求）"/>
      <sheetName val="未収金（通所利用者負担）"/>
      <sheetName val="未収金（通所食費）"/>
      <sheetName val="未収金（予防通所保険請求）"/>
      <sheetName val="未収金（予防通所利用者負担）"/>
      <sheetName val="未収金（予防通所食費）"/>
      <sheetName val="未収金（ゆけむり保険請求）"/>
      <sheetName val="未収金（ゆけむり利用者負担）"/>
      <sheetName val="未収金（ゆけむり食費）"/>
      <sheetName val="未収金（サロン保険請求）"/>
      <sheetName val="未収金（サロン利用者負担）"/>
      <sheetName val="未収金（サロン食費）"/>
      <sheetName val="未収金（ミニデイ）"/>
      <sheetName val="未収金（通所キャンセル）"/>
      <sheetName val="未収金（処遇改善保険請求）"/>
      <sheetName val="未収金（処遇改善利用者負担）"/>
      <sheetName val="未収金（特定処遇改善保険請求）"/>
      <sheetName val="未収金（特定処遇改善利用者負担）"/>
      <sheetName val="未収金（ベースアップ加算保険請求）"/>
      <sheetName val="未収金（ベースアップ加算利用者負担）"/>
      <sheetName val="未収金（ちゃれんじ）"/>
      <sheetName val="未収金（福祉タクシー）"/>
    </sheetNames>
    <sheetDataSet>
      <sheetData sheetId="0"/>
      <sheetData sheetId="1">
        <row r="37">
          <cell r="AJ37">
            <v>6160</v>
          </cell>
        </row>
      </sheetData>
      <sheetData sheetId="2">
        <row r="37">
          <cell r="AJ37">
            <v>5385750</v>
          </cell>
        </row>
      </sheetData>
      <sheetData sheetId="3">
        <row r="37">
          <cell r="AJ37">
            <v>12904206</v>
          </cell>
        </row>
      </sheetData>
      <sheetData sheetId="4">
        <row r="37">
          <cell r="AJ37">
            <v>1192982</v>
          </cell>
        </row>
      </sheetData>
      <sheetData sheetId="5">
        <row r="37">
          <cell r="AJ37">
            <v>723000</v>
          </cell>
        </row>
      </sheetData>
      <sheetData sheetId="6">
        <row r="37">
          <cell r="AJ37">
            <v>1200466</v>
          </cell>
        </row>
      </sheetData>
      <sheetData sheetId="7">
        <row r="37">
          <cell r="AJ37">
            <v>66152</v>
          </cell>
        </row>
      </sheetData>
      <sheetData sheetId="8">
        <row r="37">
          <cell r="AJ37">
            <v>92600</v>
          </cell>
        </row>
      </sheetData>
      <sheetData sheetId="9">
        <row r="37">
          <cell r="AJ37">
            <v>0</v>
          </cell>
        </row>
      </sheetData>
      <sheetData sheetId="10">
        <row r="37">
          <cell r="AJ37">
            <v>14257</v>
          </cell>
        </row>
      </sheetData>
      <sheetData sheetId="11">
        <row r="37">
          <cell r="AJ37">
            <v>0</v>
          </cell>
        </row>
      </sheetData>
      <sheetData sheetId="12">
        <row r="37">
          <cell r="AJ37">
            <v>289642</v>
          </cell>
        </row>
      </sheetData>
      <sheetData sheetId="13">
        <row r="37">
          <cell r="AJ37">
            <v>19409</v>
          </cell>
        </row>
      </sheetData>
      <sheetData sheetId="14">
        <row r="37">
          <cell r="AJ37">
            <v>30100</v>
          </cell>
        </row>
      </sheetData>
      <sheetData sheetId="15">
        <row r="37">
          <cell r="AJ37">
            <v>71400</v>
          </cell>
        </row>
      </sheetData>
      <sheetData sheetId="16">
        <row r="37">
          <cell r="AJ37">
            <v>14500</v>
          </cell>
        </row>
      </sheetData>
      <sheetData sheetId="17">
        <row r="37">
          <cell r="AJ37">
            <v>1302771</v>
          </cell>
        </row>
      </sheetData>
      <sheetData sheetId="18">
        <row r="37">
          <cell r="AJ37">
            <v>107297</v>
          </cell>
        </row>
      </sheetData>
      <sheetData sheetId="19">
        <row r="37">
          <cell r="AJ37">
            <v>0</v>
          </cell>
        </row>
      </sheetData>
      <sheetData sheetId="20">
        <row r="37">
          <cell r="AJ37">
            <v>3289</v>
          </cell>
        </row>
      </sheetData>
      <sheetData sheetId="21">
        <row r="37">
          <cell r="AJ37">
            <v>198</v>
          </cell>
        </row>
      </sheetData>
      <sheetData sheetId="22">
        <row r="37">
          <cell r="AJ37">
            <v>343</v>
          </cell>
        </row>
      </sheetData>
      <sheetData sheetId="23">
        <row r="37">
          <cell r="AJ37">
            <v>878200</v>
          </cell>
        </row>
      </sheetData>
      <sheetData sheetId="24">
        <row r="37">
          <cell r="AJ37">
            <v>22500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資産元帳"/>
      <sheetName val="固定資産台帳"/>
      <sheetName val="固定資産台帳 (2)"/>
      <sheetName val="仮払金"/>
      <sheetName val="前払費用"/>
      <sheetName val="建物（ほっと本体）"/>
      <sheetName val="建物（ほっと2階）"/>
      <sheetName val="建物（新庄）"/>
      <sheetName val="建物（ゆけむり）"/>
      <sheetName val="建物（ほっと浴室）"/>
      <sheetName val="附属建物（厨房）"/>
      <sheetName val="附属建物（浴室）"/>
      <sheetName val="附属建物（便所）"/>
      <sheetName val="附属建物（廊下）"/>
      <sheetName val="附属設備（電気設備その他）"/>
      <sheetName val="附属設備（給排水衛生設備）"/>
      <sheetName val="附属設備（消火排煙設備）"/>
      <sheetName val="附属設備（新庄電気設備）"/>
      <sheetName val="附属設備（新庄給排水設備）"/>
      <sheetName val="附属設備（電気設備）"/>
      <sheetName val="附属設備（給排水設備）"/>
      <sheetName val="附属設備（新庄浴槽改装ガス給湯設備）"/>
      <sheetName val="附属設備（ほっと浴室移設電気工事）"/>
      <sheetName val="附属設備（ほっと浴室移設給排水設備）"/>
      <sheetName val="構築物（舗装工事）"/>
      <sheetName val="構築物（ゆけむり）"/>
      <sheetName val="構築物（新庄駐車場舗装）"/>
      <sheetName val="器具備品（新庄玄関エアコン）"/>
      <sheetName val="器具備品（新庄事務室エアコン）"/>
      <sheetName val="車両（タウンボックス）"/>
      <sheetName val="車両（はとバン）"/>
      <sheetName val="車両（ノア）"/>
      <sheetName val="車両（セレナ）"/>
      <sheetName val="車両（アトレー１）"/>
      <sheetName val="車両（アトレー４）"/>
      <sheetName val="車両（キャラ３）"/>
      <sheetName val="車両（フリード２）"/>
      <sheetName val="車両（セブン２）"/>
      <sheetName val="車両（EK３）"/>
      <sheetName val="電話加入権"/>
      <sheetName val="敷金保証金"/>
      <sheetName val="預託金"/>
      <sheetName val="短期借入金"/>
      <sheetName val="長期借入金"/>
      <sheetName val="預り金"/>
    </sheetNames>
    <sheetDataSet>
      <sheetData sheetId="0" refreshError="1"/>
      <sheetData sheetId="1" refreshError="1"/>
      <sheetData sheetId="2" refreshError="1"/>
      <sheetData sheetId="3">
        <row r="37">
          <cell r="AJ37">
            <v>840448</v>
          </cell>
        </row>
      </sheetData>
      <sheetData sheetId="4">
        <row r="37">
          <cell r="AA37">
            <v>393250</v>
          </cell>
        </row>
      </sheetData>
      <sheetData sheetId="5">
        <row r="5">
          <cell r="AJ5">
            <v>225002</v>
          </cell>
        </row>
      </sheetData>
      <sheetData sheetId="6">
        <row r="5">
          <cell r="AJ5">
            <v>159976</v>
          </cell>
        </row>
      </sheetData>
      <sheetData sheetId="7">
        <row r="5">
          <cell r="AJ5">
            <v>14958933</v>
          </cell>
        </row>
      </sheetData>
      <sheetData sheetId="8">
        <row r="5">
          <cell r="AJ5">
            <v>22564101</v>
          </cell>
        </row>
      </sheetData>
      <sheetData sheetId="9">
        <row r="5">
          <cell r="AJ5">
            <v>3600857</v>
          </cell>
        </row>
      </sheetData>
      <sheetData sheetId="10">
        <row r="5">
          <cell r="AJ5">
            <v>1</v>
          </cell>
        </row>
      </sheetData>
      <sheetData sheetId="11">
        <row r="5">
          <cell r="AJ5">
            <v>1</v>
          </cell>
        </row>
      </sheetData>
      <sheetData sheetId="12">
        <row r="5">
          <cell r="AJ5">
            <v>1</v>
          </cell>
        </row>
      </sheetData>
      <sheetData sheetId="13">
        <row r="5">
          <cell r="AJ5">
            <v>1</v>
          </cell>
        </row>
      </sheetData>
      <sheetData sheetId="14">
        <row r="5">
          <cell r="AJ5">
            <v>82438</v>
          </cell>
        </row>
      </sheetData>
      <sheetData sheetId="15">
        <row r="5">
          <cell r="AJ5">
            <v>94536</v>
          </cell>
        </row>
      </sheetData>
      <sheetData sheetId="16">
        <row r="5">
          <cell r="AJ5">
            <v>5047</v>
          </cell>
        </row>
      </sheetData>
      <sheetData sheetId="17">
        <row r="5">
          <cell r="AJ5">
            <v>365715</v>
          </cell>
        </row>
      </sheetData>
      <sheetData sheetId="18">
        <row r="5">
          <cell r="AJ5">
            <v>446005</v>
          </cell>
        </row>
      </sheetData>
      <sheetData sheetId="19">
        <row r="5">
          <cell r="AJ5">
            <v>1028074</v>
          </cell>
        </row>
      </sheetData>
      <sheetData sheetId="20">
        <row r="5">
          <cell r="AJ5">
            <v>529605</v>
          </cell>
        </row>
      </sheetData>
      <sheetData sheetId="21">
        <row r="6">
          <cell r="AJ6">
            <v>513845</v>
          </cell>
        </row>
      </sheetData>
      <sheetData sheetId="22">
        <row r="5">
          <cell r="AJ5">
            <v>851136</v>
          </cell>
        </row>
      </sheetData>
      <sheetData sheetId="23">
        <row r="5">
          <cell r="AJ5">
            <v>1128476</v>
          </cell>
        </row>
      </sheetData>
      <sheetData sheetId="24">
        <row r="5">
          <cell r="AJ5">
            <v>1</v>
          </cell>
        </row>
      </sheetData>
      <sheetData sheetId="25">
        <row r="5">
          <cell r="AJ5">
            <v>358351</v>
          </cell>
        </row>
      </sheetData>
      <sheetData sheetId="26">
        <row r="5">
          <cell r="AJ5">
            <v>821220</v>
          </cell>
        </row>
      </sheetData>
      <sheetData sheetId="27">
        <row r="5">
          <cell r="AJ5">
            <v>31800</v>
          </cell>
        </row>
      </sheetData>
      <sheetData sheetId="28">
        <row r="5">
          <cell r="AJ5">
            <v>173084</v>
          </cell>
        </row>
      </sheetData>
      <sheetData sheetId="29">
        <row r="5">
          <cell r="AJ5">
            <v>1</v>
          </cell>
        </row>
      </sheetData>
      <sheetData sheetId="30">
        <row r="5">
          <cell r="AJ5">
            <v>1</v>
          </cell>
        </row>
      </sheetData>
      <sheetData sheetId="31">
        <row r="5">
          <cell r="AJ5">
            <v>1</v>
          </cell>
        </row>
      </sheetData>
      <sheetData sheetId="32">
        <row r="5">
          <cell r="AJ5">
            <v>1</v>
          </cell>
        </row>
      </sheetData>
      <sheetData sheetId="33">
        <row r="5">
          <cell r="AJ5">
            <v>1</v>
          </cell>
        </row>
      </sheetData>
      <sheetData sheetId="34">
        <row r="5">
          <cell r="AJ5">
            <v>2078860</v>
          </cell>
        </row>
      </sheetData>
      <sheetData sheetId="35">
        <row r="5">
          <cell r="AJ5">
            <v>0</v>
          </cell>
        </row>
      </sheetData>
      <sheetData sheetId="36">
        <row r="5">
          <cell r="AJ5">
            <v>477725</v>
          </cell>
        </row>
      </sheetData>
      <sheetData sheetId="37">
        <row r="5">
          <cell r="AJ5">
            <v>1</v>
          </cell>
        </row>
      </sheetData>
      <sheetData sheetId="38">
        <row r="5">
          <cell r="AJ5">
            <v>1</v>
          </cell>
        </row>
      </sheetData>
      <sheetData sheetId="39">
        <row r="5">
          <cell r="AJ5">
            <v>110600</v>
          </cell>
        </row>
      </sheetData>
      <sheetData sheetId="40">
        <row r="5">
          <cell r="AJ5">
            <v>50000</v>
          </cell>
        </row>
      </sheetData>
      <sheetData sheetId="41">
        <row r="5">
          <cell r="AJ5">
            <v>148120</v>
          </cell>
        </row>
      </sheetData>
      <sheetData sheetId="42">
        <row r="37">
          <cell r="AA37">
            <v>5000000</v>
          </cell>
        </row>
      </sheetData>
      <sheetData sheetId="43">
        <row r="37">
          <cell r="AA37">
            <v>17274000</v>
          </cell>
        </row>
      </sheetData>
      <sheetData sheetId="44">
        <row r="37">
          <cell r="AJ37">
            <v>4035059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平成21年度"/>
      <sheetName val="22年度"/>
      <sheetName val="23予測"/>
      <sheetName val="23年度"/>
      <sheetName val="予測対比"/>
      <sheetName val="22・23年度合計"/>
      <sheetName val="24年度計画"/>
      <sheetName val="24年度 "/>
      <sheetName val="23・24年度合計"/>
      <sheetName val="25年度"/>
      <sheetName val="26年度"/>
      <sheetName val="27年度"/>
      <sheetName val="28年度 "/>
      <sheetName val="29年度"/>
      <sheetName val="30年度"/>
      <sheetName val="31・令和元年度"/>
      <sheetName val="令和2年度 "/>
      <sheetName val="令和3年度"/>
      <sheetName val="令和4年度"/>
      <sheetName val="令和５年度"/>
      <sheetName val="令和６年度"/>
      <sheetName val="令和７年度"/>
      <sheetName val="収支推移"/>
      <sheetName val="収支推移 (2)"/>
      <sheetName val="認定ＮＰＯ関連"/>
      <sheetName val="Sheet1"/>
      <sheetName val="Sheet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74">
          <cell r="P74">
            <v>-141188</v>
          </cell>
        </row>
      </sheetData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成21年度"/>
      <sheetName val="22年度"/>
      <sheetName val="23予測"/>
      <sheetName val="23年度"/>
      <sheetName val="予測対比"/>
      <sheetName val="22・23年度合計"/>
      <sheetName val="24年度計画"/>
      <sheetName val="24年度 "/>
      <sheetName val="23・24年度合計"/>
      <sheetName val="25年度"/>
      <sheetName val="26年度"/>
      <sheetName val="27年度"/>
      <sheetName val="28年度 "/>
      <sheetName val="29年度"/>
      <sheetName val="30年度"/>
      <sheetName val="31・令和元年度"/>
      <sheetName val="令和2年度 "/>
      <sheetName val="収支推移"/>
      <sheetName val="収支推移 (2)"/>
      <sheetName val="認定ＮＰＯ関連"/>
      <sheetName val="Sheet1"/>
      <sheetName val="Sheet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73">
          <cell r="P73">
            <v>1199624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成21年度"/>
      <sheetName val="22年度"/>
      <sheetName val="23予測"/>
      <sheetName val="23年度"/>
      <sheetName val="予測対比"/>
      <sheetName val="22・23年度合計"/>
      <sheetName val="24年度計画"/>
      <sheetName val="24年度 "/>
      <sheetName val="23・24年度合計"/>
      <sheetName val="25年度"/>
      <sheetName val="26年度"/>
      <sheetName val="27年度"/>
      <sheetName val="28年度 "/>
      <sheetName val="29年度"/>
      <sheetName val="30年度"/>
      <sheetName val="31・令和元年度"/>
      <sheetName val="令和2年度 "/>
      <sheetName val="令和3年度"/>
      <sheetName val="令和4年度"/>
      <sheetName val="収支推移"/>
      <sheetName val="収支推移 (2)"/>
      <sheetName val="認定ＮＰＯ関連"/>
      <sheetName val="Sheet1"/>
      <sheetName val="Sheet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3">
          <cell r="P73">
            <v>1575444</v>
          </cell>
        </row>
      </sheetData>
      <sheetData sheetId="17">
        <row r="73">
          <cell r="P73">
            <v>23427</v>
          </cell>
        </row>
      </sheetData>
      <sheetData sheetId="18">
        <row r="73">
          <cell r="P73">
            <v>-3346910</v>
          </cell>
        </row>
      </sheetData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預金"/>
      <sheetName val="0138359"/>
      <sheetName val="0138642（居宅）"/>
      <sheetName val="0138655（通所）"/>
      <sheetName val="0156560（新庄）"/>
      <sheetName val="0158313（ゆけむり）"/>
      <sheetName val="0139101（ちゃれんじ）"/>
      <sheetName val="2253865（助け合い）"/>
      <sheetName val="2253871（通所）"/>
      <sheetName val="2254321（ミニ）"/>
      <sheetName val="JA0034628"/>
      <sheetName val="ゆうちょ6473091"/>
      <sheetName val="しま信0116975"/>
    </sheetNames>
    <sheetDataSet>
      <sheetData sheetId="0"/>
      <sheetData sheetId="1">
        <row r="37">
          <cell r="AJ37">
            <v>6087098</v>
          </cell>
        </row>
      </sheetData>
      <sheetData sheetId="2">
        <row r="37">
          <cell r="AJ37">
            <v>25125</v>
          </cell>
        </row>
      </sheetData>
      <sheetData sheetId="3">
        <row r="37">
          <cell r="AJ37">
            <v>8278</v>
          </cell>
        </row>
      </sheetData>
      <sheetData sheetId="4">
        <row r="37">
          <cell r="AJ37">
            <v>268965</v>
          </cell>
        </row>
      </sheetData>
      <sheetData sheetId="5">
        <row r="37">
          <cell r="AJ37">
            <v>315717</v>
          </cell>
        </row>
      </sheetData>
      <sheetData sheetId="6">
        <row r="37">
          <cell r="AJ37">
            <v>5525616</v>
          </cell>
        </row>
      </sheetData>
      <sheetData sheetId="7">
        <row r="37">
          <cell r="AJ37">
            <v>351901</v>
          </cell>
        </row>
      </sheetData>
      <sheetData sheetId="8">
        <row r="37">
          <cell r="AJ37">
            <v>584567</v>
          </cell>
        </row>
      </sheetData>
      <sheetData sheetId="9">
        <row r="37">
          <cell r="AJ37">
            <v>37523</v>
          </cell>
        </row>
      </sheetData>
      <sheetData sheetId="10">
        <row r="37">
          <cell r="AJ37">
            <v>1724338</v>
          </cell>
        </row>
      </sheetData>
      <sheetData sheetId="11">
        <row r="37">
          <cell r="AJ37">
            <v>512220</v>
          </cell>
        </row>
      </sheetData>
      <sheetData sheetId="12">
        <row r="37">
          <cell r="AJ37">
            <v>389923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資産元帳"/>
      <sheetName val="未収金（認定調査委託料）"/>
      <sheetName val="未収金（居宅支援介護報酬）"/>
      <sheetName val="未収金（通所保険請求）"/>
      <sheetName val="未収金（通所利用者負担）"/>
      <sheetName val="未収金（通所食費）"/>
      <sheetName val="未収金（予防通所保険請求）"/>
      <sheetName val="未収金（予防通所利用者負担）"/>
      <sheetName val="未収金（予防通所食費）"/>
      <sheetName val="未収金（ゆけむり保険請求）"/>
      <sheetName val="未収金（ゆけむり利用者負担）"/>
      <sheetName val="未収金（ゆけむり食費）"/>
      <sheetName val="未収金（サロン保険請求）"/>
      <sheetName val="未収金（サロン利用者負担）"/>
      <sheetName val="未収金（サロン食費）"/>
      <sheetName val="未収金（ミニデイ）"/>
      <sheetName val="未収金（通所キャンセル）"/>
      <sheetName val="未収金（処遇改善保険請求）"/>
      <sheetName val="未収金（処遇改善利用者負担）"/>
      <sheetName val="未収金（特定処遇改善保険請求）"/>
      <sheetName val="未収金（特定処遇改善利用者負担）"/>
      <sheetName val="未収金（ちゃれんじ）"/>
      <sheetName val="未収金（福祉タクシー）"/>
    </sheetNames>
    <sheetDataSet>
      <sheetData sheetId="0"/>
      <sheetData sheetId="1">
        <row r="37">
          <cell r="AJ37">
            <v>36960</v>
          </cell>
        </row>
      </sheetData>
      <sheetData sheetId="2">
        <row r="37">
          <cell r="AJ37">
            <v>5175480</v>
          </cell>
        </row>
      </sheetData>
      <sheetData sheetId="3">
        <row r="37">
          <cell r="AJ37">
            <v>11969869</v>
          </cell>
        </row>
      </sheetData>
      <sheetData sheetId="4">
        <row r="37">
          <cell r="AJ37">
            <v>1176056</v>
          </cell>
        </row>
      </sheetData>
      <sheetData sheetId="5">
        <row r="37">
          <cell r="AJ37">
            <v>647800</v>
          </cell>
        </row>
      </sheetData>
      <sheetData sheetId="6">
        <row r="37">
          <cell r="AJ37">
            <v>1937111</v>
          </cell>
        </row>
      </sheetData>
      <sheetData sheetId="7">
        <row r="37">
          <cell r="AJ37">
            <v>118239</v>
          </cell>
        </row>
      </sheetData>
      <sheetData sheetId="8">
        <row r="37">
          <cell r="AJ37">
            <v>139200</v>
          </cell>
        </row>
      </sheetData>
      <sheetData sheetId="9">
        <row r="37">
          <cell r="AJ37">
            <v>4118472</v>
          </cell>
        </row>
      </sheetData>
      <sheetData sheetId="10">
        <row r="37">
          <cell r="AJ37">
            <v>616547</v>
          </cell>
        </row>
      </sheetData>
      <sheetData sheetId="11">
        <row r="37">
          <cell r="AJ37">
            <v>121200</v>
          </cell>
        </row>
      </sheetData>
      <sheetData sheetId="12">
        <row r="37">
          <cell r="AJ37">
            <v>345250</v>
          </cell>
        </row>
      </sheetData>
      <sheetData sheetId="13">
        <row r="37">
          <cell r="AJ37">
            <v>24274</v>
          </cell>
        </row>
      </sheetData>
      <sheetData sheetId="14">
        <row r="37">
          <cell r="AJ37">
            <v>42000</v>
          </cell>
        </row>
      </sheetData>
      <sheetData sheetId="15"/>
      <sheetData sheetId="16"/>
      <sheetData sheetId="17">
        <row r="37">
          <cell r="AJ37">
            <v>1262836</v>
          </cell>
        </row>
      </sheetData>
      <sheetData sheetId="18">
        <row r="37">
          <cell r="AJ37">
            <v>135461</v>
          </cell>
        </row>
      </sheetData>
      <sheetData sheetId="19">
        <row r="37">
          <cell r="AJ37">
            <v>295245</v>
          </cell>
        </row>
      </sheetData>
      <sheetData sheetId="20">
        <row r="37">
          <cell r="AJ37">
            <v>32794</v>
          </cell>
        </row>
      </sheetData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資産元帳"/>
      <sheetName val="固定資産台帳"/>
      <sheetName val="固定資産台帳 (2)"/>
      <sheetName val="仮払金"/>
      <sheetName val="前払費用"/>
      <sheetName val="建物（ほっと本体）"/>
      <sheetName val="建物（ほっと2階）"/>
      <sheetName val="建物（新庄）"/>
      <sheetName val="建物（ゆけむり）"/>
      <sheetName val="建物（ほっと浴室）"/>
      <sheetName val="附属建物（厨房）"/>
      <sheetName val="附属建物（浴室）"/>
      <sheetName val="附属建物（便所）"/>
      <sheetName val="附属建物（廊下）"/>
      <sheetName val="附属設備（電気設備その他）"/>
      <sheetName val="附属設備（給排水衛生設備）"/>
      <sheetName val="附属設備（消火排煙設備）"/>
      <sheetName val="附属設備（新庄電気設備）"/>
      <sheetName val="附属設備（新庄給排水設備）"/>
      <sheetName val="附属設備（電気設備）"/>
      <sheetName val="附属設備（給排水設備）"/>
      <sheetName val="附属設備（新庄浴槽改装ガス給湯設備）"/>
      <sheetName val="附属設備（ほっと浴室移設電気工事）"/>
      <sheetName val="附属設備（ほっと浴室移設給排水設備）"/>
      <sheetName val="構築物（舗装工事）"/>
      <sheetName val="構築物（ゆけむり）"/>
      <sheetName val="構築物（新庄駐車場舗装）"/>
      <sheetName val="器具備品（新庄玄関エアコン）"/>
      <sheetName val="器具備品（新庄事務室エアコン）"/>
      <sheetName val="車両（タウンボックス）"/>
      <sheetName val="車両（はとバン）"/>
      <sheetName val="車両（ノア）"/>
      <sheetName val="車両（セレナ）"/>
      <sheetName val="車両（アトレー１）"/>
      <sheetName val="車両（アトレー４）"/>
      <sheetName val="車両（キャラ３）"/>
      <sheetName val="車両（フリード２）"/>
      <sheetName val="車両（セブン２）"/>
      <sheetName val="車両（EK３）"/>
      <sheetName val="電話加入権"/>
      <sheetName val="敷金保証金"/>
      <sheetName val="預託金"/>
      <sheetName val="短期借入金"/>
      <sheetName val="長期借入金"/>
      <sheetName val="預り金"/>
    </sheetNames>
    <sheetDataSet>
      <sheetData sheetId="0"/>
      <sheetData sheetId="1"/>
      <sheetData sheetId="2"/>
      <sheetData sheetId="3"/>
      <sheetData sheetId="4"/>
      <sheetData sheetId="5">
        <row r="5">
          <cell r="AJ5">
            <v>225002</v>
          </cell>
        </row>
      </sheetData>
      <sheetData sheetId="6">
        <row r="5">
          <cell r="AJ5">
            <v>159976</v>
          </cell>
        </row>
      </sheetData>
      <sheetData sheetId="7">
        <row r="5">
          <cell r="AJ5">
            <v>16342797</v>
          </cell>
        </row>
      </sheetData>
      <sheetData sheetId="8">
        <row r="5">
          <cell r="AJ5">
            <v>23447684</v>
          </cell>
        </row>
      </sheetData>
      <sheetData sheetId="9">
        <row r="5">
          <cell r="AJ5">
            <v>4038012</v>
          </cell>
        </row>
      </sheetData>
      <sheetData sheetId="10">
        <row r="5">
          <cell r="AJ5">
            <v>1</v>
          </cell>
        </row>
      </sheetData>
      <sheetData sheetId="11">
        <row r="5">
          <cell r="AJ5">
            <v>1</v>
          </cell>
        </row>
      </sheetData>
      <sheetData sheetId="12">
        <row r="5">
          <cell r="AJ5">
            <v>1</v>
          </cell>
        </row>
      </sheetData>
      <sheetData sheetId="13">
        <row r="5">
          <cell r="AJ5">
            <v>1</v>
          </cell>
        </row>
      </sheetData>
      <sheetData sheetId="14">
        <row r="5">
          <cell r="AJ5">
            <v>82438</v>
          </cell>
        </row>
      </sheetData>
      <sheetData sheetId="15">
        <row r="5">
          <cell r="AJ5">
            <v>94536</v>
          </cell>
        </row>
      </sheetData>
      <sheetData sheetId="16">
        <row r="5">
          <cell r="AJ5">
            <v>5047</v>
          </cell>
        </row>
      </sheetData>
      <sheetData sheetId="17">
        <row r="5">
          <cell r="AJ5">
            <v>365715</v>
          </cell>
        </row>
      </sheetData>
      <sheetData sheetId="18">
        <row r="5">
          <cell r="AJ5">
            <v>446005</v>
          </cell>
        </row>
      </sheetData>
      <sheetData sheetId="19">
        <row r="5">
          <cell r="AJ5">
            <v>1028074</v>
          </cell>
        </row>
      </sheetData>
      <sheetData sheetId="20">
        <row r="5">
          <cell r="AJ5">
            <v>529605</v>
          </cell>
        </row>
      </sheetData>
      <sheetData sheetId="21">
        <row r="6">
          <cell r="AJ6">
            <v>513845</v>
          </cell>
        </row>
      </sheetData>
      <sheetData sheetId="22">
        <row r="5">
          <cell r="AJ5">
            <v>851136</v>
          </cell>
        </row>
      </sheetData>
      <sheetData sheetId="23">
        <row r="5">
          <cell r="AJ5">
            <v>1128476</v>
          </cell>
        </row>
      </sheetData>
      <sheetData sheetId="24">
        <row r="5">
          <cell r="AJ5">
            <v>1</v>
          </cell>
        </row>
      </sheetData>
      <sheetData sheetId="25">
        <row r="5">
          <cell r="AJ5">
            <v>358351</v>
          </cell>
        </row>
      </sheetData>
      <sheetData sheetId="26">
        <row r="5">
          <cell r="AJ5">
            <v>821220</v>
          </cell>
        </row>
      </sheetData>
      <sheetData sheetId="27">
        <row r="5">
          <cell r="AJ5">
            <v>31800</v>
          </cell>
        </row>
      </sheetData>
      <sheetData sheetId="28">
        <row r="5">
          <cell r="AJ5">
            <v>173084</v>
          </cell>
        </row>
      </sheetData>
      <sheetData sheetId="29">
        <row r="5">
          <cell r="AJ5">
            <v>1</v>
          </cell>
        </row>
      </sheetData>
      <sheetData sheetId="30">
        <row r="5">
          <cell r="AJ5">
            <v>1</v>
          </cell>
        </row>
      </sheetData>
      <sheetData sheetId="31">
        <row r="5">
          <cell r="AJ5">
            <v>1</v>
          </cell>
        </row>
      </sheetData>
      <sheetData sheetId="32">
        <row r="5">
          <cell r="AJ5">
            <v>1</v>
          </cell>
        </row>
      </sheetData>
      <sheetData sheetId="33">
        <row r="5">
          <cell r="AJ5">
            <v>1</v>
          </cell>
        </row>
      </sheetData>
      <sheetData sheetId="34">
        <row r="5">
          <cell r="AJ5">
            <v>2078860</v>
          </cell>
        </row>
      </sheetData>
      <sheetData sheetId="35">
        <row r="5">
          <cell r="AJ5">
            <v>1</v>
          </cell>
        </row>
      </sheetData>
      <sheetData sheetId="36">
        <row r="5">
          <cell r="AJ5">
            <v>477725</v>
          </cell>
        </row>
      </sheetData>
      <sheetData sheetId="37">
        <row r="5">
          <cell r="AJ5">
            <v>1</v>
          </cell>
        </row>
      </sheetData>
      <sheetData sheetId="38">
        <row r="5">
          <cell r="AJ5">
            <v>1</v>
          </cell>
        </row>
      </sheetData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預金"/>
      <sheetName val="0138359"/>
      <sheetName val="0138642（居宅）"/>
      <sheetName val="0138655（通所）"/>
      <sheetName val="0156560（新庄）"/>
      <sheetName val="0158313（ゆけむり）"/>
      <sheetName val="0139101（ちゃれんじ）"/>
      <sheetName val="2253865（助け合い）"/>
      <sheetName val="2253871（通所）"/>
      <sheetName val="2254321（ミニ）"/>
      <sheetName val="JA0034628"/>
      <sheetName val="ゆうちょ6473091"/>
      <sheetName val="しま信0116975"/>
    </sheetNames>
    <sheetDataSet>
      <sheetData sheetId="0"/>
      <sheetData sheetId="1">
        <row r="37">
          <cell r="AJ37">
            <v>5166363</v>
          </cell>
        </row>
      </sheetData>
      <sheetData sheetId="2">
        <row r="37">
          <cell r="AJ37">
            <v>44978</v>
          </cell>
        </row>
      </sheetData>
      <sheetData sheetId="3">
        <row r="37">
          <cell r="AJ37">
            <v>5783</v>
          </cell>
        </row>
      </sheetData>
      <sheetData sheetId="4">
        <row r="37">
          <cell r="AJ37">
            <v>150151</v>
          </cell>
        </row>
      </sheetData>
      <sheetData sheetId="5">
        <row r="37">
          <cell r="AJ37">
            <v>266576</v>
          </cell>
        </row>
      </sheetData>
      <sheetData sheetId="6">
        <row r="37">
          <cell r="AJ37">
            <v>4614071</v>
          </cell>
        </row>
      </sheetData>
      <sheetData sheetId="7">
        <row r="37">
          <cell r="AJ37">
            <v>30200</v>
          </cell>
        </row>
      </sheetData>
      <sheetData sheetId="8">
        <row r="37">
          <cell r="AJ37">
            <v>919800</v>
          </cell>
        </row>
      </sheetData>
      <sheetData sheetId="9">
        <row r="37">
          <cell r="AJ37">
            <v>0</v>
          </cell>
        </row>
      </sheetData>
      <sheetData sheetId="10">
        <row r="37">
          <cell r="AJ37">
            <v>992695</v>
          </cell>
        </row>
      </sheetData>
      <sheetData sheetId="11">
        <row r="37">
          <cell r="AJ37">
            <v>848315</v>
          </cell>
        </row>
      </sheetData>
      <sheetData sheetId="12">
        <row r="37">
          <cell r="AJ37">
            <v>592085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資産元帳"/>
      <sheetName val="未収金（認定調査委託料）"/>
      <sheetName val="未収金（居宅支援介護報酬）"/>
      <sheetName val="未収金（通所保険請求）"/>
      <sheetName val="未収金（通所利用者負担）"/>
      <sheetName val="未収金（通所食費）"/>
      <sheetName val="未収金（予防通所保険請求）"/>
      <sheetName val="未収金（予防通所利用者負担）"/>
      <sheetName val="未収金（予防通所食費）"/>
      <sheetName val="未収金（ゆけむり保険請求）"/>
      <sheetName val="未収金（ゆけむり利用者負担）"/>
      <sheetName val="未収金（ゆけむり食費）"/>
      <sheetName val="未収金（サロン保険請求）"/>
      <sheetName val="未収金（サロン利用者負担）"/>
      <sheetName val="未収金（サロン食費）"/>
      <sheetName val="未収金（ミニデイ）"/>
      <sheetName val="未収金（通所キャンセル）"/>
      <sheetName val="未収金（処遇改善保険請求）"/>
      <sheetName val="未収金（処遇改善利用者負担）"/>
      <sheetName val="未収金（特定処遇改善保険請求）"/>
      <sheetName val="未収金（特定処遇改善利用者負担）"/>
      <sheetName val="未収金（ベースアップ加算保険請求）"/>
      <sheetName val="未収金（ベースアップ加算利用者負担）"/>
      <sheetName val="未収金（ちゃれんじ）"/>
      <sheetName val="未収金（福祉タクシー）"/>
    </sheetNames>
    <sheetDataSet>
      <sheetData sheetId="0"/>
      <sheetData sheetId="1">
        <row r="37">
          <cell r="AJ37">
            <v>15400</v>
          </cell>
        </row>
      </sheetData>
      <sheetData sheetId="2">
        <row r="37">
          <cell r="AJ37">
            <v>5078080</v>
          </cell>
        </row>
      </sheetData>
      <sheetData sheetId="3">
        <row r="37">
          <cell r="AJ37">
            <v>11735816</v>
          </cell>
        </row>
      </sheetData>
      <sheetData sheetId="4">
        <row r="37">
          <cell r="AJ37">
            <v>1365938</v>
          </cell>
        </row>
      </sheetData>
      <sheetData sheetId="5">
        <row r="37">
          <cell r="AJ37">
            <v>648500</v>
          </cell>
        </row>
      </sheetData>
      <sheetData sheetId="6">
        <row r="37">
          <cell r="AJ37">
            <v>1811990</v>
          </cell>
        </row>
      </sheetData>
      <sheetData sheetId="7">
        <row r="37">
          <cell r="AJ37">
            <v>120098</v>
          </cell>
        </row>
      </sheetData>
      <sheetData sheetId="8">
        <row r="37">
          <cell r="AJ37">
            <v>126500</v>
          </cell>
        </row>
      </sheetData>
      <sheetData sheetId="9">
        <row r="37">
          <cell r="AJ37">
            <v>3624471</v>
          </cell>
        </row>
      </sheetData>
      <sheetData sheetId="10">
        <row r="37">
          <cell r="AJ37">
            <v>527342</v>
          </cell>
        </row>
      </sheetData>
      <sheetData sheetId="11">
        <row r="37">
          <cell r="AJ37">
            <v>113400</v>
          </cell>
        </row>
      </sheetData>
      <sheetData sheetId="12">
        <row r="37">
          <cell r="AJ37">
            <v>311572</v>
          </cell>
        </row>
      </sheetData>
      <sheetData sheetId="13">
        <row r="37">
          <cell r="AJ37">
            <v>21320</v>
          </cell>
        </row>
      </sheetData>
      <sheetData sheetId="14">
        <row r="37">
          <cell r="AJ37">
            <v>22200</v>
          </cell>
        </row>
      </sheetData>
      <sheetData sheetId="15">
        <row r="37">
          <cell r="AJ37">
            <v>83800</v>
          </cell>
        </row>
      </sheetData>
      <sheetData sheetId="16">
        <row r="37">
          <cell r="AJ37">
            <v>12500</v>
          </cell>
        </row>
      </sheetData>
      <sheetData sheetId="17">
        <row r="37">
          <cell r="AJ37">
            <v>1190257</v>
          </cell>
        </row>
      </sheetData>
      <sheetData sheetId="18">
        <row r="37">
          <cell r="AJ37">
            <v>137834</v>
          </cell>
        </row>
      </sheetData>
      <sheetData sheetId="19">
        <row r="37">
          <cell r="AJ37">
            <v>275563</v>
          </cell>
        </row>
      </sheetData>
      <sheetData sheetId="20">
        <row r="37">
          <cell r="AJ37">
            <v>32435</v>
          </cell>
        </row>
      </sheetData>
      <sheetData sheetId="21">
        <row r="37">
          <cell r="AJ37">
            <v>233668</v>
          </cell>
        </row>
      </sheetData>
      <sheetData sheetId="22">
        <row r="37">
          <cell r="AJ37">
            <v>24625</v>
          </cell>
        </row>
      </sheetData>
      <sheetData sheetId="23">
        <row r="37">
          <cell r="AJ37">
            <v>1382100</v>
          </cell>
        </row>
      </sheetData>
      <sheetData sheetId="24">
        <row r="37">
          <cell r="AJ37">
            <v>11000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資産元帳"/>
      <sheetName val="固定資産台帳"/>
      <sheetName val="固定資産台帳 (2)"/>
      <sheetName val="仮払金"/>
      <sheetName val="前払費用"/>
      <sheetName val="建物（ほっと本体）"/>
      <sheetName val="建物（ほっと2階）"/>
      <sheetName val="建物（新庄）"/>
      <sheetName val="建物（ゆけむり）"/>
      <sheetName val="建物（ほっと浴室）"/>
      <sheetName val="附属建物（厨房）"/>
      <sheetName val="附属建物（浴室）"/>
      <sheetName val="附属建物（便所）"/>
      <sheetName val="附属建物（廊下）"/>
      <sheetName val="附属設備（電気設備その他）"/>
      <sheetName val="附属設備（給排水衛生設備）"/>
      <sheetName val="附属設備（消火排煙設備）"/>
      <sheetName val="附属設備（新庄電気設備）"/>
      <sheetName val="附属設備（新庄給排水設備）"/>
      <sheetName val="附属設備（電気設備）"/>
      <sheetName val="附属設備（給排水設備）"/>
      <sheetName val="附属設備（新庄浴槽改装ガス給湯設備）"/>
      <sheetName val="附属設備（ほっと浴室移設電気工事）"/>
      <sheetName val="附属設備（ほっと浴室移設給排水設備）"/>
      <sheetName val="構築物（舗装工事）"/>
      <sheetName val="構築物（ゆけむり）"/>
      <sheetName val="構築物（新庄駐車場舗装）"/>
      <sheetName val="器具備品（新庄玄関エアコン）"/>
      <sheetName val="器具備品（新庄事務室エアコン）"/>
      <sheetName val="車両（タウンボックス）"/>
      <sheetName val="車両（はとバン）"/>
      <sheetName val="車両（ノア）"/>
      <sheetName val="車両（セレナ）"/>
      <sheetName val="車両（アトレー１）"/>
      <sheetName val="車両（アトレー４）"/>
      <sheetName val="車両（キャラ３）"/>
      <sheetName val="車両（フリード２）"/>
      <sheetName val="車両（セブン２）"/>
      <sheetName val="車両（EK３）"/>
      <sheetName val="電話加入権"/>
      <sheetName val="敷金保証金"/>
      <sheetName val="預託金"/>
      <sheetName val="短期借入金"/>
      <sheetName val="長期借入金"/>
      <sheetName val="預り金"/>
    </sheetNames>
    <sheetDataSet>
      <sheetData sheetId="0"/>
      <sheetData sheetId="1"/>
      <sheetData sheetId="2"/>
      <sheetData sheetId="3">
        <row r="37">
          <cell r="AJ37">
            <v>1005910</v>
          </cell>
        </row>
      </sheetData>
      <sheetData sheetId="4"/>
      <sheetData sheetId="5">
        <row r="5">
          <cell r="AJ5">
            <v>225002</v>
          </cell>
        </row>
      </sheetData>
      <sheetData sheetId="6">
        <row r="5">
          <cell r="AJ5">
            <v>159976</v>
          </cell>
        </row>
      </sheetData>
      <sheetData sheetId="7">
        <row r="5">
          <cell r="AJ5">
            <v>16342797</v>
          </cell>
        </row>
      </sheetData>
      <sheetData sheetId="8">
        <row r="5">
          <cell r="AJ5">
            <v>23447684</v>
          </cell>
        </row>
      </sheetData>
      <sheetData sheetId="9">
        <row r="5">
          <cell r="AJ5">
            <v>4038012</v>
          </cell>
        </row>
      </sheetData>
      <sheetData sheetId="10">
        <row r="5">
          <cell r="AJ5">
            <v>1</v>
          </cell>
        </row>
      </sheetData>
      <sheetData sheetId="11">
        <row r="5">
          <cell r="AJ5">
            <v>1</v>
          </cell>
        </row>
      </sheetData>
      <sheetData sheetId="12">
        <row r="5">
          <cell r="AJ5">
            <v>1</v>
          </cell>
        </row>
      </sheetData>
      <sheetData sheetId="13">
        <row r="5">
          <cell r="AJ5">
            <v>1</v>
          </cell>
        </row>
      </sheetData>
      <sheetData sheetId="14">
        <row r="5">
          <cell r="AJ5">
            <v>82438</v>
          </cell>
        </row>
      </sheetData>
      <sheetData sheetId="15">
        <row r="5">
          <cell r="AJ5">
            <v>94536</v>
          </cell>
        </row>
      </sheetData>
      <sheetData sheetId="16">
        <row r="5">
          <cell r="AJ5">
            <v>5047</v>
          </cell>
        </row>
      </sheetData>
      <sheetData sheetId="17">
        <row r="5">
          <cell r="AJ5">
            <v>365715</v>
          </cell>
        </row>
      </sheetData>
      <sheetData sheetId="18">
        <row r="5">
          <cell r="AJ5">
            <v>446005</v>
          </cell>
        </row>
      </sheetData>
      <sheetData sheetId="19">
        <row r="5">
          <cell r="AJ5">
            <v>1028074</v>
          </cell>
        </row>
      </sheetData>
      <sheetData sheetId="20">
        <row r="5">
          <cell r="AJ5">
            <v>529605</v>
          </cell>
        </row>
      </sheetData>
      <sheetData sheetId="21">
        <row r="6">
          <cell r="AJ6">
            <v>513845</v>
          </cell>
        </row>
      </sheetData>
      <sheetData sheetId="22">
        <row r="5">
          <cell r="AJ5">
            <v>851136</v>
          </cell>
        </row>
      </sheetData>
      <sheetData sheetId="23">
        <row r="5">
          <cell r="AJ5">
            <v>1128476</v>
          </cell>
        </row>
      </sheetData>
      <sheetData sheetId="24">
        <row r="5">
          <cell r="AJ5">
            <v>1</v>
          </cell>
        </row>
      </sheetData>
      <sheetData sheetId="25">
        <row r="5">
          <cell r="AJ5">
            <v>358351</v>
          </cell>
        </row>
      </sheetData>
      <sheetData sheetId="26">
        <row r="5">
          <cell r="AJ5">
            <v>821220</v>
          </cell>
        </row>
      </sheetData>
      <sheetData sheetId="27">
        <row r="5">
          <cell r="AJ5">
            <v>31800</v>
          </cell>
        </row>
      </sheetData>
      <sheetData sheetId="28">
        <row r="5">
          <cell r="AJ5">
            <v>173084</v>
          </cell>
        </row>
      </sheetData>
      <sheetData sheetId="29">
        <row r="5">
          <cell r="AJ5">
            <v>1</v>
          </cell>
        </row>
      </sheetData>
      <sheetData sheetId="30">
        <row r="5">
          <cell r="AJ5">
            <v>1</v>
          </cell>
        </row>
      </sheetData>
      <sheetData sheetId="31">
        <row r="5">
          <cell r="AJ5">
            <v>1</v>
          </cell>
        </row>
      </sheetData>
      <sheetData sheetId="32">
        <row r="5">
          <cell r="AJ5">
            <v>1</v>
          </cell>
        </row>
      </sheetData>
      <sheetData sheetId="33">
        <row r="5">
          <cell r="AJ5">
            <v>1</v>
          </cell>
        </row>
      </sheetData>
      <sheetData sheetId="34">
        <row r="5">
          <cell r="AJ5">
            <v>2078860</v>
          </cell>
        </row>
      </sheetData>
      <sheetData sheetId="35">
        <row r="5">
          <cell r="AJ5">
            <v>0</v>
          </cell>
        </row>
      </sheetData>
      <sheetData sheetId="36">
        <row r="5">
          <cell r="AJ5">
            <v>477725</v>
          </cell>
        </row>
      </sheetData>
      <sheetData sheetId="37">
        <row r="5">
          <cell r="AJ5">
            <v>1</v>
          </cell>
        </row>
      </sheetData>
      <sheetData sheetId="38">
        <row r="5">
          <cell r="AJ5">
            <v>1</v>
          </cell>
        </row>
      </sheetData>
      <sheetData sheetId="39">
        <row r="5">
          <cell r="AJ5">
            <v>110600</v>
          </cell>
        </row>
      </sheetData>
      <sheetData sheetId="40">
        <row r="5">
          <cell r="AJ5">
            <v>50000</v>
          </cell>
        </row>
      </sheetData>
      <sheetData sheetId="41">
        <row r="5">
          <cell r="AJ5">
            <v>148120</v>
          </cell>
        </row>
      </sheetData>
      <sheetData sheetId="42"/>
      <sheetData sheetId="43">
        <row r="37">
          <cell r="AA37">
            <v>4917000</v>
          </cell>
        </row>
      </sheetData>
      <sheetData sheetId="44">
        <row r="37">
          <cell r="AJ37">
            <v>535332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DDC9F-2B5C-437F-A06F-330381482911}">
  <dimension ref="A1:G97"/>
  <sheetViews>
    <sheetView topLeftCell="A34" workbookViewId="0">
      <selection activeCell="A44" sqref="A44"/>
    </sheetView>
  </sheetViews>
  <sheetFormatPr defaultRowHeight="13.5" x14ac:dyDescent="0.15"/>
  <cols>
    <col min="1" max="1" width="39.5" customWidth="1"/>
    <col min="2" max="2" width="15.75" customWidth="1"/>
    <col min="3" max="3" width="15" customWidth="1"/>
    <col min="4" max="4" width="16.5" customWidth="1"/>
    <col min="5" max="5" width="11.75" customWidth="1"/>
  </cols>
  <sheetData>
    <row r="1" spans="1:7" ht="17.25" x14ac:dyDescent="0.2">
      <c r="A1" s="1" t="s">
        <v>53</v>
      </c>
      <c r="B1" s="1"/>
    </row>
    <row r="2" spans="1:7" ht="17.25" customHeight="1" x14ac:dyDescent="0.15">
      <c r="A2" s="111" t="s">
        <v>56</v>
      </c>
      <c r="B2" s="111"/>
      <c r="C2" s="111"/>
    </row>
    <row r="3" spans="1:7" x14ac:dyDescent="0.15">
      <c r="B3" s="2" t="s">
        <v>0</v>
      </c>
      <c r="C3" s="110" t="s">
        <v>1</v>
      </c>
      <c r="D3" s="110"/>
      <c r="G3" t="s">
        <v>0</v>
      </c>
    </row>
    <row r="4" spans="1:7" ht="14.25" x14ac:dyDescent="0.15">
      <c r="C4" s="111" t="s">
        <v>10</v>
      </c>
      <c r="D4" s="111"/>
    </row>
    <row r="5" spans="1:7" ht="13.5" customHeight="1" x14ac:dyDescent="0.15">
      <c r="D5" s="64" t="s">
        <v>50</v>
      </c>
    </row>
    <row r="6" spans="1:7" ht="17.25" x14ac:dyDescent="0.2">
      <c r="A6" s="56" t="s">
        <v>5</v>
      </c>
      <c r="B6" s="50"/>
      <c r="C6" s="49" t="s">
        <v>4</v>
      </c>
      <c r="D6" s="49"/>
    </row>
    <row r="7" spans="1:7" ht="14.25" x14ac:dyDescent="0.15">
      <c r="A7" s="55" t="s">
        <v>2</v>
      </c>
      <c r="B7" s="24"/>
      <c r="C7" s="4"/>
      <c r="D7" s="28"/>
    </row>
    <row r="8" spans="1:7" ht="14.25" x14ac:dyDescent="0.15">
      <c r="A8" s="55" t="s">
        <v>19</v>
      </c>
      <c r="B8" s="14"/>
      <c r="C8" s="5"/>
      <c r="D8" s="12"/>
    </row>
    <row r="9" spans="1:7" ht="14.25" x14ac:dyDescent="0.15">
      <c r="A9" s="55" t="s">
        <v>34</v>
      </c>
      <c r="B9" s="51">
        <v>2445</v>
      </c>
      <c r="C9" s="5"/>
      <c r="D9" s="12"/>
    </row>
    <row r="10" spans="1:7" ht="14.25" x14ac:dyDescent="0.15">
      <c r="A10" s="55" t="s">
        <v>35</v>
      </c>
      <c r="B10" s="27">
        <f>SUM(B11:B15)</f>
        <v>9525094</v>
      </c>
      <c r="C10" s="5"/>
      <c r="D10" s="12"/>
    </row>
    <row r="11" spans="1:7" ht="14.25" x14ac:dyDescent="0.15">
      <c r="A11" s="53" t="s">
        <v>13</v>
      </c>
      <c r="B11" s="32">
        <v>6970055</v>
      </c>
      <c r="C11" s="5"/>
      <c r="D11" s="23"/>
    </row>
    <row r="12" spans="1:7" ht="14.25" x14ac:dyDescent="0.15">
      <c r="A12" s="54" t="s">
        <v>12</v>
      </c>
      <c r="B12" s="41">
        <v>1278948</v>
      </c>
      <c r="C12" s="5"/>
      <c r="D12" s="23"/>
    </row>
    <row r="13" spans="1:7" ht="14.25" x14ac:dyDescent="0.15">
      <c r="A13" s="53" t="s">
        <v>45</v>
      </c>
      <c r="B13" s="32">
        <v>597977</v>
      </c>
      <c r="C13" s="5"/>
      <c r="D13" s="23"/>
    </row>
    <row r="14" spans="1:7" ht="14.25" x14ac:dyDescent="0.15">
      <c r="A14" s="53" t="s">
        <v>44</v>
      </c>
      <c r="B14" s="41">
        <v>467224</v>
      </c>
      <c r="C14" s="5"/>
      <c r="D14" s="12"/>
    </row>
    <row r="15" spans="1:7" ht="14.25" x14ac:dyDescent="0.15">
      <c r="A15" s="53" t="s">
        <v>46</v>
      </c>
      <c r="B15" s="41">
        <v>210890</v>
      </c>
      <c r="C15" s="5"/>
      <c r="D15" s="12"/>
    </row>
    <row r="16" spans="1:7" ht="14.25" x14ac:dyDescent="0.15">
      <c r="A16" s="55" t="s">
        <v>36</v>
      </c>
      <c r="B16" s="27">
        <f>SUM(B17:B20)</f>
        <v>27473962</v>
      </c>
      <c r="C16" s="6"/>
      <c r="D16" s="12"/>
    </row>
    <row r="17" spans="1:4" ht="14.25" x14ac:dyDescent="0.15">
      <c r="A17" s="54" t="s">
        <v>14</v>
      </c>
      <c r="B17" s="32">
        <v>4741500</v>
      </c>
      <c r="C17" s="11"/>
      <c r="D17" s="12"/>
    </row>
    <row r="18" spans="1:4" ht="14.25" x14ac:dyDescent="0.15">
      <c r="A18" s="54" t="s">
        <v>15</v>
      </c>
      <c r="B18" s="32">
        <v>19395768</v>
      </c>
      <c r="C18" s="5"/>
      <c r="D18" s="12"/>
    </row>
    <row r="19" spans="1:4" ht="14.25" x14ac:dyDescent="0.15">
      <c r="A19" s="54" t="s">
        <v>16</v>
      </c>
      <c r="B19" s="32">
        <v>2762944</v>
      </c>
      <c r="C19" s="5"/>
      <c r="D19" s="12"/>
    </row>
    <row r="20" spans="1:4" ht="14.25" x14ac:dyDescent="0.15">
      <c r="A20" s="54" t="s">
        <v>17</v>
      </c>
      <c r="B20" s="32">
        <v>573750</v>
      </c>
      <c r="C20" s="5"/>
      <c r="D20" s="12"/>
    </row>
    <row r="21" spans="1:4" ht="14.25" x14ac:dyDescent="0.15">
      <c r="A21" s="58" t="s">
        <v>47</v>
      </c>
      <c r="B21" s="63">
        <v>592032</v>
      </c>
      <c r="C21" s="5"/>
      <c r="D21" s="12"/>
    </row>
    <row r="22" spans="1:4" ht="14.25" x14ac:dyDescent="0.15">
      <c r="A22" s="9"/>
      <c r="B22" s="7"/>
      <c r="C22" s="36">
        <f>B9+B10+B16+B21</f>
        <v>37593533</v>
      </c>
      <c r="D22" s="12"/>
    </row>
    <row r="23" spans="1:4" ht="14.25" x14ac:dyDescent="0.15">
      <c r="A23" s="11"/>
      <c r="B23" s="14"/>
      <c r="C23" s="5"/>
      <c r="D23" s="29" t="s">
        <v>8</v>
      </c>
    </row>
    <row r="24" spans="1:4" ht="14.25" x14ac:dyDescent="0.15">
      <c r="A24" s="55" t="s">
        <v>20</v>
      </c>
      <c r="B24" s="26" t="s">
        <v>6</v>
      </c>
      <c r="C24" s="5"/>
      <c r="D24" s="25"/>
    </row>
    <row r="25" spans="1:4" ht="14.25" x14ac:dyDescent="0.15">
      <c r="A25" s="55" t="s">
        <v>39</v>
      </c>
      <c r="B25" s="27">
        <v>38619092</v>
      </c>
      <c r="C25" s="5"/>
      <c r="D25" s="12"/>
    </row>
    <row r="26" spans="1:4" ht="14.25" x14ac:dyDescent="0.15">
      <c r="A26" s="55" t="s">
        <v>51</v>
      </c>
      <c r="B26" s="27">
        <v>9881509</v>
      </c>
      <c r="C26" s="5"/>
      <c r="D26" s="12"/>
    </row>
    <row r="27" spans="1:4" ht="14.25" x14ac:dyDescent="0.15">
      <c r="A27" s="55" t="s">
        <v>52</v>
      </c>
      <c r="B27" s="27">
        <v>415643</v>
      </c>
      <c r="C27" s="5"/>
      <c r="D27" s="12"/>
    </row>
    <row r="28" spans="1:4" ht="14.25" x14ac:dyDescent="0.15">
      <c r="A28" s="55" t="s">
        <v>40</v>
      </c>
      <c r="B28" s="27">
        <v>557452</v>
      </c>
      <c r="C28" s="5"/>
      <c r="D28" s="12"/>
    </row>
    <row r="29" spans="1:4" ht="14.25" x14ac:dyDescent="0.15">
      <c r="A29" s="55" t="s">
        <v>41</v>
      </c>
      <c r="B29" s="27">
        <v>110600</v>
      </c>
      <c r="C29" s="5"/>
      <c r="D29" s="12"/>
    </row>
    <row r="30" spans="1:4" ht="14.25" x14ac:dyDescent="0.15">
      <c r="A30" s="55" t="s">
        <v>42</v>
      </c>
      <c r="B30" s="27">
        <v>350000</v>
      </c>
      <c r="C30" s="11"/>
      <c r="D30" s="12"/>
    </row>
    <row r="31" spans="1:4" ht="14.25" x14ac:dyDescent="0.15">
      <c r="A31" s="61" t="s">
        <v>43</v>
      </c>
      <c r="B31" s="8"/>
      <c r="C31" s="37">
        <f>SUM(B25:B30)</f>
        <v>49934296</v>
      </c>
      <c r="D31" s="12"/>
    </row>
    <row r="32" spans="1:4" ht="14.25" x14ac:dyDescent="0.15">
      <c r="A32" s="11"/>
      <c r="B32" s="19"/>
      <c r="C32" s="5"/>
      <c r="D32" s="12"/>
    </row>
    <row r="33" spans="1:5" ht="14.25" x14ac:dyDescent="0.15">
      <c r="A33" s="58" t="s">
        <v>23</v>
      </c>
      <c r="B33" s="8"/>
      <c r="C33" s="10"/>
      <c r="D33" s="38">
        <f>C22+C31</f>
        <v>87527829</v>
      </c>
    </row>
    <row r="34" spans="1:5" x14ac:dyDescent="0.15">
      <c r="A34" s="9"/>
      <c r="B34" s="62"/>
      <c r="C34" s="62"/>
      <c r="D34" s="62"/>
    </row>
    <row r="35" spans="1:5" ht="14.25" x14ac:dyDescent="0.15">
      <c r="A35" s="60" t="s">
        <v>18</v>
      </c>
      <c r="B35" s="26"/>
      <c r="C35" s="5"/>
      <c r="D35" s="12"/>
    </row>
    <row r="36" spans="1:5" ht="14.25" x14ac:dyDescent="0.15">
      <c r="A36" s="55" t="s">
        <v>21</v>
      </c>
      <c r="B36" s="26"/>
      <c r="C36" s="5"/>
      <c r="D36" s="23"/>
    </row>
    <row r="37" spans="1:5" ht="14.25" x14ac:dyDescent="0.15">
      <c r="A37" s="55" t="s">
        <v>32</v>
      </c>
      <c r="B37" s="27">
        <v>1606819</v>
      </c>
      <c r="C37" s="5"/>
      <c r="D37" s="29"/>
    </row>
    <row r="38" spans="1:5" ht="14.25" x14ac:dyDescent="0.15">
      <c r="A38" s="55" t="s">
        <v>33</v>
      </c>
      <c r="B38" s="27"/>
      <c r="C38" s="5"/>
      <c r="D38" s="12"/>
    </row>
    <row r="39" spans="1:5" ht="14.25" x14ac:dyDescent="0.15">
      <c r="A39" s="55" t="s">
        <v>31</v>
      </c>
      <c r="B39" s="8"/>
      <c r="C39" s="37">
        <f>B37+B38</f>
        <v>1606819</v>
      </c>
      <c r="D39" s="23"/>
      <c r="E39" s="17"/>
    </row>
    <row r="40" spans="1:5" ht="14.25" x14ac:dyDescent="0.15">
      <c r="A40" s="3"/>
      <c r="B40" s="14"/>
      <c r="C40" s="34"/>
      <c r="D40" s="25"/>
    </row>
    <row r="41" spans="1:5" ht="14.25" x14ac:dyDescent="0.15">
      <c r="A41" s="55" t="s">
        <v>22</v>
      </c>
      <c r="B41" s="19"/>
      <c r="C41" s="33"/>
      <c r="D41" s="23"/>
    </row>
    <row r="42" spans="1:5" ht="14.25" x14ac:dyDescent="0.15">
      <c r="A42" s="55" t="s">
        <v>30</v>
      </c>
      <c r="B42" s="27">
        <v>27000000</v>
      </c>
      <c r="C42" s="11"/>
      <c r="D42" s="25"/>
    </row>
    <row r="43" spans="1:5" ht="14.25" x14ac:dyDescent="0.15">
      <c r="A43" s="61" t="s">
        <v>29</v>
      </c>
      <c r="B43" s="10"/>
      <c r="C43" s="37">
        <f>B42</f>
        <v>27000000</v>
      </c>
      <c r="D43" s="23"/>
    </row>
    <row r="44" spans="1:5" ht="14.25" x14ac:dyDescent="0.15">
      <c r="A44" s="3"/>
      <c r="B44" s="19"/>
      <c r="C44" s="11"/>
      <c r="D44" s="23"/>
    </row>
    <row r="45" spans="1:5" ht="14.25" x14ac:dyDescent="0.15">
      <c r="A45" s="58" t="s">
        <v>24</v>
      </c>
      <c r="B45" s="40"/>
      <c r="C45" s="40"/>
      <c r="D45" s="38">
        <f>C39+C43</f>
        <v>28606819</v>
      </c>
    </row>
    <row r="46" spans="1:5" ht="14.25" x14ac:dyDescent="0.15">
      <c r="A46" s="3"/>
      <c r="B46" s="19"/>
      <c r="C46" s="11"/>
      <c r="D46" s="23"/>
    </row>
    <row r="47" spans="1:5" ht="14.25" x14ac:dyDescent="0.15">
      <c r="A47" s="55" t="s">
        <v>3</v>
      </c>
      <c r="B47" s="30"/>
      <c r="C47" s="35"/>
      <c r="D47" s="31"/>
    </row>
    <row r="48" spans="1:5" ht="15" customHeight="1" x14ac:dyDescent="0.15">
      <c r="A48" s="55" t="s">
        <v>27</v>
      </c>
      <c r="B48" s="10"/>
      <c r="C48" s="39"/>
      <c r="D48" s="39">
        <v>0</v>
      </c>
    </row>
    <row r="49" spans="1:4" ht="15.75" customHeight="1" x14ac:dyDescent="0.15">
      <c r="A49" s="55" t="s">
        <v>28</v>
      </c>
      <c r="B49" s="47"/>
      <c r="C49" s="9"/>
      <c r="D49" s="43">
        <f>D33-D45</f>
        <v>58921010</v>
      </c>
    </row>
    <row r="50" spans="1:4" ht="15.75" customHeight="1" x14ac:dyDescent="0.15">
      <c r="A50" s="59" t="s">
        <v>11</v>
      </c>
      <c r="B50" s="9"/>
      <c r="D50" s="42">
        <v>12903120</v>
      </c>
    </row>
    <row r="51" spans="1:4" ht="16.5" customHeight="1" x14ac:dyDescent="0.15">
      <c r="A51" s="55" t="s">
        <v>26</v>
      </c>
      <c r="B51" s="22"/>
      <c r="C51" s="48"/>
      <c r="D51" s="44">
        <f>D49</f>
        <v>58921010</v>
      </c>
    </row>
    <row r="52" spans="1:4" ht="14.25" x14ac:dyDescent="0.15">
      <c r="A52" s="55" t="s">
        <v>25</v>
      </c>
      <c r="B52" s="16"/>
      <c r="C52" s="10"/>
      <c r="D52" s="38">
        <f>D45+D51</f>
        <v>87527829</v>
      </c>
    </row>
    <row r="53" spans="1:4" ht="9" customHeight="1" x14ac:dyDescent="0.15"/>
    <row r="54" spans="1:4" ht="15" customHeight="1" x14ac:dyDescent="0.15">
      <c r="B54" s="112"/>
      <c r="C54" s="112"/>
    </row>
    <row r="55" spans="1:4" ht="20.25" customHeight="1" x14ac:dyDescent="0.2">
      <c r="A55" s="1"/>
      <c r="B55" s="110"/>
      <c r="C55" s="110"/>
      <c r="D55" s="110"/>
    </row>
    <row r="56" spans="1:4" ht="20.25" customHeight="1" x14ac:dyDescent="0.15">
      <c r="A56" s="45"/>
    </row>
    <row r="57" spans="1:4" ht="20.25" customHeight="1" x14ac:dyDescent="0.15">
      <c r="D57" s="45"/>
    </row>
    <row r="58" spans="1:4" ht="15" customHeight="1" x14ac:dyDescent="0.15"/>
    <row r="59" spans="1:4" ht="18" customHeight="1" x14ac:dyDescent="0.15"/>
    <row r="61" spans="1:4" ht="17.25" x14ac:dyDescent="0.2">
      <c r="A61" s="21"/>
    </row>
    <row r="62" spans="1:4" ht="14.25" x14ac:dyDescent="0.15">
      <c r="A62" s="17"/>
    </row>
    <row r="63" spans="1:4" ht="14.25" x14ac:dyDescent="0.15">
      <c r="A63" s="17"/>
    </row>
    <row r="64" spans="1:4" ht="14.25" x14ac:dyDescent="0.15">
      <c r="A64" s="17"/>
    </row>
    <row r="65" spans="1:4" ht="14.25" x14ac:dyDescent="0.15">
      <c r="A65" s="17"/>
      <c r="B65" s="13"/>
      <c r="C65" s="17"/>
      <c r="D65" s="17"/>
    </row>
    <row r="66" spans="1:4" ht="14.25" x14ac:dyDescent="0.15">
      <c r="A66" s="17"/>
      <c r="B66" s="13"/>
      <c r="C66" s="17"/>
      <c r="D66" s="17"/>
    </row>
    <row r="67" spans="1:4" ht="14.25" x14ac:dyDescent="0.15">
      <c r="A67" s="17"/>
      <c r="B67" s="20"/>
      <c r="C67" s="17"/>
      <c r="D67" s="17"/>
    </row>
    <row r="68" spans="1:4" ht="14.25" x14ac:dyDescent="0.15">
      <c r="A68" s="17"/>
      <c r="B68" s="13"/>
      <c r="C68" s="17"/>
      <c r="D68" s="17"/>
    </row>
    <row r="69" spans="1:4" ht="14.25" x14ac:dyDescent="0.15">
      <c r="A69" s="17"/>
      <c r="B69" s="13"/>
      <c r="C69" s="13"/>
      <c r="D69" s="17"/>
    </row>
    <row r="70" spans="1:4" ht="14.25" x14ac:dyDescent="0.15">
      <c r="B70" s="17"/>
      <c r="C70" s="18"/>
      <c r="D70" s="17"/>
    </row>
    <row r="71" spans="1:4" ht="14.25" x14ac:dyDescent="0.15">
      <c r="A71" s="17"/>
      <c r="B71" s="17"/>
      <c r="C71" s="18"/>
      <c r="D71" s="17"/>
    </row>
    <row r="72" spans="1:4" ht="14.25" x14ac:dyDescent="0.15">
      <c r="C72" s="17"/>
      <c r="D72" s="17"/>
    </row>
    <row r="73" spans="1:4" ht="14.25" x14ac:dyDescent="0.15">
      <c r="A73" s="17"/>
      <c r="C73" s="17"/>
      <c r="D73" s="17"/>
    </row>
    <row r="74" spans="1:4" ht="14.25" x14ac:dyDescent="0.15">
      <c r="A74" s="17"/>
      <c r="B74" s="20"/>
      <c r="C74" s="18"/>
      <c r="D74" s="17"/>
    </row>
    <row r="75" spans="1:4" ht="14.25" x14ac:dyDescent="0.15">
      <c r="A75" s="17"/>
      <c r="B75" s="13"/>
      <c r="D75" s="17"/>
    </row>
    <row r="76" spans="1:4" ht="14.25" x14ac:dyDescent="0.15">
      <c r="B76" s="17"/>
      <c r="C76" s="17"/>
      <c r="D76" s="13"/>
    </row>
    <row r="77" spans="1:4" ht="14.25" x14ac:dyDescent="0.15">
      <c r="A77" s="17"/>
      <c r="B77" s="13"/>
      <c r="C77" s="13"/>
      <c r="D77" s="18"/>
    </row>
    <row r="78" spans="1:4" ht="14.25" x14ac:dyDescent="0.15">
      <c r="B78" s="13"/>
      <c r="C78" s="17"/>
      <c r="D78" s="17"/>
    </row>
    <row r="79" spans="1:4" ht="14.25" x14ac:dyDescent="0.15">
      <c r="A79" s="17"/>
      <c r="B79" s="13"/>
      <c r="C79" s="17"/>
      <c r="D79" s="18"/>
    </row>
    <row r="80" spans="1:4" ht="14.25" x14ac:dyDescent="0.15">
      <c r="C80" s="17"/>
      <c r="D80" s="17"/>
    </row>
    <row r="81" spans="1:4" ht="14.25" x14ac:dyDescent="0.15">
      <c r="A81" s="17"/>
      <c r="C81" s="17"/>
      <c r="D81" s="17"/>
    </row>
    <row r="82" spans="1:4" ht="14.25" x14ac:dyDescent="0.15">
      <c r="A82" s="17"/>
      <c r="B82" s="13"/>
      <c r="D82" s="17"/>
    </row>
    <row r="83" spans="1:4" ht="14.25" x14ac:dyDescent="0.15">
      <c r="A83" s="17"/>
      <c r="B83" s="13"/>
      <c r="D83" s="17"/>
    </row>
    <row r="84" spans="1:4" ht="14.25" x14ac:dyDescent="0.15">
      <c r="A84" s="17"/>
      <c r="B84" s="13"/>
      <c r="C84" s="17"/>
      <c r="D84" s="17"/>
    </row>
    <row r="85" spans="1:4" ht="14.25" x14ac:dyDescent="0.15">
      <c r="A85" s="17"/>
      <c r="C85" s="13"/>
      <c r="D85" s="17"/>
    </row>
    <row r="86" spans="1:4" ht="14.25" x14ac:dyDescent="0.15">
      <c r="A86" s="17"/>
      <c r="B86" s="13"/>
      <c r="D86" s="17"/>
    </row>
    <row r="87" spans="1:4" ht="14.25" x14ac:dyDescent="0.15">
      <c r="A87" s="17"/>
      <c r="B87" s="13"/>
      <c r="C87" s="17"/>
      <c r="D87" s="17"/>
    </row>
    <row r="88" spans="1:4" ht="14.25" x14ac:dyDescent="0.15">
      <c r="A88" s="17"/>
      <c r="B88" s="13"/>
      <c r="C88" s="17"/>
    </row>
    <row r="89" spans="1:4" ht="14.25" x14ac:dyDescent="0.15">
      <c r="A89" s="17"/>
      <c r="B89" s="13"/>
      <c r="C89" s="17"/>
    </row>
    <row r="90" spans="1:4" ht="14.25" x14ac:dyDescent="0.15">
      <c r="A90" s="17"/>
      <c r="B90" s="13"/>
      <c r="C90" s="17"/>
      <c r="D90" s="17"/>
    </row>
    <row r="91" spans="1:4" ht="14.25" x14ac:dyDescent="0.15">
      <c r="A91" s="17"/>
      <c r="B91" s="13"/>
      <c r="D91" s="13"/>
    </row>
    <row r="92" spans="1:4" ht="14.25" x14ac:dyDescent="0.15">
      <c r="A92" s="17"/>
      <c r="B92" s="13"/>
      <c r="C92" s="17"/>
    </row>
    <row r="93" spans="1:4" ht="14.25" x14ac:dyDescent="0.15">
      <c r="A93" s="17"/>
      <c r="B93" s="17"/>
      <c r="D93" s="18"/>
    </row>
    <row r="94" spans="1:4" ht="14.25" x14ac:dyDescent="0.15">
      <c r="A94" s="17"/>
    </row>
    <row r="95" spans="1:4" ht="14.25" x14ac:dyDescent="0.15">
      <c r="A95" s="17" t="s">
        <v>0</v>
      </c>
      <c r="C95" s="18" t="s">
        <v>0</v>
      </c>
      <c r="D95" s="18" t="s">
        <v>0</v>
      </c>
    </row>
    <row r="96" spans="1:4" x14ac:dyDescent="0.15">
      <c r="A96" t="s">
        <v>0</v>
      </c>
    </row>
    <row r="97" spans="1:1" ht="14.25" x14ac:dyDescent="0.15">
      <c r="A97" s="17" t="s">
        <v>9</v>
      </c>
    </row>
  </sheetData>
  <mergeCells count="5">
    <mergeCell ref="B55:D55"/>
    <mergeCell ref="A2:C2"/>
    <mergeCell ref="C3:D3"/>
    <mergeCell ref="C4:D4"/>
    <mergeCell ref="B54:C54"/>
  </mergeCells>
  <phoneticPr fontId="3"/>
  <pageMargins left="0.99" right="0.44" top="0.72" bottom="0" header="0.38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CD21-B843-4647-AE3A-95C7C1D9BAE6}">
  <dimension ref="A1:G106"/>
  <sheetViews>
    <sheetView topLeftCell="A46" zoomScaleNormal="100" workbookViewId="0">
      <selection activeCell="D59" sqref="D59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</cols>
  <sheetData>
    <row r="1" spans="1:7" ht="17.25" x14ac:dyDescent="0.2">
      <c r="A1" s="1" t="s">
        <v>84</v>
      </c>
      <c r="B1" s="1"/>
    </row>
    <row r="2" spans="1:7" ht="17.25" customHeight="1" x14ac:dyDescent="0.15">
      <c r="A2" s="111" t="s">
        <v>85</v>
      </c>
      <c r="B2" s="111"/>
      <c r="C2" s="111"/>
      <c r="D2" s="111"/>
    </row>
    <row r="3" spans="1:7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7" ht="15" customHeight="1" x14ac:dyDescent="0.15">
      <c r="C4" s="115" t="s">
        <v>49</v>
      </c>
      <c r="D4" s="115"/>
      <c r="F4" s="46"/>
    </row>
    <row r="5" spans="1:7" ht="17.25" x14ac:dyDescent="0.2">
      <c r="A5" s="56" t="s">
        <v>5</v>
      </c>
      <c r="B5" s="50"/>
      <c r="C5" s="49" t="s">
        <v>4</v>
      </c>
      <c r="D5" s="49"/>
    </row>
    <row r="6" spans="1:7" ht="14.25" x14ac:dyDescent="0.15">
      <c r="A6" s="55" t="s">
        <v>2</v>
      </c>
      <c r="B6" s="24"/>
      <c r="C6" s="4"/>
      <c r="D6" s="28"/>
    </row>
    <row r="7" spans="1:7" ht="14.25" x14ac:dyDescent="0.15">
      <c r="A7" s="55" t="s">
        <v>19</v>
      </c>
      <c r="B7" s="14"/>
      <c r="C7" s="5"/>
      <c r="D7" s="12"/>
    </row>
    <row r="8" spans="1:7" ht="14.25" x14ac:dyDescent="0.15">
      <c r="A8" s="55" t="s">
        <v>34</v>
      </c>
      <c r="B8" s="51">
        <v>2385</v>
      </c>
      <c r="C8" s="5"/>
      <c r="D8" s="12"/>
    </row>
    <row r="9" spans="1:7" ht="14.25" x14ac:dyDescent="0.15">
      <c r="A9" s="55" t="s">
        <v>35</v>
      </c>
      <c r="B9" s="27">
        <f>SUM(B10:B14)</f>
        <v>17670948</v>
      </c>
      <c r="C9" s="5"/>
      <c r="D9" s="12"/>
    </row>
    <row r="10" spans="1:7" ht="14.25" x14ac:dyDescent="0.15">
      <c r="A10" s="53" t="s">
        <v>13</v>
      </c>
      <c r="B10" s="67">
        <f>14788362+6369+16402+271467+261165+64032</f>
        <v>15407797</v>
      </c>
      <c r="C10" s="5"/>
      <c r="D10" s="23"/>
    </row>
    <row r="11" spans="1:7" ht="14.25" x14ac:dyDescent="0.15">
      <c r="A11" s="54" t="s">
        <v>12</v>
      </c>
      <c r="B11" s="67">
        <f>333638+393928+11527</f>
        <v>739093</v>
      </c>
      <c r="C11" s="5"/>
      <c r="D11" s="23"/>
    </row>
    <row r="12" spans="1:7" ht="14.25" x14ac:dyDescent="0.15">
      <c r="A12" s="53" t="s">
        <v>45</v>
      </c>
      <c r="B12" s="32">
        <v>715481</v>
      </c>
      <c r="C12" s="5"/>
      <c r="D12" s="23"/>
    </row>
    <row r="13" spans="1:7" ht="14.25" x14ac:dyDescent="0.15">
      <c r="A13" s="53" t="s">
        <v>44</v>
      </c>
      <c r="B13" s="41">
        <v>481462</v>
      </c>
      <c r="C13" s="5"/>
      <c r="D13" s="12"/>
    </row>
    <row r="14" spans="1:7" ht="14.25" x14ac:dyDescent="0.15">
      <c r="A14" s="53" t="s">
        <v>46</v>
      </c>
      <c r="B14" s="41">
        <v>327115</v>
      </c>
      <c r="C14" s="5"/>
      <c r="D14" s="12"/>
    </row>
    <row r="15" spans="1:7" ht="14.25" x14ac:dyDescent="0.15">
      <c r="A15" s="55" t="s">
        <v>36</v>
      </c>
      <c r="B15" s="27">
        <f>SUM(B16:B26)</f>
        <v>30673999</v>
      </c>
      <c r="C15" s="6"/>
      <c r="D15" s="12"/>
    </row>
    <row r="16" spans="1:7" ht="14.25" x14ac:dyDescent="0.15">
      <c r="A16" s="54" t="s">
        <v>14</v>
      </c>
      <c r="B16" s="32">
        <f>48384+5950160</f>
        <v>5998544</v>
      </c>
      <c r="C16" s="11"/>
      <c r="D16" s="12"/>
    </row>
    <row r="17" spans="1:4" ht="14.25" x14ac:dyDescent="0.15">
      <c r="A17" s="54" t="s">
        <v>15</v>
      </c>
      <c r="B17" s="67">
        <f>14024479+1178778+773300</f>
        <v>15976557</v>
      </c>
      <c r="C17" s="5"/>
      <c r="D17" s="12"/>
    </row>
    <row r="18" spans="1:4" ht="14.25" x14ac:dyDescent="0.15">
      <c r="A18" s="53" t="s">
        <v>58</v>
      </c>
      <c r="B18" s="32">
        <f>3126195+370340+106200</f>
        <v>3602735</v>
      </c>
      <c r="C18" s="11"/>
      <c r="D18" s="12"/>
    </row>
    <row r="19" spans="1:4" ht="14.25" x14ac:dyDescent="0.15">
      <c r="A19" s="54" t="s">
        <v>16</v>
      </c>
      <c r="B19" s="67">
        <f>1371165+80018+91700</f>
        <v>1542883</v>
      </c>
      <c r="C19" s="5"/>
      <c r="D19" s="12"/>
    </row>
    <row r="20" spans="1:4" ht="14.25" x14ac:dyDescent="0.15">
      <c r="A20" s="54" t="s">
        <v>67</v>
      </c>
      <c r="B20" s="67">
        <f>1233444+105081</f>
        <v>1338525</v>
      </c>
      <c r="C20" s="5"/>
      <c r="D20" s="12"/>
    </row>
    <row r="21" spans="1:4" ht="14.25" x14ac:dyDescent="0.15">
      <c r="A21" s="54" t="s">
        <v>72</v>
      </c>
      <c r="B21" s="67">
        <v>11400</v>
      </c>
      <c r="C21" s="5"/>
      <c r="D21" s="12"/>
    </row>
    <row r="22" spans="1:4" ht="14.25" x14ac:dyDescent="0.15">
      <c r="A22" s="54" t="s">
        <v>81</v>
      </c>
      <c r="B22" s="67">
        <f>556016+35444+51000</f>
        <v>642460</v>
      </c>
      <c r="C22" s="5"/>
      <c r="D22" s="12"/>
    </row>
    <row r="23" spans="1:4" ht="14.25" x14ac:dyDescent="0.15">
      <c r="A23" s="54" t="s">
        <v>82</v>
      </c>
      <c r="B23" s="67">
        <v>123000</v>
      </c>
      <c r="C23" s="5"/>
      <c r="D23" s="12"/>
    </row>
    <row r="24" spans="1:4" ht="14.25" x14ac:dyDescent="0.15">
      <c r="A24" s="54" t="s">
        <v>17</v>
      </c>
      <c r="B24" s="32">
        <v>1390895</v>
      </c>
      <c r="C24" s="5"/>
      <c r="D24" s="12"/>
    </row>
    <row r="25" spans="1:4" ht="14.25" x14ac:dyDescent="0.15">
      <c r="A25" s="54" t="s">
        <v>71</v>
      </c>
      <c r="B25" s="41">
        <v>47000</v>
      </c>
      <c r="C25" s="5"/>
      <c r="D25" s="12"/>
    </row>
    <row r="26" spans="1:4" ht="14.25" x14ac:dyDescent="0.15">
      <c r="A26" s="54" t="s">
        <v>79</v>
      </c>
      <c r="B26" s="41">
        <v>0</v>
      </c>
      <c r="C26" s="5"/>
      <c r="D26" s="12"/>
    </row>
    <row r="27" spans="1:4" ht="14.25" x14ac:dyDescent="0.15">
      <c r="A27" s="55" t="s">
        <v>37</v>
      </c>
      <c r="B27" s="27">
        <v>528452</v>
      </c>
      <c r="C27" s="15" t="s">
        <v>0</v>
      </c>
      <c r="D27" s="12"/>
    </row>
    <row r="28" spans="1:4" ht="14.25" x14ac:dyDescent="0.15">
      <c r="A28" s="61" t="s">
        <v>38</v>
      </c>
      <c r="B28" s="7"/>
      <c r="C28" s="36">
        <f>B8+B9+B15+B27</f>
        <v>48875784</v>
      </c>
      <c r="D28" s="12"/>
    </row>
    <row r="29" spans="1:4" ht="11.25" customHeight="1" x14ac:dyDescent="0.15">
      <c r="A29" s="11"/>
      <c r="B29" s="14"/>
      <c r="C29" s="5"/>
      <c r="D29" s="29" t="s">
        <v>0</v>
      </c>
    </row>
    <row r="30" spans="1:4" ht="14.25" x14ac:dyDescent="0.15">
      <c r="A30" s="55" t="s">
        <v>20</v>
      </c>
      <c r="B30" s="26" t="s">
        <v>0</v>
      </c>
      <c r="C30" s="5"/>
      <c r="D30" s="25"/>
    </row>
    <row r="31" spans="1:4" ht="14.25" x14ac:dyDescent="0.15">
      <c r="A31" s="55" t="s">
        <v>39</v>
      </c>
      <c r="B31" s="27">
        <v>53212564</v>
      </c>
      <c r="C31" s="5"/>
      <c r="D31" s="12"/>
    </row>
    <row r="32" spans="1:4" ht="14.25" x14ac:dyDescent="0.15">
      <c r="A32" s="55" t="s">
        <v>54</v>
      </c>
      <c r="B32" s="27">
        <v>7652587</v>
      </c>
      <c r="C32" s="5"/>
      <c r="D32" s="12"/>
    </row>
    <row r="33" spans="1:4" ht="14.25" x14ac:dyDescent="0.15">
      <c r="A33" s="55" t="s">
        <v>55</v>
      </c>
      <c r="B33" s="27">
        <v>1917917</v>
      </c>
      <c r="C33" s="5"/>
      <c r="D33" s="12"/>
    </row>
    <row r="34" spans="1:4" ht="14.25" x14ac:dyDescent="0.15">
      <c r="A34" s="55" t="s">
        <v>75</v>
      </c>
      <c r="B34" s="27">
        <v>143597</v>
      </c>
      <c r="C34" s="5"/>
      <c r="D34" s="12"/>
    </row>
    <row r="35" spans="1:4" ht="14.25" x14ac:dyDescent="0.15">
      <c r="A35" s="55" t="s">
        <v>40</v>
      </c>
      <c r="B35" s="27">
        <f>2866054-219473-249389-37263</f>
        <v>2359929</v>
      </c>
      <c r="C35" s="5"/>
      <c r="D35" s="12"/>
    </row>
    <row r="36" spans="1:4" ht="14.25" x14ac:dyDescent="0.15">
      <c r="A36" s="55" t="s">
        <v>41</v>
      </c>
      <c r="B36" s="27">
        <v>110600</v>
      </c>
      <c r="C36" s="5"/>
      <c r="D36" s="12"/>
    </row>
    <row r="37" spans="1:4" ht="14.25" x14ac:dyDescent="0.15">
      <c r="A37" s="55" t="s">
        <v>42</v>
      </c>
      <c r="B37" s="27">
        <v>50000</v>
      </c>
      <c r="C37" s="11"/>
      <c r="D37" s="12"/>
    </row>
    <row r="38" spans="1:4" ht="14.25" x14ac:dyDescent="0.15">
      <c r="A38" s="55" t="s">
        <v>66</v>
      </c>
      <c r="B38" s="27">
        <v>119440</v>
      </c>
      <c r="C38" s="6"/>
      <c r="D38" s="12"/>
    </row>
    <row r="39" spans="1:4" ht="14.25" x14ac:dyDescent="0.15">
      <c r="A39" s="61" t="s">
        <v>43</v>
      </c>
      <c r="B39" s="8"/>
      <c r="C39" s="37">
        <f>SUM(B31:B38)</f>
        <v>65566634</v>
      </c>
      <c r="D39" s="12"/>
    </row>
    <row r="40" spans="1:4" ht="14.25" x14ac:dyDescent="0.15">
      <c r="A40" s="11"/>
      <c r="B40" s="19"/>
      <c r="C40" s="5"/>
      <c r="D40" s="12"/>
    </row>
    <row r="41" spans="1:4" ht="14.25" x14ac:dyDescent="0.15">
      <c r="A41" s="58" t="s">
        <v>23</v>
      </c>
      <c r="B41" s="8"/>
      <c r="C41" s="10"/>
      <c r="D41" s="38">
        <f>C28+C39</f>
        <v>114442418</v>
      </c>
    </row>
    <row r="42" spans="1:4" ht="11.25" customHeight="1" x14ac:dyDescent="0.15">
      <c r="A42" s="9"/>
      <c r="B42" s="62"/>
      <c r="C42" s="62"/>
      <c r="D42" s="62"/>
    </row>
    <row r="43" spans="1:4" ht="14.25" x14ac:dyDescent="0.15">
      <c r="A43" s="60" t="s">
        <v>18</v>
      </c>
      <c r="B43" s="26"/>
      <c r="C43" s="5"/>
      <c r="D43" s="12"/>
    </row>
    <row r="44" spans="1:4" ht="14.25" x14ac:dyDescent="0.15">
      <c r="A44" s="55" t="s">
        <v>21</v>
      </c>
      <c r="B44" s="26"/>
      <c r="C44" s="5"/>
      <c r="D44" s="23"/>
    </row>
    <row r="45" spans="1:4" ht="14.25" x14ac:dyDescent="0.15">
      <c r="A45" s="55" t="s">
        <v>32</v>
      </c>
      <c r="B45" s="27">
        <v>2542995</v>
      </c>
      <c r="C45" s="5"/>
      <c r="D45" s="29"/>
    </row>
    <row r="46" spans="1:4" ht="14.25" x14ac:dyDescent="0.15">
      <c r="A46" s="55" t="s">
        <v>33</v>
      </c>
      <c r="B46" s="27">
        <v>5000000</v>
      </c>
      <c r="C46" s="5"/>
      <c r="D46" s="12"/>
    </row>
    <row r="47" spans="1:4" ht="14.25" x14ac:dyDescent="0.15">
      <c r="A47" s="59"/>
      <c r="B47" s="26"/>
      <c r="C47" s="11"/>
      <c r="D47" s="12"/>
    </row>
    <row r="48" spans="1:4" ht="14.25" x14ac:dyDescent="0.15">
      <c r="A48" s="55" t="s">
        <v>31</v>
      </c>
      <c r="B48" s="8"/>
      <c r="C48" s="37">
        <f>B45+B46</f>
        <v>7542995</v>
      </c>
      <c r="D48" s="23"/>
    </row>
    <row r="49" spans="1:4" ht="11.25" customHeight="1" x14ac:dyDescent="0.15">
      <c r="A49" s="3"/>
      <c r="B49" s="14"/>
      <c r="C49" s="34"/>
      <c r="D49" s="25"/>
    </row>
    <row r="50" spans="1:4" ht="14.25" x14ac:dyDescent="0.15">
      <c r="A50" s="55" t="s">
        <v>22</v>
      </c>
      <c r="B50" s="19"/>
      <c r="C50" s="33"/>
      <c r="D50" s="23"/>
    </row>
    <row r="51" spans="1:4" ht="14.25" x14ac:dyDescent="0.15">
      <c r="A51" s="55" t="s">
        <v>30</v>
      </c>
      <c r="B51" s="27">
        <v>12800000</v>
      </c>
      <c r="C51" s="11"/>
      <c r="D51" s="25"/>
    </row>
    <row r="52" spans="1:4" ht="14.25" x14ac:dyDescent="0.15">
      <c r="A52" s="9"/>
      <c r="B52" s="19"/>
      <c r="C52" s="11"/>
      <c r="D52" s="25"/>
    </row>
    <row r="53" spans="1:4" ht="14.25" x14ac:dyDescent="0.15">
      <c r="A53" s="61" t="s">
        <v>29</v>
      </c>
      <c r="B53" s="10"/>
      <c r="C53" s="37">
        <f>B51</f>
        <v>12800000</v>
      </c>
      <c r="D53" s="23"/>
    </row>
    <row r="54" spans="1:4" ht="14.25" x14ac:dyDescent="0.15">
      <c r="A54" s="3"/>
      <c r="B54" s="19"/>
      <c r="C54" s="11"/>
      <c r="D54" s="23"/>
    </row>
    <row r="55" spans="1:4" ht="14.25" x14ac:dyDescent="0.15">
      <c r="A55" s="58" t="s">
        <v>24</v>
      </c>
      <c r="B55" s="40"/>
      <c r="C55" s="40"/>
      <c r="D55" s="38">
        <f>C48+C53</f>
        <v>20342995</v>
      </c>
    </row>
    <row r="56" spans="1:4" ht="11.25" customHeight="1" x14ac:dyDescent="0.15">
      <c r="A56" s="3"/>
      <c r="B56" s="19"/>
      <c r="C56" s="11"/>
      <c r="D56" s="23"/>
    </row>
    <row r="57" spans="1:4" ht="14.25" x14ac:dyDescent="0.15">
      <c r="A57" s="55" t="s">
        <v>3</v>
      </c>
      <c r="B57" s="30"/>
      <c r="C57" s="35"/>
      <c r="D57" s="31"/>
    </row>
    <row r="58" spans="1:4" ht="15" customHeight="1" x14ac:dyDescent="0.15">
      <c r="A58" s="55" t="s">
        <v>27</v>
      </c>
      <c r="B58" s="10"/>
      <c r="C58" s="39"/>
      <c r="D58" s="39">
        <v>0</v>
      </c>
    </row>
    <row r="59" spans="1:4" ht="15.75" customHeight="1" x14ac:dyDescent="0.15">
      <c r="A59" s="55" t="s">
        <v>28</v>
      </c>
      <c r="B59" s="47"/>
      <c r="C59" s="9"/>
      <c r="D59" s="43">
        <f>D41-D55</f>
        <v>94099423</v>
      </c>
    </row>
    <row r="60" spans="1:4" ht="15.75" customHeight="1" x14ac:dyDescent="0.15">
      <c r="A60" s="59" t="s">
        <v>11</v>
      </c>
      <c r="B60" s="9"/>
      <c r="D60" s="42">
        <f>D59-'30.3月 '!D59</f>
        <v>979820</v>
      </c>
    </row>
    <row r="61" spans="1:4" ht="16.5" customHeight="1" x14ac:dyDescent="0.15">
      <c r="A61" s="55" t="s">
        <v>26</v>
      </c>
      <c r="B61" s="22"/>
      <c r="C61" s="48"/>
      <c r="D61" s="44">
        <f>D59</f>
        <v>94099423</v>
      </c>
    </row>
    <row r="62" spans="1:4" ht="14.25" x14ac:dyDescent="0.15">
      <c r="A62" s="55" t="s">
        <v>25</v>
      </c>
      <c r="B62" s="22"/>
      <c r="C62" s="9"/>
      <c r="D62" s="69">
        <f>D55+D61</f>
        <v>114442418</v>
      </c>
    </row>
    <row r="63" spans="1:4" x14ac:dyDescent="0.15">
      <c r="B63" s="2"/>
      <c r="D63" s="68"/>
    </row>
    <row r="64" spans="1:4" ht="12.75" customHeight="1" x14ac:dyDescent="0.2">
      <c r="A64" s="1"/>
    </row>
    <row r="65" spans="1:4" x14ac:dyDescent="0.15">
      <c r="A65" s="45"/>
      <c r="B65" s="45"/>
      <c r="D65" s="68"/>
    </row>
    <row r="66" spans="1:4" x14ac:dyDescent="0.15">
      <c r="C66" s="52"/>
      <c r="D66" s="45"/>
    </row>
    <row r="68" spans="1:4" x14ac:dyDescent="0.15">
      <c r="C68" s="52"/>
    </row>
    <row r="70" spans="1:4" ht="13.5" customHeight="1" x14ac:dyDescent="0.2">
      <c r="A70" s="21"/>
    </row>
    <row r="71" spans="1:4" ht="14.25" x14ac:dyDescent="0.15">
      <c r="A71" s="17"/>
    </row>
    <row r="72" spans="1:4" ht="14.25" x14ac:dyDescent="0.15">
      <c r="A72" s="17"/>
    </row>
    <row r="73" spans="1:4" ht="14.25" x14ac:dyDescent="0.15">
      <c r="A73" s="17"/>
    </row>
    <row r="74" spans="1:4" ht="14.25" x14ac:dyDescent="0.15">
      <c r="A74" s="17"/>
      <c r="B74" s="13"/>
      <c r="C74" s="17"/>
      <c r="D74" s="17"/>
    </row>
    <row r="75" spans="1:4" ht="14.25" x14ac:dyDescent="0.15">
      <c r="A75" s="17"/>
      <c r="B75" s="13"/>
      <c r="C75" s="17"/>
      <c r="D75" s="17"/>
    </row>
    <row r="76" spans="1:4" ht="14.25" x14ac:dyDescent="0.15">
      <c r="A76" s="17"/>
      <c r="B76" s="20"/>
      <c r="C76" s="17"/>
      <c r="D76" s="17"/>
    </row>
    <row r="77" spans="1:4" ht="14.25" x14ac:dyDescent="0.15">
      <c r="A77" s="17"/>
      <c r="B77" s="13"/>
      <c r="C77" s="17"/>
      <c r="D77" s="17"/>
    </row>
    <row r="78" spans="1:4" ht="14.25" x14ac:dyDescent="0.15">
      <c r="A78" s="17"/>
      <c r="B78" s="13"/>
      <c r="C78" s="13"/>
      <c r="D78" s="17"/>
    </row>
    <row r="79" spans="1:4" ht="14.25" x14ac:dyDescent="0.15">
      <c r="B79" s="17"/>
      <c r="C79" s="18"/>
      <c r="D79" s="17"/>
    </row>
    <row r="80" spans="1:4" ht="14.25" x14ac:dyDescent="0.15">
      <c r="A80" s="17"/>
      <c r="B80" s="17"/>
      <c r="C80" s="18"/>
      <c r="D80" s="17"/>
    </row>
    <row r="81" spans="1:4" ht="14.25" x14ac:dyDescent="0.15">
      <c r="C81" s="17"/>
      <c r="D81" s="17"/>
    </row>
    <row r="82" spans="1:4" ht="14.25" x14ac:dyDescent="0.15">
      <c r="A82" s="17"/>
      <c r="C82" s="17"/>
      <c r="D82" s="17"/>
    </row>
    <row r="83" spans="1:4" ht="14.25" x14ac:dyDescent="0.15">
      <c r="A83" s="17"/>
      <c r="B83" s="20"/>
      <c r="C83" s="18"/>
      <c r="D83" s="17"/>
    </row>
    <row r="84" spans="1:4" ht="14.25" x14ac:dyDescent="0.15">
      <c r="A84" s="17"/>
      <c r="B84" s="13"/>
      <c r="D84" s="17"/>
    </row>
    <row r="85" spans="1:4" ht="14.25" x14ac:dyDescent="0.15">
      <c r="B85" s="17"/>
      <c r="C85" s="17"/>
      <c r="D85" s="13"/>
    </row>
    <row r="86" spans="1:4" ht="14.25" x14ac:dyDescent="0.15">
      <c r="A86" s="17"/>
      <c r="B86" s="13"/>
      <c r="C86" s="13"/>
      <c r="D86" s="18"/>
    </row>
    <row r="87" spans="1:4" ht="14.25" x14ac:dyDescent="0.15">
      <c r="B87" s="13"/>
      <c r="C87" s="17"/>
      <c r="D87" s="17"/>
    </row>
    <row r="88" spans="1:4" ht="14.25" x14ac:dyDescent="0.15">
      <c r="A88" s="17"/>
      <c r="B88" s="13"/>
      <c r="C88" s="17"/>
      <c r="D88" s="18"/>
    </row>
    <row r="89" spans="1:4" ht="14.25" x14ac:dyDescent="0.15">
      <c r="C89" s="17"/>
      <c r="D89" s="17"/>
    </row>
    <row r="90" spans="1:4" ht="14.25" x14ac:dyDescent="0.15">
      <c r="A90" s="17"/>
      <c r="C90" s="17"/>
      <c r="D90" s="17"/>
    </row>
    <row r="91" spans="1:4" ht="14.25" x14ac:dyDescent="0.15">
      <c r="A91" s="17"/>
      <c r="B91" s="13"/>
      <c r="D91" s="17"/>
    </row>
    <row r="92" spans="1:4" ht="14.25" x14ac:dyDescent="0.15">
      <c r="A92" s="17"/>
      <c r="B92" s="13"/>
      <c r="D92" s="17"/>
    </row>
    <row r="93" spans="1:4" ht="14.25" x14ac:dyDescent="0.15">
      <c r="A93" s="17"/>
      <c r="B93" s="13"/>
      <c r="C93" s="17"/>
      <c r="D93" s="17"/>
    </row>
    <row r="94" spans="1:4" ht="14.25" x14ac:dyDescent="0.15">
      <c r="A94" s="17"/>
      <c r="C94" s="13"/>
      <c r="D94" s="17"/>
    </row>
    <row r="95" spans="1:4" ht="14.25" x14ac:dyDescent="0.15">
      <c r="A95" s="17"/>
      <c r="B95" s="13"/>
      <c r="D95" s="17"/>
    </row>
    <row r="96" spans="1:4" ht="14.25" x14ac:dyDescent="0.15">
      <c r="A96" s="17"/>
      <c r="B96" s="13"/>
      <c r="C96" s="17"/>
      <c r="D96" s="17"/>
    </row>
    <row r="97" spans="1:4" ht="14.25" x14ac:dyDescent="0.15">
      <c r="A97" s="17"/>
      <c r="B97" s="13"/>
      <c r="C97" s="17"/>
    </row>
    <row r="98" spans="1:4" ht="14.25" x14ac:dyDescent="0.15">
      <c r="A98" s="17"/>
      <c r="B98" s="13"/>
      <c r="C98" s="17"/>
    </row>
    <row r="99" spans="1:4" ht="14.25" x14ac:dyDescent="0.15">
      <c r="A99" s="17"/>
      <c r="B99" s="13"/>
      <c r="C99" s="17"/>
      <c r="D99" s="17"/>
    </row>
    <row r="100" spans="1:4" ht="14.25" x14ac:dyDescent="0.15">
      <c r="A100" s="17"/>
      <c r="B100" s="13"/>
      <c r="D100" s="13"/>
    </row>
    <row r="101" spans="1:4" ht="14.25" x14ac:dyDescent="0.15">
      <c r="A101" s="17"/>
      <c r="B101" s="13"/>
      <c r="C101" s="17"/>
    </row>
    <row r="102" spans="1:4" ht="14.25" x14ac:dyDescent="0.15">
      <c r="A102" s="17"/>
      <c r="B102" s="17"/>
      <c r="D102" s="18"/>
    </row>
    <row r="103" spans="1:4" ht="14.25" x14ac:dyDescent="0.15">
      <c r="A103" s="17"/>
    </row>
    <row r="104" spans="1:4" ht="14.25" x14ac:dyDescent="0.15">
      <c r="A104" s="17" t="s">
        <v>0</v>
      </c>
      <c r="C104" s="18" t="s">
        <v>0</v>
      </c>
      <c r="D104" s="18" t="s">
        <v>0</v>
      </c>
    </row>
    <row r="105" spans="1:4" x14ac:dyDescent="0.15">
      <c r="A105" t="s">
        <v>0</v>
      </c>
    </row>
    <row r="106" spans="1:4" ht="14.25" x14ac:dyDescent="0.15">
      <c r="A106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horizontalDpi="4294967293" vertic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206AE-BADE-4612-A868-05F2A3D2CE72}">
  <dimension ref="A1:G106"/>
  <sheetViews>
    <sheetView zoomScaleNormal="100" workbookViewId="0">
      <selection activeCell="A3" sqref="A3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</cols>
  <sheetData>
    <row r="1" spans="1:7" ht="17.25" x14ac:dyDescent="0.2">
      <c r="A1" s="1" t="s">
        <v>87</v>
      </c>
      <c r="B1" s="1"/>
    </row>
    <row r="2" spans="1:7" ht="17.25" customHeight="1" x14ac:dyDescent="0.15">
      <c r="A2" s="111" t="s">
        <v>86</v>
      </c>
      <c r="B2" s="111"/>
      <c r="C2" s="111"/>
      <c r="D2" s="111"/>
    </row>
    <row r="3" spans="1:7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7" ht="15" customHeight="1" x14ac:dyDescent="0.15">
      <c r="C4" s="115" t="s">
        <v>49</v>
      </c>
      <c r="D4" s="115"/>
      <c r="F4" s="46"/>
    </row>
    <row r="5" spans="1:7" ht="17.25" x14ac:dyDescent="0.2">
      <c r="A5" s="56" t="s">
        <v>5</v>
      </c>
      <c r="B5" s="50"/>
      <c r="C5" s="49" t="s">
        <v>4</v>
      </c>
      <c r="D5" s="49"/>
    </row>
    <row r="6" spans="1:7" ht="14.25" x14ac:dyDescent="0.15">
      <c r="A6" s="55" t="s">
        <v>2</v>
      </c>
      <c r="B6" s="24"/>
      <c r="C6" s="4"/>
      <c r="D6" s="28"/>
    </row>
    <row r="7" spans="1:7" ht="14.25" x14ac:dyDescent="0.15">
      <c r="A7" s="55" t="s">
        <v>19</v>
      </c>
      <c r="B7" s="14"/>
      <c r="C7" s="5"/>
      <c r="D7" s="12"/>
    </row>
    <row r="8" spans="1:7" ht="14.25" x14ac:dyDescent="0.15">
      <c r="A8" s="55" t="s">
        <v>34</v>
      </c>
      <c r="B8" s="51">
        <v>2385</v>
      </c>
      <c r="C8" s="5"/>
      <c r="D8" s="12"/>
    </row>
    <row r="9" spans="1:7" ht="14.25" x14ac:dyDescent="0.15">
      <c r="A9" s="55" t="s">
        <v>35</v>
      </c>
      <c r="B9" s="27">
        <f>SUM(B10:B14)</f>
        <v>19262183</v>
      </c>
      <c r="C9" s="5"/>
      <c r="D9" s="12"/>
    </row>
    <row r="10" spans="1:7" ht="14.25" x14ac:dyDescent="0.15">
      <c r="A10" s="53" t="s">
        <v>13</v>
      </c>
      <c r="B10" s="67">
        <f>16986205+8219+7909+305081+276854+113376</f>
        <v>17697644</v>
      </c>
      <c r="C10" s="5"/>
      <c r="D10" s="23"/>
    </row>
    <row r="11" spans="1:7" ht="14.25" x14ac:dyDescent="0.15">
      <c r="A11" s="54" t="s">
        <v>12</v>
      </c>
      <c r="B11" s="67">
        <f>389438+675009+11527</f>
        <v>1075974</v>
      </c>
      <c r="C11" s="5"/>
      <c r="D11" s="23"/>
    </row>
    <row r="12" spans="1:7" ht="14.25" x14ac:dyDescent="0.15">
      <c r="A12" s="53" t="s">
        <v>45</v>
      </c>
      <c r="B12" s="32">
        <v>73502</v>
      </c>
      <c r="C12" s="5"/>
      <c r="D12" s="23"/>
    </row>
    <row r="13" spans="1:7" ht="14.25" x14ac:dyDescent="0.15">
      <c r="A13" s="53" t="s">
        <v>44</v>
      </c>
      <c r="B13" s="41">
        <v>12443</v>
      </c>
      <c r="C13" s="5"/>
      <c r="D13" s="12"/>
    </row>
    <row r="14" spans="1:7" ht="14.25" x14ac:dyDescent="0.15">
      <c r="A14" s="53" t="s">
        <v>46</v>
      </c>
      <c r="B14" s="41">
        <v>402620</v>
      </c>
      <c r="C14" s="5"/>
      <c r="D14" s="12"/>
    </row>
    <row r="15" spans="1:7" ht="14.25" x14ac:dyDescent="0.15">
      <c r="A15" s="55" t="s">
        <v>36</v>
      </c>
      <c r="B15" s="27">
        <f>SUM(B16:B26)</f>
        <v>30086780</v>
      </c>
      <c r="C15" s="6"/>
      <c r="D15" s="12"/>
    </row>
    <row r="16" spans="1:7" ht="14.25" x14ac:dyDescent="0.15">
      <c r="A16" s="54" t="s">
        <v>14</v>
      </c>
      <c r="B16" s="32">
        <f>24192+5918560</f>
        <v>5942752</v>
      </c>
      <c r="C16" s="11"/>
      <c r="D16" s="12"/>
    </row>
    <row r="17" spans="1:4" ht="14.25" x14ac:dyDescent="0.15">
      <c r="A17" s="54" t="s">
        <v>15</v>
      </c>
      <c r="B17" s="67">
        <f>14780062+1145322+720500</f>
        <v>16645884</v>
      </c>
      <c r="C17" s="5"/>
      <c r="D17" s="12"/>
    </row>
    <row r="18" spans="1:4" ht="14.25" x14ac:dyDescent="0.15">
      <c r="A18" s="53" t="s">
        <v>58</v>
      </c>
      <c r="B18" s="32">
        <f>3076200+318631+83400</f>
        <v>3478231</v>
      </c>
      <c r="C18" s="11"/>
      <c r="D18" s="12"/>
    </row>
    <row r="19" spans="1:4" ht="14.25" x14ac:dyDescent="0.15">
      <c r="A19" s="54" t="s">
        <v>16</v>
      </c>
      <c r="B19" s="67">
        <f>1448217+91213+100700</f>
        <v>1640130</v>
      </c>
      <c r="C19" s="5"/>
      <c r="D19" s="12"/>
    </row>
    <row r="20" spans="1:4" ht="14.25" x14ac:dyDescent="0.15">
      <c r="A20" s="54" t="s">
        <v>67</v>
      </c>
      <c r="B20" s="67">
        <f>1277423+99050</f>
        <v>1376473</v>
      </c>
      <c r="C20" s="5"/>
      <c r="D20" s="12"/>
    </row>
    <row r="21" spans="1:4" ht="14.25" x14ac:dyDescent="0.15">
      <c r="A21" s="54" t="s">
        <v>72</v>
      </c>
      <c r="B21" s="67">
        <v>13200</v>
      </c>
      <c r="C21" s="5"/>
      <c r="D21" s="12"/>
    </row>
    <row r="22" spans="1:4" ht="14.25" x14ac:dyDescent="0.15">
      <c r="A22" s="54" t="s">
        <v>81</v>
      </c>
      <c r="B22" s="67">
        <f>253865+33195+46200</f>
        <v>333260</v>
      </c>
      <c r="C22" s="5"/>
      <c r="D22" s="12"/>
    </row>
    <row r="23" spans="1:4" ht="14.25" x14ac:dyDescent="0.15">
      <c r="A23" s="54" t="s">
        <v>82</v>
      </c>
      <c r="B23" s="67">
        <v>102600</v>
      </c>
      <c r="C23" s="5"/>
      <c r="D23" s="12"/>
    </row>
    <row r="24" spans="1:4" ht="14.25" x14ac:dyDescent="0.15">
      <c r="A24" s="54" t="s">
        <v>17</v>
      </c>
      <c r="B24" s="32">
        <v>521750</v>
      </c>
      <c r="C24" s="5"/>
      <c r="D24" s="12"/>
    </row>
    <row r="25" spans="1:4" ht="14.25" x14ac:dyDescent="0.15">
      <c r="A25" s="54" t="s">
        <v>71</v>
      </c>
      <c r="B25" s="41">
        <v>32500</v>
      </c>
      <c r="C25" s="5"/>
      <c r="D25" s="12"/>
    </row>
    <row r="26" spans="1:4" ht="14.25" x14ac:dyDescent="0.15">
      <c r="A26" s="54" t="s">
        <v>79</v>
      </c>
      <c r="B26" s="41">
        <v>0</v>
      </c>
      <c r="C26" s="5"/>
      <c r="D26" s="12"/>
    </row>
    <row r="27" spans="1:4" ht="14.25" x14ac:dyDescent="0.15">
      <c r="A27" s="55" t="s">
        <v>37</v>
      </c>
      <c r="B27" s="27">
        <v>472501</v>
      </c>
      <c r="C27" s="15" t="s">
        <v>0</v>
      </c>
      <c r="D27" s="12"/>
    </row>
    <row r="28" spans="1:4" ht="14.25" x14ac:dyDescent="0.15">
      <c r="A28" s="61" t="s">
        <v>38</v>
      </c>
      <c r="B28" s="7"/>
      <c r="C28" s="36">
        <f>B8+B9+B15+B27</f>
        <v>49823849</v>
      </c>
      <c r="D28" s="12"/>
    </row>
    <row r="29" spans="1:4" ht="11.25" customHeight="1" x14ac:dyDescent="0.15">
      <c r="A29" s="11"/>
      <c r="B29" s="14"/>
      <c r="C29" s="5"/>
      <c r="D29" s="29" t="s">
        <v>0</v>
      </c>
    </row>
    <row r="30" spans="1:4" ht="14.25" x14ac:dyDescent="0.15">
      <c r="A30" s="55" t="s">
        <v>20</v>
      </c>
      <c r="B30" s="26" t="s">
        <v>0</v>
      </c>
      <c r="C30" s="5"/>
      <c r="D30" s="25"/>
    </row>
    <row r="31" spans="1:4" ht="14.25" x14ac:dyDescent="0.15">
      <c r="A31" s="55" t="s">
        <v>39</v>
      </c>
      <c r="B31" s="27">
        <v>53212564</v>
      </c>
      <c r="C31" s="5"/>
      <c r="D31" s="12"/>
    </row>
    <row r="32" spans="1:4" ht="14.25" x14ac:dyDescent="0.15">
      <c r="A32" s="55" t="s">
        <v>54</v>
      </c>
      <c r="B32" s="27">
        <v>7652587</v>
      </c>
      <c r="C32" s="5"/>
      <c r="D32" s="12"/>
    </row>
    <row r="33" spans="1:4" ht="14.25" x14ac:dyDescent="0.15">
      <c r="A33" s="55" t="s">
        <v>55</v>
      </c>
      <c r="B33" s="27">
        <v>1917917</v>
      </c>
      <c r="C33" s="5"/>
      <c r="D33" s="12"/>
    </row>
    <row r="34" spans="1:4" ht="14.25" x14ac:dyDescent="0.15">
      <c r="A34" s="55" t="s">
        <v>75</v>
      </c>
      <c r="B34" s="27">
        <v>143597</v>
      </c>
      <c r="C34" s="5"/>
      <c r="D34" s="12"/>
    </row>
    <row r="35" spans="1:4" ht="14.25" x14ac:dyDescent="0.15">
      <c r="A35" s="55" t="s">
        <v>40</v>
      </c>
      <c r="B35" s="27">
        <f>2866054-219473-249389-37263</f>
        <v>2359929</v>
      </c>
      <c r="C35" s="5"/>
      <c r="D35" s="12"/>
    </row>
    <row r="36" spans="1:4" ht="14.25" x14ac:dyDescent="0.15">
      <c r="A36" s="55" t="s">
        <v>41</v>
      </c>
      <c r="B36" s="27">
        <v>110600</v>
      </c>
      <c r="C36" s="5"/>
      <c r="D36" s="12"/>
    </row>
    <row r="37" spans="1:4" ht="14.25" x14ac:dyDescent="0.15">
      <c r="A37" s="55" t="s">
        <v>42</v>
      </c>
      <c r="B37" s="27">
        <v>50000</v>
      </c>
      <c r="C37" s="11"/>
      <c r="D37" s="12"/>
    </row>
    <row r="38" spans="1:4" ht="14.25" x14ac:dyDescent="0.15">
      <c r="A38" s="55" t="s">
        <v>66</v>
      </c>
      <c r="B38" s="27">
        <v>119440</v>
      </c>
      <c r="C38" s="6"/>
      <c r="D38" s="12"/>
    </row>
    <row r="39" spans="1:4" ht="14.25" x14ac:dyDescent="0.15">
      <c r="A39" s="61" t="s">
        <v>43</v>
      </c>
      <c r="B39" s="8"/>
      <c r="C39" s="37">
        <f>SUM(B31:B38)</f>
        <v>65566634</v>
      </c>
      <c r="D39" s="12"/>
    </row>
    <row r="40" spans="1:4" ht="14.25" x14ac:dyDescent="0.15">
      <c r="A40" s="11"/>
      <c r="B40" s="19"/>
      <c r="C40" s="5"/>
      <c r="D40" s="12"/>
    </row>
    <row r="41" spans="1:4" ht="14.25" x14ac:dyDescent="0.15">
      <c r="A41" s="58" t="s">
        <v>23</v>
      </c>
      <c r="B41" s="8"/>
      <c r="C41" s="10"/>
      <c r="D41" s="38">
        <f>C28+C39</f>
        <v>115390483</v>
      </c>
    </row>
    <row r="42" spans="1:4" ht="11.25" customHeight="1" x14ac:dyDescent="0.15">
      <c r="A42" s="9"/>
      <c r="B42" s="62"/>
      <c r="C42" s="62"/>
      <c r="D42" s="62"/>
    </row>
    <row r="43" spans="1:4" ht="14.25" x14ac:dyDescent="0.15">
      <c r="A43" s="60" t="s">
        <v>18</v>
      </c>
      <c r="B43" s="26"/>
      <c r="C43" s="5"/>
      <c r="D43" s="12"/>
    </row>
    <row r="44" spans="1:4" ht="14.25" x14ac:dyDescent="0.15">
      <c r="A44" s="55" t="s">
        <v>21</v>
      </c>
      <c r="B44" s="26"/>
      <c r="C44" s="5"/>
      <c r="D44" s="23"/>
    </row>
    <row r="45" spans="1:4" ht="14.25" x14ac:dyDescent="0.15">
      <c r="A45" s="55" t="s">
        <v>32</v>
      </c>
      <c r="B45" s="27">
        <v>2651918</v>
      </c>
      <c r="C45" s="5"/>
      <c r="D45" s="29"/>
    </row>
    <row r="46" spans="1:4" ht="14.25" x14ac:dyDescent="0.15">
      <c r="A46" s="55" t="s">
        <v>33</v>
      </c>
      <c r="B46" s="27">
        <v>5000000</v>
      </c>
      <c r="C46" s="5"/>
      <c r="D46" s="12"/>
    </row>
    <row r="47" spans="1:4" ht="14.25" x14ac:dyDescent="0.15">
      <c r="A47" s="59"/>
      <c r="B47" s="26"/>
      <c r="C47" s="11"/>
      <c r="D47" s="12"/>
    </row>
    <row r="48" spans="1:4" ht="14.25" x14ac:dyDescent="0.15">
      <c r="A48" s="55" t="s">
        <v>31</v>
      </c>
      <c r="B48" s="8"/>
      <c r="C48" s="37">
        <f>B45+B46</f>
        <v>7651918</v>
      </c>
      <c r="D48" s="23"/>
    </row>
    <row r="49" spans="1:4" ht="11.25" customHeight="1" x14ac:dyDescent="0.15">
      <c r="A49" s="3"/>
      <c r="B49" s="14"/>
      <c r="C49" s="34"/>
      <c r="D49" s="25"/>
    </row>
    <row r="50" spans="1:4" ht="14.25" x14ac:dyDescent="0.15">
      <c r="A50" s="55" t="s">
        <v>22</v>
      </c>
      <c r="B50" s="19"/>
      <c r="C50" s="33"/>
      <c r="D50" s="23"/>
    </row>
    <row r="51" spans="1:4" ht="14.25" x14ac:dyDescent="0.15">
      <c r="A51" s="55" t="s">
        <v>30</v>
      </c>
      <c r="B51" s="27">
        <v>12520000</v>
      </c>
      <c r="C51" s="11"/>
      <c r="D51" s="25"/>
    </row>
    <row r="52" spans="1:4" ht="14.25" x14ac:dyDescent="0.15">
      <c r="A52" s="9"/>
      <c r="B52" s="19"/>
      <c r="C52" s="11"/>
      <c r="D52" s="25"/>
    </row>
    <row r="53" spans="1:4" ht="14.25" x14ac:dyDescent="0.15">
      <c r="A53" s="61" t="s">
        <v>29</v>
      </c>
      <c r="B53" s="10"/>
      <c r="C53" s="37">
        <f>B51</f>
        <v>12520000</v>
      </c>
      <c r="D53" s="23"/>
    </row>
    <row r="54" spans="1:4" ht="14.25" x14ac:dyDescent="0.15">
      <c r="A54" s="3"/>
      <c r="B54" s="19"/>
      <c r="C54" s="11"/>
      <c r="D54" s="23"/>
    </row>
    <row r="55" spans="1:4" ht="14.25" x14ac:dyDescent="0.15">
      <c r="A55" s="58" t="s">
        <v>24</v>
      </c>
      <c r="B55" s="40"/>
      <c r="C55" s="40"/>
      <c r="D55" s="38">
        <f>C48+C53</f>
        <v>20171918</v>
      </c>
    </row>
    <row r="56" spans="1:4" ht="11.25" customHeight="1" x14ac:dyDescent="0.15">
      <c r="A56" s="3"/>
      <c r="B56" s="19"/>
      <c r="C56" s="11"/>
      <c r="D56" s="23"/>
    </row>
    <row r="57" spans="1:4" ht="14.25" x14ac:dyDescent="0.15">
      <c r="A57" s="55" t="s">
        <v>3</v>
      </c>
      <c r="B57" s="30"/>
      <c r="C57" s="35"/>
      <c r="D57" s="31"/>
    </row>
    <row r="58" spans="1:4" ht="15" customHeight="1" x14ac:dyDescent="0.15">
      <c r="A58" s="55" t="s">
        <v>27</v>
      </c>
      <c r="B58" s="10"/>
      <c r="C58" s="39"/>
      <c r="D58" s="39">
        <v>0</v>
      </c>
    </row>
    <row r="59" spans="1:4" ht="15.75" customHeight="1" x14ac:dyDescent="0.15">
      <c r="A59" s="55" t="s">
        <v>28</v>
      </c>
      <c r="B59" s="47"/>
      <c r="C59" s="9"/>
      <c r="D59" s="43">
        <f>D41-D55</f>
        <v>95218565</v>
      </c>
    </row>
    <row r="60" spans="1:4" ht="15.75" customHeight="1" x14ac:dyDescent="0.15">
      <c r="A60" s="59" t="s">
        <v>11</v>
      </c>
      <c r="B60" s="9"/>
      <c r="D60" s="42">
        <f>D59-'31.3月 '!D59</f>
        <v>1119142</v>
      </c>
    </row>
    <row r="61" spans="1:4" ht="16.5" customHeight="1" x14ac:dyDescent="0.15">
      <c r="A61" s="55" t="s">
        <v>26</v>
      </c>
      <c r="B61" s="22"/>
      <c r="C61" s="48"/>
      <c r="D61" s="44">
        <f>D59</f>
        <v>95218565</v>
      </c>
    </row>
    <row r="62" spans="1:4" ht="14.25" x14ac:dyDescent="0.15">
      <c r="A62" s="55" t="s">
        <v>25</v>
      </c>
      <c r="B62" s="22"/>
      <c r="C62" s="9"/>
      <c r="D62" s="69">
        <f>D55+D61</f>
        <v>115390483</v>
      </c>
    </row>
    <row r="63" spans="1:4" x14ac:dyDescent="0.15">
      <c r="B63" s="2"/>
      <c r="D63" s="68"/>
    </row>
    <row r="64" spans="1:4" ht="12.75" customHeight="1" x14ac:dyDescent="0.2">
      <c r="A64" s="1"/>
    </row>
    <row r="65" spans="1:4" x14ac:dyDescent="0.15">
      <c r="A65" s="45"/>
      <c r="B65" s="45"/>
      <c r="D65" s="68"/>
    </row>
    <row r="66" spans="1:4" x14ac:dyDescent="0.15">
      <c r="C66" s="52"/>
      <c r="D66" s="45"/>
    </row>
    <row r="68" spans="1:4" x14ac:dyDescent="0.15">
      <c r="C68" s="52"/>
    </row>
    <row r="70" spans="1:4" ht="13.5" customHeight="1" x14ac:dyDescent="0.2">
      <c r="A70" s="21"/>
    </row>
    <row r="71" spans="1:4" ht="14.25" x14ac:dyDescent="0.15">
      <c r="A71" s="17"/>
    </row>
    <row r="72" spans="1:4" ht="14.25" x14ac:dyDescent="0.15">
      <c r="A72" s="17"/>
    </row>
    <row r="73" spans="1:4" ht="14.25" x14ac:dyDescent="0.15">
      <c r="A73" s="17"/>
    </row>
    <row r="74" spans="1:4" ht="14.25" x14ac:dyDescent="0.15">
      <c r="A74" s="17"/>
      <c r="B74" s="13"/>
      <c r="C74" s="17"/>
      <c r="D74" s="17"/>
    </row>
    <row r="75" spans="1:4" ht="14.25" x14ac:dyDescent="0.15">
      <c r="A75" s="17"/>
      <c r="B75" s="13"/>
      <c r="C75" s="17"/>
      <c r="D75" s="17"/>
    </row>
    <row r="76" spans="1:4" ht="14.25" x14ac:dyDescent="0.15">
      <c r="A76" s="17"/>
      <c r="B76" s="20"/>
      <c r="C76" s="17"/>
      <c r="D76" s="17"/>
    </row>
    <row r="77" spans="1:4" ht="14.25" x14ac:dyDescent="0.15">
      <c r="A77" s="17"/>
      <c r="B77" s="13"/>
      <c r="C77" s="17"/>
      <c r="D77" s="17"/>
    </row>
    <row r="78" spans="1:4" ht="14.25" x14ac:dyDescent="0.15">
      <c r="A78" s="17"/>
      <c r="B78" s="13"/>
      <c r="C78" s="13"/>
      <c r="D78" s="17"/>
    </row>
    <row r="79" spans="1:4" ht="14.25" x14ac:dyDescent="0.15">
      <c r="B79" s="17"/>
      <c r="C79" s="18"/>
      <c r="D79" s="17"/>
    </row>
    <row r="80" spans="1:4" ht="14.25" x14ac:dyDescent="0.15">
      <c r="A80" s="17"/>
      <c r="B80" s="17"/>
      <c r="C80" s="18"/>
      <c r="D80" s="17"/>
    </row>
    <row r="81" spans="1:4" ht="14.25" x14ac:dyDescent="0.15">
      <c r="C81" s="17"/>
      <c r="D81" s="17"/>
    </row>
    <row r="82" spans="1:4" ht="14.25" x14ac:dyDescent="0.15">
      <c r="A82" s="17"/>
      <c r="C82" s="17"/>
      <c r="D82" s="17"/>
    </row>
    <row r="83" spans="1:4" ht="14.25" x14ac:dyDescent="0.15">
      <c r="A83" s="17"/>
      <c r="B83" s="20"/>
      <c r="C83" s="18"/>
      <c r="D83" s="17"/>
    </row>
    <row r="84" spans="1:4" ht="14.25" x14ac:dyDescent="0.15">
      <c r="A84" s="17"/>
      <c r="B84" s="13"/>
      <c r="D84" s="17"/>
    </row>
    <row r="85" spans="1:4" ht="14.25" x14ac:dyDescent="0.15">
      <c r="B85" s="17"/>
      <c r="C85" s="17"/>
      <c r="D85" s="13"/>
    </row>
    <row r="86" spans="1:4" ht="14.25" x14ac:dyDescent="0.15">
      <c r="A86" s="17"/>
      <c r="B86" s="13"/>
      <c r="C86" s="13"/>
      <c r="D86" s="18"/>
    </row>
    <row r="87" spans="1:4" ht="14.25" x14ac:dyDescent="0.15">
      <c r="B87" s="13"/>
      <c r="C87" s="17"/>
      <c r="D87" s="17"/>
    </row>
    <row r="88" spans="1:4" ht="14.25" x14ac:dyDescent="0.15">
      <c r="A88" s="17"/>
      <c r="B88" s="13"/>
      <c r="C88" s="17"/>
      <c r="D88" s="18"/>
    </row>
    <row r="89" spans="1:4" ht="14.25" x14ac:dyDescent="0.15">
      <c r="C89" s="17"/>
      <c r="D89" s="17"/>
    </row>
    <row r="90" spans="1:4" ht="14.25" x14ac:dyDescent="0.15">
      <c r="A90" s="17"/>
      <c r="C90" s="17"/>
      <c r="D90" s="17"/>
    </row>
    <row r="91" spans="1:4" ht="14.25" x14ac:dyDescent="0.15">
      <c r="A91" s="17"/>
      <c r="B91" s="13"/>
      <c r="D91" s="17"/>
    </row>
    <row r="92" spans="1:4" ht="14.25" x14ac:dyDescent="0.15">
      <c r="A92" s="17"/>
      <c r="B92" s="13"/>
      <c r="D92" s="17"/>
    </row>
    <row r="93" spans="1:4" ht="14.25" x14ac:dyDescent="0.15">
      <c r="A93" s="17"/>
      <c r="B93" s="13"/>
      <c r="C93" s="17"/>
      <c r="D93" s="17"/>
    </row>
    <row r="94" spans="1:4" ht="14.25" x14ac:dyDescent="0.15">
      <c r="A94" s="17"/>
      <c r="C94" s="13"/>
      <c r="D94" s="17"/>
    </row>
    <row r="95" spans="1:4" ht="14.25" x14ac:dyDescent="0.15">
      <c r="A95" s="17"/>
      <c r="B95" s="13"/>
      <c r="D95" s="17"/>
    </row>
    <row r="96" spans="1:4" ht="14.25" x14ac:dyDescent="0.15">
      <c r="A96" s="17"/>
      <c r="B96" s="13"/>
      <c r="C96" s="17"/>
      <c r="D96" s="17"/>
    </row>
    <row r="97" spans="1:4" ht="14.25" x14ac:dyDescent="0.15">
      <c r="A97" s="17"/>
      <c r="B97" s="13"/>
      <c r="C97" s="17"/>
    </row>
    <row r="98" spans="1:4" ht="14.25" x14ac:dyDescent="0.15">
      <c r="A98" s="17"/>
      <c r="B98" s="13"/>
      <c r="C98" s="17"/>
    </row>
    <row r="99" spans="1:4" ht="14.25" x14ac:dyDescent="0.15">
      <c r="A99" s="17"/>
      <c r="B99" s="13"/>
      <c r="C99" s="17"/>
      <c r="D99" s="17"/>
    </row>
    <row r="100" spans="1:4" ht="14.25" x14ac:dyDescent="0.15">
      <c r="A100" s="17"/>
      <c r="B100" s="13"/>
      <c r="D100" s="13"/>
    </row>
    <row r="101" spans="1:4" ht="14.25" x14ac:dyDescent="0.15">
      <c r="A101" s="17"/>
      <c r="B101" s="13"/>
      <c r="C101" s="17"/>
    </row>
    <row r="102" spans="1:4" ht="14.25" x14ac:dyDescent="0.15">
      <c r="A102" s="17"/>
      <c r="B102" s="17"/>
      <c r="D102" s="18"/>
    </row>
    <row r="103" spans="1:4" ht="14.25" x14ac:dyDescent="0.15">
      <c r="A103" s="17"/>
    </row>
    <row r="104" spans="1:4" ht="14.25" x14ac:dyDescent="0.15">
      <c r="A104" s="17" t="s">
        <v>0</v>
      </c>
      <c r="C104" s="18" t="s">
        <v>0</v>
      </c>
      <c r="D104" s="18" t="s">
        <v>0</v>
      </c>
    </row>
    <row r="105" spans="1:4" x14ac:dyDescent="0.15">
      <c r="A105" t="s">
        <v>0</v>
      </c>
    </row>
    <row r="106" spans="1:4" ht="14.25" x14ac:dyDescent="0.15">
      <c r="A106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horizontalDpi="4294967293" vertic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D00CB-38C0-47F6-8460-06BA9AFA6D53}">
  <dimension ref="A1:G106"/>
  <sheetViews>
    <sheetView zoomScaleNormal="100" workbookViewId="0">
      <selection activeCell="B20" sqref="B20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</cols>
  <sheetData>
    <row r="1" spans="1:7" ht="17.25" x14ac:dyDescent="0.2">
      <c r="A1" s="1" t="s">
        <v>88</v>
      </c>
      <c r="B1" s="1"/>
    </row>
    <row r="2" spans="1:7" ht="17.25" customHeight="1" x14ac:dyDescent="0.15">
      <c r="A2" s="111" t="s">
        <v>89</v>
      </c>
      <c r="B2" s="111"/>
      <c r="C2" s="111"/>
      <c r="D2" s="111"/>
    </row>
    <row r="3" spans="1:7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7" ht="15" customHeight="1" x14ac:dyDescent="0.15">
      <c r="C4" s="115" t="s">
        <v>49</v>
      </c>
      <c r="D4" s="115"/>
      <c r="F4" s="46"/>
    </row>
    <row r="5" spans="1:7" ht="17.25" x14ac:dyDescent="0.2">
      <c r="A5" s="56" t="s">
        <v>5</v>
      </c>
      <c r="B5" s="50"/>
      <c r="C5" s="49" t="s">
        <v>4</v>
      </c>
      <c r="D5" s="49"/>
    </row>
    <row r="6" spans="1:7" ht="14.25" x14ac:dyDescent="0.15">
      <c r="A6" s="55" t="s">
        <v>2</v>
      </c>
      <c r="B6" s="24"/>
      <c r="C6" s="4"/>
      <c r="D6" s="28"/>
    </row>
    <row r="7" spans="1:7" ht="14.25" x14ac:dyDescent="0.15">
      <c r="A7" s="55" t="s">
        <v>19</v>
      </c>
      <c r="B7" s="14"/>
      <c r="C7" s="5"/>
      <c r="D7" s="12"/>
    </row>
    <row r="8" spans="1:7" ht="14.25" x14ac:dyDescent="0.15">
      <c r="A8" s="55" t="s">
        <v>34</v>
      </c>
      <c r="B8" s="51">
        <v>2385</v>
      </c>
      <c r="C8" s="5"/>
      <c r="D8" s="12"/>
    </row>
    <row r="9" spans="1:7" ht="14.25" x14ac:dyDescent="0.15">
      <c r="A9" s="55" t="s">
        <v>35</v>
      </c>
      <c r="B9" s="27">
        <f>SUM(B10:B14)</f>
        <v>17958733</v>
      </c>
      <c r="C9" s="5"/>
      <c r="D9" s="12"/>
    </row>
    <row r="10" spans="1:7" ht="14.25" x14ac:dyDescent="0.15">
      <c r="A10" s="53" t="s">
        <v>13</v>
      </c>
      <c r="B10" s="67">
        <f>14221177+2831+8477+222718+260907+76787</f>
        <v>14792897</v>
      </c>
      <c r="C10" s="5"/>
      <c r="D10" s="23"/>
    </row>
    <row r="11" spans="1:7" ht="14.25" x14ac:dyDescent="0.15">
      <c r="A11" s="54" t="s">
        <v>12</v>
      </c>
      <c r="B11" s="67">
        <f>420538+846766+16327</f>
        <v>1283631</v>
      </c>
      <c r="C11" s="5"/>
      <c r="D11" s="23"/>
    </row>
    <row r="12" spans="1:7" ht="14.25" x14ac:dyDescent="0.15">
      <c r="A12" s="53" t="s">
        <v>45</v>
      </c>
      <c r="B12" s="32">
        <v>835152</v>
      </c>
      <c r="C12" s="5"/>
      <c r="D12" s="23"/>
    </row>
    <row r="13" spans="1:7" ht="14.25" x14ac:dyDescent="0.15">
      <c r="A13" s="53" t="s">
        <v>44</v>
      </c>
      <c r="B13" s="41">
        <v>577118</v>
      </c>
      <c r="C13" s="5"/>
      <c r="D13" s="12"/>
    </row>
    <row r="14" spans="1:7" ht="14.25" x14ac:dyDescent="0.15">
      <c r="A14" s="53" t="s">
        <v>46</v>
      </c>
      <c r="B14" s="41">
        <v>469935</v>
      </c>
      <c r="C14" s="5"/>
      <c r="D14" s="12"/>
    </row>
    <row r="15" spans="1:7" ht="14.25" x14ac:dyDescent="0.15">
      <c r="A15" s="55" t="s">
        <v>36</v>
      </c>
      <c r="B15" s="27">
        <f>SUM(B16:B26)</f>
        <v>32030334</v>
      </c>
      <c r="C15" s="6"/>
      <c r="D15" s="12"/>
    </row>
    <row r="16" spans="1:7" ht="14.25" x14ac:dyDescent="0.15">
      <c r="A16" s="54" t="s">
        <v>14</v>
      </c>
      <c r="B16" s="32">
        <f>39312+5978060</f>
        <v>6017372</v>
      </c>
      <c r="C16" s="11"/>
      <c r="D16" s="12"/>
    </row>
    <row r="17" spans="1:4" ht="14.25" x14ac:dyDescent="0.15">
      <c r="A17" s="54" t="s">
        <v>15</v>
      </c>
      <c r="B17" s="67">
        <f>15610676+1353007+796000</f>
        <v>17759683</v>
      </c>
      <c r="C17" s="5"/>
      <c r="D17" s="12"/>
    </row>
    <row r="18" spans="1:4" ht="14.25" x14ac:dyDescent="0.15">
      <c r="A18" s="53" t="s">
        <v>58</v>
      </c>
      <c r="B18" s="32">
        <f>3507489+370724+116400</f>
        <v>3994613</v>
      </c>
      <c r="C18" s="11"/>
      <c r="D18" s="12"/>
    </row>
    <row r="19" spans="1:4" ht="14.25" x14ac:dyDescent="0.15">
      <c r="A19" s="54" t="s">
        <v>16</v>
      </c>
      <c r="B19" s="67">
        <f>1502064+89747+100700</f>
        <v>1692511</v>
      </c>
      <c r="C19" s="5"/>
      <c r="D19" s="12"/>
    </row>
    <row r="20" spans="1:4" ht="14.25" x14ac:dyDescent="0.15">
      <c r="A20" s="54" t="s">
        <v>67</v>
      </c>
      <c r="B20" s="67">
        <f>1374463+116917</f>
        <v>1491380</v>
      </c>
      <c r="C20" s="5"/>
      <c r="D20" s="12"/>
    </row>
    <row r="21" spans="1:4" ht="14.25" x14ac:dyDescent="0.15">
      <c r="A21" s="54" t="s">
        <v>72</v>
      </c>
      <c r="B21" s="67">
        <v>14200</v>
      </c>
      <c r="C21" s="5"/>
      <c r="D21" s="12"/>
    </row>
    <row r="22" spans="1:4" ht="14.25" x14ac:dyDescent="0.15">
      <c r="A22" s="54" t="s">
        <v>81</v>
      </c>
      <c r="B22" s="67">
        <f>490405+29320+42000</f>
        <v>561725</v>
      </c>
      <c r="C22" s="5"/>
      <c r="D22" s="12"/>
    </row>
    <row r="23" spans="1:4" ht="14.25" x14ac:dyDescent="0.15">
      <c r="A23" s="54" t="s">
        <v>82</v>
      </c>
      <c r="B23" s="67">
        <v>100800</v>
      </c>
      <c r="C23" s="5"/>
      <c r="D23" s="12"/>
    </row>
    <row r="24" spans="1:4" ht="14.25" x14ac:dyDescent="0.15">
      <c r="A24" s="54" t="s">
        <v>17</v>
      </c>
      <c r="B24" s="32">
        <v>368550</v>
      </c>
      <c r="C24" s="5"/>
      <c r="D24" s="12"/>
    </row>
    <row r="25" spans="1:4" ht="14.25" x14ac:dyDescent="0.15">
      <c r="A25" s="54" t="s">
        <v>71</v>
      </c>
      <c r="B25" s="41">
        <v>29500</v>
      </c>
      <c r="C25" s="5"/>
      <c r="D25" s="12"/>
    </row>
    <row r="26" spans="1:4" ht="14.25" x14ac:dyDescent="0.15">
      <c r="A26" s="54" t="s">
        <v>79</v>
      </c>
      <c r="B26" s="41"/>
      <c r="C26" s="5"/>
      <c r="D26" s="12"/>
    </row>
    <row r="27" spans="1:4" ht="14.25" x14ac:dyDescent="0.15">
      <c r="A27" s="55" t="s">
        <v>37</v>
      </c>
      <c r="B27" s="27">
        <v>391628</v>
      </c>
      <c r="C27" s="15" t="s">
        <v>0</v>
      </c>
      <c r="D27" s="12"/>
    </row>
    <row r="28" spans="1:4" ht="14.25" x14ac:dyDescent="0.15">
      <c r="A28" s="61" t="s">
        <v>38</v>
      </c>
      <c r="B28" s="7"/>
      <c r="C28" s="36">
        <f>B8+B9+B15+B27</f>
        <v>50383080</v>
      </c>
      <c r="D28" s="12"/>
    </row>
    <row r="29" spans="1:4" ht="11.25" customHeight="1" x14ac:dyDescent="0.15">
      <c r="A29" s="11"/>
      <c r="B29" s="14"/>
      <c r="C29" s="5"/>
      <c r="D29" s="29" t="s">
        <v>0</v>
      </c>
    </row>
    <row r="30" spans="1:4" ht="14.25" x14ac:dyDescent="0.15">
      <c r="A30" s="55" t="s">
        <v>20</v>
      </c>
      <c r="B30" s="26" t="s">
        <v>0</v>
      </c>
      <c r="C30" s="5"/>
      <c r="D30" s="25"/>
    </row>
    <row r="31" spans="1:4" ht="14.25" x14ac:dyDescent="0.15">
      <c r="A31" s="55" t="s">
        <v>39</v>
      </c>
      <c r="B31" s="27">
        <v>53212564</v>
      </c>
      <c r="C31" s="5"/>
      <c r="D31" s="12"/>
    </row>
    <row r="32" spans="1:4" ht="14.25" x14ac:dyDescent="0.15">
      <c r="A32" s="55" t="s">
        <v>54</v>
      </c>
      <c r="B32" s="27">
        <v>7652587</v>
      </c>
      <c r="C32" s="5"/>
      <c r="D32" s="12"/>
    </row>
    <row r="33" spans="1:4" ht="14.25" x14ac:dyDescent="0.15">
      <c r="A33" s="55" t="s">
        <v>55</v>
      </c>
      <c r="B33" s="27">
        <v>1917917</v>
      </c>
      <c r="C33" s="5"/>
      <c r="D33" s="12"/>
    </row>
    <row r="34" spans="1:4" ht="14.25" x14ac:dyDescent="0.15">
      <c r="A34" s="55" t="s">
        <v>75</v>
      </c>
      <c r="B34" s="27">
        <v>143597</v>
      </c>
      <c r="C34" s="5"/>
      <c r="D34" s="12"/>
    </row>
    <row r="35" spans="1:4" ht="14.25" x14ac:dyDescent="0.15">
      <c r="A35" s="55" t="s">
        <v>40</v>
      </c>
      <c r="B35" s="27">
        <f>2866054-219473-249389-37263</f>
        <v>2359929</v>
      </c>
      <c r="C35" s="5"/>
      <c r="D35" s="12"/>
    </row>
    <row r="36" spans="1:4" ht="14.25" x14ac:dyDescent="0.15">
      <c r="A36" s="55" t="s">
        <v>41</v>
      </c>
      <c r="B36" s="27">
        <v>110600</v>
      </c>
      <c r="C36" s="5"/>
      <c r="D36" s="12"/>
    </row>
    <row r="37" spans="1:4" ht="14.25" x14ac:dyDescent="0.15">
      <c r="A37" s="55" t="s">
        <v>42</v>
      </c>
      <c r="B37" s="27">
        <v>50000</v>
      </c>
      <c r="C37" s="11"/>
      <c r="D37" s="12"/>
    </row>
    <row r="38" spans="1:4" ht="14.25" x14ac:dyDescent="0.15">
      <c r="A38" s="55" t="s">
        <v>66</v>
      </c>
      <c r="B38" s="27">
        <v>119440</v>
      </c>
      <c r="C38" s="6"/>
      <c r="D38" s="12"/>
    </row>
    <row r="39" spans="1:4" ht="14.25" x14ac:dyDescent="0.15">
      <c r="A39" s="61" t="s">
        <v>43</v>
      </c>
      <c r="B39" s="8"/>
      <c r="C39" s="37">
        <f>SUM(B31:B38)</f>
        <v>65566634</v>
      </c>
      <c r="D39" s="12"/>
    </row>
    <row r="40" spans="1:4" ht="14.25" x14ac:dyDescent="0.15">
      <c r="A40" s="11"/>
      <c r="B40" s="19"/>
      <c r="C40" s="5"/>
      <c r="D40" s="12"/>
    </row>
    <row r="41" spans="1:4" ht="14.25" x14ac:dyDescent="0.15">
      <c r="A41" s="58" t="s">
        <v>23</v>
      </c>
      <c r="B41" s="8"/>
      <c r="C41" s="10"/>
      <c r="D41" s="38">
        <f>C28+C39</f>
        <v>115949714</v>
      </c>
    </row>
    <row r="42" spans="1:4" ht="11.25" customHeight="1" x14ac:dyDescent="0.15">
      <c r="A42" s="9"/>
      <c r="B42" s="62"/>
      <c r="C42" s="62"/>
      <c r="D42" s="62"/>
    </row>
    <row r="43" spans="1:4" ht="14.25" x14ac:dyDescent="0.15">
      <c r="A43" s="60" t="s">
        <v>18</v>
      </c>
      <c r="B43" s="26"/>
      <c r="C43" s="5"/>
      <c r="D43" s="12"/>
    </row>
    <row r="44" spans="1:4" ht="14.25" x14ac:dyDescent="0.15">
      <c r="A44" s="55" t="s">
        <v>21</v>
      </c>
      <c r="B44" s="26"/>
      <c r="C44" s="5"/>
      <c r="D44" s="23"/>
    </row>
    <row r="45" spans="1:4" ht="14.25" x14ac:dyDescent="0.15">
      <c r="A45" s="55" t="s">
        <v>32</v>
      </c>
      <c r="B45" s="27">
        <v>487819</v>
      </c>
      <c r="C45" s="5"/>
      <c r="D45" s="29"/>
    </row>
    <row r="46" spans="1:4" ht="14.25" x14ac:dyDescent="0.15">
      <c r="A46" s="55" t="s">
        <v>33</v>
      </c>
      <c r="B46" s="27">
        <v>5000000</v>
      </c>
      <c r="C46" s="5"/>
      <c r="D46" s="12"/>
    </row>
    <row r="47" spans="1:4" ht="14.25" x14ac:dyDescent="0.15">
      <c r="A47" s="59"/>
      <c r="B47" s="26"/>
      <c r="C47" s="11"/>
      <c r="D47" s="12"/>
    </row>
    <row r="48" spans="1:4" ht="14.25" x14ac:dyDescent="0.15">
      <c r="A48" s="55" t="s">
        <v>31</v>
      </c>
      <c r="B48" s="8"/>
      <c r="C48" s="37">
        <f>B45+B46</f>
        <v>5487819</v>
      </c>
      <c r="D48" s="23"/>
    </row>
    <row r="49" spans="1:4" ht="11.25" customHeight="1" x14ac:dyDescent="0.15">
      <c r="A49" s="3"/>
      <c r="B49" s="14"/>
      <c r="C49" s="34"/>
      <c r="D49" s="25"/>
    </row>
    <row r="50" spans="1:4" ht="14.25" x14ac:dyDescent="0.15">
      <c r="A50" s="55" t="s">
        <v>22</v>
      </c>
      <c r="B50" s="19"/>
      <c r="C50" s="33"/>
      <c r="D50" s="23"/>
    </row>
    <row r="51" spans="1:4" ht="14.25" x14ac:dyDescent="0.15">
      <c r="A51" s="55" t="s">
        <v>30</v>
      </c>
      <c r="B51" s="27">
        <v>12240000</v>
      </c>
      <c r="C51" s="11"/>
      <c r="D51" s="25"/>
    </row>
    <row r="52" spans="1:4" ht="14.25" x14ac:dyDescent="0.15">
      <c r="A52" s="9"/>
      <c r="B52" s="19"/>
      <c r="C52" s="11"/>
      <c r="D52" s="25"/>
    </row>
    <row r="53" spans="1:4" ht="14.25" x14ac:dyDescent="0.15">
      <c r="A53" s="61" t="s">
        <v>29</v>
      </c>
      <c r="B53" s="10"/>
      <c r="C53" s="37">
        <f>B51</f>
        <v>12240000</v>
      </c>
      <c r="D53" s="23"/>
    </row>
    <row r="54" spans="1:4" ht="14.25" x14ac:dyDescent="0.15">
      <c r="A54" s="3"/>
      <c r="B54" s="19"/>
      <c r="C54" s="11"/>
      <c r="D54" s="23"/>
    </row>
    <row r="55" spans="1:4" ht="14.25" x14ac:dyDescent="0.15">
      <c r="A55" s="58" t="s">
        <v>24</v>
      </c>
      <c r="B55" s="40"/>
      <c r="C55" s="40"/>
      <c r="D55" s="38">
        <f>C48+C53</f>
        <v>17727819</v>
      </c>
    </row>
    <row r="56" spans="1:4" ht="11.25" customHeight="1" x14ac:dyDescent="0.15">
      <c r="A56" s="3"/>
      <c r="B56" s="19"/>
      <c r="C56" s="11"/>
      <c r="D56" s="23"/>
    </row>
    <row r="57" spans="1:4" ht="14.25" x14ac:dyDescent="0.15">
      <c r="A57" s="55" t="s">
        <v>3</v>
      </c>
      <c r="B57" s="30"/>
      <c r="C57" s="35"/>
      <c r="D57" s="31"/>
    </row>
    <row r="58" spans="1:4" ht="15" customHeight="1" x14ac:dyDescent="0.15">
      <c r="A58" s="55" t="s">
        <v>27</v>
      </c>
      <c r="B58" s="10"/>
      <c r="C58" s="39"/>
      <c r="D58" s="39">
        <v>0</v>
      </c>
    </row>
    <row r="59" spans="1:4" ht="15.75" customHeight="1" x14ac:dyDescent="0.15">
      <c r="A59" s="55" t="s">
        <v>28</v>
      </c>
      <c r="B59" s="47"/>
      <c r="C59" s="9"/>
      <c r="D59" s="43">
        <f>D41-D55</f>
        <v>98221895</v>
      </c>
    </row>
    <row r="60" spans="1:4" ht="15.75" customHeight="1" x14ac:dyDescent="0.15">
      <c r="A60" s="59" t="s">
        <v>11</v>
      </c>
      <c r="B60" s="9"/>
      <c r="D60" s="42">
        <f>D59-'31.3月 '!D59</f>
        <v>4122472</v>
      </c>
    </row>
    <row r="61" spans="1:4" ht="16.5" customHeight="1" x14ac:dyDescent="0.15">
      <c r="A61" s="55" t="s">
        <v>26</v>
      </c>
      <c r="B61" s="22"/>
      <c r="C61" s="48"/>
      <c r="D61" s="44">
        <f>D59</f>
        <v>98221895</v>
      </c>
    </row>
    <row r="62" spans="1:4" ht="14.25" x14ac:dyDescent="0.15">
      <c r="A62" s="55" t="s">
        <v>25</v>
      </c>
      <c r="B62" s="22"/>
      <c r="C62" s="9"/>
      <c r="D62" s="69">
        <f>D55+D61</f>
        <v>115949714</v>
      </c>
    </row>
    <row r="63" spans="1:4" x14ac:dyDescent="0.15">
      <c r="B63" s="2"/>
      <c r="D63" s="68"/>
    </row>
    <row r="64" spans="1:4" ht="12.75" customHeight="1" x14ac:dyDescent="0.2">
      <c r="A64" s="1"/>
    </row>
    <row r="65" spans="1:4" x14ac:dyDescent="0.15">
      <c r="A65" s="45"/>
      <c r="B65" s="45"/>
      <c r="D65" s="68"/>
    </row>
    <row r="66" spans="1:4" x14ac:dyDescent="0.15">
      <c r="C66" s="52"/>
      <c r="D66" s="45"/>
    </row>
    <row r="68" spans="1:4" x14ac:dyDescent="0.15">
      <c r="C68" s="52"/>
    </row>
    <row r="70" spans="1:4" ht="13.5" customHeight="1" x14ac:dyDescent="0.2">
      <c r="A70" s="21"/>
    </row>
    <row r="71" spans="1:4" ht="14.25" x14ac:dyDescent="0.15">
      <c r="A71" s="17"/>
    </row>
    <row r="72" spans="1:4" ht="14.25" x14ac:dyDescent="0.15">
      <c r="A72" s="17"/>
    </row>
    <row r="73" spans="1:4" ht="14.25" x14ac:dyDescent="0.15">
      <c r="A73" s="17"/>
    </row>
    <row r="74" spans="1:4" ht="14.25" x14ac:dyDescent="0.15">
      <c r="A74" s="17"/>
      <c r="B74" s="13"/>
      <c r="C74" s="17"/>
      <c r="D74" s="17"/>
    </row>
    <row r="75" spans="1:4" ht="14.25" x14ac:dyDescent="0.15">
      <c r="A75" s="17"/>
      <c r="B75" s="13"/>
      <c r="C75" s="17"/>
      <c r="D75" s="17"/>
    </row>
    <row r="76" spans="1:4" ht="14.25" x14ac:dyDescent="0.15">
      <c r="A76" s="17"/>
      <c r="B76" s="20"/>
      <c r="C76" s="17"/>
      <c r="D76" s="17"/>
    </row>
    <row r="77" spans="1:4" ht="14.25" x14ac:dyDescent="0.15">
      <c r="A77" s="17"/>
      <c r="B77" s="13"/>
      <c r="C77" s="17"/>
      <c r="D77" s="17"/>
    </row>
    <row r="78" spans="1:4" ht="14.25" x14ac:dyDescent="0.15">
      <c r="A78" s="17"/>
      <c r="B78" s="13"/>
      <c r="C78" s="13"/>
      <c r="D78" s="17"/>
    </row>
    <row r="79" spans="1:4" ht="14.25" x14ac:dyDescent="0.15">
      <c r="B79" s="17"/>
      <c r="C79" s="18"/>
      <c r="D79" s="17"/>
    </row>
    <row r="80" spans="1:4" ht="14.25" x14ac:dyDescent="0.15">
      <c r="A80" s="17"/>
      <c r="B80" s="17"/>
      <c r="C80" s="18"/>
      <c r="D80" s="17"/>
    </row>
    <row r="81" spans="1:4" ht="14.25" x14ac:dyDescent="0.15">
      <c r="C81" s="17"/>
      <c r="D81" s="17"/>
    </row>
    <row r="82" spans="1:4" ht="14.25" x14ac:dyDescent="0.15">
      <c r="A82" s="17"/>
      <c r="C82" s="17"/>
      <c r="D82" s="17"/>
    </row>
    <row r="83" spans="1:4" ht="14.25" x14ac:dyDescent="0.15">
      <c r="A83" s="17"/>
      <c r="B83" s="20"/>
      <c r="C83" s="18"/>
      <c r="D83" s="17"/>
    </row>
    <row r="84" spans="1:4" ht="14.25" x14ac:dyDescent="0.15">
      <c r="A84" s="17"/>
      <c r="B84" s="13"/>
      <c r="D84" s="17"/>
    </row>
    <row r="85" spans="1:4" ht="14.25" x14ac:dyDescent="0.15">
      <c r="B85" s="17"/>
      <c r="C85" s="17"/>
      <c r="D85" s="13"/>
    </row>
    <row r="86" spans="1:4" ht="14.25" x14ac:dyDescent="0.15">
      <c r="A86" s="17"/>
      <c r="B86" s="13"/>
      <c r="C86" s="13"/>
      <c r="D86" s="18"/>
    </row>
    <row r="87" spans="1:4" ht="14.25" x14ac:dyDescent="0.15">
      <c r="B87" s="13"/>
      <c r="C87" s="17"/>
      <c r="D87" s="17"/>
    </row>
    <row r="88" spans="1:4" ht="14.25" x14ac:dyDescent="0.15">
      <c r="A88" s="17"/>
      <c r="B88" s="13"/>
      <c r="C88" s="17"/>
      <c r="D88" s="18"/>
    </row>
    <row r="89" spans="1:4" ht="14.25" x14ac:dyDescent="0.15">
      <c r="C89" s="17"/>
      <c r="D89" s="17"/>
    </row>
    <row r="90" spans="1:4" ht="14.25" x14ac:dyDescent="0.15">
      <c r="A90" s="17"/>
      <c r="C90" s="17"/>
      <c r="D90" s="17"/>
    </row>
    <row r="91" spans="1:4" ht="14.25" x14ac:dyDescent="0.15">
      <c r="A91" s="17"/>
      <c r="B91" s="13"/>
      <c r="D91" s="17"/>
    </row>
    <row r="92" spans="1:4" ht="14.25" x14ac:dyDescent="0.15">
      <c r="A92" s="17"/>
      <c r="B92" s="13"/>
      <c r="D92" s="17"/>
    </row>
    <row r="93" spans="1:4" ht="14.25" x14ac:dyDescent="0.15">
      <c r="A93" s="17"/>
      <c r="B93" s="13"/>
      <c r="C93" s="17"/>
      <c r="D93" s="17"/>
    </row>
    <row r="94" spans="1:4" ht="14.25" x14ac:dyDescent="0.15">
      <c r="A94" s="17"/>
      <c r="C94" s="13"/>
      <c r="D94" s="17"/>
    </row>
    <row r="95" spans="1:4" ht="14.25" x14ac:dyDescent="0.15">
      <c r="A95" s="17"/>
      <c r="B95" s="13"/>
      <c r="D95" s="17"/>
    </row>
    <row r="96" spans="1:4" ht="14.25" x14ac:dyDescent="0.15">
      <c r="A96" s="17"/>
      <c r="B96" s="13"/>
      <c r="C96" s="17"/>
      <c r="D96" s="17"/>
    </row>
    <row r="97" spans="1:4" ht="14.25" x14ac:dyDescent="0.15">
      <c r="A97" s="17"/>
      <c r="B97" s="13"/>
      <c r="C97" s="17"/>
    </row>
    <row r="98" spans="1:4" ht="14.25" x14ac:dyDescent="0.15">
      <c r="A98" s="17"/>
      <c r="B98" s="13"/>
      <c r="C98" s="17"/>
    </row>
    <row r="99" spans="1:4" ht="14.25" x14ac:dyDescent="0.15">
      <c r="A99" s="17"/>
      <c r="B99" s="13"/>
      <c r="C99" s="17"/>
      <c r="D99" s="17"/>
    </row>
    <row r="100" spans="1:4" ht="14.25" x14ac:dyDescent="0.15">
      <c r="A100" s="17"/>
      <c r="B100" s="13"/>
      <c r="D100" s="13"/>
    </row>
    <row r="101" spans="1:4" ht="14.25" x14ac:dyDescent="0.15">
      <c r="A101" s="17"/>
      <c r="B101" s="13"/>
      <c r="C101" s="17"/>
    </row>
    <row r="102" spans="1:4" ht="14.25" x14ac:dyDescent="0.15">
      <c r="A102" s="17"/>
      <c r="B102" s="17"/>
      <c r="D102" s="18"/>
    </row>
    <row r="103" spans="1:4" ht="14.25" x14ac:dyDescent="0.15">
      <c r="A103" s="17"/>
    </row>
    <row r="104" spans="1:4" ht="14.25" x14ac:dyDescent="0.15">
      <c r="A104" s="17" t="s">
        <v>0</v>
      </c>
      <c r="C104" s="18" t="s">
        <v>0</v>
      </c>
      <c r="D104" s="18" t="s">
        <v>0</v>
      </c>
    </row>
    <row r="105" spans="1:4" x14ac:dyDescent="0.15">
      <c r="A105" t="s">
        <v>0</v>
      </c>
    </row>
    <row r="106" spans="1:4" ht="14.25" x14ac:dyDescent="0.15">
      <c r="A106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horizontalDpi="4294967293" vertic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5303-EBB4-4CF6-BBBA-7B274A044844}">
  <dimension ref="A1:G106"/>
  <sheetViews>
    <sheetView zoomScaleNormal="100" workbookViewId="0">
      <selection activeCell="B4" sqref="B4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</cols>
  <sheetData>
    <row r="1" spans="1:7" ht="17.25" x14ac:dyDescent="0.2">
      <c r="A1" s="1" t="s">
        <v>88</v>
      </c>
      <c r="B1" s="1"/>
    </row>
    <row r="2" spans="1:7" ht="17.25" customHeight="1" x14ac:dyDescent="0.15">
      <c r="A2" s="111" t="s">
        <v>90</v>
      </c>
      <c r="B2" s="111"/>
      <c r="C2" s="111"/>
      <c r="D2" s="111"/>
    </row>
    <row r="3" spans="1:7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7" ht="15" customHeight="1" x14ac:dyDescent="0.15">
      <c r="C4" s="115" t="s">
        <v>49</v>
      </c>
      <c r="D4" s="115"/>
      <c r="F4" s="46"/>
    </row>
    <row r="5" spans="1:7" ht="17.25" x14ac:dyDescent="0.2">
      <c r="A5" s="56" t="s">
        <v>5</v>
      </c>
      <c r="B5" s="50"/>
      <c r="C5" s="49" t="s">
        <v>4</v>
      </c>
      <c r="D5" s="49"/>
    </row>
    <row r="6" spans="1:7" ht="14.25" x14ac:dyDescent="0.15">
      <c r="A6" s="55" t="s">
        <v>2</v>
      </c>
      <c r="B6" s="24"/>
      <c r="C6" s="4"/>
      <c r="D6" s="28"/>
    </row>
    <row r="7" spans="1:7" ht="14.25" x14ac:dyDescent="0.15">
      <c r="A7" s="55" t="s">
        <v>19</v>
      </c>
      <c r="B7" s="14"/>
      <c r="C7" s="5"/>
      <c r="D7" s="12"/>
    </row>
    <row r="8" spans="1:7" ht="14.25" x14ac:dyDescent="0.15">
      <c r="A8" s="55" t="s">
        <v>34</v>
      </c>
      <c r="B8" s="51">
        <v>2385</v>
      </c>
      <c r="C8" s="5"/>
      <c r="D8" s="12"/>
    </row>
    <row r="9" spans="1:7" ht="14.25" x14ac:dyDescent="0.15">
      <c r="A9" s="55" t="s">
        <v>35</v>
      </c>
      <c r="B9" s="27">
        <f>SUM(B10:B14)</f>
        <v>21930479</v>
      </c>
      <c r="C9" s="5"/>
      <c r="D9" s="12"/>
    </row>
    <row r="10" spans="1:7" ht="14.25" x14ac:dyDescent="0.15">
      <c r="A10" s="53" t="s">
        <v>13</v>
      </c>
      <c r="B10" s="67">
        <f>19475017+71861+9281+256940+289903+193809</f>
        <v>20296811</v>
      </c>
      <c r="C10" s="5"/>
      <c r="D10" s="23"/>
    </row>
    <row r="11" spans="1:7" ht="14.25" x14ac:dyDescent="0.15">
      <c r="A11" s="54" t="s">
        <v>12</v>
      </c>
      <c r="B11" s="67">
        <f>13338+997733+21127</f>
        <v>1032198</v>
      </c>
      <c r="C11" s="5"/>
      <c r="D11" s="23"/>
    </row>
    <row r="12" spans="1:7" ht="14.25" x14ac:dyDescent="0.15">
      <c r="A12" s="53" t="s">
        <v>45</v>
      </c>
      <c r="B12" s="32">
        <v>9702</v>
      </c>
      <c r="C12" s="5"/>
      <c r="D12" s="23"/>
    </row>
    <row r="13" spans="1:7" ht="14.25" x14ac:dyDescent="0.15">
      <c r="A13" s="53" t="s">
        <v>44</v>
      </c>
      <c r="B13" s="41">
        <v>25762</v>
      </c>
      <c r="C13" s="5"/>
      <c r="D13" s="12"/>
    </row>
    <row r="14" spans="1:7" ht="14.25" x14ac:dyDescent="0.15">
      <c r="A14" s="53" t="s">
        <v>46</v>
      </c>
      <c r="B14" s="41">
        <v>566006</v>
      </c>
      <c r="C14" s="5"/>
      <c r="D14" s="12"/>
    </row>
    <row r="15" spans="1:7" ht="14.25" x14ac:dyDescent="0.15">
      <c r="A15" s="55" t="s">
        <v>36</v>
      </c>
      <c r="B15" s="27">
        <f>SUM(B16:B26)</f>
        <v>32029255</v>
      </c>
      <c r="C15" s="6"/>
      <c r="D15" s="12"/>
    </row>
    <row r="16" spans="1:7" ht="14.25" x14ac:dyDescent="0.15">
      <c r="A16" s="54" t="s">
        <v>14</v>
      </c>
      <c r="B16" s="32">
        <f>24192+5967180</f>
        <v>5991372</v>
      </c>
      <c r="C16" s="11"/>
      <c r="D16" s="12"/>
    </row>
    <row r="17" spans="1:4" ht="14.25" x14ac:dyDescent="0.15">
      <c r="A17" s="54" t="s">
        <v>15</v>
      </c>
      <c r="B17" s="67">
        <f>15803172+1220344+723100</f>
        <v>17746616</v>
      </c>
      <c r="C17" s="5"/>
      <c r="D17" s="12"/>
    </row>
    <row r="18" spans="1:4" ht="14.25" x14ac:dyDescent="0.15">
      <c r="A18" s="53" t="s">
        <v>58</v>
      </c>
      <c r="B18" s="32">
        <f>3805452+216670+91800</f>
        <v>4113922</v>
      </c>
      <c r="C18" s="11"/>
      <c r="D18" s="12"/>
    </row>
    <row r="19" spans="1:4" ht="14.25" x14ac:dyDescent="0.15">
      <c r="A19" s="54" t="s">
        <v>16</v>
      </c>
      <c r="B19" s="67">
        <f>1510875+82731+85700</f>
        <v>1679306</v>
      </c>
      <c r="C19" s="5"/>
      <c r="D19" s="12"/>
    </row>
    <row r="20" spans="1:4" ht="14.25" x14ac:dyDescent="0.15">
      <c r="A20" s="54" t="s">
        <v>67</v>
      </c>
      <c r="B20" s="67">
        <f>1417370+93039</f>
        <v>1510409</v>
      </c>
      <c r="C20" s="5"/>
      <c r="D20" s="12"/>
    </row>
    <row r="21" spans="1:4" ht="14.25" x14ac:dyDescent="0.15">
      <c r="A21" s="54" t="s">
        <v>72</v>
      </c>
      <c r="B21" s="67">
        <v>13000</v>
      </c>
      <c r="C21" s="5"/>
      <c r="D21" s="12"/>
    </row>
    <row r="22" spans="1:4" ht="14.25" x14ac:dyDescent="0.15">
      <c r="A22" s="54" t="s">
        <v>81</v>
      </c>
      <c r="B22" s="67">
        <f>453892+27188+37800</f>
        <v>518880</v>
      </c>
      <c r="C22" s="5"/>
      <c r="D22" s="12"/>
    </row>
    <row r="23" spans="1:4" ht="14.25" x14ac:dyDescent="0.15">
      <c r="A23" s="54" t="s">
        <v>82</v>
      </c>
      <c r="B23" s="67">
        <v>100200</v>
      </c>
      <c r="C23" s="5"/>
      <c r="D23" s="12"/>
    </row>
    <row r="24" spans="1:4" ht="14.25" x14ac:dyDescent="0.15">
      <c r="A24" s="54" t="s">
        <v>17</v>
      </c>
      <c r="B24" s="32">
        <v>341550</v>
      </c>
      <c r="C24" s="5"/>
      <c r="D24" s="12"/>
    </row>
    <row r="25" spans="1:4" ht="14.25" x14ac:dyDescent="0.15">
      <c r="A25" s="54" t="s">
        <v>71</v>
      </c>
      <c r="B25" s="41">
        <v>14000</v>
      </c>
      <c r="C25" s="5"/>
      <c r="D25" s="12"/>
    </row>
    <row r="26" spans="1:4" ht="14.25" x14ac:dyDescent="0.15">
      <c r="A26" s="54" t="s">
        <v>79</v>
      </c>
      <c r="B26" s="41"/>
      <c r="C26" s="5"/>
      <c r="D26" s="12"/>
    </row>
    <row r="27" spans="1:4" ht="14.25" x14ac:dyDescent="0.15">
      <c r="A27" s="55" t="s">
        <v>37</v>
      </c>
      <c r="B27" s="27">
        <v>380304</v>
      </c>
      <c r="C27" s="15" t="s">
        <v>0</v>
      </c>
      <c r="D27" s="12"/>
    </row>
    <row r="28" spans="1:4" ht="14.25" x14ac:dyDescent="0.15">
      <c r="A28" s="61" t="s">
        <v>38</v>
      </c>
      <c r="B28" s="7"/>
      <c r="C28" s="36">
        <f>B8+B9+B15+B27</f>
        <v>54342423</v>
      </c>
      <c r="D28" s="12"/>
    </row>
    <row r="29" spans="1:4" ht="11.25" customHeight="1" x14ac:dyDescent="0.15">
      <c r="A29" s="11"/>
      <c r="B29" s="14"/>
      <c r="C29" s="5"/>
      <c r="D29" s="29" t="s">
        <v>0</v>
      </c>
    </row>
    <row r="30" spans="1:4" ht="14.25" x14ac:dyDescent="0.15">
      <c r="A30" s="55" t="s">
        <v>20</v>
      </c>
      <c r="B30" s="26" t="s">
        <v>0</v>
      </c>
      <c r="C30" s="5"/>
      <c r="D30" s="25"/>
    </row>
    <row r="31" spans="1:4" ht="14.25" x14ac:dyDescent="0.15">
      <c r="A31" s="55" t="s">
        <v>39</v>
      </c>
      <c r="B31" s="27">
        <v>53212564</v>
      </c>
      <c r="C31" s="5"/>
      <c r="D31" s="12"/>
    </row>
    <row r="32" spans="1:4" ht="14.25" x14ac:dyDescent="0.15">
      <c r="A32" s="55" t="s">
        <v>54</v>
      </c>
      <c r="B32" s="27">
        <v>7652587</v>
      </c>
      <c r="C32" s="5"/>
      <c r="D32" s="12"/>
    </row>
    <row r="33" spans="1:4" ht="14.25" x14ac:dyDescent="0.15">
      <c r="A33" s="55" t="s">
        <v>55</v>
      </c>
      <c r="B33" s="27">
        <v>1917917</v>
      </c>
      <c r="C33" s="5"/>
      <c r="D33" s="12"/>
    </row>
    <row r="34" spans="1:4" ht="14.25" x14ac:dyDescent="0.15">
      <c r="A34" s="55" t="s">
        <v>75</v>
      </c>
      <c r="B34" s="27">
        <v>143597</v>
      </c>
      <c r="C34" s="5"/>
      <c r="D34" s="12"/>
    </row>
    <row r="35" spans="1:4" ht="14.25" x14ac:dyDescent="0.15">
      <c r="A35" s="55" t="s">
        <v>40</v>
      </c>
      <c r="B35" s="27">
        <f>2866054-219473-249389-37263</f>
        <v>2359929</v>
      </c>
      <c r="C35" s="5"/>
      <c r="D35" s="12"/>
    </row>
    <row r="36" spans="1:4" ht="14.25" x14ac:dyDescent="0.15">
      <c r="A36" s="55" t="s">
        <v>41</v>
      </c>
      <c r="B36" s="27">
        <v>110600</v>
      </c>
      <c r="C36" s="5"/>
      <c r="D36" s="12"/>
    </row>
    <row r="37" spans="1:4" ht="14.25" x14ac:dyDescent="0.15">
      <c r="A37" s="55" t="s">
        <v>42</v>
      </c>
      <c r="B37" s="27">
        <v>50000</v>
      </c>
      <c r="C37" s="11"/>
      <c r="D37" s="12"/>
    </row>
    <row r="38" spans="1:4" ht="14.25" x14ac:dyDescent="0.15">
      <c r="A38" s="55" t="s">
        <v>66</v>
      </c>
      <c r="B38" s="27">
        <v>119440</v>
      </c>
      <c r="C38" s="6"/>
      <c r="D38" s="12"/>
    </row>
    <row r="39" spans="1:4" ht="14.25" x14ac:dyDescent="0.15">
      <c r="A39" s="61" t="s">
        <v>43</v>
      </c>
      <c r="B39" s="8"/>
      <c r="C39" s="37">
        <f>SUM(B31:B38)</f>
        <v>65566634</v>
      </c>
      <c r="D39" s="12"/>
    </row>
    <row r="40" spans="1:4" ht="14.25" x14ac:dyDescent="0.15">
      <c r="A40" s="11"/>
      <c r="B40" s="19"/>
      <c r="C40" s="5"/>
      <c r="D40" s="12"/>
    </row>
    <row r="41" spans="1:4" ht="14.25" x14ac:dyDescent="0.15">
      <c r="A41" s="58" t="s">
        <v>23</v>
      </c>
      <c r="B41" s="8"/>
      <c r="C41" s="10"/>
      <c r="D41" s="38">
        <f>C28+C39</f>
        <v>119909057</v>
      </c>
    </row>
    <row r="42" spans="1:4" ht="11.25" customHeight="1" x14ac:dyDescent="0.15">
      <c r="A42" s="9"/>
      <c r="B42" s="62"/>
      <c r="C42" s="62"/>
      <c r="D42" s="62"/>
    </row>
    <row r="43" spans="1:4" ht="14.25" x14ac:dyDescent="0.15">
      <c r="A43" s="60" t="s">
        <v>18</v>
      </c>
      <c r="B43" s="26"/>
      <c r="C43" s="5"/>
      <c r="D43" s="12"/>
    </row>
    <row r="44" spans="1:4" ht="14.25" x14ac:dyDescent="0.15">
      <c r="A44" s="55" t="s">
        <v>21</v>
      </c>
      <c r="B44" s="26"/>
      <c r="C44" s="5"/>
      <c r="D44" s="23"/>
    </row>
    <row r="45" spans="1:4" ht="14.25" x14ac:dyDescent="0.15">
      <c r="A45" s="55" t="s">
        <v>32</v>
      </c>
      <c r="B45" s="27">
        <v>2477375</v>
      </c>
      <c r="C45" s="5"/>
      <c r="D45" s="29"/>
    </row>
    <row r="46" spans="1:4" ht="14.25" x14ac:dyDescent="0.15">
      <c r="A46" s="55" t="s">
        <v>33</v>
      </c>
      <c r="B46" s="27">
        <v>5000000</v>
      </c>
      <c r="C46" s="5"/>
      <c r="D46" s="12"/>
    </row>
    <row r="47" spans="1:4" ht="14.25" x14ac:dyDescent="0.15">
      <c r="A47" s="59"/>
      <c r="B47" s="26"/>
      <c r="C47" s="11"/>
      <c r="D47" s="12"/>
    </row>
    <row r="48" spans="1:4" ht="14.25" x14ac:dyDescent="0.15">
      <c r="A48" s="55" t="s">
        <v>31</v>
      </c>
      <c r="B48" s="8"/>
      <c r="C48" s="37">
        <f>B45+B46</f>
        <v>7477375</v>
      </c>
      <c r="D48" s="23"/>
    </row>
    <row r="49" spans="1:4" ht="11.25" customHeight="1" x14ac:dyDescent="0.15">
      <c r="A49" s="3"/>
      <c r="B49" s="14"/>
      <c r="C49" s="34"/>
      <c r="D49" s="25"/>
    </row>
    <row r="50" spans="1:4" ht="14.25" x14ac:dyDescent="0.15">
      <c r="A50" s="55" t="s">
        <v>22</v>
      </c>
      <c r="B50" s="19"/>
      <c r="C50" s="33"/>
      <c r="D50" s="23"/>
    </row>
    <row r="51" spans="1:4" ht="14.25" x14ac:dyDescent="0.15">
      <c r="A51" s="55" t="s">
        <v>30</v>
      </c>
      <c r="B51" s="27">
        <v>11960000</v>
      </c>
      <c r="C51" s="11"/>
      <c r="D51" s="25"/>
    </row>
    <row r="52" spans="1:4" ht="14.25" x14ac:dyDescent="0.15">
      <c r="A52" s="9"/>
      <c r="B52" s="19"/>
      <c r="C52" s="11"/>
      <c r="D52" s="25"/>
    </row>
    <row r="53" spans="1:4" ht="14.25" x14ac:dyDescent="0.15">
      <c r="A53" s="61" t="s">
        <v>29</v>
      </c>
      <c r="B53" s="10"/>
      <c r="C53" s="37">
        <f>B51</f>
        <v>11960000</v>
      </c>
      <c r="D53" s="23"/>
    </row>
    <row r="54" spans="1:4" ht="14.25" x14ac:dyDescent="0.15">
      <c r="A54" s="3"/>
      <c r="B54" s="19"/>
      <c r="C54" s="11"/>
      <c r="D54" s="23"/>
    </row>
    <row r="55" spans="1:4" ht="14.25" x14ac:dyDescent="0.15">
      <c r="A55" s="58" t="s">
        <v>24</v>
      </c>
      <c r="B55" s="40"/>
      <c r="C55" s="40"/>
      <c r="D55" s="38">
        <f>C48+C53</f>
        <v>19437375</v>
      </c>
    </row>
    <row r="56" spans="1:4" ht="11.25" customHeight="1" x14ac:dyDescent="0.15">
      <c r="A56" s="3"/>
      <c r="B56" s="19"/>
      <c r="C56" s="11"/>
      <c r="D56" s="23"/>
    </row>
    <row r="57" spans="1:4" ht="14.25" x14ac:dyDescent="0.15">
      <c r="A57" s="55" t="s">
        <v>3</v>
      </c>
      <c r="B57" s="30"/>
      <c r="C57" s="35"/>
      <c r="D57" s="31"/>
    </row>
    <row r="58" spans="1:4" ht="15" customHeight="1" x14ac:dyDescent="0.15">
      <c r="A58" s="55" t="s">
        <v>27</v>
      </c>
      <c r="B58" s="10"/>
      <c r="C58" s="39"/>
      <c r="D58" s="39">
        <v>0</v>
      </c>
    </row>
    <row r="59" spans="1:4" ht="15.75" customHeight="1" x14ac:dyDescent="0.15">
      <c r="A59" s="55" t="s">
        <v>28</v>
      </c>
      <c r="B59" s="47"/>
      <c r="C59" s="9"/>
      <c r="D59" s="43">
        <f>D41-D55</f>
        <v>100471682</v>
      </c>
    </row>
    <row r="60" spans="1:4" ht="15.75" customHeight="1" x14ac:dyDescent="0.15">
      <c r="A60" s="59" t="s">
        <v>11</v>
      </c>
      <c r="B60" s="9"/>
      <c r="D60" s="42">
        <f>D59-'31.3月 '!D59</f>
        <v>6372259</v>
      </c>
    </row>
    <row r="61" spans="1:4" ht="16.5" customHeight="1" x14ac:dyDescent="0.15">
      <c r="A61" s="55" t="s">
        <v>26</v>
      </c>
      <c r="B61" s="22"/>
      <c r="C61" s="48"/>
      <c r="D61" s="44">
        <f>D59</f>
        <v>100471682</v>
      </c>
    </row>
    <row r="62" spans="1:4" ht="14.25" x14ac:dyDescent="0.15">
      <c r="A62" s="55" t="s">
        <v>25</v>
      </c>
      <c r="B62" s="22"/>
      <c r="C62" s="9"/>
      <c r="D62" s="69">
        <f>D55+D61</f>
        <v>119909057</v>
      </c>
    </row>
    <row r="63" spans="1:4" x14ac:dyDescent="0.15">
      <c r="B63" s="2"/>
      <c r="D63" s="68"/>
    </row>
    <row r="64" spans="1:4" ht="12.75" customHeight="1" x14ac:dyDescent="0.2">
      <c r="A64" s="1"/>
    </row>
    <row r="65" spans="1:4" x14ac:dyDescent="0.15">
      <c r="A65" s="45"/>
      <c r="B65" s="45"/>
      <c r="D65" s="68"/>
    </row>
    <row r="66" spans="1:4" x14ac:dyDescent="0.15">
      <c r="C66" s="52"/>
      <c r="D66" s="45"/>
    </row>
    <row r="68" spans="1:4" x14ac:dyDescent="0.15">
      <c r="C68" s="52"/>
    </row>
    <row r="70" spans="1:4" ht="13.5" customHeight="1" x14ac:dyDescent="0.2">
      <c r="A70" s="21"/>
    </row>
    <row r="71" spans="1:4" ht="14.25" x14ac:dyDescent="0.15">
      <c r="A71" s="17"/>
    </row>
    <row r="72" spans="1:4" ht="14.25" x14ac:dyDescent="0.15">
      <c r="A72" s="17"/>
    </row>
    <row r="73" spans="1:4" ht="14.25" x14ac:dyDescent="0.15">
      <c r="A73" s="17"/>
    </row>
    <row r="74" spans="1:4" ht="14.25" x14ac:dyDescent="0.15">
      <c r="A74" s="17"/>
      <c r="B74" s="13"/>
      <c r="C74" s="17"/>
      <c r="D74" s="17"/>
    </row>
    <row r="75" spans="1:4" ht="14.25" x14ac:dyDescent="0.15">
      <c r="A75" s="17"/>
      <c r="B75" s="13"/>
      <c r="C75" s="17"/>
      <c r="D75" s="17"/>
    </row>
    <row r="76" spans="1:4" ht="14.25" x14ac:dyDescent="0.15">
      <c r="A76" s="17"/>
      <c r="B76" s="20"/>
      <c r="C76" s="17"/>
      <c r="D76" s="17"/>
    </row>
    <row r="77" spans="1:4" ht="14.25" x14ac:dyDescent="0.15">
      <c r="A77" s="17"/>
      <c r="B77" s="13"/>
      <c r="C77" s="17"/>
      <c r="D77" s="17"/>
    </row>
    <row r="78" spans="1:4" ht="14.25" x14ac:dyDescent="0.15">
      <c r="A78" s="17"/>
      <c r="B78" s="13"/>
      <c r="C78" s="13"/>
      <c r="D78" s="17"/>
    </row>
    <row r="79" spans="1:4" ht="14.25" x14ac:dyDescent="0.15">
      <c r="B79" s="17"/>
      <c r="C79" s="18"/>
      <c r="D79" s="17"/>
    </row>
    <row r="80" spans="1:4" ht="14.25" x14ac:dyDescent="0.15">
      <c r="A80" s="17"/>
      <c r="B80" s="17"/>
      <c r="C80" s="18"/>
      <c r="D80" s="17"/>
    </row>
    <row r="81" spans="1:4" ht="14.25" x14ac:dyDescent="0.15">
      <c r="C81" s="17"/>
      <c r="D81" s="17"/>
    </row>
    <row r="82" spans="1:4" ht="14.25" x14ac:dyDescent="0.15">
      <c r="A82" s="17"/>
      <c r="C82" s="17"/>
      <c r="D82" s="17"/>
    </row>
    <row r="83" spans="1:4" ht="14.25" x14ac:dyDescent="0.15">
      <c r="A83" s="17"/>
      <c r="B83" s="20"/>
      <c r="C83" s="18"/>
      <c r="D83" s="17"/>
    </row>
    <row r="84" spans="1:4" ht="14.25" x14ac:dyDescent="0.15">
      <c r="A84" s="17"/>
      <c r="B84" s="13"/>
      <c r="D84" s="17"/>
    </row>
    <row r="85" spans="1:4" ht="14.25" x14ac:dyDescent="0.15">
      <c r="B85" s="17"/>
      <c r="C85" s="17"/>
      <c r="D85" s="13"/>
    </row>
    <row r="86" spans="1:4" ht="14.25" x14ac:dyDescent="0.15">
      <c r="A86" s="17"/>
      <c r="B86" s="13"/>
      <c r="C86" s="13"/>
      <c r="D86" s="18"/>
    </row>
    <row r="87" spans="1:4" ht="14.25" x14ac:dyDescent="0.15">
      <c r="B87" s="13"/>
      <c r="C87" s="17"/>
      <c r="D87" s="17"/>
    </row>
    <row r="88" spans="1:4" ht="14.25" x14ac:dyDescent="0.15">
      <c r="A88" s="17"/>
      <c r="B88" s="13"/>
      <c r="C88" s="17"/>
      <c r="D88" s="18"/>
    </row>
    <row r="89" spans="1:4" ht="14.25" x14ac:dyDescent="0.15">
      <c r="C89" s="17"/>
      <c r="D89" s="17"/>
    </row>
    <row r="90" spans="1:4" ht="14.25" x14ac:dyDescent="0.15">
      <c r="A90" s="17"/>
      <c r="C90" s="17"/>
      <c r="D90" s="17"/>
    </row>
    <row r="91" spans="1:4" ht="14.25" x14ac:dyDescent="0.15">
      <c r="A91" s="17"/>
      <c r="B91" s="13"/>
      <c r="D91" s="17"/>
    </row>
    <row r="92" spans="1:4" ht="14.25" x14ac:dyDescent="0.15">
      <c r="A92" s="17"/>
      <c r="B92" s="13"/>
      <c r="D92" s="17"/>
    </row>
    <row r="93" spans="1:4" ht="14.25" x14ac:dyDescent="0.15">
      <c r="A93" s="17"/>
      <c r="B93" s="13"/>
      <c r="C93" s="17"/>
      <c r="D93" s="17"/>
    </row>
    <row r="94" spans="1:4" ht="14.25" x14ac:dyDescent="0.15">
      <c r="A94" s="17"/>
      <c r="C94" s="13"/>
      <c r="D94" s="17"/>
    </row>
    <row r="95" spans="1:4" ht="14.25" x14ac:dyDescent="0.15">
      <c r="A95" s="17"/>
      <c r="B95" s="13"/>
      <c r="D95" s="17"/>
    </row>
    <row r="96" spans="1:4" ht="14.25" x14ac:dyDescent="0.15">
      <c r="A96" s="17"/>
      <c r="B96" s="13"/>
      <c r="C96" s="17"/>
      <c r="D96" s="17"/>
    </row>
    <row r="97" spans="1:4" ht="14.25" x14ac:dyDescent="0.15">
      <c r="A97" s="17"/>
      <c r="B97" s="13"/>
      <c r="C97" s="17"/>
    </row>
    <row r="98" spans="1:4" ht="14.25" x14ac:dyDescent="0.15">
      <c r="A98" s="17"/>
      <c r="B98" s="13"/>
      <c r="C98" s="17"/>
    </row>
    <row r="99" spans="1:4" ht="14.25" x14ac:dyDescent="0.15">
      <c r="A99" s="17"/>
      <c r="B99" s="13"/>
      <c r="C99" s="17"/>
      <c r="D99" s="17"/>
    </row>
    <row r="100" spans="1:4" ht="14.25" x14ac:dyDescent="0.15">
      <c r="A100" s="17"/>
      <c r="B100" s="13"/>
      <c r="D100" s="13"/>
    </row>
    <row r="101" spans="1:4" ht="14.25" x14ac:dyDescent="0.15">
      <c r="A101" s="17"/>
      <c r="B101" s="13"/>
      <c r="C101" s="17"/>
    </row>
    <row r="102" spans="1:4" ht="14.25" x14ac:dyDescent="0.15">
      <c r="A102" s="17"/>
      <c r="B102" s="17"/>
      <c r="D102" s="18"/>
    </row>
    <row r="103" spans="1:4" ht="14.25" x14ac:dyDescent="0.15">
      <c r="A103" s="17"/>
    </row>
    <row r="104" spans="1:4" ht="14.25" x14ac:dyDescent="0.15">
      <c r="A104" s="17" t="s">
        <v>0</v>
      </c>
      <c r="C104" s="18" t="s">
        <v>0</v>
      </c>
      <c r="D104" s="18" t="s">
        <v>0</v>
      </c>
    </row>
    <row r="105" spans="1:4" x14ac:dyDescent="0.15">
      <c r="A105" t="s">
        <v>0</v>
      </c>
    </row>
    <row r="106" spans="1:4" ht="14.25" x14ac:dyDescent="0.15">
      <c r="A106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E5314-A01C-4300-9095-B188ADA2CC13}">
  <dimension ref="A1:G106"/>
  <sheetViews>
    <sheetView zoomScaleNormal="100" workbookViewId="0">
      <selection activeCell="B4" sqref="B4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</cols>
  <sheetData>
    <row r="1" spans="1:7" ht="17.25" x14ac:dyDescent="0.2">
      <c r="A1" s="1" t="s">
        <v>88</v>
      </c>
      <c r="B1" s="1"/>
    </row>
    <row r="2" spans="1:7" ht="17.25" customHeight="1" x14ac:dyDescent="0.15">
      <c r="A2" s="111" t="s">
        <v>91</v>
      </c>
      <c r="B2" s="111"/>
      <c r="C2" s="111"/>
      <c r="D2" s="111"/>
    </row>
    <row r="3" spans="1:7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7" ht="15" customHeight="1" x14ac:dyDescent="0.15">
      <c r="C4" s="115" t="s">
        <v>49</v>
      </c>
      <c r="D4" s="115"/>
      <c r="F4" s="46"/>
    </row>
    <row r="5" spans="1:7" ht="17.25" x14ac:dyDescent="0.2">
      <c r="A5" s="56" t="s">
        <v>5</v>
      </c>
      <c r="B5" s="50"/>
      <c r="C5" s="49" t="s">
        <v>4</v>
      </c>
      <c r="D5" s="49"/>
    </row>
    <row r="6" spans="1:7" ht="14.25" x14ac:dyDescent="0.15">
      <c r="A6" s="55" t="s">
        <v>2</v>
      </c>
      <c r="B6" s="24"/>
      <c r="C6" s="4"/>
      <c r="D6" s="28"/>
    </row>
    <row r="7" spans="1:7" ht="14.25" x14ac:dyDescent="0.15">
      <c r="A7" s="55" t="s">
        <v>19</v>
      </c>
      <c r="B7" s="14"/>
      <c r="C7" s="5"/>
      <c r="D7" s="12"/>
    </row>
    <row r="8" spans="1:7" ht="14.25" x14ac:dyDescent="0.15">
      <c r="A8" s="55" t="s">
        <v>34</v>
      </c>
      <c r="B8" s="51">
        <v>2385</v>
      </c>
      <c r="C8" s="5"/>
      <c r="D8" s="12"/>
    </row>
    <row r="9" spans="1:7" ht="14.25" x14ac:dyDescent="0.15">
      <c r="A9" s="55" t="s">
        <v>35</v>
      </c>
      <c r="B9" s="27">
        <f>SUM(B10:B14)</f>
        <v>17954797</v>
      </c>
      <c r="C9" s="5"/>
      <c r="D9" s="12"/>
    </row>
    <row r="10" spans="1:7" ht="14.25" x14ac:dyDescent="0.15">
      <c r="A10" s="53" t="s">
        <v>13</v>
      </c>
      <c r="B10" s="67">
        <f>13903244+38983+6409+267982+304106+115064</f>
        <v>14635788</v>
      </c>
      <c r="C10" s="5"/>
      <c r="D10" s="23"/>
    </row>
    <row r="11" spans="1:7" ht="14.25" x14ac:dyDescent="0.15">
      <c r="A11" s="54" t="s">
        <v>12</v>
      </c>
      <c r="B11" s="67">
        <f>29938+1213161+21127</f>
        <v>1264226</v>
      </c>
      <c r="C11" s="5"/>
      <c r="D11" s="23"/>
    </row>
    <row r="12" spans="1:7" ht="14.25" x14ac:dyDescent="0.15">
      <c r="A12" s="53" t="s">
        <v>45</v>
      </c>
      <c r="B12" s="32">
        <v>807917</v>
      </c>
      <c r="C12" s="5"/>
      <c r="D12" s="23"/>
    </row>
    <row r="13" spans="1:7" ht="14.25" x14ac:dyDescent="0.15">
      <c r="A13" s="53" t="s">
        <v>44</v>
      </c>
      <c r="B13" s="41">
        <v>587092</v>
      </c>
      <c r="C13" s="5"/>
      <c r="D13" s="12"/>
    </row>
    <row r="14" spans="1:7" ht="14.25" x14ac:dyDescent="0.15">
      <c r="A14" s="53" t="s">
        <v>46</v>
      </c>
      <c r="B14" s="41">
        <v>659774</v>
      </c>
      <c r="C14" s="5"/>
      <c r="D14" s="12"/>
    </row>
    <row r="15" spans="1:7" ht="14.25" x14ac:dyDescent="0.15">
      <c r="A15" s="55" t="s">
        <v>36</v>
      </c>
      <c r="B15" s="27">
        <f>SUM(B16:B26)</f>
        <v>31922521</v>
      </c>
      <c r="C15" s="6"/>
      <c r="D15" s="12"/>
    </row>
    <row r="16" spans="1:7" ht="14.25" x14ac:dyDescent="0.15">
      <c r="A16" s="54" t="s">
        <v>14</v>
      </c>
      <c r="B16" s="32">
        <f>21168+5987090</f>
        <v>6008258</v>
      </c>
      <c r="C16" s="11"/>
      <c r="D16" s="12"/>
    </row>
    <row r="17" spans="1:4" ht="14.25" x14ac:dyDescent="0.15">
      <c r="A17" s="54" t="s">
        <v>15</v>
      </c>
      <c r="B17" s="67">
        <f>15551275+1296020+791700</f>
        <v>17638995</v>
      </c>
      <c r="C17" s="5"/>
      <c r="D17" s="12"/>
    </row>
    <row r="18" spans="1:4" ht="14.25" x14ac:dyDescent="0.15">
      <c r="A18" s="53" t="s">
        <v>58</v>
      </c>
      <c r="B18" s="32">
        <f>3613563+236525+98400</f>
        <v>3948488</v>
      </c>
      <c r="C18" s="11"/>
      <c r="D18" s="12"/>
    </row>
    <row r="19" spans="1:4" ht="14.25" x14ac:dyDescent="0.15">
      <c r="A19" s="54" t="s">
        <v>16</v>
      </c>
      <c r="B19" s="67">
        <f>1420362+83341+92800</f>
        <v>1596503</v>
      </c>
      <c r="C19" s="5"/>
      <c r="D19" s="12"/>
    </row>
    <row r="20" spans="1:4" ht="14.25" x14ac:dyDescent="0.15">
      <c r="A20" s="54" t="s">
        <v>67</v>
      </c>
      <c r="B20" s="67">
        <f>1377242+99523</f>
        <v>1476765</v>
      </c>
      <c r="C20" s="5"/>
      <c r="D20" s="12"/>
    </row>
    <row r="21" spans="1:4" ht="14.25" x14ac:dyDescent="0.15">
      <c r="A21" s="54" t="s">
        <v>72</v>
      </c>
      <c r="B21" s="67">
        <v>10200</v>
      </c>
      <c r="C21" s="5"/>
      <c r="D21" s="12"/>
    </row>
    <row r="22" spans="1:4" ht="14.25" x14ac:dyDescent="0.15">
      <c r="A22" s="54" t="s">
        <v>81</v>
      </c>
      <c r="B22" s="67">
        <f>447412+29200+51600</f>
        <v>528212</v>
      </c>
      <c r="C22" s="5"/>
      <c r="D22" s="12"/>
    </row>
    <row r="23" spans="1:4" ht="14.25" x14ac:dyDescent="0.15">
      <c r="A23" s="54" t="s">
        <v>82</v>
      </c>
      <c r="B23" s="67">
        <v>117600</v>
      </c>
      <c r="C23" s="5"/>
      <c r="D23" s="12"/>
    </row>
    <row r="24" spans="1:4" ht="14.25" x14ac:dyDescent="0.15">
      <c r="A24" s="54" t="s">
        <v>17</v>
      </c>
      <c r="B24" s="32">
        <v>572000</v>
      </c>
      <c r="C24" s="5"/>
      <c r="D24" s="12"/>
    </row>
    <row r="25" spans="1:4" ht="14.25" x14ac:dyDescent="0.15">
      <c r="A25" s="54" t="s">
        <v>71</v>
      </c>
      <c r="B25" s="41">
        <v>25500</v>
      </c>
      <c r="C25" s="5"/>
      <c r="D25" s="12"/>
    </row>
    <row r="26" spans="1:4" ht="14.25" x14ac:dyDescent="0.15">
      <c r="A26" s="54" t="s">
        <v>79</v>
      </c>
      <c r="B26" s="41">
        <v>0</v>
      </c>
      <c r="C26" s="5"/>
      <c r="D26" s="12"/>
    </row>
    <row r="27" spans="1:4" ht="14.25" x14ac:dyDescent="0.15">
      <c r="A27" s="55" t="s">
        <v>37</v>
      </c>
      <c r="B27" s="27">
        <v>435994</v>
      </c>
      <c r="C27" s="15" t="s">
        <v>0</v>
      </c>
      <c r="D27" s="12"/>
    </row>
    <row r="28" spans="1:4" ht="14.25" x14ac:dyDescent="0.15">
      <c r="A28" s="61" t="s">
        <v>38</v>
      </c>
      <c r="B28" s="7"/>
      <c r="C28" s="36">
        <f>B8+B9+B15+B27</f>
        <v>50315697</v>
      </c>
      <c r="D28" s="12"/>
    </row>
    <row r="29" spans="1:4" ht="11.25" customHeight="1" x14ac:dyDescent="0.15">
      <c r="A29" s="11"/>
      <c r="B29" s="14"/>
      <c r="C29" s="5"/>
      <c r="D29" s="29" t="s">
        <v>0</v>
      </c>
    </row>
    <row r="30" spans="1:4" ht="14.25" x14ac:dyDescent="0.15">
      <c r="A30" s="55" t="s">
        <v>20</v>
      </c>
      <c r="B30" s="26" t="s">
        <v>0</v>
      </c>
      <c r="C30" s="5"/>
      <c r="D30" s="25"/>
    </row>
    <row r="31" spans="1:4" ht="14.25" x14ac:dyDescent="0.15">
      <c r="A31" s="55" t="s">
        <v>39</v>
      </c>
      <c r="B31" s="27">
        <v>53212564</v>
      </c>
      <c r="C31" s="5"/>
      <c r="D31" s="12"/>
    </row>
    <row r="32" spans="1:4" ht="14.25" x14ac:dyDescent="0.15">
      <c r="A32" s="55" t="s">
        <v>54</v>
      </c>
      <c r="B32" s="27">
        <v>7652587</v>
      </c>
      <c r="C32" s="5"/>
      <c r="D32" s="12"/>
    </row>
    <row r="33" spans="1:4" ht="14.25" x14ac:dyDescent="0.15">
      <c r="A33" s="55" t="s">
        <v>55</v>
      </c>
      <c r="B33" s="27">
        <v>1917917</v>
      </c>
      <c r="C33" s="5"/>
      <c r="D33" s="12"/>
    </row>
    <row r="34" spans="1:4" ht="14.25" x14ac:dyDescent="0.15">
      <c r="A34" s="55" t="s">
        <v>75</v>
      </c>
      <c r="B34" s="27">
        <v>143597</v>
      </c>
      <c r="C34" s="5"/>
      <c r="D34" s="12"/>
    </row>
    <row r="35" spans="1:4" ht="14.25" x14ac:dyDescent="0.15">
      <c r="A35" s="55" t="s">
        <v>40</v>
      </c>
      <c r="B35" s="27">
        <f>2866054-219473-249389-37263</f>
        <v>2359929</v>
      </c>
      <c r="C35" s="5"/>
      <c r="D35" s="12"/>
    </row>
    <row r="36" spans="1:4" ht="14.25" x14ac:dyDescent="0.15">
      <c r="A36" s="55" t="s">
        <v>41</v>
      </c>
      <c r="B36" s="27">
        <v>110600</v>
      </c>
      <c r="C36" s="5"/>
      <c r="D36" s="12"/>
    </row>
    <row r="37" spans="1:4" ht="14.25" x14ac:dyDescent="0.15">
      <c r="A37" s="55" t="s">
        <v>42</v>
      </c>
      <c r="B37" s="27">
        <v>50000</v>
      </c>
      <c r="C37" s="11"/>
      <c r="D37" s="12"/>
    </row>
    <row r="38" spans="1:4" ht="14.25" x14ac:dyDescent="0.15">
      <c r="A38" s="55" t="s">
        <v>66</v>
      </c>
      <c r="B38" s="27">
        <v>119440</v>
      </c>
      <c r="C38" s="6"/>
      <c r="D38" s="12"/>
    </row>
    <row r="39" spans="1:4" ht="14.25" x14ac:dyDescent="0.15">
      <c r="A39" s="61" t="s">
        <v>43</v>
      </c>
      <c r="B39" s="8"/>
      <c r="C39" s="37">
        <f>SUM(B31:B38)</f>
        <v>65566634</v>
      </c>
      <c r="D39" s="12"/>
    </row>
    <row r="40" spans="1:4" ht="14.25" x14ac:dyDescent="0.15">
      <c r="A40" s="11"/>
      <c r="B40" s="19"/>
      <c r="C40" s="5"/>
      <c r="D40" s="12"/>
    </row>
    <row r="41" spans="1:4" ht="14.25" x14ac:dyDescent="0.15">
      <c r="A41" s="58" t="s">
        <v>23</v>
      </c>
      <c r="B41" s="8"/>
      <c r="C41" s="10"/>
      <c r="D41" s="38">
        <f>C28+C39</f>
        <v>115882331</v>
      </c>
    </row>
    <row r="42" spans="1:4" ht="11.25" customHeight="1" x14ac:dyDescent="0.15">
      <c r="A42" s="9"/>
      <c r="B42" s="62"/>
      <c r="C42" s="62"/>
      <c r="D42" s="62"/>
    </row>
    <row r="43" spans="1:4" ht="14.25" x14ac:dyDescent="0.15">
      <c r="A43" s="60" t="s">
        <v>18</v>
      </c>
      <c r="B43" s="26"/>
      <c r="C43" s="5"/>
      <c r="D43" s="12"/>
    </row>
    <row r="44" spans="1:4" ht="14.25" x14ac:dyDescent="0.15">
      <c r="A44" s="55" t="s">
        <v>21</v>
      </c>
      <c r="B44" s="26"/>
      <c r="C44" s="5"/>
      <c r="D44" s="23"/>
    </row>
    <row r="45" spans="1:4" ht="14.25" x14ac:dyDescent="0.15">
      <c r="A45" s="55" t="s">
        <v>32</v>
      </c>
      <c r="B45" s="27">
        <v>1291255</v>
      </c>
      <c r="C45" s="5"/>
      <c r="D45" s="29"/>
    </row>
    <row r="46" spans="1:4" ht="14.25" x14ac:dyDescent="0.15">
      <c r="A46" s="55" t="s">
        <v>33</v>
      </c>
      <c r="B46" s="27">
        <v>5000000</v>
      </c>
      <c r="C46" s="5"/>
      <c r="D46" s="12"/>
    </row>
    <row r="47" spans="1:4" ht="14.25" x14ac:dyDescent="0.15">
      <c r="A47" s="59"/>
      <c r="B47" s="26"/>
      <c r="C47" s="11"/>
      <c r="D47" s="12"/>
    </row>
    <row r="48" spans="1:4" ht="14.25" x14ac:dyDescent="0.15">
      <c r="A48" s="55" t="s">
        <v>31</v>
      </c>
      <c r="B48" s="8"/>
      <c r="C48" s="37">
        <f>B45+B46</f>
        <v>6291255</v>
      </c>
      <c r="D48" s="23"/>
    </row>
    <row r="49" spans="1:4" ht="11.25" customHeight="1" x14ac:dyDescent="0.15">
      <c r="A49" s="3"/>
      <c r="B49" s="14"/>
      <c r="C49" s="34"/>
      <c r="D49" s="25"/>
    </row>
    <row r="50" spans="1:4" ht="14.25" x14ac:dyDescent="0.15">
      <c r="A50" s="55" t="s">
        <v>22</v>
      </c>
      <c r="B50" s="19"/>
      <c r="C50" s="33"/>
      <c r="D50" s="23"/>
    </row>
    <row r="51" spans="1:4" ht="14.25" x14ac:dyDescent="0.15">
      <c r="A51" s="55" t="s">
        <v>30</v>
      </c>
      <c r="B51" s="27">
        <v>11680000</v>
      </c>
      <c r="C51" s="11"/>
      <c r="D51" s="25"/>
    </row>
    <row r="52" spans="1:4" ht="14.25" x14ac:dyDescent="0.15">
      <c r="A52" s="9"/>
      <c r="B52" s="19"/>
      <c r="C52" s="11"/>
      <c r="D52" s="25"/>
    </row>
    <row r="53" spans="1:4" ht="14.25" x14ac:dyDescent="0.15">
      <c r="A53" s="61" t="s">
        <v>29</v>
      </c>
      <c r="B53" s="10"/>
      <c r="C53" s="37">
        <f>B51</f>
        <v>11680000</v>
      </c>
      <c r="D53" s="23"/>
    </row>
    <row r="54" spans="1:4" ht="14.25" x14ac:dyDescent="0.15">
      <c r="A54" s="3"/>
      <c r="B54" s="19"/>
      <c r="C54" s="11"/>
      <c r="D54" s="23"/>
    </row>
    <row r="55" spans="1:4" ht="14.25" x14ac:dyDescent="0.15">
      <c r="A55" s="58" t="s">
        <v>24</v>
      </c>
      <c r="B55" s="40"/>
      <c r="C55" s="40"/>
      <c r="D55" s="38">
        <f>C48+C53</f>
        <v>17971255</v>
      </c>
    </row>
    <row r="56" spans="1:4" ht="11.25" customHeight="1" x14ac:dyDescent="0.15">
      <c r="A56" s="3"/>
      <c r="B56" s="19"/>
      <c r="C56" s="11"/>
      <c r="D56" s="23"/>
    </row>
    <row r="57" spans="1:4" ht="14.25" x14ac:dyDescent="0.15">
      <c r="A57" s="55" t="s">
        <v>3</v>
      </c>
      <c r="B57" s="30"/>
      <c r="C57" s="35"/>
      <c r="D57" s="31"/>
    </row>
    <row r="58" spans="1:4" ht="15" customHeight="1" x14ac:dyDescent="0.15">
      <c r="A58" s="55" t="s">
        <v>27</v>
      </c>
      <c r="B58" s="10"/>
      <c r="C58" s="39"/>
      <c r="D58" s="39">
        <v>0</v>
      </c>
    </row>
    <row r="59" spans="1:4" ht="15.75" customHeight="1" x14ac:dyDescent="0.15">
      <c r="A59" s="55" t="s">
        <v>28</v>
      </c>
      <c r="B59" s="47"/>
      <c r="C59" s="9"/>
      <c r="D59" s="43">
        <f>D41-D55</f>
        <v>97911076</v>
      </c>
    </row>
    <row r="60" spans="1:4" ht="15.75" customHeight="1" x14ac:dyDescent="0.15">
      <c r="A60" s="59" t="s">
        <v>11</v>
      </c>
      <c r="B60" s="9"/>
      <c r="D60" s="42">
        <f>D59-'31.3月 '!D59</f>
        <v>3811653</v>
      </c>
    </row>
    <row r="61" spans="1:4" ht="16.5" customHeight="1" x14ac:dyDescent="0.15">
      <c r="A61" s="55" t="s">
        <v>26</v>
      </c>
      <c r="B61" s="22"/>
      <c r="C61" s="48"/>
      <c r="D61" s="44">
        <f>D59</f>
        <v>97911076</v>
      </c>
    </row>
    <row r="62" spans="1:4" ht="14.25" x14ac:dyDescent="0.15">
      <c r="A62" s="55" t="s">
        <v>25</v>
      </c>
      <c r="B62" s="22"/>
      <c r="C62" s="9"/>
      <c r="D62" s="69">
        <f>D55+D61</f>
        <v>115882331</v>
      </c>
    </row>
    <row r="63" spans="1:4" x14ac:dyDescent="0.15">
      <c r="B63" s="2"/>
      <c r="D63" s="68"/>
    </row>
    <row r="64" spans="1:4" ht="12.75" customHeight="1" x14ac:dyDescent="0.2">
      <c r="A64" s="1"/>
    </row>
    <row r="65" spans="1:4" x14ac:dyDescent="0.15">
      <c r="A65" s="45"/>
      <c r="B65" s="45"/>
      <c r="D65" s="68"/>
    </row>
    <row r="66" spans="1:4" x14ac:dyDescent="0.15">
      <c r="C66" s="52"/>
      <c r="D66" s="45"/>
    </row>
    <row r="68" spans="1:4" x14ac:dyDescent="0.15">
      <c r="C68" s="52"/>
    </row>
    <row r="70" spans="1:4" ht="13.5" customHeight="1" x14ac:dyDescent="0.2">
      <c r="A70" s="21"/>
    </row>
    <row r="71" spans="1:4" ht="14.25" x14ac:dyDescent="0.15">
      <c r="A71" s="17"/>
    </row>
    <row r="72" spans="1:4" ht="14.25" x14ac:dyDescent="0.15">
      <c r="A72" s="17"/>
    </row>
    <row r="73" spans="1:4" ht="14.25" x14ac:dyDescent="0.15">
      <c r="A73" s="17"/>
    </row>
    <row r="74" spans="1:4" ht="14.25" x14ac:dyDescent="0.15">
      <c r="A74" s="17"/>
      <c r="B74" s="13"/>
      <c r="C74" s="17"/>
      <c r="D74" s="17"/>
    </row>
    <row r="75" spans="1:4" ht="14.25" x14ac:dyDescent="0.15">
      <c r="A75" s="17"/>
      <c r="B75" s="13"/>
      <c r="C75" s="17"/>
      <c r="D75" s="17"/>
    </row>
    <row r="76" spans="1:4" ht="14.25" x14ac:dyDescent="0.15">
      <c r="A76" s="17"/>
      <c r="B76" s="20"/>
      <c r="C76" s="17"/>
      <c r="D76" s="17"/>
    </row>
    <row r="77" spans="1:4" ht="14.25" x14ac:dyDescent="0.15">
      <c r="A77" s="17"/>
      <c r="B77" s="13"/>
      <c r="C77" s="17"/>
      <c r="D77" s="17"/>
    </row>
    <row r="78" spans="1:4" ht="14.25" x14ac:dyDescent="0.15">
      <c r="A78" s="17"/>
      <c r="B78" s="13"/>
      <c r="C78" s="13"/>
      <c r="D78" s="17"/>
    </row>
    <row r="79" spans="1:4" ht="14.25" x14ac:dyDescent="0.15">
      <c r="B79" s="17"/>
      <c r="C79" s="18"/>
      <c r="D79" s="17"/>
    </row>
    <row r="80" spans="1:4" ht="14.25" x14ac:dyDescent="0.15">
      <c r="A80" s="17"/>
      <c r="B80" s="17"/>
      <c r="C80" s="18"/>
      <c r="D80" s="17"/>
    </row>
    <row r="81" spans="1:4" ht="14.25" x14ac:dyDescent="0.15">
      <c r="C81" s="17"/>
      <c r="D81" s="17"/>
    </row>
    <row r="82" spans="1:4" ht="14.25" x14ac:dyDescent="0.15">
      <c r="A82" s="17"/>
      <c r="C82" s="17"/>
      <c r="D82" s="17"/>
    </row>
    <row r="83" spans="1:4" ht="14.25" x14ac:dyDescent="0.15">
      <c r="A83" s="17"/>
      <c r="B83" s="20"/>
      <c r="C83" s="18"/>
      <c r="D83" s="17"/>
    </row>
    <row r="84" spans="1:4" ht="14.25" x14ac:dyDescent="0.15">
      <c r="A84" s="17"/>
      <c r="B84" s="13"/>
      <c r="D84" s="17"/>
    </row>
    <row r="85" spans="1:4" ht="14.25" x14ac:dyDescent="0.15">
      <c r="B85" s="17"/>
      <c r="C85" s="17"/>
      <c r="D85" s="13"/>
    </row>
    <row r="86" spans="1:4" ht="14.25" x14ac:dyDescent="0.15">
      <c r="A86" s="17"/>
      <c r="B86" s="13"/>
      <c r="C86" s="13"/>
      <c r="D86" s="18"/>
    </row>
    <row r="87" spans="1:4" ht="14.25" x14ac:dyDescent="0.15">
      <c r="B87" s="13"/>
      <c r="C87" s="17"/>
      <c r="D87" s="17"/>
    </row>
    <row r="88" spans="1:4" ht="14.25" x14ac:dyDescent="0.15">
      <c r="A88" s="17"/>
      <c r="B88" s="13"/>
      <c r="C88" s="17"/>
      <c r="D88" s="18"/>
    </row>
    <row r="89" spans="1:4" ht="14.25" x14ac:dyDescent="0.15">
      <c r="C89" s="17"/>
      <c r="D89" s="17"/>
    </row>
    <row r="90" spans="1:4" ht="14.25" x14ac:dyDescent="0.15">
      <c r="A90" s="17"/>
      <c r="C90" s="17"/>
      <c r="D90" s="17"/>
    </row>
    <row r="91" spans="1:4" ht="14.25" x14ac:dyDescent="0.15">
      <c r="A91" s="17"/>
      <c r="B91" s="13"/>
      <c r="D91" s="17"/>
    </row>
    <row r="92" spans="1:4" ht="14.25" x14ac:dyDescent="0.15">
      <c r="A92" s="17"/>
      <c r="B92" s="13"/>
      <c r="D92" s="17"/>
    </row>
    <row r="93" spans="1:4" ht="14.25" x14ac:dyDescent="0.15">
      <c r="A93" s="17"/>
      <c r="B93" s="13"/>
      <c r="C93" s="17"/>
      <c r="D93" s="17"/>
    </row>
    <row r="94" spans="1:4" ht="14.25" x14ac:dyDescent="0.15">
      <c r="A94" s="17"/>
      <c r="C94" s="13"/>
      <c r="D94" s="17"/>
    </row>
    <row r="95" spans="1:4" ht="14.25" x14ac:dyDescent="0.15">
      <c r="A95" s="17"/>
      <c r="B95" s="13"/>
      <c r="D95" s="17"/>
    </row>
    <row r="96" spans="1:4" ht="14.25" x14ac:dyDescent="0.15">
      <c r="A96" s="17"/>
      <c r="B96" s="13"/>
      <c r="C96" s="17"/>
      <c r="D96" s="17"/>
    </row>
    <row r="97" spans="1:4" ht="14.25" x14ac:dyDescent="0.15">
      <c r="A97" s="17"/>
      <c r="B97" s="13"/>
      <c r="C97" s="17"/>
    </row>
    <row r="98" spans="1:4" ht="14.25" x14ac:dyDescent="0.15">
      <c r="A98" s="17"/>
      <c r="B98" s="13"/>
      <c r="C98" s="17"/>
    </row>
    <row r="99" spans="1:4" ht="14.25" x14ac:dyDescent="0.15">
      <c r="A99" s="17"/>
      <c r="B99" s="13"/>
      <c r="C99" s="17"/>
      <c r="D99" s="17"/>
    </row>
    <row r="100" spans="1:4" ht="14.25" x14ac:dyDescent="0.15">
      <c r="A100" s="17"/>
      <c r="B100" s="13"/>
      <c r="D100" s="13"/>
    </row>
    <row r="101" spans="1:4" ht="14.25" x14ac:dyDescent="0.15">
      <c r="A101" s="17"/>
      <c r="B101" s="13"/>
      <c r="C101" s="17"/>
    </row>
    <row r="102" spans="1:4" ht="14.25" x14ac:dyDescent="0.15">
      <c r="A102" s="17"/>
      <c r="B102" s="17"/>
      <c r="D102" s="18"/>
    </row>
    <row r="103" spans="1:4" ht="14.25" x14ac:dyDescent="0.15">
      <c r="A103" s="17"/>
    </row>
    <row r="104" spans="1:4" ht="14.25" x14ac:dyDescent="0.15">
      <c r="A104" s="17" t="s">
        <v>0</v>
      </c>
      <c r="C104" s="18" t="s">
        <v>0</v>
      </c>
      <c r="D104" s="18" t="s">
        <v>0</v>
      </c>
    </row>
    <row r="105" spans="1:4" x14ac:dyDescent="0.15">
      <c r="A105" t="s">
        <v>0</v>
      </c>
    </row>
    <row r="106" spans="1:4" ht="14.25" x14ac:dyDescent="0.15">
      <c r="A106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horizontalDpi="4294967293" vertic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92A73-6363-4D52-8A96-407975CFB527}">
  <dimension ref="A1:G106"/>
  <sheetViews>
    <sheetView topLeftCell="A34" zoomScaleNormal="100" workbookViewId="0">
      <selection activeCell="C57" sqref="C57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</cols>
  <sheetData>
    <row r="1" spans="1:7" ht="17.25" x14ac:dyDescent="0.2">
      <c r="A1" s="1" t="s">
        <v>88</v>
      </c>
      <c r="B1" s="1"/>
    </row>
    <row r="2" spans="1:7" ht="17.25" customHeight="1" x14ac:dyDescent="0.15">
      <c r="A2" s="111" t="s">
        <v>92</v>
      </c>
      <c r="B2" s="111"/>
      <c r="C2" s="111"/>
      <c r="D2" s="111"/>
    </row>
    <row r="3" spans="1:7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7" ht="15" customHeight="1" x14ac:dyDescent="0.15">
      <c r="C4" s="115" t="s">
        <v>49</v>
      </c>
      <c r="D4" s="115"/>
      <c r="F4" s="46"/>
    </row>
    <row r="5" spans="1:7" ht="17.25" x14ac:dyDescent="0.2">
      <c r="A5" s="56" t="s">
        <v>5</v>
      </c>
      <c r="B5" s="50"/>
      <c r="C5" s="49" t="s">
        <v>4</v>
      </c>
      <c r="D5" s="49"/>
    </row>
    <row r="6" spans="1:7" ht="14.25" x14ac:dyDescent="0.15">
      <c r="A6" s="55" t="s">
        <v>2</v>
      </c>
      <c r="B6" s="24"/>
      <c r="C6" s="4"/>
      <c r="D6" s="28"/>
    </row>
    <row r="7" spans="1:7" ht="14.25" x14ac:dyDescent="0.15">
      <c r="A7" s="55" t="s">
        <v>19</v>
      </c>
      <c r="B7" s="14"/>
      <c r="C7" s="5"/>
      <c r="D7" s="12"/>
    </row>
    <row r="8" spans="1:7" ht="14.25" x14ac:dyDescent="0.15">
      <c r="A8" s="55" t="s">
        <v>34</v>
      </c>
      <c r="B8" s="51">
        <v>2385</v>
      </c>
      <c r="C8" s="5"/>
      <c r="D8" s="12"/>
    </row>
    <row r="9" spans="1:7" ht="14.25" x14ac:dyDescent="0.15">
      <c r="A9" s="55" t="s">
        <v>35</v>
      </c>
      <c r="B9" s="27">
        <f>SUM(B10:B14)</f>
        <v>23430539</v>
      </c>
      <c r="C9" s="5"/>
      <c r="D9" s="12"/>
    </row>
    <row r="10" spans="1:7" ht="14.25" x14ac:dyDescent="0.15">
      <c r="A10" s="53" t="s">
        <v>13</v>
      </c>
      <c r="B10" s="67">
        <f>17470298+44095+2767+255154+292096+121871</f>
        <v>18186281</v>
      </c>
      <c r="C10" s="5"/>
      <c r="D10" s="23"/>
    </row>
    <row r="11" spans="1:7" ht="14.25" x14ac:dyDescent="0.15">
      <c r="A11" s="54" t="s">
        <v>12</v>
      </c>
      <c r="B11" s="67">
        <f>51189+1471893+30127</f>
        <v>1553209</v>
      </c>
      <c r="C11" s="5"/>
      <c r="D11" s="23"/>
    </row>
    <row r="12" spans="1:7" ht="14.25" x14ac:dyDescent="0.15">
      <c r="A12" s="53" t="s">
        <v>45</v>
      </c>
      <c r="B12" s="32">
        <v>1744356</v>
      </c>
      <c r="C12" s="5"/>
      <c r="D12" s="23"/>
    </row>
    <row r="13" spans="1:7" ht="14.25" x14ac:dyDescent="0.15">
      <c r="A13" s="53" t="s">
        <v>44</v>
      </c>
      <c r="B13" s="41">
        <v>1221490</v>
      </c>
      <c r="C13" s="5"/>
      <c r="D13" s="12"/>
    </row>
    <row r="14" spans="1:7" ht="14.25" x14ac:dyDescent="0.15">
      <c r="A14" s="53" t="s">
        <v>46</v>
      </c>
      <c r="B14" s="41">
        <v>725203</v>
      </c>
      <c r="C14" s="5"/>
      <c r="D14" s="12"/>
    </row>
    <row r="15" spans="1:7" ht="14.25" x14ac:dyDescent="0.15">
      <c r="A15" s="55" t="s">
        <v>36</v>
      </c>
      <c r="B15" s="27">
        <f>SUM(B16:B26)</f>
        <v>31570166</v>
      </c>
      <c r="C15" s="6"/>
      <c r="D15" s="12"/>
    </row>
    <row r="16" spans="1:7" ht="14.25" x14ac:dyDescent="0.15">
      <c r="A16" s="54" t="s">
        <v>14</v>
      </c>
      <c r="B16" s="32">
        <f>45360+5889140</f>
        <v>5934500</v>
      </c>
      <c r="C16" s="11"/>
      <c r="D16" s="12"/>
    </row>
    <row r="17" spans="1:4" ht="14.25" x14ac:dyDescent="0.15">
      <c r="A17" s="54" t="s">
        <v>15</v>
      </c>
      <c r="B17" s="67">
        <f>15814994+1101234+688000</f>
        <v>17604228</v>
      </c>
      <c r="C17" s="5"/>
      <c r="D17" s="12"/>
    </row>
    <row r="18" spans="1:4" ht="14.25" x14ac:dyDescent="0.15">
      <c r="A18" s="53" t="s">
        <v>58</v>
      </c>
      <c r="B18" s="32">
        <f>3495753+225115+89300</f>
        <v>3810168</v>
      </c>
      <c r="C18" s="11"/>
      <c r="D18" s="12"/>
    </row>
    <row r="19" spans="1:4" ht="14.25" x14ac:dyDescent="0.15">
      <c r="A19" s="54" t="s">
        <v>16</v>
      </c>
      <c r="B19" s="67">
        <f>1294362+70675+81800</f>
        <v>1446837</v>
      </c>
      <c r="C19" s="5"/>
      <c r="D19" s="12"/>
    </row>
    <row r="20" spans="1:4" ht="14.25" x14ac:dyDescent="0.15">
      <c r="A20" s="54" t="s">
        <v>67</v>
      </c>
      <c r="B20" s="67">
        <f>1373061+86122</f>
        <v>1459183</v>
      </c>
      <c r="C20" s="5"/>
      <c r="D20" s="12"/>
    </row>
    <row r="21" spans="1:4" ht="14.25" x14ac:dyDescent="0.15">
      <c r="A21" s="54" t="s">
        <v>72</v>
      </c>
      <c r="B21" s="67">
        <v>17300</v>
      </c>
      <c r="C21" s="5"/>
      <c r="D21" s="12"/>
    </row>
    <row r="22" spans="1:4" ht="14.25" x14ac:dyDescent="0.15">
      <c r="A22" s="54" t="s">
        <v>81</v>
      </c>
      <c r="B22" s="67">
        <f>447817+27833+28800</f>
        <v>504450</v>
      </c>
      <c r="C22" s="5"/>
      <c r="D22" s="12"/>
    </row>
    <row r="23" spans="1:4" ht="14.25" x14ac:dyDescent="0.15">
      <c r="A23" s="54" t="s">
        <v>82</v>
      </c>
      <c r="B23" s="67">
        <v>114600</v>
      </c>
      <c r="C23" s="5"/>
      <c r="D23" s="12"/>
    </row>
    <row r="24" spans="1:4" ht="14.25" x14ac:dyDescent="0.15">
      <c r="A24" s="54" t="s">
        <v>17</v>
      </c>
      <c r="B24" s="32">
        <v>658900</v>
      </c>
      <c r="C24" s="5"/>
      <c r="D24" s="12"/>
    </row>
    <row r="25" spans="1:4" ht="14.25" x14ac:dyDescent="0.15">
      <c r="A25" s="54" t="s">
        <v>71</v>
      </c>
      <c r="B25" s="41">
        <v>20000</v>
      </c>
      <c r="C25" s="5"/>
      <c r="D25" s="12"/>
    </row>
    <row r="26" spans="1:4" ht="14.25" x14ac:dyDescent="0.15">
      <c r="A26" s="54" t="s">
        <v>79</v>
      </c>
      <c r="B26" s="41">
        <v>0</v>
      </c>
      <c r="C26" s="5"/>
      <c r="D26" s="12"/>
    </row>
    <row r="27" spans="1:4" ht="14.25" x14ac:dyDescent="0.15">
      <c r="A27" s="55" t="s">
        <v>37</v>
      </c>
      <c r="B27" s="27">
        <v>459980</v>
      </c>
      <c r="C27" s="15" t="s">
        <v>0</v>
      </c>
      <c r="D27" s="12"/>
    </row>
    <row r="28" spans="1:4" ht="14.25" x14ac:dyDescent="0.15">
      <c r="A28" s="61" t="s">
        <v>38</v>
      </c>
      <c r="B28" s="7"/>
      <c r="C28" s="36">
        <f>B8+B9+B15+B27</f>
        <v>55463070</v>
      </c>
      <c r="D28" s="12"/>
    </row>
    <row r="29" spans="1:4" ht="11.25" customHeight="1" x14ac:dyDescent="0.15">
      <c r="A29" s="11"/>
      <c r="B29" s="14"/>
      <c r="C29" s="5"/>
      <c r="D29" s="29" t="s">
        <v>0</v>
      </c>
    </row>
    <row r="30" spans="1:4" ht="14.25" x14ac:dyDescent="0.15">
      <c r="A30" s="55" t="s">
        <v>20</v>
      </c>
      <c r="B30" s="26" t="s">
        <v>0</v>
      </c>
      <c r="C30" s="5"/>
      <c r="D30" s="25"/>
    </row>
    <row r="31" spans="1:4" ht="14.25" x14ac:dyDescent="0.15">
      <c r="A31" s="55" t="s">
        <v>39</v>
      </c>
      <c r="B31" s="27">
        <v>53212564</v>
      </c>
      <c r="C31" s="5"/>
      <c r="D31" s="12"/>
    </row>
    <row r="32" spans="1:4" ht="14.25" x14ac:dyDescent="0.15">
      <c r="A32" s="55" t="s">
        <v>54</v>
      </c>
      <c r="B32" s="27">
        <v>7652587</v>
      </c>
      <c r="C32" s="5"/>
      <c r="D32" s="12"/>
    </row>
    <row r="33" spans="1:4" ht="14.25" x14ac:dyDescent="0.15">
      <c r="A33" s="55" t="s">
        <v>55</v>
      </c>
      <c r="B33" s="27">
        <v>1917917</v>
      </c>
      <c r="C33" s="5"/>
      <c r="D33" s="12"/>
    </row>
    <row r="34" spans="1:4" ht="14.25" x14ac:dyDescent="0.15">
      <c r="A34" s="55" t="s">
        <v>75</v>
      </c>
      <c r="B34" s="27">
        <v>143597</v>
      </c>
      <c r="C34" s="5"/>
      <c r="D34" s="12"/>
    </row>
    <row r="35" spans="1:4" ht="14.25" x14ac:dyDescent="0.15">
      <c r="A35" s="55" t="s">
        <v>40</v>
      </c>
      <c r="B35" s="27">
        <f>2866054-219473-249389-37263</f>
        <v>2359929</v>
      </c>
      <c r="C35" s="5"/>
      <c r="D35" s="12"/>
    </row>
    <row r="36" spans="1:4" ht="14.25" x14ac:dyDescent="0.15">
      <c r="A36" s="55" t="s">
        <v>41</v>
      </c>
      <c r="B36" s="27">
        <v>110600</v>
      </c>
      <c r="C36" s="5"/>
      <c r="D36" s="12"/>
    </row>
    <row r="37" spans="1:4" ht="14.25" x14ac:dyDescent="0.15">
      <c r="A37" s="55" t="s">
        <v>42</v>
      </c>
      <c r="B37" s="27">
        <v>50000</v>
      </c>
      <c r="C37" s="11"/>
      <c r="D37" s="12"/>
    </row>
    <row r="38" spans="1:4" ht="14.25" x14ac:dyDescent="0.15">
      <c r="A38" s="55" t="s">
        <v>66</v>
      </c>
      <c r="B38" s="27">
        <v>119440</v>
      </c>
      <c r="C38" s="6"/>
      <c r="D38" s="12"/>
    </row>
    <row r="39" spans="1:4" ht="14.25" x14ac:dyDescent="0.15">
      <c r="A39" s="61" t="s">
        <v>43</v>
      </c>
      <c r="B39" s="8"/>
      <c r="C39" s="37">
        <f>SUM(B31:B38)</f>
        <v>65566634</v>
      </c>
      <c r="D39" s="12"/>
    </row>
    <row r="40" spans="1:4" ht="14.25" x14ac:dyDescent="0.15">
      <c r="A40" s="11"/>
      <c r="B40" s="19"/>
      <c r="C40" s="5"/>
      <c r="D40" s="12"/>
    </row>
    <row r="41" spans="1:4" ht="14.25" x14ac:dyDescent="0.15">
      <c r="A41" s="58" t="s">
        <v>23</v>
      </c>
      <c r="B41" s="8"/>
      <c r="C41" s="10"/>
      <c r="D41" s="38">
        <f>C28+C39</f>
        <v>121029704</v>
      </c>
    </row>
    <row r="42" spans="1:4" ht="11.25" customHeight="1" x14ac:dyDescent="0.15">
      <c r="A42" s="9"/>
      <c r="B42" s="62"/>
      <c r="C42" s="62"/>
      <c r="D42" s="62"/>
    </row>
    <row r="43" spans="1:4" ht="14.25" x14ac:dyDescent="0.15">
      <c r="A43" s="60" t="s">
        <v>18</v>
      </c>
      <c r="B43" s="26"/>
      <c r="C43" s="5"/>
      <c r="D43" s="12"/>
    </row>
    <row r="44" spans="1:4" ht="14.25" x14ac:dyDescent="0.15">
      <c r="A44" s="55" t="s">
        <v>21</v>
      </c>
      <c r="B44" s="26"/>
      <c r="C44" s="5"/>
      <c r="D44" s="23"/>
    </row>
    <row r="45" spans="1:4" ht="14.25" x14ac:dyDescent="0.15">
      <c r="A45" s="55" t="s">
        <v>32</v>
      </c>
      <c r="B45" s="27">
        <v>3118212</v>
      </c>
      <c r="C45" s="5"/>
      <c r="D45" s="29"/>
    </row>
    <row r="46" spans="1:4" ht="14.25" x14ac:dyDescent="0.15">
      <c r="A46" s="55" t="s">
        <v>33</v>
      </c>
      <c r="B46" s="27">
        <v>5000000</v>
      </c>
      <c r="C46" s="5"/>
      <c r="D46" s="12"/>
    </row>
    <row r="47" spans="1:4" ht="14.25" x14ac:dyDescent="0.15">
      <c r="A47" s="59"/>
      <c r="B47" s="26"/>
      <c r="C47" s="11"/>
      <c r="D47" s="12"/>
    </row>
    <row r="48" spans="1:4" ht="14.25" x14ac:dyDescent="0.15">
      <c r="A48" s="55" t="s">
        <v>31</v>
      </c>
      <c r="B48" s="8"/>
      <c r="C48" s="37">
        <f>B45+B46</f>
        <v>8118212</v>
      </c>
      <c r="D48" s="23"/>
    </row>
    <row r="49" spans="1:4" ht="11.25" customHeight="1" x14ac:dyDescent="0.15">
      <c r="A49" s="3"/>
      <c r="B49" s="14"/>
      <c r="C49" s="34"/>
      <c r="D49" s="25"/>
    </row>
    <row r="50" spans="1:4" ht="14.25" x14ac:dyDescent="0.15">
      <c r="A50" s="55" t="s">
        <v>22</v>
      </c>
      <c r="B50" s="19"/>
      <c r="C50" s="33"/>
      <c r="D50" s="23"/>
    </row>
    <row r="51" spans="1:4" ht="14.25" x14ac:dyDescent="0.15">
      <c r="A51" s="55" t="s">
        <v>30</v>
      </c>
      <c r="B51" s="27">
        <v>11400000</v>
      </c>
      <c r="C51" s="11"/>
      <c r="D51" s="25"/>
    </row>
    <row r="52" spans="1:4" ht="14.25" x14ac:dyDescent="0.15">
      <c r="A52" s="9"/>
      <c r="B52" s="19"/>
      <c r="C52" s="11"/>
      <c r="D52" s="25"/>
    </row>
    <row r="53" spans="1:4" ht="14.25" x14ac:dyDescent="0.15">
      <c r="A53" s="61" t="s">
        <v>29</v>
      </c>
      <c r="B53" s="10"/>
      <c r="C53" s="37">
        <f>B51</f>
        <v>11400000</v>
      </c>
      <c r="D53" s="23"/>
    </row>
    <row r="54" spans="1:4" ht="14.25" x14ac:dyDescent="0.15">
      <c r="A54" s="3"/>
      <c r="B54" s="19"/>
      <c r="C54" s="11"/>
      <c r="D54" s="23"/>
    </row>
    <row r="55" spans="1:4" ht="14.25" x14ac:dyDescent="0.15">
      <c r="A55" s="58" t="s">
        <v>24</v>
      </c>
      <c r="B55" s="40"/>
      <c r="C55" s="40"/>
      <c r="D55" s="38">
        <f>C48+C53</f>
        <v>19518212</v>
      </c>
    </row>
    <row r="56" spans="1:4" ht="11.25" customHeight="1" x14ac:dyDescent="0.15">
      <c r="A56" s="3"/>
      <c r="B56" s="19"/>
      <c r="C56" s="11"/>
      <c r="D56" s="23"/>
    </row>
    <row r="57" spans="1:4" ht="14.25" x14ac:dyDescent="0.15">
      <c r="A57" s="55" t="s">
        <v>3</v>
      </c>
      <c r="B57" s="30"/>
      <c r="C57" s="35"/>
      <c r="D57" s="31"/>
    </row>
    <row r="58" spans="1:4" ht="15" customHeight="1" x14ac:dyDescent="0.15">
      <c r="A58" s="55" t="s">
        <v>27</v>
      </c>
      <c r="B58" s="10"/>
      <c r="C58" s="39"/>
      <c r="D58" s="39">
        <v>0</v>
      </c>
    </row>
    <row r="59" spans="1:4" ht="15.75" customHeight="1" x14ac:dyDescent="0.15">
      <c r="A59" s="55" t="s">
        <v>28</v>
      </c>
      <c r="B59" s="47"/>
      <c r="C59" s="9"/>
      <c r="D59" s="43">
        <f>D41-D55</f>
        <v>101511492</v>
      </c>
    </row>
    <row r="60" spans="1:4" ht="15.75" customHeight="1" x14ac:dyDescent="0.15">
      <c r="A60" s="59" t="s">
        <v>11</v>
      </c>
      <c r="B60" s="9"/>
      <c r="D60" s="42">
        <f>D59-'31.3月 '!D59</f>
        <v>7412069</v>
      </c>
    </row>
    <row r="61" spans="1:4" ht="16.5" customHeight="1" x14ac:dyDescent="0.15">
      <c r="A61" s="55" t="s">
        <v>26</v>
      </c>
      <c r="B61" s="22"/>
      <c r="C61" s="48"/>
      <c r="D61" s="44">
        <f>D59</f>
        <v>101511492</v>
      </c>
    </row>
    <row r="62" spans="1:4" ht="14.25" x14ac:dyDescent="0.15">
      <c r="A62" s="55" t="s">
        <v>25</v>
      </c>
      <c r="B62" s="22"/>
      <c r="C62" s="9"/>
      <c r="D62" s="69">
        <f>D55+D61</f>
        <v>121029704</v>
      </c>
    </row>
    <row r="63" spans="1:4" x14ac:dyDescent="0.15">
      <c r="B63" s="2"/>
      <c r="D63" s="68"/>
    </row>
    <row r="64" spans="1:4" ht="12.75" customHeight="1" x14ac:dyDescent="0.2">
      <c r="A64" s="1"/>
    </row>
    <row r="65" spans="1:4" x14ac:dyDescent="0.15">
      <c r="A65" s="45"/>
      <c r="B65" s="45"/>
      <c r="D65" s="68"/>
    </row>
    <row r="66" spans="1:4" x14ac:dyDescent="0.15">
      <c r="C66" s="52"/>
      <c r="D66" s="45"/>
    </row>
    <row r="68" spans="1:4" x14ac:dyDescent="0.15">
      <c r="C68" s="52"/>
    </row>
    <row r="70" spans="1:4" ht="13.5" customHeight="1" x14ac:dyDescent="0.2">
      <c r="A70" s="21"/>
    </row>
    <row r="71" spans="1:4" ht="14.25" x14ac:dyDescent="0.15">
      <c r="A71" s="17"/>
    </row>
    <row r="72" spans="1:4" ht="14.25" x14ac:dyDescent="0.15">
      <c r="A72" s="17"/>
    </row>
    <row r="73" spans="1:4" ht="14.25" x14ac:dyDescent="0.15">
      <c r="A73" s="17"/>
    </row>
    <row r="74" spans="1:4" ht="14.25" x14ac:dyDescent="0.15">
      <c r="A74" s="17"/>
      <c r="B74" s="13"/>
      <c r="C74" s="17"/>
      <c r="D74" s="17"/>
    </row>
    <row r="75" spans="1:4" ht="14.25" x14ac:dyDescent="0.15">
      <c r="A75" s="17"/>
      <c r="B75" s="13"/>
      <c r="C75" s="17"/>
      <c r="D75" s="17"/>
    </row>
    <row r="76" spans="1:4" ht="14.25" x14ac:dyDescent="0.15">
      <c r="A76" s="17"/>
      <c r="B76" s="20"/>
      <c r="C76" s="17"/>
      <c r="D76" s="17"/>
    </row>
    <row r="77" spans="1:4" ht="14.25" x14ac:dyDescent="0.15">
      <c r="A77" s="17"/>
      <c r="B77" s="13"/>
      <c r="C77" s="17"/>
      <c r="D77" s="17"/>
    </row>
    <row r="78" spans="1:4" ht="14.25" x14ac:dyDescent="0.15">
      <c r="A78" s="17"/>
      <c r="B78" s="13"/>
      <c r="C78" s="13"/>
      <c r="D78" s="17"/>
    </row>
    <row r="79" spans="1:4" ht="14.25" x14ac:dyDescent="0.15">
      <c r="B79" s="17"/>
      <c r="C79" s="18"/>
      <c r="D79" s="17"/>
    </row>
    <row r="80" spans="1:4" ht="14.25" x14ac:dyDescent="0.15">
      <c r="A80" s="17"/>
      <c r="B80" s="17"/>
      <c r="C80" s="18"/>
      <c r="D80" s="17"/>
    </row>
    <row r="81" spans="1:4" ht="14.25" x14ac:dyDescent="0.15">
      <c r="C81" s="17"/>
      <c r="D81" s="17"/>
    </row>
    <row r="82" spans="1:4" ht="14.25" x14ac:dyDescent="0.15">
      <c r="A82" s="17"/>
      <c r="C82" s="17"/>
      <c r="D82" s="17"/>
    </row>
    <row r="83" spans="1:4" ht="14.25" x14ac:dyDescent="0.15">
      <c r="A83" s="17"/>
      <c r="B83" s="20"/>
      <c r="C83" s="18"/>
      <c r="D83" s="17"/>
    </row>
    <row r="84" spans="1:4" ht="14.25" x14ac:dyDescent="0.15">
      <c r="A84" s="17"/>
      <c r="B84" s="13"/>
      <c r="D84" s="17"/>
    </row>
    <row r="85" spans="1:4" ht="14.25" x14ac:dyDescent="0.15">
      <c r="B85" s="17"/>
      <c r="C85" s="17"/>
      <c r="D85" s="13"/>
    </row>
    <row r="86" spans="1:4" ht="14.25" x14ac:dyDescent="0.15">
      <c r="A86" s="17"/>
      <c r="B86" s="13"/>
      <c r="C86" s="13"/>
      <c r="D86" s="18"/>
    </row>
    <row r="87" spans="1:4" ht="14.25" x14ac:dyDescent="0.15">
      <c r="B87" s="13"/>
      <c r="C87" s="17"/>
      <c r="D87" s="17"/>
    </row>
    <row r="88" spans="1:4" ht="14.25" x14ac:dyDescent="0.15">
      <c r="A88" s="17"/>
      <c r="B88" s="13"/>
      <c r="C88" s="17"/>
      <c r="D88" s="18"/>
    </row>
    <row r="89" spans="1:4" ht="14.25" x14ac:dyDescent="0.15">
      <c r="C89" s="17"/>
      <c r="D89" s="17"/>
    </row>
    <row r="90" spans="1:4" ht="14.25" x14ac:dyDescent="0.15">
      <c r="A90" s="17"/>
      <c r="C90" s="17"/>
      <c r="D90" s="17"/>
    </row>
    <row r="91" spans="1:4" ht="14.25" x14ac:dyDescent="0.15">
      <c r="A91" s="17"/>
      <c r="B91" s="13"/>
      <c r="D91" s="17"/>
    </row>
    <row r="92" spans="1:4" ht="14.25" x14ac:dyDescent="0.15">
      <c r="A92" s="17"/>
      <c r="B92" s="13"/>
      <c r="D92" s="17"/>
    </row>
    <row r="93" spans="1:4" ht="14.25" x14ac:dyDescent="0.15">
      <c r="A93" s="17"/>
      <c r="B93" s="13"/>
      <c r="C93" s="17"/>
      <c r="D93" s="17"/>
    </row>
    <row r="94" spans="1:4" ht="14.25" x14ac:dyDescent="0.15">
      <c r="A94" s="17"/>
      <c r="C94" s="13"/>
      <c r="D94" s="17"/>
    </row>
    <row r="95" spans="1:4" ht="14.25" x14ac:dyDescent="0.15">
      <c r="A95" s="17"/>
      <c r="B95" s="13"/>
      <c r="D95" s="17"/>
    </row>
    <row r="96" spans="1:4" ht="14.25" x14ac:dyDescent="0.15">
      <c r="A96" s="17"/>
      <c r="B96" s="13"/>
      <c r="C96" s="17"/>
      <c r="D96" s="17"/>
    </row>
    <row r="97" spans="1:4" ht="14.25" x14ac:dyDescent="0.15">
      <c r="A97" s="17"/>
      <c r="B97" s="13"/>
      <c r="C97" s="17"/>
    </row>
    <row r="98" spans="1:4" ht="14.25" x14ac:dyDescent="0.15">
      <c r="A98" s="17"/>
      <c r="B98" s="13"/>
      <c r="C98" s="17"/>
    </row>
    <row r="99" spans="1:4" ht="14.25" x14ac:dyDescent="0.15">
      <c r="A99" s="17"/>
      <c r="B99" s="13"/>
      <c r="C99" s="17"/>
      <c r="D99" s="17"/>
    </row>
    <row r="100" spans="1:4" ht="14.25" x14ac:dyDescent="0.15">
      <c r="A100" s="17"/>
      <c r="B100" s="13"/>
      <c r="D100" s="13"/>
    </row>
    <row r="101" spans="1:4" ht="14.25" x14ac:dyDescent="0.15">
      <c r="A101" s="17"/>
      <c r="B101" s="13"/>
      <c r="C101" s="17"/>
    </row>
    <row r="102" spans="1:4" ht="14.25" x14ac:dyDescent="0.15">
      <c r="A102" s="17"/>
      <c r="B102" s="17"/>
      <c r="D102" s="18"/>
    </row>
    <row r="103" spans="1:4" ht="14.25" x14ac:dyDescent="0.15">
      <c r="A103" s="17"/>
    </row>
    <row r="104" spans="1:4" ht="14.25" x14ac:dyDescent="0.15">
      <c r="A104" s="17" t="s">
        <v>0</v>
      </c>
      <c r="C104" s="18" t="s">
        <v>0</v>
      </c>
      <c r="D104" s="18" t="s">
        <v>0</v>
      </c>
    </row>
    <row r="105" spans="1:4" x14ac:dyDescent="0.15">
      <c r="A105" t="s">
        <v>0</v>
      </c>
    </row>
    <row r="106" spans="1:4" ht="14.25" x14ac:dyDescent="0.15">
      <c r="A106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horizontalDpi="4294967293" verticalDpi="4294967293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D8315-8106-4338-A90C-0DF9529159CD}">
  <dimension ref="A1:G106"/>
  <sheetViews>
    <sheetView topLeftCell="A43" zoomScaleNormal="100" workbookViewId="0">
      <selection activeCell="D66" sqref="D66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</cols>
  <sheetData>
    <row r="1" spans="1:7" ht="17.25" x14ac:dyDescent="0.2">
      <c r="A1" s="1" t="s">
        <v>88</v>
      </c>
      <c r="B1" s="1"/>
    </row>
    <row r="2" spans="1:7" ht="17.25" customHeight="1" x14ac:dyDescent="0.15">
      <c r="A2" s="111" t="s">
        <v>93</v>
      </c>
      <c r="B2" s="111"/>
      <c r="C2" s="111"/>
      <c r="D2" s="111"/>
    </row>
    <row r="3" spans="1:7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7" ht="15" customHeight="1" x14ac:dyDescent="0.15">
      <c r="C4" s="115" t="s">
        <v>49</v>
      </c>
      <c r="D4" s="115"/>
      <c r="F4" s="46"/>
    </row>
    <row r="5" spans="1:7" ht="17.25" x14ac:dyDescent="0.2">
      <c r="A5" s="56" t="s">
        <v>5</v>
      </c>
      <c r="B5" s="50"/>
      <c r="C5" s="49" t="s">
        <v>4</v>
      </c>
      <c r="D5" s="49"/>
    </row>
    <row r="6" spans="1:7" ht="14.25" x14ac:dyDescent="0.15">
      <c r="A6" s="55" t="s">
        <v>2</v>
      </c>
      <c r="B6" s="24"/>
      <c r="C6" s="4"/>
      <c r="D6" s="28"/>
    </row>
    <row r="7" spans="1:7" ht="14.25" x14ac:dyDescent="0.15">
      <c r="A7" s="55" t="s">
        <v>19</v>
      </c>
      <c r="B7" s="14"/>
      <c r="C7" s="5"/>
      <c r="D7" s="12"/>
    </row>
    <row r="8" spans="1:7" ht="14.25" x14ac:dyDescent="0.15">
      <c r="A8" s="55" t="s">
        <v>34</v>
      </c>
      <c r="B8" s="51">
        <v>2385</v>
      </c>
      <c r="C8" s="5"/>
      <c r="D8" s="12"/>
    </row>
    <row r="9" spans="1:7" ht="14.25" x14ac:dyDescent="0.15">
      <c r="A9" s="55" t="s">
        <v>35</v>
      </c>
      <c r="B9" s="27">
        <f>SUM(B10:B14)</f>
        <v>22520237</v>
      </c>
      <c r="C9" s="5"/>
      <c r="D9" s="12"/>
    </row>
    <row r="10" spans="1:7" ht="14.25" x14ac:dyDescent="0.15">
      <c r="A10" s="53" t="s">
        <v>13</v>
      </c>
      <c r="B10" s="67">
        <f>14716421+67115+8386+320935+278621+113459</f>
        <v>15504937</v>
      </c>
      <c r="C10" s="5"/>
      <c r="D10" s="23"/>
    </row>
    <row r="11" spans="1:7" ht="14.25" x14ac:dyDescent="0.15">
      <c r="A11" s="54" t="s">
        <v>12</v>
      </c>
      <c r="B11" s="67">
        <f>63489+1792885+36127</f>
        <v>1892501</v>
      </c>
      <c r="C11" s="5"/>
      <c r="D11" s="23"/>
    </row>
    <row r="12" spans="1:7" ht="14.25" x14ac:dyDescent="0.15">
      <c r="A12" s="53" t="s">
        <v>45</v>
      </c>
      <c r="B12" s="32">
        <v>2533222</v>
      </c>
      <c r="C12" s="5"/>
      <c r="D12" s="23"/>
    </row>
    <row r="13" spans="1:7" ht="14.25" x14ac:dyDescent="0.15">
      <c r="A13" s="53" t="s">
        <v>44</v>
      </c>
      <c r="B13" s="41">
        <v>1783099</v>
      </c>
      <c r="C13" s="5"/>
      <c r="D13" s="12"/>
    </row>
    <row r="14" spans="1:7" ht="14.25" x14ac:dyDescent="0.15">
      <c r="A14" s="53" t="s">
        <v>46</v>
      </c>
      <c r="B14" s="41">
        <v>806478</v>
      </c>
      <c r="C14" s="5"/>
      <c r="D14" s="12"/>
    </row>
    <row r="15" spans="1:7" ht="14.25" x14ac:dyDescent="0.15">
      <c r="A15" s="55" t="s">
        <v>36</v>
      </c>
      <c r="B15" s="27">
        <f>SUM(B16:B26)</f>
        <v>30538399</v>
      </c>
      <c r="C15" s="6"/>
      <c r="D15" s="12"/>
    </row>
    <row r="16" spans="1:7" ht="14.25" x14ac:dyDescent="0.15">
      <c r="A16" s="54" t="s">
        <v>14</v>
      </c>
      <c r="B16" s="32">
        <f>30240+5767220</f>
        <v>5797460</v>
      </c>
      <c r="C16" s="11"/>
      <c r="D16" s="12"/>
    </row>
    <row r="17" spans="1:4" ht="14.25" x14ac:dyDescent="0.15">
      <c r="A17" s="54" t="s">
        <v>15</v>
      </c>
      <c r="B17" s="67">
        <f>15540080+1043460+693500</f>
        <v>17277040</v>
      </c>
      <c r="C17" s="5"/>
      <c r="D17" s="12"/>
    </row>
    <row r="18" spans="1:4" ht="14.25" x14ac:dyDescent="0.15">
      <c r="A18" s="53" t="s">
        <v>58</v>
      </c>
      <c r="B18" s="32">
        <f>3402540+214539+90600</f>
        <v>3707679</v>
      </c>
      <c r="C18" s="11"/>
      <c r="D18" s="12"/>
    </row>
    <row r="19" spans="1:4" ht="14.25" x14ac:dyDescent="0.15">
      <c r="A19" s="54" t="s">
        <v>16</v>
      </c>
      <c r="B19" s="67">
        <f>1219446+75017+83000</f>
        <v>1377463</v>
      </c>
      <c r="C19" s="5"/>
      <c r="D19" s="12"/>
    </row>
    <row r="20" spans="1:4" ht="14.25" x14ac:dyDescent="0.15">
      <c r="A20" s="54" t="s">
        <v>67</v>
      </c>
      <c r="B20" s="67">
        <f>1342719+81841</f>
        <v>1424560</v>
      </c>
      <c r="C20" s="5"/>
      <c r="D20" s="12"/>
    </row>
    <row r="21" spans="1:4" ht="14.25" x14ac:dyDescent="0.15">
      <c r="A21" s="54" t="s">
        <v>72</v>
      </c>
      <c r="B21" s="67">
        <v>12600</v>
      </c>
      <c r="C21" s="5"/>
      <c r="D21" s="12"/>
    </row>
    <row r="22" spans="1:4" ht="14.25" x14ac:dyDescent="0.15">
      <c r="A22" s="54" t="s">
        <v>81</v>
      </c>
      <c r="B22" s="67">
        <f>443614+28133+40200</f>
        <v>511947</v>
      </c>
      <c r="C22" s="5"/>
      <c r="D22" s="12"/>
    </row>
    <row r="23" spans="1:4" ht="14.25" x14ac:dyDescent="0.15">
      <c r="A23" s="54" t="s">
        <v>82</v>
      </c>
      <c r="B23" s="67">
        <v>102000</v>
      </c>
      <c r="C23" s="5"/>
      <c r="D23" s="12"/>
    </row>
    <row r="24" spans="1:4" ht="14.25" x14ac:dyDescent="0.15">
      <c r="A24" s="54" t="s">
        <v>17</v>
      </c>
      <c r="B24" s="32">
        <v>320150</v>
      </c>
      <c r="C24" s="5"/>
      <c r="D24" s="12"/>
    </row>
    <row r="25" spans="1:4" ht="14.25" x14ac:dyDescent="0.15">
      <c r="A25" s="54" t="s">
        <v>71</v>
      </c>
      <c r="B25" s="41">
        <v>7500</v>
      </c>
      <c r="C25" s="5"/>
      <c r="D25" s="12"/>
    </row>
    <row r="26" spans="1:4" ht="14.25" x14ac:dyDescent="0.15">
      <c r="A26" s="54" t="s">
        <v>79</v>
      </c>
      <c r="B26" s="41">
        <v>0</v>
      </c>
      <c r="C26" s="5"/>
      <c r="D26" s="12"/>
    </row>
    <row r="27" spans="1:4" ht="14.25" x14ac:dyDescent="0.15">
      <c r="A27" s="55" t="s">
        <v>37</v>
      </c>
      <c r="B27" s="27">
        <v>491156</v>
      </c>
      <c r="C27" s="15" t="s">
        <v>0</v>
      </c>
      <c r="D27" s="12"/>
    </row>
    <row r="28" spans="1:4" ht="14.25" x14ac:dyDescent="0.15">
      <c r="A28" s="61" t="s">
        <v>38</v>
      </c>
      <c r="B28" s="7"/>
      <c r="C28" s="36">
        <f>B8+B9+B15+B27</f>
        <v>53552177</v>
      </c>
      <c r="D28" s="12"/>
    </row>
    <row r="29" spans="1:4" ht="11.25" customHeight="1" x14ac:dyDescent="0.15">
      <c r="A29" s="11"/>
      <c r="B29" s="14"/>
      <c r="C29" s="5"/>
      <c r="D29" s="29" t="s">
        <v>0</v>
      </c>
    </row>
    <row r="30" spans="1:4" ht="14.25" x14ac:dyDescent="0.15">
      <c r="A30" s="55" t="s">
        <v>20</v>
      </c>
      <c r="B30" s="26" t="s">
        <v>0</v>
      </c>
      <c r="C30" s="5"/>
      <c r="D30" s="25"/>
    </row>
    <row r="31" spans="1:4" ht="14.25" x14ac:dyDescent="0.15">
      <c r="A31" s="55" t="s">
        <v>39</v>
      </c>
      <c r="B31" s="27">
        <f>467625+600592+19802457+25656642+5130900</f>
        <v>51658216</v>
      </c>
      <c r="C31" s="5"/>
      <c r="D31" s="12"/>
    </row>
    <row r="32" spans="1:4" ht="14.25" x14ac:dyDescent="0.15">
      <c r="A32" s="55" t="s">
        <v>54</v>
      </c>
      <c r="B32" s="27">
        <f>9503+14505+22053+25204+121249+139041+13457+658287+802809+1508774+777233+687268+996936+1321782</f>
        <v>7098101</v>
      </c>
      <c r="C32" s="5"/>
      <c r="D32" s="12"/>
    </row>
    <row r="33" spans="1:4" ht="14.25" x14ac:dyDescent="0.15">
      <c r="A33" s="55" t="s">
        <v>55</v>
      </c>
      <c r="B33" s="27">
        <f>6141+591643+1176295</f>
        <v>1774079</v>
      </c>
      <c r="C33" s="5"/>
      <c r="D33" s="12"/>
    </row>
    <row r="34" spans="1:4" ht="14.25" x14ac:dyDescent="0.15">
      <c r="A34" s="55" t="s">
        <v>75</v>
      </c>
      <c r="B34" s="27">
        <v>119689</v>
      </c>
      <c r="C34" s="5"/>
      <c r="D34" s="12"/>
    </row>
    <row r="35" spans="1:4" ht="14.25" x14ac:dyDescent="0.15">
      <c r="A35" s="55" t="s">
        <v>40</v>
      </c>
      <c r="B35" s="27">
        <f>1+1+1+1+1+1+374085+1+1343869+124410</f>
        <v>1842371</v>
      </c>
      <c r="C35" s="5"/>
      <c r="D35" s="12"/>
    </row>
    <row r="36" spans="1:4" ht="14.25" x14ac:dyDescent="0.15">
      <c r="A36" s="55" t="s">
        <v>41</v>
      </c>
      <c r="B36" s="27">
        <v>110600</v>
      </c>
      <c r="C36" s="5"/>
      <c r="D36" s="12"/>
    </row>
    <row r="37" spans="1:4" ht="14.25" x14ac:dyDescent="0.15">
      <c r="A37" s="55" t="s">
        <v>42</v>
      </c>
      <c r="B37" s="27">
        <v>50000</v>
      </c>
      <c r="C37" s="11"/>
      <c r="D37" s="12"/>
    </row>
    <row r="38" spans="1:4" ht="14.25" x14ac:dyDescent="0.15">
      <c r="A38" s="55" t="s">
        <v>66</v>
      </c>
      <c r="B38" s="27">
        <v>119440</v>
      </c>
      <c r="C38" s="6"/>
      <c r="D38" s="12"/>
    </row>
    <row r="39" spans="1:4" ht="14.25" x14ac:dyDescent="0.15">
      <c r="A39" s="61" t="s">
        <v>43</v>
      </c>
      <c r="B39" s="8"/>
      <c r="C39" s="37">
        <f>SUM(B31:B38)</f>
        <v>62772496</v>
      </c>
      <c r="D39" s="12"/>
    </row>
    <row r="40" spans="1:4" ht="14.25" x14ac:dyDescent="0.15">
      <c r="A40" s="11"/>
      <c r="B40" s="19"/>
      <c r="C40" s="5"/>
      <c r="D40" s="12"/>
    </row>
    <row r="41" spans="1:4" ht="14.25" x14ac:dyDescent="0.15">
      <c r="A41" s="58" t="s">
        <v>23</v>
      </c>
      <c r="B41" s="8"/>
      <c r="C41" s="10"/>
      <c r="D41" s="38">
        <f>C28+C39</f>
        <v>116324673</v>
      </c>
    </row>
    <row r="42" spans="1:4" ht="11.25" customHeight="1" x14ac:dyDescent="0.15">
      <c r="A42" s="9"/>
      <c r="B42" s="62"/>
      <c r="C42" s="62"/>
      <c r="D42" s="62"/>
    </row>
    <row r="43" spans="1:4" ht="14.25" x14ac:dyDescent="0.15">
      <c r="A43" s="60" t="s">
        <v>18</v>
      </c>
      <c r="B43" s="26"/>
      <c r="C43" s="5"/>
      <c r="D43" s="12"/>
    </row>
    <row r="44" spans="1:4" ht="14.25" x14ac:dyDescent="0.15">
      <c r="A44" s="55" t="s">
        <v>21</v>
      </c>
      <c r="B44" s="26"/>
      <c r="C44" s="5"/>
      <c r="D44" s="23"/>
    </row>
    <row r="45" spans="1:4" ht="14.25" x14ac:dyDescent="0.15">
      <c r="A45" s="55" t="s">
        <v>32</v>
      </c>
      <c r="B45" s="27">
        <v>500076</v>
      </c>
      <c r="C45" s="5"/>
      <c r="D45" s="29"/>
    </row>
    <row r="46" spans="1:4" ht="14.25" x14ac:dyDescent="0.15">
      <c r="A46" s="55" t="s">
        <v>33</v>
      </c>
      <c r="B46" s="27">
        <v>5000000</v>
      </c>
      <c r="C46" s="5"/>
      <c r="D46" s="12"/>
    </row>
    <row r="47" spans="1:4" ht="14.25" x14ac:dyDescent="0.15">
      <c r="A47" s="59"/>
      <c r="B47" s="26"/>
      <c r="C47" s="11"/>
      <c r="D47" s="12"/>
    </row>
    <row r="48" spans="1:4" ht="14.25" x14ac:dyDescent="0.15">
      <c r="A48" s="55" t="s">
        <v>31</v>
      </c>
      <c r="B48" s="8"/>
      <c r="C48" s="37">
        <f>B45+B46</f>
        <v>5500076</v>
      </c>
      <c r="D48" s="23"/>
    </row>
    <row r="49" spans="1:4" ht="11.25" customHeight="1" x14ac:dyDescent="0.15">
      <c r="A49" s="3"/>
      <c r="B49" s="14"/>
      <c r="C49" s="34"/>
      <c r="D49" s="25"/>
    </row>
    <row r="50" spans="1:4" ht="14.25" x14ac:dyDescent="0.15">
      <c r="A50" s="55" t="s">
        <v>22</v>
      </c>
      <c r="B50" s="19"/>
      <c r="C50" s="33"/>
      <c r="D50" s="23"/>
    </row>
    <row r="51" spans="1:4" ht="14.25" x14ac:dyDescent="0.15">
      <c r="A51" s="55" t="s">
        <v>30</v>
      </c>
      <c r="B51" s="27">
        <v>11120000</v>
      </c>
      <c r="C51" s="11"/>
      <c r="D51" s="25"/>
    </row>
    <row r="52" spans="1:4" ht="14.25" x14ac:dyDescent="0.15">
      <c r="A52" s="9"/>
      <c r="B52" s="19"/>
      <c r="C52" s="11"/>
      <c r="D52" s="25"/>
    </row>
    <row r="53" spans="1:4" ht="14.25" x14ac:dyDescent="0.15">
      <c r="A53" s="61" t="s">
        <v>29</v>
      </c>
      <c r="B53" s="10"/>
      <c r="C53" s="37">
        <f>B51</f>
        <v>11120000</v>
      </c>
      <c r="D53" s="23"/>
    </row>
    <row r="54" spans="1:4" ht="14.25" x14ac:dyDescent="0.15">
      <c r="A54" s="3"/>
      <c r="B54" s="19"/>
      <c r="C54" s="11"/>
      <c r="D54" s="23"/>
    </row>
    <row r="55" spans="1:4" ht="14.25" x14ac:dyDescent="0.15">
      <c r="A55" s="58" t="s">
        <v>24</v>
      </c>
      <c r="B55" s="40"/>
      <c r="C55" s="40"/>
      <c r="D55" s="38">
        <f>C48+C53</f>
        <v>16620076</v>
      </c>
    </row>
    <row r="56" spans="1:4" ht="11.25" customHeight="1" x14ac:dyDescent="0.15">
      <c r="A56" s="3"/>
      <c r="B56" s="19"/>
      <c r="C56" s="11"/>
      <c r="D56" s="23"/>
    </row>
    <row r="57" spans="1:4" ht="14.25" x14ac:dyDescent="0.15">
      <c r="A57" s="55" t="s">
        <v>3</v>
      </c>
      <c r="B57" s="30"/>
      <c r="C57" s="35"/>
      <c r="D57" s="31"/>
    </row>
    <row r="58" spans="1:4" ht="15" customHeight="1" x14ac:dyDescent="0.15">
      <c r="A58" s="55" t="s">
        <v>27</v>
      </c>
      <c r="B58" s="10"/>
      <c r="C58" s="39"/>
      <c r="D58" s="39">
        <v>0</v>
      </c>
    </row>
    <row r="59" spans="1:4" ht="15.75" customHeight="1" x14ac:dyDescent="0.15">
      <c r="A59" s="55" t="s">
        <v>28</v>
      </c>
      <c r="B59" s="47"/>
      <c r="C59" s="9"/>
      <c r="D59" s="43">
        <f>D41-D55</f>
        <v>99704597</v>
      </c>
    </row>
    <row r="60" spans="1:4" ht="15.75" customHeight="1" x14ac:dyDescent="0.15">
      <c r="A60" s="59" t="s">
        <v>11</v>
      </c>
      <c r="B60" s="9"/>
      <c r="D60" s="42">
        <f>D59-'31.3月 '!D59</f>
        <v>5605174</v>
      </c>
    </row>
    <row r="61" spans="1:4" ht="16.5" customHeight="1" x14ac:dyDescent="0.15">
      <c r="A61" s="55" t="s">
        <v>26</v>
      </c>
      <c r="B61" s="22"/>
      <c r="C61" s="48"/>
      <c r="D61" s="44">
        <f>D59</f>
        <v>99704597</v>
      </c>
    </row>
    <row r="62" spans="1:4" ht="14.25" x14ac:dyDescent="0.15">
      <c r="A62" s="55" t="s">
        <v>25</v>
      </c>
      <c r="B62" s="22"/>
      <c r="C62" s="9"/>
      <c r="D62" s="69">
        <f>D55+D61</f>
        <v>116324673</v>
      </c>
    </row>
    <row r="63" spans="1:4" x14ac:dyDescent="0.15">
      <c r="B63" s="2"/>
      <c r="D63" s="68"/>
    </row>
    <row r="64" spans="1:4" ht="12.75" customHeight="1" x14ac:dyDescent="0.2">
      <c r="A64" s="1"/>
    </row>
    <row r="65" spans="1:4" x14ac:dyDescent="0.15">
      <c r="A65" s="45"/>
      <c r="B65" s="45"/>
      <c r="D65" s="68"/>
    </row>
    <row r="66" spans="1:4" x14ac:dyDescent="0.15">
      <c r="C66" s="52"/>
      <c r="D66" s="45"/>
    </row>
    <row r="68" spans="1:4" x14ac:dyDescent="0.15">
      <c r="C68" s="52"/>
    </row>
    <row r="70" spans="1:4" ht="13.5" customHeight="1" x14ac:dyDescent="0.2">
      <c r="A70" s="21"/>
    </row>
    <row r="71" spans="1:4" ht="14.25" x14ac:dyDescent="0.15">
      <c r="A71" s="17"/>
    </row>
    <row r="72" spans="1:4" ht="14.25" x14ac:dyDescent="0.15">
      <c r="A72" s="17"/>
    </row>
    <row r="73" spans="1:4" ht="14.25" x14ac:dyDescent="0.15">
      <c r="A73" s="17"/>
    </row>
    <row r="74" spans="1:4" ht="14.25" x14ac:dyDescent="0.15">
      <c r="A74" s="17"/>
      <c r="B74" s="13"/>
      <c r="C74" s="17"/>
      <c r="D74" s="17"/>
    </row>
    <row r="75" spans="1:4" ht="14.25" x14ac:dyDescent="0.15">
      <c r="A75" s="17"/>
      <c r="B75" s="13"/>
      <c r="C75" s="17"/>
      <c r="D75" s="17"/>
    </row>
    <row r="76" spans="1:4" ht="14.25" x14ac:dyDescent="0.15">
      <c r="A76" s="17"/>
      <c r="B76" s="20"/>
      <c r="C76" s="17"/>
      <c r="D76" s="17"/>
    </row>
    <row r="77" spans="1:4" ht="14.25" x14ac:dyDescent="0.15">
      <c r="A77" s="17"/>
      <c r="B77" s="13"/>
      <c r="C77" s="17"/>
      <c r="D77" s="17"/>
    </row>
    <row r="78" spans="1:4" ht="14.25" x14ac:dyDescent="0.15">
      <c r="A78" s="17"/>
      <c r="B78" s="13"/>
      <c r="C78" s="13"/>
      <c r="D78" s="17"/>
    </row>
    <row r="79" spans="1:4" ht="14.25" x14ac:dyDescent="0.15">
      <c r="B79" s="17"/>
      <c r="C79" s="18"/>
      <c r="D79" s="17"/>
    </row>
    <row r="80" spans="1:4" ht="14.25" x14ac:dyDescent="0.15">
      <c r="A80" s="17"/>
      <c r="B80" s="17"/>
      <c r="C80" s="18"/>
      <c r="D80" s="17"/>
    </row>
    <row r="81" spans="1:4" ht="14.25" x14ac:dyDescent="0.15">
      <c r="C81" s="17"/>
      <c r="D81" s="17"/>
    </row>
    <row r="82" spans="1:4" ht="14.25" x14ac:dyDescent="0.15">
      <c r="A82" s="17"/>
      <c r="C82" s="17"/>
      <c r="D82" s="17"/>
    </row>
    <row r="83" spans="1:4" ht="14.25" x14ac:dyDescent="0.15">
      <c r="A83" s="17"/>
      <c r="B83" s="20"/>
      <c r="C83" s="18"/>
      <c r="D83" s="17"/>
    </row>
    <row r="84" spans="1:4" ht="14.25" x14ac:dyDescent="0.15">
      <c r="A84" s="17"/>
      <c r="B84" s="13"/>
      <c r="D84" s="17"/>
    </row>
    <row r="85" spans="1:4" ht="14.25" x14ac:dyDescent="0.15">
      <c r="B85" s="17"/>
      <c r="C85" s="17"/>
      <c r="D85" s="13"/>
    </row>
    <row r="86" spans="1:4" ht="14.25" x14ac:dyDescent="0.15">
      <c r="A86" s="17"/>
      <c r="B86" s="13"/>
      <c r="C86" s="13"/>
      <c r="D86" s="18"/>
    </row>
    <row r="87" spans="1:4" ht="14.25" x14ac:dyDescent="0.15">
      <c r="B87" s="13"/>
      <c r="C87" s="17"/>
      <c r="D87" s="17"/>
    </row>
    <row r="88" spans="1:4" ht="14.25" x14ac:dyDescent="0.15">
      <c r="A88" s="17"/>
      <c r="B88" s="13"/>
      <c r="C88" s="17"/>
      <c r="D88" s="18"/>
    </row>
    <row r="89" spans="1:4" ht="14.25" x14ac:dyDescent="0.15">
      <c r="C89" s="17"/>
      <c r="D89" s="17"/>
    </row>
    <row r="90" spans="1:4" ht="14.25" x14ac:dyDescent="0.15">
      <c r="A90" s="17"/>
      <c r="C90" s="17"/>
      <c r="D90" s="17"/>
    </row>
    <row r="91" spans="1:4" ht="14.25" x14ac:dyDescent="0.15">
      <c r="A91" s="17"/>
      <c r="B91" s="13"/>
      <c r="D91" s="17"/>
    </row>
    <row r="92" spans="1:4" ht="14.25" x14ac:dyDescent="0.15">
      <c r="A92" s="17"/>
      <c r="B92" s="13"/>
      <c r="D92" s="17"/>
    </row>
    <row r="93" spans="1:4" ht="14.25" x14ac:dyDescent="0.15">
      <c r="A93" s="17"/>
      <c r="B93" s="13"/>
      <c r="C93" s="17"/>
      <c r="D93" s="17"/>
    </row>
    <row r="94" spans="1:4" ht="14.25" x14ac:dyDescent="0.15">
      <c r="A94" s="17"/>
      <c r="C94" s="13"/>
      <c r="D94" s="17"/>
    </row>
    <row r="95" spans="1:4" ht="14.25" x14ac:dyDescent="0.15">
      <c r="A95" s="17"/>
      <c r="B95" s="13"/>
      <c r="D95" s="17"/>
    </row>
    <row r="96" spans="1:4" ht="14.25" x14ac:dyDescent="0.15">
      <c r="A96" s="17"/>
      <c r="B96" s="13"/>
      <c r="C96" s="17"/>
      <c r="D96" s="17"/>
    </row>
    <row r="97" spans="1:4" ht="14.25" x14ac:dyDescent="0.15">
      <c r="A97" s="17"/>
      <c r="B97" s="13"/>
      <c r="C97" s="17"/>
    </row>
    <row r="98" spans="1:4" ht="14.25" x14ac:dyDescent="0.15">
      <c r="A98" s="17"/>
      <c r="B98" s="13"/>
      <c r="C98" s="17"/>
    </row>
    <row r="99" spans="1:4" ht="14.25" x14ac:dyDescent="0.15">
      <c r="A99" s="17"/>
      <c r="B99" s="13"/>
      <c r="C99" s="17"/>
      <c r="D99" s="17"/>
    </row>
    <row r="100" spans="1:4" ht="14.25" x14ac:dyDescent="0.15">
      <c r="A100" s="17"/>
      <c r="B100" s="13"/>
      <c r="D100" s="13"/>
    </row>
    <row r="101" spans="1:4" ht="14.25" x14ac:dyDescent="0.15">
      <c r="A101" s="17"/>
      <c r="B101" s="13"/>
      <c r="C101" s="17"/>
    </row>
    <row r="102" spans="1:4" ht="14.25" x14ac:dyDescent="0.15">
      <c r="A102" s="17"/>
      <c r="B102" s="17"/>
      <c r="D102" s="18"/>
    </row>
    <row r="103" spans="1:4" ht="14.25" x14ac:dyDescent="0.15">
      <c r="A103" s="17"/>
    </row>
    <row r="104" spans="1:4" ht="14.25" x14ac:dyDescent="0.15">
      <c r="A104" s="17" t="s">
        <v>0</v>
      </c>
      <c r="C104" s="18" t="s">
        <v>0</v>
      </c>
      <c r="D104" s="18" t="s">
        <v>0</v>
      </c>
    </row>
    <row r="105" spans="1:4" x14ac:dyDescent="0.15">
      <c r="A105" t="s">
        <v>0</v>
      </c>
    </row>
    <row r="106" spans="1:4" ht="14.25" x14ac:dyDescent="0.15">
      <c r="A106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horizontalDpi="4294967293" vertic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42DCE-AABF-49E9-899C-1CAEA47FBAB5}">
  <dimension ref="A1:G106"/>
  <sheetViews>
    <sheetView zoomScaleNormal="100" workbookViewId="0">
      <selection activeCell="C12" sqref="C12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</cols>
  <sheetData>
    <row r="1" spans="1:7" ht="17.25" x14ac:dyDescent="0.2">
      <c r="A1" s="1" t="s">
        <v>88</v>
      </c>
      <c r="B1" s="1"/>
    </row>
    <row r="2" spans="1:7" ht="17.25" customHeight="1" x14ac:dyDescent="0.15">
      <c r="A2" s="111" t="s">
        <v>94</v>
      </c>
      <c r="B2" s="111"/>
      <c r="C2" s="111"/>
      <c r="D2" s="111"/>
    </row>
    <row r="3" spans="1:7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7" ht="15" customHeight="1" x14ac:dyDescent="0.15">
      <c r="C4" s="115" t="s">
        <v>49</v>
      </c>
      <c r="D4" s="115"/>
      <c r="F4" s="46"/>
    </row>
    <row r="5" spans="1:7" ht="17.25" x14ac:dyDescent="0.2">
      <c r="A5" s="56" t="s">
        <v>5</v>
      </c>
      <c r="B5" s="50"/>
      <c r="C5" s="49" t="s">
        <v>4</v>
      </c>
      <c r="D5" s="49"/>
    </row>
    <row r="6" spans="1:7" ht="14.25" x14ac:dyDescent="0.15">
      <c r="A6" s="55" t="s">
        <v>2</v>
      </c>
      <c r="B6" s="24"/>
      <c r="C6" s="4"/>
      <c r="D6" s="28"/>
    </row>
    <row r="7" spans="1:7" ht="14.25" x14ac:dyDescent="0.15">
      <c r="A7" s="55" t="s">
        <v>19</v>
      </c>
      <c r="B7" s="14"/>
      <c r="C7" s="5"/>
      <c r="D7" s="12"/>
    </row>
    <row r="8" spans="1:7" ht="14.25" x14ac:dyDescent="0.15">
      <c r="A8" s="55" t="s">
        <v>34</v>
      </c>
      <c r="B8" s="51">
        <v>2385</v>
      </c>
      <c r="C8" s="5"/>
      <c r="D8" s="12"/>
    </row>
    <row r="9" spans="1:7" ht="14.25" x14ac:dyDescent="0.15">
      <c r="A9" s="55" t="s">
        <v>35</v>
      </c>
      <c r="B9" s="27">
        <f>SUM(B10:B14)</f>
        <v>24516067</v>
      </c>
      <c r="C9" s="5"/>
      <c r="D9" s="12"/>
    </row>
    <row r="10" spans="1:7" ht="14.25" x14ac:dyDescent="0.15">
      <c r="A10" s="53" t="s">
        <v>13</v>
      </c>
      <c r="B10" s="67">
        <f>15862137+41922+12040+236272+344668+96323</f>
        <v>16593362</v>
      </c>
      <c r="C10" s="5"/>
      <c r="D10" s="23"/>
    </row>
    <row r="11" spans="1:7" ht="14.25" x14ac:dyDescent="0.15">
      <c r="A11" s="54" t="s">
        <v>12</v>
      </c>
      <c r="B11" s="67">
        <f>84939+1165796+40927</f>
        <v>1291662</v>
      </c>
      <c r="C11" s="5"/>
      <c r="D11" s="23"/>
    </row>
    <row r="12" spans="1:7" ht="14.25" x14ac:dyDescent="0.15">
      <c r="A12" s="53" t="s">
        <v>45</v>
      </c>
      <c r="B12" s="32">
        <v>3351632</v>
      </c>
      <c r="C12" s="5"/>
      <c r="D12" s="23"/>
    </row>
    <row r="13" spans="1:7" ht="14.25" x14ac:dyDescent="0.15">
      <c r="A13" s="53" t="s">
        <v>44</v>
      </c>
      <c r="B13" s="41">
        <v>2373901</v>
      </c>
      <c r="C13" s="5"/>
      <c r="D13" s="12"/>
    </row>
    <row r="14" spans="1:7" ht="14.25" x14ac:dyDescent="0.15">
      <c r="A14" s="53" t="s">
        <v>46</v>
      </c>
      <c r="B14" s="41">
        <v>905510</v>
      </c>
      <c r="C14" s="5"/>
      <c r="D14" s="12"/>
    </row>
    <row r="15" spans="1:7" ht="14.25" x14ac:dyDescent="0.15">
      <c r="A15" s="55" t="s">
        <v>36</v>
      </c>
      <c r="B15" s="27">
        <f>SUM(B16:B26)</f>
        <v>30527144</v>
      </c>
      <c r="C15" s="6"/>
      <c r="D15" s="12"/>
    </row>
    <row r="16" spans="1:7" ht="14.25" x14ac:dyDescent="0.15">
      <c r="A16" s="54" t="s">
        <v>14</v>
      </c>
      <c r="B16" s="32">
        <f>46200+5710830</f>
        <v>5757030</v>
      </c>
      <c r="C16" s="11"/>
      <c r="D16" s="12"/>
    </row>
    <row r="17" spans="1:4" ht="14.25" x14ac:dyDescent="0.15">
      <c r="A17" s="54" t="s">
        <v>15</v>
      </c>
      <c r="B17" s="67">
        <f>14845295+1079419+656200</f>
        <v>16580914</v>
      </c>
      <c r="C17" s="5"/>
      <c r="D17" s="12"/>
    </row>
    <row r="18" spans="1:4" ht="14.25" x14ac:dyDescent="0.15">
      <c r="A18" s="53" t="s">
        <v>58</v>
      </c>
      <c r="B18" s="32">
        <f>3862796+313473+108600</f>
        <v>4284869</v>
      </c>
      <c r="C18" s="11"/>
      <c r="D18" s="12"/>
    </row>
    <row r="19" spans="1:4" ht="14.25" x14ac:dyDescent="0.15">
      <c r="A19" s="54" t="s">
        <v>16</v>
      </c>
      <c r="B19" s="67">
        <f>1316790+77483+90800</f>
        <v>1485073</v>
      </c>
      <c r="C19" s="5"/>
      <c r="D19" s="12"/>
    </row>
    <row r="20" spans="1:4" ht="14.25" x14ac:dyDescent="0.15">
      <c r="A20" s="54" t="s">
        <v>67</v>
      </c>
      <c r="B20" s="67">
        <f>1355314+94437</f>
        <v>1449751</v>
      </c>
      <c r="C20" s="5"/>
      <c r="D20" s="12"/>
    </row>
    <row r="21" spans="1:4" ht="14.25" x14ac:dyDescent="0.15">
      <c r="A21" s="54" t="s">
        <v>72</v>
      </c>
      <c r="B21" s="67">
        <v>19100</v>
      </c>
      <c r="C21" s="5"/>
      <c r="D21" s="12"/>
    </row>
    <row r="22" spans="1:4" ht="14.25" x14ac:dyDescent="0.15">
      <c r="A22" s="54" t="s">
        <v>81</v>
      </c>
      <c r="B22" s="67">
        <f>457289+28768+37800</f>
        <v>523857</v>
      </c>
      <c r="C22" s="5"/>
      <c r="D22" s="12"/>
    </row>
    <row r="23" spans="1:4" ht="14.25" x14ac:dyDescent="0.15">
      <c r="A23" s="54" t="s">
        <v>82</v>
      </c>
      <c r="B23" s="67">
        <v>97800</v>
      </c>
      <c r="C23" s="5"/>
      <c r="D23" s="12"/>
    </row>
    <row r="24" spans="1:4" ht="14.25" x14ac:dyDescent="0.15">
      <c r="A24" s="54" t="s">
        <v>17</v>
      </c>
      <c r="B24" s="32">
        <v>309250</v>
      </c>
      <c r="C24" s="5"/>
      <c r="D24" s="12"/>
    </row>
    <row r="25" spans="1:4" ht="14.25" x14ac:dyDescent="0.15">
      <c r="A25" s="54" t="s">
        <v>71</v>
      </c>
      <c r="B25" s="41">
        <v>19500</v>
      </c>
      <c r="C25" s="5"/>
      <c r="D25" s="12"/>
    </row>
    <row r="26" spans="1:4" ht="14.25" x14ac:dyDescent="0.15">
      <c r="A26" s="54" t="s">
        <v>79</v>
      </c>
      <c r="B26" s="41">
        <v>0</v>
      </c>
      <c r="C26" s="5"/>
      <c r="D26" s="12"/>
    </row>
    <row r="27" spans="1:4" ht="14.25" x14ac:dyDescent="0.15">
      <c r="A27" s="55" t="s">
        <v>37</v>
      </c>
      <c r="B27" s="27">
        <v>554332</v>
      </c>
      <c r="C27" s="15" t="s">
        <v>0</v>
      </c>
      <c r="D27" s="12"/>
    </row>
    <row r="28" spans="1:4" ht="14.25" x14ac:dyDescent="0.15">
      <c r="A28" s="61" t="s">
        <v>38</v>
      </c>
      <c r="B28" s="7"/>
      <c r="C28" s="36">
        <f>B8+B9+B15+B27</f>
        <v>55599928</v>
      </c>
      <c r="D28" s="12"/>
    </row>
    <row r="29" spans="1:4" ht="11.25" customHeight="1" x14ac:dyDescent="0.15">
      <c r="A29" s="11"/>
      <c r="B29" s="14"/>
      <c r="C29" s="5"/>
      <c r="D29" s="29" t="s">
        <v>0</v>
      </c>
    </row>
    <row r="30" spans="1:4" ht="14.25" x14ac:dyDescent="0.15">
      <c r="A30" s="55" t="s">
        <v>20</v>
      </c>
      <c r="B30" s="26" t="s">
        <v>0</v>
      </c>
      <c r="C30" s="5"/>
      <c r="D30" s="25"/>
    </row>
    <row r="31" spans="1:4" ht="14.25" x14ac:dyDescent="0.15">
      <c r="A31" s="55" t="s">
        <v>39</v>
      </c>
      <c r="B31" s="27">
        <f>467625+600592+19802457+25656642+5130900</f>
        <v>51658216</v>
      </c>
      <c r="C31" s="5"/>
      <c r="D31" s="12"/>
    </row>
    <row r="32" spans="1:4" ht="14.25" x14ac:dyDescent="0.15">
      <c r="A32" s="55" t="s">
        <v>54</v>
      </c>
      <c r="B32" s="27">
        <f>9503+14505+22053+25204+121249+139041+13457+658287+802809+1508774+777233+687268+996936+1321782</f>
        <v>7098101</v>
      </c>
      <c r="C32" s="5"/>
      <c r="D32" s="12"/>
    </row>
    <row r="33" spans="1:4" ht="14.25" x14ac:dyDescent="0.15">
      <c r="A33" s="55" t="s">
        <v>55</v>
      </c>
      <c r="B33" s="27">
        <f>6141+591643+1176295</f>
        <v>1774079</v>
      </c>
      <c r="C33" s="5"/>
      <c r="D33" s="12"/>
    </row>
    <row r="34" spans="1:4" ht="14.25" x14ac:dyDescent="0.15">
      <c r="A34" s="55" t="s">
        <v>75</v>
      </c>
      <c r="B34" s="27">
        <v>119689</v>
      </c>
      <c r="C34" s="5"/>
      <c r="D34" s="12"/>
    </row>
    <row r="35" spans="1:4" ht="14.25" x14ac:dyDescent="0.15">
      <c r="A35" s="55" t="s">
        <v>40</v>
      </c>
      <c r="B35" s="27">
        <f>1+1+1+1+1+1+374085+1+1343869+124410</f>
        <v>1842371</v>
      </c>
      <c r="C35" s="5"/>
      <c r="D35" s="12"/>
    </row>
    <row r="36" spans="1:4" ht="14.25" x14ac:dyDescent="0.15">
      <c r="A36" s="55" t="s">
        <v>41</v>
      </c>
      <c r="B36" s="27">
        <v>110600</v>
      </c>
      <c r="C36" s="5"/>
      <c r="D36" s="12"/>
    </row>
    <row r="37" spans="1:4" ht="14.25" x14ac:dyDescent="0.15">
      <c r="A37" s="55" t="s">
        <v>42</v>
      </c>
      <c r="B37" s="27">
        <v>50000</v>
      </c>
      <c r="C37" s="11"/>
      <c r="D37" s="12"/>
    </row>
    <row r="38" spans="1:4" ht="14.25" x14ac:dyDescent="0.15">
      <c r="A38" s="55" t="s">
        <v>66</v>
      </c>
      <c r="B38" s="27">
        <v>119440</v>
      </c>
      <c r="C38" s="6"/>
      <c r="D38" s="12"/>
    </row>
    <row r="39" spans="1:4" ht="14.25" x14ac:dyDescent="0.15">
      <c r="A39" s="61" t="s">
        <v>43</v>
      </c>
      <c r="B39" s="8"/>
      <c r="C39" s="37">
        <f>SUM(B31:B38)</f>
        <v>62772496</v>
      </c>
      <c r="D39" s="12"/>
    </row>
    <row r="40" spans="1:4" ht="14.25" x14ac:dyDescent="0.15">
      <c r="A40" s="11"/>
      <c r="B40" s="19"/>
      <c r="C40" s="5"/>
      <c r="D40" s="12"/>
    </row>
    <row r="41" spans="1:4" ht="14.25" x14ac:dyDescent="0.15">
      <c r="A41" s="58" t="s">
        <v>23</v>
      </c>
      <c r="B41" s="8"/>
      <c r="C41" s="10"/>
      <c r="D41" s="38">
        <f>C28+C39</f>
        <v>118372424</v>
      </c>
    </row>
    <row r="42" spans="1:4" ht="11.25" customHeight="1" x14ac:dyDescent="0.15">
      <c r="A42" s="9"/>
      <c r="B42" s="62"/>
      <c r="C42" s="62"/>
      <c r="D42" s="62"/>
    </row>
    <row r="43" spans="1:4" ht="14.25" x14ac:dyDescent="0.15">
      <c r="A43" s="60" t="s">
        <v>18</v>
      </c>
      <c r="B43" s="26"/>
      <c r="C43" s="5"/>
      <c r="D43" s="12"/>
    </row>
    <row r="44" spans="1:4" ht="14.25" x14ac:dyDescent="0.15">
      <c r="A44" s="55" t="s">
        <v>21</v>
      </c>
      <c r="B44" s="26"/>
      <c r="C44" s="5"/>
      <c r="D44" s="23"/>
    </row>
    <row r="45" spans="1:4" ht="14.25" x14ac:dyDescent="0.15">
      <c r="A45" s="55" t="s">
        <v>32</v>
      </c>
      <c r="B45" s="71">
        <v>552340</v>
      </c>
      <c r="C45" s="5"/>
      <c r="D45" s="29"/>
    </row>
    <row r="46" spans="1:4" ht="14.25" x14ac:dyDescent="0.15">
      <c r="A46" s="55" t="s">
        <v>33</v>
      </c>
      <c r="B46" s="27">
        <v>5000000</v>
      </c>
      <c r="C46" s="5"/>
      <c r="D46" s="12"/>
    </row>
    <row r="47" spans="1:4" ht="14.25" x14ac:dyDescent="0.15">
      <c r="A47" s="59"/>
      <c r="B47" s="26"/>
      <c r="C47" s="11"/>
      <c r="D47" s="12"/>
    </row>
    <row r="48" spans="1:4" ht="14.25" x14ac:dyDescent="0.15">
      <c r="A48" s="55" t="s">
        <v>31</v>
      </c>
      <c r="B48" s="8"/>
      <c r="C48" s="37">
        <f>B45+B46</f>
        <v>5552340</v>
      </c>
      <c r="D48" s="23"/>
    </row>
    <row r="49" spans="1:4" ht="11.25" customHeight="1" x14ac:dyDescent="0.15">
      <c r="A49" s="3"/>
      <c r="B49" s="14"/>
      <c r="C49" s="34"/>
      <c r="D49" s="25"/>
    </row>
    <row r="50" spans="1:4" ht="14.25" x14ac:dyDescent="0.15">
      <c r="A50" s="55" t="s">
        <v>22</v>
      </c>
      <c r="B50" s="19"/>
      <c r="C50" s="33"/>
      <c r="D50" s="23"/>
    </row>
    <row r="51" spans="1:4" ht="14.25" x14ac:dyDescent="0.15">
      <c r="A51" s="55" t="s">
        <v>30</v>
      </c>
      <c r="B51" s="27">
        <v>10840000</v>
      </c>
      <c r="C51" s="11"/>
      <c r="D51" s="25"/>
    </row>
    <row r="52" spans="1:4" ht="14.25" x14ac:dyDescent="0.15">
      <c r="A52" s="9"/>
      <c r="B52" s="19"/>
      <c r="C52" s="11"/>
      <c r="D52" s="25"/>
    </row>
    <row r="53" spans="1:4" ht="14.25" x14ac:dyDescent="0.15">
      <c r="A53" s="61" t="s">
        <v>29</v>
      </c>
      <c r="B53" s="10"/>
      <c r="C53" s="37">
        <f>B51</f>
        <v>10840000</v>
      </c>
      <c r="D53" s="23"/>
    </row>
    <row r="54" spans="1:4" ht="14.25" x14ac:dyDescent="0.15">
      <c r="A54" s="3"/>
      <c r="B54" s="19"/>
      <c r="C54" s="11"/>
      <c r="D54" s="23"/>
    </row>
    <row r="55" spans="1:4" ht="14.25" x14ac:dyDescent="0.15">
      <c r="A55" s="58" t="s">
        <v>24</v>
      </c>
      <c r="B55" s="40"/>
      <c r="C55" s="40"/>
      <c r="D55" s="38">
        <f>C48+C53</f>
        <v>16392340</v>
      </c>
    </row>
    <row r="56" spans="1:4" ht="11.25" customHeight="1" x14ac:dyDescent="0.15">
      <c r="A56" s="3"/>
      <c r="B56" s="19"/>
      <c r="C56" s="11"/>
      <c r="D56" s="23"/>
    </row>
    <row r="57" spans="1:4" ht="14.25" x14ac:dyDescent="0.15">
      <c r="A57" s="55" t="s">
        <v>3</v>
      </c>
      <c r="B57" s="30"/>
      <c r="C57" s="35"/>
      <c r="D57" s="31"/>
    </row>
    <row r="58" spans="1:4" ht="15" customHeight="1" x14ac:dyDescent="0.15">
      <c r="A58" s="55" t="s">
        <v>27</v>
      </c>
      <c r="B58" s="10"/>
      <c r="C58" s="39"/>
      <c r="D58" s="39">
        <v>0</v>
      </c>
    </row>
    <row r="59" spans="1:4" ht="15.75" customHeight="1" x14ac:dyDescent="0.15">
      <c r="A59" s="55" t="s">
        <v>28</v>
      </c>
      <c r="B59" s="47"/>
      <c r="C59" s="9"/>
      <c r="D59" s="43">
        <f>D41-D55</f>
        <v>101980084</v>
      </c>
    </row>
    <row r="60" spans="1:4" ht="15.75" customHeight="1" x14ac:dyDescent="0.15">
      <c r="A60" s="59" t="s">
        <v>11</v>
      </c>
      <c r="B60" s="9"/>
      <c r="D60" s="70">
        <f>D59-'31.3月 '!D59</f>
        <v>7880661</v>
      </c>
    </row>
    <row r="61" spans="1:4" ht="16.5" customHeight="1" x14ac:dyDescent="0.15">
      <c r="A61" s="55" t="s">
        <v>26</v>
      </c>
      <c r="B61" s="22"/>
      <c r="C61" s="48"/>
      <c r="D61" s="44">
        <f>D59</f>
        <v>101980084</v>
      </c>
    </row>
    <row r="62" spans="1:4" ht="14.25" x14ac:dyDescent="0.15">
      <c r="A62" s="55" t="s">
        <v>25</v>
      </c>
      <c r="B62" s="22"/>
      <c r="C62" s="9"/>
      <c r="D62" s="69">
        <f>D55+D61</f>
        <v>118372424</v>
      </c>
    </row>
    <row r="63" spans="1:4" x14ac:dyDescent="0.15">
      <c r="B63" s="2"/>
      <c r="D63" s="68"/>
    </row>
    <row r="64" spans="1:4" ht="12.75" customHeight="1" x14ac:dyDescent="0.2">
      <c r="A64" s="1"/>
    </row>
    <row r="65" spans="1:4" x14ac:dyDescent="0.15">
      <c r="A65" s="45"/>
      <c r="B65" s="45"/>
      <c r="D65" s="68"/>
    </row>
    <row r="66" spans="1:4" x14ac:dyDescent="0.15">
      <c r="C66" s="52"/>
      <c r="D66" s="45"/>
    </row>
    <row r="68" spans="1:4" x14ac:dyDescent="0.15">
      <c r="C68" s="52"/>
    </row>
    <row r="70" spans="1:4" ht="13.5" customHeight="1" x14ac:dyDescent="0.2">
      <c r="A70" s="21"/>
    </row>
    <row r="71" spans="1:4" ht="14.25" x14ac:dyDescent="0.15">
      <c r="A71" s="17"/>
    </row>
    <row r="72" spans="1:4" ht="14.25" x14ac:dyDescent="0.15">
      <c r="A72" s="17"/>
    </row>
    <row r="73" spans="1:4" ht="14.25" x14ac:dyDescent="0.15">
      <c r="A73" s="17"/>
    </row>
    <row r="74" spans="1:4" ht="14.25" x14ac:dyDescent="0.15">
      <c r="A74" s="17"/>
      <c r="B74" s="13"/>
      <c r="C74" s="17"/>
      <c r="D74" s="17"/>
    </row>
    <row r="75" spans="1:4" ht="14.25" x14ac:dyDescent="0.15">
      <c r="A75" s="17"/>
      <c r="B75" s="13"/>
      <c r="C75" s="17"/>
      <c r="D75" s="17"/>
    </row>
    <row r="76" spans="1:4" ht="14.25" x14ac:dyDescent="0.15">
      <c r="A76" s="17"/>
      <c r="B76" s="20"/>
      <c r="C76" s="17"/>
      <c r="D76" s="17"/>
    </row>
    <row r="77" spans="1:4" ht="14.25" x14ac:dyDescent="0.15">
      <c r="A77" s="17"/>
      <c r="B77" s="13"/>
      <c r="C77" s="17"/>
      <c r="D77" s="17"/>
    </row>
    <row r="78" spans="1:4" ht="14.25" x14ac:dyDescent="0.15">
      <c r="A78" s="17"/>
      <c r="B78" s="13"/>
      <c r="C78" s="13"/>
      <c r="D78" s="17"/>
    </row>
    <row r="79" spans="1:4" ht="14.25" x14ac:dyDescent="0.15">
      <c r="B79" s="17"/>
      <c r="C79" s="18"/>
      <c r="D79" s="17"/>
    </row>
    <row r="80" spans="1:4" ht="14.25" x14ac:dyDescent="0.15">
      <c r="A80" s="17"/>
      <c r="B80" s="17"/>
      <c r="C80" s="18"/>
      <c r="D80" s="17"/>
    </row>
    <row r="81" spans="1:4" ht="14.25" x14ac:dyDescent="0.15">
      <c r="C81" s="17"/>
      <c r="D81" s="17"/>
    </row>
    <row r="82" spans="1:4" ht="14.25" x14ac:dyDescent="0.15">
      <c r="A82" s="17"/>
      <c r="C82" s="17"/>
      <c r="D82" s="17"/>
    </row>
    <row r="83" spans="1:4" ht="14.25" x14ac:dyDescent="0.15">
      <c r="A83" s="17"/>
      <c r="B83" s="20"/>
      <c r="C83" s="18"/>
      <c r="D83" s="17"/>
    </row>
    <row r="84" spans="1:4" ht="14.25" x14ac:dyDescent="0.15">
      <c r="A84" s="17"/>
      <c r="B84" s="13"/>
      <c r="D84" s="17"/>
    </row>
    <row r="85" spans="1:4" ht="14.25" x14ac:dyDescent="0.15">
      <c r="B85" s="17"/>
      <c r="C85" s="17"/>
      <c r="D85" s="13"/>
    </row>
    <row r="86" spans="1:4" ht="14.25" x14ac:dyDescent="0.15">
      <c r="A86" s="17"/>
      <c r="B86" s="13"/>
      <c r="C86" s="13"/>
      <c r="D86" s="18"/>
    </row>
    <row r="87" spans="1:4" ht="14.25" x14ac:dyDescent="0.15">
      <c r="B87" s="13"/>
      <c r="C87" s="17"/>
      <c r="D87" s="17"/>
    </row>
    <row r="88" spans="1:4" ht="14.25" x14ac:dyDescent="0.15">
      <c r="A88" s="17"/>
      <c r="B88" s="13"/>
      <c r="C88" s="17"/>
      <c r="D88" s="18"/>
    </row>
    <row r="89" spans="1:4" ht="14.25" x14ac:dyDescent="0.15">
      <c r="C89" s="17"/>
      <c r="D89" s="17"/>
    </row>
    <row r="90" spans="1:4" ht="14.25" x14ac:dyDescent="0.15">
      <c r="A90" s="17"/>
      <c r="C90" s="17"/>
      <c r="D90" s="17"/>
    </row>
    <row r="91" spans="1:4" ht="14.25" x14ac:dyDescent="0.15">
      <c r="A91" s="17"/>
      <c r="B91" s="13"/>
      <c r="D91" s="17"/>
    </row>
    <row r="92" spans="1:4" ht="14.25" x14ac:dyDescent="0.15">
      <c r="A92" s="17"/>
      <c r="B92" s="13"/>
      <c r="D92" s="17"/>
    </row>
    <row r="93" spans="1:4" ht="14.25" x14ac:dyDescent="0.15">
      <c r="A93" s="17"/>
      <c r="B93" s="13"/>
      <c r="C93" s="17"/>
      <c r="D93" s="17"/>
    </row>
    <row r="94" spans="1:4" ht="14.25" x14ac:dyDescent="0.15">
      <c r="A94" s="17"/>
      <c r="C94" s="13"/>
      <c r="D94" s="17"/>
    </row>
    <row r="95" spans="1:4" ht="14.25" x14ac:dyDescent="0.15">
      <c r="A95" s="17"/>
      <c r="B95" s="13"/>
      <c r="D95" s="17"/>
    </row>
    <row r="96" spans="1:4" ht="14.25" x14ac:dyDescent="0.15">
      <c r="A96" s="17"/>
      <c r="B96" s="13"/>
      <c r="C96" s="17"/>
      <c r="D96" s="17"/>
    </row>
    <row r="97" spans="1:4" ht="14.25" x14ac:dyDescent="0.15">
      <c r="A97" s="17"/>
      <c r="B97" s="13"/>
      <c r="C97" s="17"/>
    </row>
    <row r="98" spans="1:4" ht="14.25" x14ac:dyDescent="0.15">
      <c r="A98" s="17"/>
      <c r="B98" s="13"/>
      <c r="C98" s="17"/>
    </row>
    <row r="99" spans="1:4" ht="14.25" x14ac:dyDescent="0.15">
      <c r="A99" s="17"/>
      <c r="B99" s="13"/>
      <c r="C99" s="17"/>
      <c r="D99" s="17"/>
    </row>
    <row r="100" spans="1:4" ht="14.25" x14ac:dyDescent="0.15">
      <c r="A100" s="17"/>
      <c r="B100" s="13"/>
      <c r="D100" s="13"/>
    </row>
    <row r="101" spans="1:4" ht="14.25" x14ac:dyDescent="0.15">
      <c r="A101" s="17"/>
      <c r="B101" s="13"/>
      <c r="C101" s="17"/>
    </row>
    <row r="102" spans="1:4" ht="14.25" x14ac:dyDescent="0.15">
      <c r="A102" s="17"/>
      <c r="B102" s="17"/>
      <c r="D102" s="18"/>
    </row>
    <row r="103" spans="1:4" ht="14.25" x14ac:dyDescent="0.15">
      <c r="A103" s="17"/>
    </row>
    <row r="104" spans="1:4" ht="14.25" x14ac:dyDescent="0.15">
      <c r="A104" s="17" t="s">
        <v>0</v>
      </c>
      <c r="C104" s="18" t="s">
        <v>0</v>
      </c>
      <c r="D104" s="18" t="s">
        <v>0</v>
      </c>
    </row>
    <row r="105" spans="1:4" x14ac:dyDescent="0.15">
      <c r="A105" t="s">
        <v>0</v>
      </c>
    </row>
    <row r="106" spans="1:4" ht="14.25" x14ac:dyDescent="0.15">
      <c r="A106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horizontalDpi="4294967293" verticalDpi="4294967293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46EB5-29B9-451D-BB23-9498FFF022D7}">
  <dimension ref="A1:G107"/>
  <sheetViews>
    <sheetView zoomScaleNormal="100" workbookViewId="0">
      <selection activeCell="H15" sqref="H15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</cols>
  <sheetData>
    <row r="1" spans="1:7" ht="17.25" x14ac:dyDescent="0.2">
      <c r="A1" s="1" t="s">
        <v>88</v>
      </c>
      <c r="B1" s="1"/>
    </row>
    <row r="2" spans="1:7" ht="17.25" customHeight="1" x14ac:dyDescent="0.15">
      <c r="A2" s="111" t="s">
        <v>95</v>
      </c>
      <c r="B2" s="111"/>
      <c r="C2" s="111"/>
      <c r="D2" s="111"/>
    </row>
    <row r="3" spans="1:7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7" ht="15" customHeight="1" x14ac:dyDescent="0.15">
      <c r="C4" s="115" t="s">
        <v>49</v>
      </c>
      <c r="D4" s="115"/>
      <c r="F4" s="46"/>
    </row>
    <row r="5" spans="1:7" ht="17.25" x14ac:dyDescent="0.2">
      <c r="A5" s="56" t="s">
        <v>5</v>
      </c>
      <c r="B5" s="50"/>
      <c r="C5" s="49" t="s">
        <v>4</v>
      </c>
      <c r="D5" s="49"/>
    </row>
    <row r="6" spans="1:7" ht="14.25" x14ac:dyDescent="0.15">
      <c r="A6" s="55" t="s">
        <v>2</v>
      </c>
      <c r="B6" s="24"/>
      <c r="C6" s="4"/>
      <c r="D6" s="28"/>
    </row>
    <row r="7" spans="1:7" ht="14.25" x14ac:dyDescent="0.15">
      <c r="A7" s="55" t="s">
        <v>19</v>
      </c>
      <c r="B7" s="14"/>
      <c r="C7" s="5"/>
      <c r="D7" s="12"/>
    </row>
    <row r="8" spans="1:7" ht="14.25" x14ac:dyDescent="0.15">
      <c r="A8" s="55" t="s">
        <v>34</v>
      </c>
      <c r="B8" s="51">
        <v>2385</v>
      </c>
      <c r="C8" s="5"/>
      <c r="D8" s="12"/>
    </row>
    <row r="9" spans="1:7" ht="14.25" x14ac:dyDescent="0.15">
      <c r="A9" s="55" t="s">
        <v>35</v>
      </c>
      <c r="B9" s="27">
        <f>SUM(B10:B14)</f>
        <v>14885837</v>
      </c>
      <c r="C9" s="5"/>
      <c r="D9" s="12"/>
    </row>
    <row r="10" spans="1:7" ht="14.25" x14ac:dyDescent="0.15">
      <c r="A10" s="53" t="s">
        <v>13</v>
      </c>
      <c r="B10" s="67">
        <f>13105710+58619+34911+191448+294991+147598</f>
        <v>13833277</v>
      </c>
      <c r="C10" s="5"/>
      <c r="D10" s="23"/>
    </row>
    <row r="11" spans="1:7" ht="14.25" x14ac:dyDescent="0.15">
      <c r="A11" s="54" t="s">
        <v>12</v>
      </c>
      <c r="B11" s="67">
        <f>101639+742866+45727</f>
        <v>890232</v>
      </c>
      <c r="C11" s="5"/>
      <c r="D11" s="23"/>
    </row>
    <row r="12" spans="1:7" ht="14.25" x14ac:dyDescent="0.15">
      <c r="A12" s="53" t="s">
        <v>45</v>
      </c>
      <c r="B12" s="32">
        <v>59981</v>
      </c>
      <c r="C12" s="5"/>
      <c r="D12" s="23"/>
    </row>
    <row r="13" spans="1:7" ht="14.25" x14ac:dyDescent="0.15">
      <c r="A13" s="53" t="s">
        <v>44</v>
      </c>
      <c r="B13" s="41">
        <v>37443</v>
      </c>
      <c r="C13" s="5"/>
      <c r="D13" s="12"/>
    </row>
    <row r="14" spans="1:7" ht="14.25" x14ac:dyDescent="0.15">
      <c r="A14" s="53" t="s">
        <v>46</v>
      </c>
      <c r="B14" s="41">
        <v>64904</v>
      </c>
      <c r="C14" s="5"/>
      <c r="D14" s="12"/>
    </row>
    <row r="15" spans="1:7" ht="14.25" x14ac:dyDescent="0.15">
      <c r="A15" s="55" t="s">
        <v>36</v>
      </c>
      <c r="B15" s="27">
        <f>SUM(B16:B26)</f>
        <v>30447718</v>
      </c>
      <c r="C15" s="6"/>
      <c r="D15" s="12"/>
    </row>
    <row r="16" spans="1:7" ht="14.25" x14ac:dyDescent="0.15">
      <c r="A16" s="54" t="s">
        <v>14</v>
      </c>
      <c r="B16" s="32">
        <f>33880+5514700</f>
        <v>5548580</v>
      </c>
      <c r="C16" s="11"/>
      <c r="D16" s="12"/>
    </row>
    <row r="17" spans="1:4" ht="14.25" x14ac:dyDescent="0.15">
      <c r="A17" s="54" t="s">
        <v>15</v>
      </c>
      <c r="B17" s="67">
        <f>14330515+1135294+686000</f>
        <v>16151809</v>
      </c>
      <c r="C17" s="5"/>
      <c r="D17" s="12"/>
    </row>
    <row r="18" spans="1:4" ht="14.25" x14ac:dyDescent="0.15">
      <c r="A18" s="53" t="s">
        <v>58</v>
      </c>
      <c r="B18" s="32">
        <f>4242454+340509+111600</f>
        <v>4694563</v>
      </c>
      <c r="C18" s="11"/>
      <c r="D18" s="12"/>
    </row>
    <row r="19" spans="1:4" ht="14.25" x14ac:dyDescent="0.15">
      <c r="A19" s="54" t="s">
        <v>16</v>
      </c>
      <c r="B19" s="67">
        <f>1417086+86049+91200</f>
        <v>1594335</v>
      </c>
      <c r="C19" s="5"/>
      <c r="D19" s="12"/>
    </row>
    <row r="20" spans="1:4" ht="14.25" x14ac:dyDescent="0.15">
      <c r="A20" s="54" t="s">
        <v>67</v>
      </c>
      <c r="B20" s="67">
        <f>1370304+101105</f>
        <v>1471409</v>
      </c>
      <c r="C20" s="5"/>
      <c r="D20" s="12"/>
    </row>
    <row r="21" spans="1:4" ht="14.25" x14ac:dyDescent="0.15">
      <c r="A21" s="54" t="s">
        <v>72</v>
      </c>
      <c r="B21" s="67">
        <v>14600</v>
      </c>
      <c r="C21" s="5"/>
      <c r="D21" s="12"/>
    </row>
    <row r="22" spans="1:4" ht="14.25" x14ac:dyDescent="0.15">
      <c r="A22" s="54" t="s">
        <v>81</v>
      </c>
      <c r="B22" s="67">
        <f>449670+29102+37200</f>
        <v>515972</v>
      </c>
      <c r="C22" s="5"/>
      <c r="D22" s="12"/>
    </row>
    <row r="23" spans="1:4" ht="14.25" x14ac:dyDescent="0.15">
      <c r="A23" s="54" t="s">
        <v>82</v>
      </c>
      <c r="B23" s="67">
        <v>124200</v>
      </c>
      <c r="C23" s="5"/>
      <c r="D23" s="12"/>
    </row>
    <row r="24" spans="1:4" ht="14.25" x14ac:dyDescent="0.15">
      <c r="A24" s="54" t="s">
        <v>17</v>
      </c>
      <c r="B24" s="32">
        <v>304250</v>
      </c>
      <c r="C24" s="5"/>
      <c r="D24" s="12"/>
    </row>
    <row r="25" spans="1:4" ht="14.25" x14ac:dyDescent="0.15">
      <c r="A25" s="54" t="s">
        <v>71</v>
      </c>
      <c r="B25" s="41">
        <v>28000</v>
      </c>
      <c r="C25" s="5"/>
      <c r="D25" s="12"/>
    </row>
    <row r="26" spans="1:4" ht="14.25" x14ac:dyDescent="0.15">
      <c r="A26" s="54" t="s">
        <v>79</v>
      </c>
      <c r="B26" s="41">
        <v>0</v>
      </c>
      <c r="C26" s="5"/>
      <c r="D26" s="12"/>
    </row>
    <row r="27" spans="1:4" ht="14.25" x14ac:dyDescent="0.15">
      <c r="A27" s="55" t="s">
        <v>37</v>
      </c>
      <c r="B27" s="27">
        <v>507508</v>
      </c>
      <c r="C27" s="15" t="s">
        <v>0</v>
      </c>
      <c r="D27" s="12"/>
    </row>
    <row r="28" spans="1:4" ht="14.25" x14ac:dyDescent="0.15">
      <c r="A28" s="61" t="s">
        <v>96</v>
      </c>
      <c r="B28" s="27">
        <v>52890</v>
      </c>
      <c r="C28" s="15"/>
      <c r="D28" s="12"/>
    </row>
    <row r="29" spans="1:4" ht="14.25" x14ac:dyDescent="0.15">
      <c r="A29" s="61" t="s">
        <v>38</v>
      </c>
      <c r="B29" s="7"/>
      <c r="C29" s="36">
        <f>B8+B9+B15+B27+B28</f>
        <v>45896338</v>
      </c>
      <c r="D29" s="12"/>
    </row>
    <row r="30" spans="1:4" ht="11.25" customHeight="1" x14ac:dyDescent="0.15">
      <c r="A30" s="11"/>
      <c r="B30" s="14"/>
      <c r="C30" s="5"/>
      <c r="D30" s="29" t="s">
        <v>0</v>
      </c>
    </row>
    <row r="31" spans="1:4" ht="14.25" x14ac:dyDescent="0.15">
      <c r="A31" s="55" t="s">
        <v>20</v>
      </c>
      <c r="B31" s="26" t="s">
        <v>0</v>
      </c>
      <c r="C31" s="5"/>
      <c r="D31" s="25"/>
    </row>
    <row r="32" spans="1:4" ht="14.25" x14ac:dyDescent="0.15">
      <c r="A32" s="55" t="s">
        <v>39</v>
      </c>
      <c r="B32" s="27">
        <f>467625+600592+19802457+25656642+5130900</f>
        <v>51658216</v>
      </c>
      <c r="C32" s="5"/>
      <c r="D32" s="12"/>
    </row>
    <row r="33" spans="1:4" ht="14.25" x14ac:dyDescent="0.15">
      <c r="A33" s="55" t="s">
        <v>54</v>
      </c>
      <c r="B33" s="27">
        <f>9503+14505+22053+25204+121249+139041+13457+658287+802809+1508774+777233+687268+996936+1321782</f>
        <v>7098101</v>
      </c>
      <c r="C33" s="5"/>
      <c r="D33" s="12"/>
    </row>
    <row r="34" spans="1:4" ht="14.25" x14ac:dyDescent="0.15">
      <c r="A34" s="55" t="s">
        <v>55</v>
      </c>
      <c r="B34" s="27">
        <f>6141+591643+1176295</f>
        <v>1774079</v>
      </c>
      <c r="C34" s="5"/>
      <c r="D34" s="12"/>
    </row>
    <row r="35" spans="1:4" ht="14.25" x14ac:dyDescent="0.15">
      <c r="A35" s="55" t="s">
        <v>75</v>
      </c>
      <c r="B35" s="27">
        <v>119689</v>
      </c>
      <c r="C35" s="5"/>
      <c r="D35" s="12"/>
    </row>
    <row r="36" spans="1:4" ht="14.25" x14ac:dyDescent="0.15">
      <c r="A36" s="55" t="s">
        <v>40</v>
      </c>
      <c r="B36" s="27">
        <f>1+1+1+1+1+1+374085+1+1343869+124410+333410</f>
        <v>2175781</v>
      </c>
      <c r="C36" s="5"/>
      <c r="D36" s="12"/>
    </row>
    <row r="37" spans="1:4" ht="14.25" x14ac:dyDescent="0.15">
      <c r="A37" s="55" t="s">
        <v>41</v>
      </c>
      <c r="B37" s="27">
        <v>110600</v>
      </c>
      <c r="C37" s="5"/>
      <c r="D37" s="12"/>
    </row>
    <row r="38" spans="1:4" ht="14.25" x14ac:dyDescent="0.15">
      <c r="A38" s="55" t="s">
        <v>42</v>
      </c>
      <c r="B38" s="27">
        <v>50000</v>
      </c>
      <c r="C38" s="11"/>
      <c r="D38" s="12"/>
    </row>
    <row r="39" spans="1:4" ht="14.25" x14ac:dyDescent="0.15">
      <c r="A39" s="55" t="s">
        <v>66</v>
      </c>
      <c r="B39" s="27">
        <v>119440</v>
      </c>
      <c r="C39" s="6"/>
      <c r="D39" s="12"/>
    </row>
    <row r="40" spans="1:4" ht="14.25" x14ac:dyDescent="0.15">
      <c r="A40" s="61" t="s">
        <v>43</v>
      </c>
      <c r="B40" s="8"/>
      <c r="C40" s="37">
        <f>SUM(B32:B39)</f>
        <v>63105906</v>
      </c>
      <c r="D40" s="12"/>
    </row>
    <row r="41" spans="1:4" ht="8.25" customHeight="1" x14ac:dyDescent="0.15">
      <c r="A41" s="11"/>
      <c r="B41" s="19"/>
      <c r="C41" s="5"/>
      <c r="D41" s="12"/>
    </row>
    <row r="42" spans="1:4" ht="14.25" x14ac:dyDescent="0.15">
      <c r="A42" s="58" t="s">
        <v>23</v>
      </c>
      <c r="B42" s="8"/>
      <c r="C42" s="10"/>
      <c r="D42" s="38">
        <f>C29+C40</f>
        <v>109002244</v>
      </c>
    </row>
    <row r="43" spans="1:4" ht="11.25" customHeight="1" x14ac:dyDescent="0.15">
      <c r="A43" s="9"/>
      <c r="B43" s="62"/>
      <c r="C43" s="62"/>
      <c r="D43" s="62"/>
    </row>
    <row r="44" spans="1:4" ht="14.25" x14ac:dyDescent="0.15">
      <c r="A44" s="60" t="s">
        <v>18</v>
      </c>
      <c r="B44" s="26"/>
      <c r="C44" s="5"/>
      <c r="D44" s="12"/>
    </row>
    <row r="45" spans="1:4" ht="14.25" x14ac:dyDescent="0.15">
      <c r="A45" s="55" t="s">
        <v>21</v>
      </c>
      <c r="B45" s="26"/>
      <c r="C45" s="5"/>
      <c r="D45" s="23"/>
    </row>
    <row r="46" spans="1:4" ht="14.25" x14ac:dyDescent="0.15">
      <c r="A46" s="55" t="s">
        <v>32</v>
      </c>
      <c r="B46" s="71">
        <v>3503565</v>
      </c>
      <c r="C46" s="5"/>
      <c r="D46" s="29"/>
    </row>
    <row r="47" spans="1:4" ht="14.25" x14ac:dyDescent="0.15">
      <c r="A47" s="55" t="s">
        <v>33</v>
      </c>
      <c r="B47" s="27"/>
      <c r="C47" s="5"/>
      <c r="D47" s="12"/>
    </row>
    <row r="48" spans="1:4" ht="6.75" customHeight="1" x14ac:dyDescent="0.15">
      <c r="A48" s="59"/>
      <c r="B48" s="26"/>
      <c r="C48" s="11"/>
      <c r="D48" s="12"/>
    </row>
    <row r="49" spans="1:4" ht="14.25" x14ac:dyDescent="0.15">
      <c r="A49" s="55" t="s">
        <v>31</v>
      </c>
      <c r="B49" s="8"/>
      <c r="C49" s="37">
        <f>B46+B47</f>
        <v>3503565</v>
      </c>
      <c r="D49" s="23"/>
    </row>
    <row r="50" spans="1:4" ht="11.25" customHeight="1" x14ac:dyDescent="0.15">
      <c r="A50" s="3"/>
      <c r="B50" s="14"/>
      <c r="C50" s="34"/>
      <c r="D50" s="25"/>
    </row>
    <row r="51" spans="1:4" ht="14.25" x14ac:dyDescent="0.15">
      <c r="A51" s="55" t="s">
        <v>22</v>
      </c>
      <c r="B51" s="19"/>
      <c r="C51" s="33"/>
      <c r="D51" s="23"/>
    </row>
    <row r="52" spans="1:4" ht="14.25" x14ac:dyDescent="0.15">
      <c r="A52" s="55" t="s">
        <v>30</v>
      </c>
      <c r="B52" s="27">
        <v>10560000</v>
      </c>
      <c r="C52" s="11"/>
      <c r="D52" s="25"/>
    </row>
    <row r="53" spans="1:4" ht="14.25" x14ac:dyDescent="0.15">
      <c r="A53" s="9"/>
      <c r="B53" s="19"/>
      <c r="C53" s="11"/>
      <c r="D53" s="25"/>
    </row>
    <row r="54" spans="1:4" ht="14.25" x14ac:dyDescent="0.15">
      <c r="A54" s="61" t="s">
        <v>29</v>
      </c>
      <c r="B54" s="10"/>
      <c r="C54" s="37">
        <f>B52</f>
        <v>10560000</v>
      </c>
      <c r="D54" s="23"/>
    </row>
    <row r="55" spans="1:4" ht="6.75" customHeight="1" x14ac:dyDescent="0.15">
      <c r="A55" s="3"/>
      <c r="B55" s="19"/>
      <c r="C55" s="11"/>
      <c r="D55" s="23"/>
    </row>
    <row r="56" spans="1:4" ht="14.25" x14ac:dyDescent="0.15">
      <c r="A56" s="58" t="s">
        <v>24</v>
      </c>
      <c r="B56" s="40"/>
      <c r="C56" s="40"/>
      <c r="D56" s="38">
        <f>C49+C54</f>
        <v>14063565</v>
      </c>
    </row>
    <row r="57" spans="1:4" ht="11.25" customHeight="1" x14ac:dyDescent="0.15">
      <c r="A57" s="3"/>
      <c r="B57" s="19"/>
      <c r="C57" s="11"/>
      <c r="D57" s="23"/>
    </row>
    <row r="58" spans="1:4" ht="14.25" x14ac:dyDescent="0.15">
      <c r="A58" s="55" t="s">
        <v>3</v>
      </c>
      <c r="B58" s="30"/>
      <c r="C58" s="35"/>
      <c r="D58" s="31"/>
    </row>
    <row r="59" spans="1:4" ht="15" customHeight="1" x14ac:dyDescent="0.15">
      <c r="A59" s="55" t="s">
        <v>27</v>
      </c>
      <c r="B59" s="10"/>
      <c r="C59" s="39"/>
      <c r="D59" s="39">
        <v>0</v>
      </c>
    </row>
    <row r="60" spans="1:4" ht="15.75" customHeight="1" x14ac:dyDescent="0.15">
      <c r="A60" s="55" t="s">
        <v>28</v>
      </c>
      <c r="B60" s="47"/>
      <c r="C60" s="9"/>
      <c r="D60" s="43">
        <f>D42-D56</f>
        <v>94938679</v>
      </c>
    </row>
    <row r="61" spans="1:4" ht="15.75" customHeight="1" x14ac:dyDescent="0.15">
      <c r="A61" s="59" t="s">
        <v>11</v>
      </c>
      <c r="B61" s="9"/>
      <c r="D61" s="70">
        <f>D60-'31.3月 '!D59</f>
        <v>839256</v>
      </c>
    </row>
    <row r="62" spans="1:4" ht="16.5" customHeight="1" x14ac:dyDescent="0.15">
      <c r="A62" s="55" t="s">
        <v>26</v>
      </c>
      <c r="B62" s="22"/>
      <c r="C62" s="48"/>
      <c r="D62" s="44">
        <f>D60</f>
        <v>94938679</v>
      </c>
    </row>
    <row r="63" spans="1:4" ht="14.25" x14ac:dyDescent="0.15">
      <c r="A63" s="55" t="s">
        <v>25</v>
      </c>
      <c r="B63" s="22"/>
      <c r="C63" s="9"/>
      <c r="D63" s="69">
        <f>D56+D62</f>
        <v>109002244</v>
      </c>
    </row>
    <row r="64" spans="1:4" x14ac:dyDescent="0.15">
      <c r="B64" s="2"/>
      <c r="D64" s="68"/>
    </row>
    <row r="65" spans="1:4" ht="12.75" customHeight="1" x14ac:dyDescent="0.2">
      <c r="A65" s="1"/>
    </row>
    <row r="66" spans="1:4" x14ac:dyDescent="0.15">
      <c r="A66" s="45"/>
      <c r="B66" s="45"/>
      <c r="D66" s="68"/>
    </row>
    <row r="67" spans="1:4" x14ac:dyDescent="0.15">
      <c r="C67" s="52"/>
      <c r="D67" s="45"/>
    </row>
    <row r="69" spans="1:4" x14ac:dyDescent="0.15">
      <c r="C69" s="52"/>
    </row>
    <row r="71" spans="1:4" ht="13.5" customHeight="1" x14ac:dyDescent="0.2">
      <c r="A71" s="21"/>
    </row>
    <row r="72" spans="1:4" ht="14.25" x14ac:dyDescent="0.15">
      <c r="A72" s="17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  <c r="B75" s="13"/>
      <c r="C75" s="17"/>
      <c r="D75" s="17"/>
    </row>
    <row r="76" spans="1:4" ht="14.25" x14ac:dyDescent="0.15">
      <c r="A76" s="17"/>
      <c r="B76" s="13"/>
      <c r="C76" s="17"/>
      <c r="D76" s="17"/>
    </row>
    <row r="77" spans="1:4" ht="14.25" x14ac:dyDescent="0.15">
      <c r="A77" s="17"/>
      <c r="B77" s="20"/>
      <c r="C77" s="17"/>
      <c r="D77" s="17"/>
    </row>
    <row r="78" spans="1:4" ht="14.25" x14ac:dyDescent="0.15">
      <c r="A78" s="17"/>
      <c r="B78" s="13"/>
      <c r="C78" s="17"/>
      <c r="D78" s="17"/>
    </row>
    <row r="79" spans="1:4" ht="14.25" x14ac:dyDescent="0.15">
      <c r="A79" s="17"/>
      <c r="B79" s="13"/>
      <c r="C79" s="13"/>
      <c r="D79" s="17"/>
    </row>
    <row r="80" spans="1:4" ht="14.25" x14ac:dyDescent="0.15">
      <c r="B80" s="17"/>
      <c r="C80" s="18"/>
      <c r="D80" s="17"/>
    </row>
    <row r="81" spans="1:4" ht="14.25" x14ac:dyDescent="0.15">
      <c r="A81" s="17"/>
      <c r="B81" s="17"/>
      <c r="C81" s="18"/>
      <c r="D81" s="17"/>
    </row>
    <row r="82" spans="1:4" ht="14.25" x14ac:dyDescent="0.15">
      <c r="C82" s="17"/>
      <c r="D82" s="17"/>
    </row>
    <row r="83" spans="1:4" ht="14.25" x14ac:dyDescent="0.15">
      <c r="A83" s="17"/>
      <c r="C83" s="17"/>
      <c r="D83" s="17"/>
    </row>
    <row r="84" spans="1:4" ht="14.25" x14ac:dyDescent="0.15">
      <c r="A84" s="17"/>
      <c r="B84" s="20"/>
      <c r="C84" s="18"/>
      <c r="D84" s="17"/>
    </row>
    <row r="85" spans="1:4" ht="14.25" x14ac:dyDescent="0.15">
      <c r="A85" s="17"/>
      <c r="B85" s="13"/>
      <c r="D85" s="17"/>
    </row>
    <row r="86" spans="1:4" ht="14.25" x14ac:dyDescent="0.15">
      <c r="B86" s="17"/>
      <c r="C86" s="17"/>
      <c r="D86" s="13"/>
    </row>
    <row r="87" spans="1:4" ht="14.25" x14ac:dyDescent="0.15">
      <c r="A87" s="17"/>
      <c r="B87" s="13"/>
      <c r="C87" s="13"/>
      <c r="D87" s="18"/>
    </row>
    <row r="88" spans="1:4" ht="14.25" x14ac:dyDescent="0.15">
      <c r="B88" s="13"/>
      <c r="C88" s="17"/>
      <c r="D88" s="17"/>
    </row>
    <row r="89" spans="1:4" ht="14.25" x14ac:dyDescent="0.15">
      <c r="A89" s="17"/>
      <c r="B89" s="13"/>
      <c r="C89" s="17"/>
      <c r="D89" s="18"/>
    </row>
    <row r="90" spans="1:4" ht="14.25" x14ac:dyDescent="0.15">
      <c r="C90" s="17"/>
      <c r="D90" s="17"/>
    </row>
    <row r="91" spans="1:4" ht="14.25" x14ac:dyDescent="0.15">
      <c r="A91" s="17"/>
      <c r="C91" s="17"/>
      <c r="D91" s="17"/>
    </row>
    <row r="92" spans="1:4" ht="14.25" x14ac:dyDescent="0.15">
      <c r="A92" s="17"/>
      <c r="B92" s="13"/>
      <c r="D92" s="17"/>
    </row>
    <row r="93" spans="1:4" ht="14.25" x14ac:dyDescent="0.15">
      <c r="A93" s="17"/>
      <c r="B93" s="13"/>
      <c r="D93" s="17"/>
    </row>
    <row r="94" spans="1:4" ht="14.25" x14ac:dyDescent="0.15">
      <c r="A94" s="17"/>
      <c r="B94" s="13"/>
      <c r="C94" s="17"/>
      <c r="D94" s="17"/>
    </row>
    <row r="95" spans="1:4" ht="14.25" x14ac:dyDescent="0.15">
      <c r="A95" s="17"/>
      <c r="C95" s="13"/>
      <c r="D95" s="17"/>
    </row>
    <row r="96" spans="1:4" ht="14.25" x14ac:dyDescent="0.15">
      <c r="A96" s="17"/>
      <c r="B96" s="13"/>
      <c r="D96" s="17"/>
    </row>
    <row r="97" spans="1:4" ht="14.25" x14ac:dyDescent="0.15">
      <c r="A97" s="17"/>
      <c r="B97" s="13"/>
      <c r="C97" s="17"/>
      <c r="D97" s="17"/>
    </row>
    <row r="98" spans="1:4" ht="14.25" x14ac:dyDescent="0.15">
      <c r="A98" s="17"/>
      <c r="B98" s="13"/>
      <c r="C98" s="17"/>
    </row>
    <row r="99" spans="1:4" ht="14.25" x14ac:dyDescent="0.15">
      <c r="A99" s="17"/>
      <c r="B99" s="13"/>
      <c r="C99" s="17"/>
    </row>
    <row r="100" spans="1:4" ht="14.25" x14ac:dyDescent="0.15">
      <c r="A100" s="17"/>
      <c r="B100" s="13"/>
      <c r="C100" s="17"/>
      <c r="D100" s="17"/>
    </row>
    <row r="101" spans="1:4" ht="14.25" x14ac:dyDescent="0.15">
      <c r="A101" s="17"/>
      <c r="B101" s="13"/>
      <c r="D101" s="13"/>
    </row>
    <row r="102" spans="1:4" ht="14.25" x14ac:dyDescent="0.15">
      <c r="A102" s="17"/>
      <c r="B102" s="13"/>
      <c r="C102" s="17"/>
    </row>
    <row r="103" spans="1:4" ht="14.25" x14ac:dyDescent="0.15">
      <c r="A103" s="17"/>
      <c r="B103" s="17"/>
      <c r="D103" s="18"/>
    </row>
    <row r="104" spans="1:4" ht="14.25" x14ac:dyDescent="0.15">
      <c r="A104" s="17"/>
    </row>
    <row r="105" spans="1:4" ht="14.25" x14ac:dyDescent="0.15">
      <c r="A105" s="17" t="s">
        <v>0</v>
      </c>
      <c r="C105" s="18" t="s">
        <v>0</v>
      </c>
      <c r="D105" s="18" t="s">
        <v>0</v>
      </c>
    </row>
    <row r="106" spans="1:4" x14ac:dyDescent="0.15">
      <c r="A106" t="s">
        <v>0</v>
      </c>
    </row>
    <row r="107" spans="1:4" ht="14.25" x14ac:dyDescent="0.15">
      <c r="A107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horizontalDpi="4294967293" verticalDpi="4294967293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CDF53-25BC-42F5-9E82-8F34B8509297}">
  <dimension ref="A1:G107"/>
  <sheetViews>
    <sheetView topLeftCell="A31" zoomScaleNormal="100" workbookViewId="0">
      <selection activeCell="B45" sqref="B45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</cols>
  <sheetData>
    <row r="1" spans="1:7" ht="17.25" x14ac:dyDescent="0.2">
      <c r="A1" s="1" t="s">
        <v>88</v>
      </c>
      <c r="B1" s="1"/>
    </row>
    <row r="2" spans="1:7" ht="17.25" customHeight="1" x14ac:dyDescent="0.15">
      <c r="A2" s="111" t="s">
        <v>97</v>
      </c>
      <c r="B2" s="111"/>
      <c r="C2" s="111"/>
      <c r="D2" s="111"/>
    </row>
    <row r="3" spans="1:7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7" ht="15" customHeight="1" x14ac:dyDescent="0.15">
      <c r="C4" s="115" t="s">
        <v>49</v>
      </c>
      <c r="D4" s="115"/>
      <c r="F4" s="46"/>
    </row>
    <row r="5" spans="1:7" ht="17.25" x14ac:dyDescent="0.2">
      <c r="A5" s="56" t="s">
        <v>5</v>
      </c>
      <c r="B5" s="50"/>
      <c r="C5" s="49" t="s">
        <v>4</v>
      </c>
      <c r="D5" s="49"/>
    </row>
    <row r="6" spans="1:7" ht="14.25" x14ac:dyDescent="0.15">
      <c r="A6" s="55" t="s">
        <v>2</v>
      </c>
      <c r="B6" s="24"/>
      <c r="C6" s="4"/>
      <c r="D6" s="28"/>
    </row>
    <row r="7" spans="1:7" ht="14.25" x14ac:dyDescent="0.15">
      <c r="A7" s="55" t="s">
        <v>19</v>
      </c>
      <c r="B7" s="14"/>
      <c r="C7" s="5"/>
      <c r="D7" s="12"/>
    </row>
    <row r="8" spans="1:7" ht="14.25" x14ac:dyDescent="0.15">
      <c r="A8" s="55" t="s">
        <v>34</v>
      </c>
      <c r="B8" s="51">
        <v>2385</v>
      </c>
      <c r="C8" s="5"/>
      <c r="D8" s="12"/>
    </row>
    <row r="9" spans="1:7" ht="14.25" x14ac:dyDescent="0.15">
      <c r="A9" s="55" t="s">
        <v>35</v>
      </c>
      <c r="B9" s="27">
        <f>SUM(B10:B14)</f>
        <v>15749480</v>
      </c>
      <c r="C9" s="5"/>
      <c r="D9" s="12"/>
    </row>
    <row r="10" spans="1:7" ht="14.25" x14ac:dyDescent="0.15">
      <c r="A10" s="53" t="s">
        <v>13</v>
      </c>
      <c r="B10" s="67">
        <f>12393707+4251+5860+293661+322373+70158</f>
        <v>13090010</v>
      </c>
      <c r="C10" s="5"/>
      <c r="D10" s="23"/>
    </row>
    <row r="11" spans="1:7" ht="14.25" x14ac:dyDescent="0.15">
      <c r="A11" s="54" t="s">
        <v>12</v>
      </c>
      <c r="B11" s="67">
        <f>145789+892282+51727</f>
        <v>1089798</v>
      </c>
      <c r="C11" s="5"/>
      <c r="D11" s="23"/>
    </row>
    <row r="12" spans="1:7" ht="14.25" x14ac:dyDescent="0.15">
      <c r="A12" s="53" t="s">
        <v>45</v>
      </c>
      <c r="B12" s="32">
        <v>863584</v>
      </c>
      <c r="C12" s="5"/>
      <c r="D12" s="23"/>
    </row>
    <row r="13" spans="1:7" ht="14.25" x14ac:dyDescent="0.15">
      <c r="A13" s="53" t="s">
        <v>44</v>
      </c>
      <c r="B13" s="41">
        <v>573093</v>
      </c>
      <c r="C13" s="5"/>
      <c r="D13" s="12"/>
    </row>
    <row r="14" spans="1:7" ht="14.25" x14ac:dyDescent="0.15">
      <c r="A14" s="53" t="s">
        <v>46</v>
      </c>
      <c r="B14" s="41">
        <v>132995</v>
      </c>
      <c r="C14" s="5"/>
      <c r="D14" s="12"/>
    </row>
    <row r="15" spans="1:7" ht="14.25" x14ac:dyDescent="0.15">
      <c r="A15" s="55" t="s">
        <v>36</v>
      </c>
      <c r="B15" s="27">
        <f>SUM(B16:B26)</f>
        <v>29190993</v>
      </c>
      <c r="C15" s="6"/>
      <c r="D15" s="12"/>
    </row>
    <row r="16" spans="1:7" ht="14.25" x14ac:dyDescent="0.15">
      <c r="A16" s="54" t="s">
        <v>14</v>
      </c>
      <c r="B16" s="32">
        <f>30800+5466170</f>
        <v>5496970</v>
      </c>
      <c r="C16" s="11"/>
      <c r="D16" s="12"/>
    </row>
    <row r="17" spans="1:4" ht="14.25" x14ac:dyDescent="0.15">
      <c r="A17" s="54" t="s">
        <v>15</v>
      </c>
      <c r="B17" s="67">
        <f>13809645+1060965+631500</f>
        <v>15502110</v>
      </c>
      <c r="C17" s="5"/>
      <c r="D17" s="12"/>
    </row>
    <row r="18" spans="1:4" ht="14.25" x14ac:dyDescent="0.15">
      <c r="A18" s="53" t="s">
        <v>58</v>
      </c>
      <c r="B18" s="32">
        <f>3915527+320085+95400</f>
        <v>4331012</v>
      </c>
      <c r="C18" s="11"/>
      <c r="D18" s="12"/>
    </row>
    <row r="19" spans="1:4" ht="14.25" x14ac:dyDescent="0.15">
      <c r="A19" s="54" t="s">
        <v>16</v>
      </c>
      <c r="B19" s="67">
        <f>1426752+86917+80300</f>
        <v>1593969</v>
      </c>
      <c r="C19" s="5"/>
      <c r="D19" s="12"/>
    </row>
    <row r="20" spans="1:4" ht="14.25" x14ac:dyDescent="0.15">
      <c r="A20" s="54" t="s">
        <v>67</v>
      </c>
      <c r="B20" s="67">
        <f>1306143+94681</f>
        <v>1400824</v>
      </c>
      <c r="C20" s="5"/>
      <c r="D20" s="12"/>
    </row>
    <row r="21" spans="1:4" ht="14.25" x14ac:dyDescent="0.15">
      <c r="A21" s="54" t="s">
        <v>72</v>
      </c>
      <c r="B21" s="67">
        <v>13100</v>
      </c>
      <c r="C21" s="5"/>
      <c r="D21" s="12"/>
    </row>
    <row r="22" spans="1:4" ht="14.25" x14ac:dyDescent="0.15">
      <c r="A22" s="54" t="s">
        <v>81</v>
      </c>
      <c r="B22" s="67">
        <f>424938+27820+34800</f>
        <v>487558</v>
      </c>
      <c r="C22" s="5"/>
      <c r="D22" s="12"/>
    </row>
    <row r="23" spans="1:4" ht="14.25" x14ac:dyDescent="0.15">
      <c r="A23" s="54" t="s">
        <v>82</v>
      </c>
      <c r="B23" s="67">
        <v>96600</v>
      </c>
      <c r="C23" s="5"/>
      <c r="D23" s="12"/>
    </row>
    <row r="24" spans="1:4" ht="14.25" x14ac:dyDescent="0.15">
      <c r="A24" s="54" t="s">
        <v>17</v>
      </c>
      <c r="B24" s="32">
        <v>268850</v>
      </c>
      <c r="C24" s="5"/>
      <c r="D24" s="12"/>
    </row>
    <row r="25" spans="1:4" ht="14.25" x14ac:dyDescent="0.15">
      <c r="A25" s="54" t="s">
        <v>71</v>
      </c>
      <c r="B25" s="41">
        <v>0</v>
      </c>
      <c r="C25" s="5"/>
      <c r="D25" s="12"/>
    </row>
    <row r="26" spans="1:4" ht="14.25" x14ac:dyDescent="0.15">
      <c r="A26" s="54" t="s">
        <v>79</v>
      </c>
      <c r="B26" s="41">
        <v>0</v>
      </c>
      <c r="C26" s="5"/>
      <c r="D26" s="12"/>
    </row>
    <row r="27" spans="1:4" ht="14.25" x14ac:dyDescent="0.15">
      <c r="A27" s="55" t="s">
        <v>37</v>
      </c>
      <c r="B27" s="27">
        <v>1057637</v>
      </c>
      <c r="C27" s="15" t="s">
        <v>0</v>
      </c>
      <c r="D27" s="12"/>
    </row>
    <row r="28" spans="1:4" ht="14.25" x14ac:dyDescent="0.15">
      <c r="A28" s="61" t="s">
        <v>96</v>
      </c>
      <c r="B28" s="27">
        <v>52890</v>
      </c>
      <c r="C28" s="15"/>
      <c r="D28" s="12"/>
    </row>
    <row r="29" spans="1:4" ht="14.25" x14ac:dyDescent="0.15">
      <c r="A29" s="61" t="s">
        <v>38</v>
      </c>
      <c r="B29" s="7"/>
      <c r="C29" s="36">
        <f>B8+B9+B15+B27+B28</f>
        <v>46053385</v>
      </c>
      <c r="D29" s="12"/>
    </row>
    <row r="30" spans="1:4" ht="11.25" customHeight="1" x14ac:dyDescent="0.15">
      <c r="A30" s="11"/>
      <c r="B30" s="14"/>
      <c r="C30" s="5"/>
      <c r="D30" s="29" t="s">
        <v>0</v>
      </c>
    </row>
    <row r="31" spans="1:4" ht="14.25" x14ac:dyDescent="0.15">
      <c r="A31" s="55" t="s">
        <v>20</v>
      </c>
      <c r="B31" s="26" t="s">
        <v>0</v>
      </c>
      <c r="C31" s="5"/>
      <c r="D31" s="25"/>
    </row>
    <row r="32" spans="1:4" ht="14.25" x14ac:dyDescent="0.15">
      <c r="A32" s="55" t="s">
        <v>39</v>
      </c>
      <c r="B32" s="27">
        <f>467625+600592+19802457+25656642+5130900</f>
        <v>51658216</v>
      </c>
      <c r="C32" s="5"/>
      <c r="D32" s="12"/>
    </row>
    <row r="33" spans="1:4" ht="14.25" x14ac:dyDescent="0.15">
      <c r="A33" s="55" t="s">
        <v>54</v>
      </c>
      <c r="B33" s="27">
        <f>9503+14505+22053+25204+121249+139041+13457+658287+802809+1508774+777233+687268+996936+1321782</f>
        <v>7098101</v>
      </c>
      <c r="C33" s="5"/>
      <c r="D33" s="12"/>
    </row>
    <row r="34" spans="1:4" ht="14.25" x14ac:dyDescent="0.15">
      <c r="A34" s="55" t="s">
        <v>55</v>
      </c>
      <c r="B34" s="27">
        <f>6141+591643+1176295</f>
        <v>1774079</v>
      </c>
      <c r="C34" s="5"/>
      <c r="D34" s="12"/>
    </row>
    <row r="35" spans="1:4" ht="14.25" x14ac:dyDescent="0.15">
      <c r="A35" s="55" t="s">
        <v>75</v>
      </c>
      <c r="B35" s="27">
        <v>119689</v>
      </c>
      <c r="C35" s="5"/>
      <c r="D35" s="12"/>
    </row>
    <row r="36" spans="1:4" ht="14.25" x14ac:dyDescent="0.15">
      <c r="A36" s="55" t="s">
        <v>40</v>
      </c>
      <c r="B36" s="27">
        <f>1+1+1+1+1+1+374085+1+1343869+124410+333410</f>
        <v>2175781</v>
      </c>
      <c r="C36" s="5"/>
      <c r="D36" s="12"/>
    </row>
    <row r="37" spans="1:4" ht="14.25" x14ac:dyDescent="0.15">
      <c r="A37" s="55" t="s">
        <v>41</v>
      </c>
      <c r="B37" s="27">
        <v>110600</v>
      </c>
      <c r="C37" s="5"/>
      <c r="D37" s="12"/>
    </row>
    <row r="38" spans="1:4" ht="14.25" x14ac:dyDescent="0.15">
      <c r="A38" s="55" t="s">
        <v>42</v>
      </c>
      <c r="B38" s="27">
        <v>50000</v>
      </c>
      <c r="C38" s="11"/>
      <c r="D38" s="12"/>
    </row>
    <row r="39" spans="1:4" ht="14.25" x14ac:dyDescent="0.15">
      <c r="A39" s="55" t="s">
        <v>66</v>
      </c>
      <c r="B39" s="27">
        <v>119440</v>
      </c>
      <c r="C39" s="6"/>
      <c r="D39" s="12"/>
    </row>
    <row r="40" spans="1:4" ht="14.25" x14ac:dyDescent="0.15">
      <c r="A40" s="61" t="s">
        <v>43</v>
      </c>
      <c r="B40" s="8"/>
      <c r="C40" s="37">
        <f>SUM(B32:B39)</f>
        <v>63105906</v>
      </c>
      <c r="D40" s="12"/>
    </row>
    <row r="41" spans="1:4" ht="8.25" customHeight="1" x14ac:dyDescent="0.15">
      <c r="A41" s="11"/>
      <c r="B41" s="19"/>
      <c r="C41" s="5"/>
      <c r="D41" s="12"/>
    </row>
    <row r="42" spans="1:4" ht="14.25" x14ac:dyDescent="0.15">
      <c r="A42" s="58" t="s">
        <v>23</v>
      </c>
      <c r="B42" s="8"/>
      <c r="C42" s="10"/>
      <c r="D42" s="38">
        <f>C29+C40</f>
        <v>109159291</v>
      </c>
    </row>
    <row r="43" spans="1:4" ht="11.25" customHeight="1" x14ac:dyDescent="0.15">
      <c r="A43" s="9"/>
      <c r="B43" s="62"/>
      <c r="C43" s="62"/>
      <c r="D43" s="62"/>
    </row>
    <row r="44" spans="1:4" ht="14.25" x14ac:dyDescent="0.15">
      <c r="A44" s="60" t="s">
        <v>18</v>
      </c>
      <c r="B44" s="26"/>
      <c r="C44" s="5"/>
      <c r="D44" s="12"/>
    </row>
    <row r="45" spans="1:4" ht="14.25" x14ac:dyDescent="0.15">
      <c r="A45" s="55" t="s">
        <v>21</v>
      </c>
      <c r="B45" s="26"/>
      <c r="C45" s="5"/>
      <c r="D45" s="23"/>
    </row>
    <row r="46" spans="1:4" ht="14.25" x14ac:dyDescent="0.15">
      <c r="A46" s="55" t="s">
        <v>32</v>
      </c>
      <c r="B46" s="71">
        <v>3414321</v>
      </c>
      <c r="C46" s="5"/>
      <c r="D46" s="29"/>
    </row>
    <row r="47" spans="1:4" ht="14.25" x14ac:dyDescent="0.15">
      <c r="A47" s="55" t="s">
        <v>33</v>
      </c>
      <c r="B47" s="27"/>
      <c r="C47" s="5"/>
      <c r="D47" s="12"/>
    </row>
    <row r="48" spans="1:4" ht="6.75" customHeight="1" x14ac:dyDescent="0.15">
      <c r="A48" s="59"/>
      <c r="B48" s="26"/>
      <c r="C48" s="11"/>
      <c r="D48" s="12"/>
    </row>
    <row r="49" spans="1:4" ht="14.25" x14ac:dyDescent="0.15">
      <c r="A49" s="55" t="s">
        <v>31</v>
      </c>
      <c r="B49" s="8"/>
      <c r="C49" s="37">
        <f>B46+B47</f>
        <v>3414321</v>
      </c>
      <c r="D49" s="23"/>
    </row>
    <row r="50" spans="1:4" ht="11.25" customHeight="1" x14ac:dyDescent="0.15">
      <c r="A50" s="3"/>
      <c r="B50" s="14"/>
      <c r="C50" s="34"/>
      <c r="D50" s="25"/>
    </row>
    <row r="51" spans="1:4" ht="14.25" x14ac:dyDescent="0.15">
      <c r="A51" s="55" t="s">
        <v>22</v>
      </c>
      <c r="B51" s="19"/>
      <c r="C51" s="33"/>
      <c r="D51" s="23"/>
    </row>
    <row r="52" spans="1:4" ht="14.25" x14ac:dyDescent="0.15">
      <c r="A52" s="55" t="s">
        <v>30</v>
      </c>
      <c r="B52" s="27">
        <v>10280000</v>
      </c>
      <c r="C52" s="11"/>
      <c r="D52" s="25"/>
    </row>
    <row r="53" spans="1:4" ht="14.25" x14ac:dyDescent="0.15">
      <c r="A53" s="9"/>
      <c r="B53" s="19"/>
      <c r="C53" s="11"/>
      <c r="D53" s="25"/>
    </row>
    <row r="54" spans="1:4" ht="14.25" x14ac:dyDescent="0.15">
      <c r="A54" s="61" t="s">
        <v>29</v>
      </c>
      <c r="B54" s="10"/>
      <c r="C54" s="37">
        <f>B52</f>
        <v>10280000</v>
      </c>
      <c r="D54" s="23"/>
    </row>
    <row r="55" spans="1:4" ht="6.75" customHeight="1" x14ac:dyDescent="0.15">
      <c r="A55" s="3"/>
      <c r="B55" s="19"/>
      <c r="C55" s="11"/>
      <c r="D55" s="23"/>
    </row>
    <row r="56" spans="1:4" ht="14.25" x14ac:dyDescent="0.15">
      <c r="A56" s="58" t="s">
        <v>24</v>
      </c>
      <c r="B56" s="40"/>
      <c r="C56" s="40"/>
      <c r="D56" s="38">
        <f>C49+C54</f>
        <v>13694321</v>
      </c>
    </row>
    <row r="57" spans="1:4" ht="11.25" customHeight="1" x14ac:dyDescent="0.15">
      <c r="A57" s="3"/>
      <c r="B57" s="19"/>
      <c r="C57" s="11"/>
      <c r="D57" s="23"/>
    </row>
    <row r="58" spans="1:4" ht="14.25" x14ac:dyDescent="0.15">
      <c r="A58" s="55" t="s">
        <v>3</v>
      </c>
      <c r="B58" s="30"/>
      <c r="C58" s="35"/>
      <c r="D58" s="31"/>
    </row>
    <row r="59" spans="1:4" ht="15" customHeight="1" x14ac:dyDescent="0.15">
      <c r="A59" s="55" t="s">
        <v>27</v>
      </c>
      <c r="B59" s="10"/>
      <c r="C59" s="39"/>
      <c r="D59" s="39">
        <v>0</v>
      </c>
    </row>
    <row r="60" spans="1:4" ht="15.75" customHeight="1" x14ac:dyDescent="0.15">
      <c r="A60" s="55" t="s">
        <v>28</v>
      </c>
      <c r="B60" s="47"/>
      <c r="C60" s="9"/>
      <c r="D60" s="43">
        <f>D42-D56</f>
        <v>95464970</v>
      </c>
    </row>
    <row r="61" spans="1:4" ht="15.75" customHeight="1" x14ac:dyDescent="0.15">
      <c r="A61" s="59" t="s">
        <v>11</v>
      </c>
      <c r="B61" s="9"/>
      <c r="D61" s="70">
        <f>D60-'31.3月 '!D59</f>
        <v>1365547</v>
      </c>
    </row>
    <row r="62" spans="1:4" ht="16.5" customHeight="1" x14ac:dyDescent="0.15">
      <c r="A62" s="55" t="s">
        <v>26</v>
      </c>
      <c r="B62" s="22"/>
      <c r="C62" s="48"/>
      <c r="D62" s="44">
        <f>D60</f>
        <v>95464970</v>
      </c>
    </row>
    <row r="63" spans="1:4" ht="14.25" x14ac:dyDescent="0.15">
      <c r="A63" s="55" t="s">
        <v>25</v>
      </c>
      <c r="B63" s="22"/>
      <c r="C63" s="9"/>
      <c r="D63" s="69">
        <f>D56+D62</f>
        <v>109159291</v>
      </c>
    </row>
    <row r="64" spans="1:4" x14ac:dyDescent="0.15">
      <c r="B64" s="2"/>
      <c r="D64" s="68"/>
    </row>
    <row r="65" spans="1:4" ht="12.75" customHeight="1" x14ac:dyDescent="0.2">
      <c r="A65" s="1"/>
    </row>
    <row r="66" spans="1:4" x14ac:dyDescent="0.15">
      <c r="A66" s="45"/>
      <c r="B66" s="45"/>
      <c r="D66" s="68"/>
    </row>
    <row r="67" spans="1:4" x14ac:dyDescent="0.15">
      <c r="C67" s="52"/>
      <c r="D67" s="45"/>
    </row>
    <row r="69" spans="1:4" x14ac:dyDescent="0.15">
      <c r="C69" s="52"/>
    </row>
    <row r="71" spans="1:4" ht="13.5" customHeight="1" x14ac:dyDescent="0.2">
      <c r="A71" s="21"/>
    </row>
    <row r="72" spans="1:4" ht="14.25" x14ac:dyDescent="0.15">
      <c r="A72" s="17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  <c r="B75" s="13"/>
      <c r="C75" s="17"/>
      <c r="D75" s="17"/>
    </row>
    <row r="76" spans="1:4" ht="14.25" x14ac:dyDescent="0.15">
      <c r="A76" s="17"/>
      <c r="B76" s="13"/>
      <c r="C76" s="17"/>
      <c r="D76" s="17"/>
    </row>
    <row r="77" spans="1:4" ht="14.25" x14ac:dyDescent="0.15">
      <c r="A77" s="17"/>
      <c r="B77" s="20"/>
      <c r="C77" s="17"/>
      <c r="D77" s="17"/>
    </row>
    <row r="78" spans="1:4" ht="14.25" x14ac:dyDescent="0.15">
      <c r="A78" s="17"/>
      <c r="B78" s="13"/>
      <c r="C78" s="17"/>
      <c r="D78" s="17"/>
    </row>
    <row r="79" spans="1:4" ht="14.25" x14ac:dyDescent="0.15">
      <c r="A79" s="17"/>
      <c r="B79" s="13"/>
      <c r="C79" s="13"/>
      <c r="D79" s="17"/>
    </row>
    <row r="80" spans="1:4" ht="14.25" x14ac:dyDescent="0.15">
      <c r="B80" s="17"/>
      <c r="C80" s="18"/>
      <c r="D80" s="17"/>
    </row>
    <row r="81" spans="1:4" ht="14.25" x14ac:dyDescent="0.15">
      <c r="A81" s="17"/>
      <c r="B81" s="17"/>
      <c r="C81" s="18"/>
      <c r="D81" s="17"/>
    </row>
    <row r="82" spans="1:4" ht="14.25" x14ac:dyDescent="0.15">
      <c r="C82" s="17"/>
      <c r="D82" s="17"/>
    </row>
    <row r="83" spans="1:4" ht="14.25" x14ac:dyDescent="0.15">
      <c r="A83" s="17"/>
      <c r="C83" s="17"/>
      <c r="D83" s="17"/>
    </row>
    <row r="84" spans="1:4" ht="14.25" x14ac:dyDescent="0.15">
      <c r="A84" s="17"/>
      <c r="B84" s="20"/>
      <c r="C84" s="18"/>
      <c r="D84" s="17"/>
    </row>
    <row r="85" spans="1:4" ht="14.25" x14ac:dyDescent="0.15">
      <c r="A85" s="17"/>
      <c r="B85" s="13"/>
      <c r="D85" s="17"/>
    </row>
    <row r="86" spans="1:4" ht="14.25" x14ac:dyDescent="0.15">
      <c r="B86" s="17"/>
      <c r="C86" s="17"/>
      <c r="D86" s="13"/>
    </row>
    <row r="87" spans="1:4" ht="14.25" x14ac:dyDescent="0.15">
      <c r="A87" s="17"/>
      <c r="B87" s="13"/>
      <c r="C87" s="13"/>
      <c r="D87" s="18"/>
    </row>
    <row r="88" spans="1:4" ht="14.25" x14ac:dyDescent="0.15">
      <c r="B88" s="13"/>
      <c r="C88" s="17"/>
      <c r="D88" s="17"/>
    </row>
    <row r="89" spans="1:4" ht="14.25" x14ac:dyDescent="0.15">
      <c r="A89" s="17"/>
      <c r="B89" s="13"/>
      <c r="C89" s="17"/>
      <c r="D89" s="18"/>
    </row>
    <row r="90" spans="1:4" ht="14.25" x14ac:dyDescent="0.15">
      <c r="C90" s="17"/>
      <c r="D90" s="17"/>
    </row>
    <row r="91" spans="1:4" ht="14.25" x14ac:dyDescent="0.15">
      <c r="A91" s="17"/>
      <c r="C91" s="17"/>
      <c r="D91" s="17"/>
    </row>
    <row r="92" spans="1:4" ht="14.25" x14ac:dyDescent="0.15">
      <c r="A92" s="17"/>
      <c r="B92" s="13"/>
      <c r="D92" s="17"/>
    </row>
    <row r="93" spans="1:4" ht="14.25" x14ac:dyDescent="0.15">
      <c r="A93" s="17"/>
      <c r="B93" s="13"/>
      <c r="D93" s="17"/>
    </row>
    <row r="94" spans="1:4" ht="14.25" x14ac:dyDescent="0.15">
      <c r="A94" s="17"/>
      <c r="B94" s="13"/>
      <c r="C94" s="17"/>
      <c r="D94" s="17"/>
    </row>
    <row r="95" spans="1:4" ht="14.25" x14ac:dyDescent="0.15">
      <c r="A95" s="17"/>
      <c r="C95" s="13"/>
      <c r="D95" s="17"/>
    </row>
    <row r="96" spans="1:4" ht="14.25" x14ac:dyDescent="0.15">
      <c r="A96" s="17"/>
      <c r="B96" s="13"/>
      <c r="D96" s="17"/>
    </row>
    <row r="97" spans="1:4" ht="14.25" x14ac:dyDescent="0.15">
      <c r="A97" s="17"/>
      <c r="B97" s="13"/>
      <c r="C97" s="17"/>
      <c r="D97" s="17"/>
    </row>
    <row r="98" spans="1:4" ht="14.25" x14ac:dyDescent="0.15">
      <c r="A98" s="17"/>
      <c r="B98" s="13"/>
      <c r="C98" s="17"/>
    </row>
    <row r="99" spans="1:4" ht="14.25" x14ac:dyDescent="0.15">
      <c r="A99" s="17"/>
      <c r="B99" s="13"/>
      <c r="C99" s="17"/>
    </row>
    <row r="100" spans="1:4" ht="14.25" x14ac:dyDescent="0.15">
      <c r="A100" s="17"/>
      <c r="B100" s="13"/>
      <c r="C100" s="17"/>
      <c r="D100" s="17"/>
    </row>
    <row r="101" spans="1:4" ht="14.25" x14ac:dyDescent="0.15">
      <c r="A101" s="17"/>
      <c r="B101" s="13"/>
      <c r="D101" s="13"/>
    </row>
    <row r="102" spans="1:4" ht="14.25" x14ac:dyDescent="0.15">
      <c r="A102" s="17"/>
      <c r="B102" s="13"/>
      <c r="C102" s="17"/>
    </row>
    <row r="103" spans="1:4" ht="14.25" x14ac:dyDescent="0.15">
      <c r="A103" s="17"/>
      <c r="B103" s="17"/>
      <c r="D103" s="18"/>
    </row>
    <row r="104" spans="1:4" ht="14.25" x14ac:dyDescent="0.15">
      <c r="A104" s="17"/>
    </row>
    <row r="105" spans="1:4" ht="14.25" x14ac:dyDescent="0.15">
      <c r="A105" s="17" t="s">
        <v>0</v>
      </c>
      <c r="C105" s="18" t="s">
        <v>0</v>
      </c>
      <c r="D105" s="18" t="s">
        <v>0</v>
      </c>
    </row>
    <row r="106" spans="1:4" x14ac:dyDescent="0.15">
      <c r="A106" t="s">
        <v>0</v>
      </c>
    </row>
    <row r="107" spans="1:4" ht="14.25" x14ac:dyDescent="0.15">
      <c r="A107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6B2E3-4FF8-467E-9347-F559FF63594D}">
  <dimension ref="A1:G101"/>
  <sheetViews>
    <sheetView topLeftCell="A49" workbookViewId="0">
      <selection activeCell="D55" sqref="D55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</cols>
  <sheetData>
    <row r="1" spans="1:7" ht="17.25" x14ac:dyDescent="0.2">
      <c r="A1" s="1" t="s">
        <v>53</v>
      </c>
      <c r="B1" s="1"/>
    </row>
    <row r="2" spans="1:7" ht="17.25" customHeight="1" x14ac:dyDescent="0.15">
      <c r="A2" s="111" t="s">
        <v>59</v>
      </c>
      <c r="B2" s="111"/>
      <c r="C2" s="111"/>
      <c r="D2" s="111"/>
    </row>
    <row r="3" spans="1:7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7" ht="15" customHeight="1" x14ac:dyDescent="0.15">
      <c r="C4" s="115" t="s">
        <v>49</v>
      </c>
      <c r="D4" s="115"/>
      <c r="F4" s="46"/>
    </row>
    <row r="5" spans="1:7" ht="17.25" x14ac:dyDescent="0.2">
      <c r="A5" s="56" t="s">
        <v>5</v>
      </c>
      <c r="B5" s="50"/>
      <c r="C5" s="49" t="s">
        <v>4</v>
      </c>
      <c r="D5" s="49"/>
    </row>
    <row r="6" spans="1:7" ht="14.25" x14ac:dyDescent="0.15">
      <c r="A6" s="55" t="s">
        <v>2</v>
      </c>
      <c r="B6" s="24"/>
      <c r="C6" s="4"/>
      <c r="D6" s="28"/>
    </row>
    <row r="7" spans="1:7" ht="14.25" x14ac:dyDescent="0.15">
      <c r="A7" s="55" t="s">
        <v>19</v>
      </c>
      <c r="B7" s="14"/>
      <c r="C7" s="5"/>
      <c r="D7" s="12"/>
    </row>
    <row r="8" spans="1:7" ht="14.25" x14ac:dyDescent="0.15">
      <c r="A8" s="55" t="s">
        <v>34</v>
      </c>
      <c r="B8" s="51">
        <v>2445</v>
      </c>
      <c r="C8" s="5"/>
      <c r="D8" s="12"/>
    </row>
    <row r="9" spans="1:7" ht="14.25" x14ac:dyDescent="0.15">
      <c r="A9" s="55" t="s">
        <v>35</v>
      </c>
      <c r="B9" s="27">
        <f>SUM(B10:B14)</f>
        <v>9751702</v>
      </c>
      <c r="C9" s="5"/>
      <c r="D9" s="12"/>
    </row>
    <row r="10" spans="1:7" ht="14.25" x14ac:dyDescent="0.15">
      <c r="A10" s="53" t="s">
        <v>13</v>
      </c>
      <c r="B10" s="32">
        <v>5866227</v>
      </c>
      <c r="C10" s="5"/>
      <c r="D10" s="23"/>
    </row>
    <row r="11" spans="1:7" ht="14.25" x14ac:dyDescent="0.15">
      <c r="A11" s="54" t="s">
        <v>12</v>
      </c>
      <c r="B11" s="41">
        <v>1137461</v>
      </c>
      <c r="C11" s="5"/>
      <c r="D11" s="23"/>
    </row>
    <row r="12" spans="1:7" ht="14.25" x14ac:dyDescent="0.15">
      <c r="A12" s="53" t="s">
        <v>45</v>
      </c>
      <c r="B12" s="32">
        <v>1253690</v>
      </c>
      <c r="C12" s="5"/>
      <c r="D12" s="23"/>
    </row>
    <row r="13" spans="1:7" ht="14.25" x14ac:dyDescent="0.15">
      <c r="A13" s="53" t="s">
        <v>44</v>
      </c>
      <c r="B13" s="41">
        <v>1180132</v>
      </c>
      <c r="C13" s="5"/>
      <c r="D13" s="12"/>
    </row>
    <row r="14" spans="1:7" ht="14.25" x14ac:dyDescent="0.15">
      <c r="A14" s="53" t="s">
        <v>46</v>
      </c>
      <c r="B14" s="41">
        <v>314192</v>
      </c>
      <c r="C14" s="5"/>
      <c r="D14" s="12"/>
    </row>
    <row r="15" spans="1:7" ht="14.25" x14ac:dyDescent="0.15">
      <c r="A15" s="55" t="s">
        <v>36</v>
      </c>
      <c r="B15" s="27">
        <f>SUM(B16:B20)</f>
        <v>30351636</v>
      </c>
      <c r="C15" s="6"/>
      <c r="D15" s="12"/>
    </row>
    <row r="16" spans="1:7" ht="14.25" x14ac:dyDescent="0.15">
      <c r="A16" s="54" t="s">
        <v>14</v>
      </c>
      <c r="B16" s="32">
        <v>5318500</v>
      </c>
      <c r="C16" s="11"/>
      <c r="D16" s="12"/>
    </row>
    <row r="17" spans="1:4" ht="14.25" x14ac:dyDescent="0.15">
      <c r="A17" s="54" t="s">
        <v>15</v>
      </c>
      <c r="B17" s="32">
        <v>18273932</v>
      </c>
      <c r="C17" s="5"/>
      <c r="D17" s="12"/>
    </row>
    <row r="18" spans="1:4" ht="14.25" x14ac:dyDescent="0.15">
      <c r="A18" s="53" t="s">
        <v>58</v>
      </c>
      <c r="B18" s="32">
        <v>3660747</v>
      </c>
      <c r="C18" s="5"/>
      <c r="D18" s="12"/>
    </row>
    <row r="19" spans="1:4" ht="14.25" x14ac:dyDescent="0.15">
      <c r="A19" s="54" t="s">
        <v>16</v>
      </c>
      <c r="B19" s="65">
        <v>2589957</v>
      </c>
      <c r="C19" s="66"/>
      <c r="D19" s="12"/>
    </row>
    <row r="20" spans="1:4" ht="14.25" x14ac:dyDescent="0.15">
      <c r="A20" s="54" t="s">
        <v>17</v>
      </c>
      <c r="B20" s="32">
        <v>508500</v>
      </c>
      <c r="C20" s="5"/>
      <c r="D20" s="12"/>
    </row>
    <row r="21" spans="1:4" ht="14.25" x14ac:dyDescent="0.15">
      <c r="A21" s="55" t="s">
        <v>37</v>
      </c>
      <c r="B21" s="27">
        <v>364866</v>
      </c>
      <c r="C21" s="5"/>
      <c r="D21" s="12"/>
    </row>
    <row r="22" spans="1:4" ht="14.25" x14ac:dyDescent="0.15">
      <c r="A22" s="55" t="s">
        <v>57</v>
      </c>
      <c r="B22" s="27">
        <v>0</v>
      </c>
      <c r="C22" s="15" t="s">
        <v>7</v>
      </c>
      <c r="D22" s="12"/>
    </row>
    <row r="23" spans="1:4" ht="14.25" x14ac:dyDescent="0.15">
      <c r="A23" s="61" t="s">
        <v>38</v>
      </c>
      <c r="B23" s="7"/>
      <c r="C23" s="36">
        <f>B8+B9+B15+B21+B22</f>
        <v>40470649</v>
      </c>
      <c r="D23" s="12"/>
    </row>
    <row r="24" spans="1:4" ht="14.25" x14ac:dyDescent="0.15">
      <c r="A24" s="11"/>
      <c r="B24" s="14"/>
      <c r="C24" s="5"/>
      <c r="D24" s="29" t="s">
        <v>8</v>
      </c>
    </row>
    <row r="25" spans="1:4" ht="14.25" x14ac:dyDescent="0.15">
      <c r="A25" s="55" t="s">
        <v>20</v>
      </c>
      <c r="B25" s="26" t="s">
        <v>6</v>
      </c>
      <c r="C25" s="5"/>
      <c r="D25" s="25"/>
    </row>
    <row r="26" spans="1:4" ht="14.25" x14ac:dyDescent="0.15">
      <c r="A26" s="55" t="s">
        <v>39</v>
      </c>
      <c r="B26" s="27">
        <v>68786895</v>
      </c>
      <c r="C26" s="5"/>
      <c r="D26" s="12"/>
    </row>
    <row r="27" spans="1:4" ht="14.25" x14ac:dyDescent="0.15">
      <c r="A27" s="55" t="s">
        <v>54</v>
      </c>
      <c r="B27" s="27">
        <v>17982289</v>
      </c>
      <c r="C27" s="5"/>
      <c r="D27" s="12"/>
    </row>
    <row r="28" spans="1:4" ht="14.25" x14ac:dyDescent="0.15">
      <c r="A28" s="55" t="s">
        <v>55</v>
      </c>
      <c r="B28" s="27">
        <v>2842648</v>
      </c>
      <c r="C28" s="5"/>
      <c r="D28" s="12"/>
    </row>
    <row r="29" spans="1:4" ht="14.25" x14ac:dyDescent="0.15">
      <c r="A29" s="55" t="s">
        <v>40</v>
      </c>
      <c r="B29" s="27">
        <v>1271763</v>
      </c>
      <c r="C29" s="5"/>
      <c r="D29" s="12"/>
    </row>
    <row r="30" spans="1:4" ht="14.25" x14ac:dyDescent="0.15">
      <c r="A30" s="55" t="s">
        <v>41</v>
      </c>
      <c r="B30" s="27">
        <v>110600</v>
      </c>
      <c r="C30" s="5"/>
      <c r="D30" s="12"/>
    </row>
    <row r="31" spans="1:4" ht="14.25" x14ac:dyDescent="0.15">
      <c r="A31" s="55" t="s">
        <v>42</v>
      </c>
      <c r="B31" s="27">
        <v>350000</v>
      </c>
      <c r="C31" s="11"/>
      <c r="D31" s="12"/>
    </row>
    <row r="32" spans="1:4" ht="14.25" x14ac:dyDescent="0.15">
      <c r="A32" s="57"/>
      <c r="B32" s="26"/>
      <c r="C32" s="6"/>
      <c r="D32" s="12"/>
    </row>
    <row r="33" spans="1:4" ht="14.25" x14ac:dyDescent="0.15">
      <c r="A33" s="61" t="s">
        <v>43</v>
      </c>
      <c r="B33" s="8"/>
      <c r="C33" s="37">
        <f>SUM(B26:B31)</f>
        <v>91344195</v>
      </c>
      <c r="D33" s="12"/>
    </row>
    <row r="34" spans="1:4" ht="14.25" x14ac:dyDescent="0.15">
      <c r="A34" s="11"/>
      <c r="B34" s="19"/>
      <c r="C34" s="5"/>
      <c r="D34" s="12"/>
    </row>
    <row r="35" spans="1:4" ht="14.25" x14ac:dyDescent="0.15">
      <c r="A35" s="58" t="s">
        <v>23</v>
      </c>
      <c r="B35" s="8"/>
      <c r="C35" s="10"/>
      <c r="D35" s="38">
        <f>C23+C33</f>
        <v>131814844</v>
      </c>
    </row>
    <row r="36" spans="1:4" x14ac:dyDescent="0.15">
      <c r="A36" s="9"/>
      <c r="B36" s="62"/>
      <c r="C36" s="62"/>
      <c r="D36" s="62"/>
    </row>
    <row r="37" spans="1:4" ht="14.25" x14ac:dyDescent="0.15">
      <c r="A37" s="60" t="s">
        <v>18</v>
      </c>
      <c r="B37" s="26"/>
      <c r="C37" s="5"/>
      <c r="D37" s="12"/>
    </row>
    <row r="38" spans="1:4" ht="14.25" x14ac:dyDescent="0.15">
      <c r="A38" s="55" t="s">
        <v>21</v>
      </c>
      <c r="B38" s="26"/>
      <c r="C38" s="5"/>
      <c r="D38" s="23"/>
    </row>
    <row r="39" spans="1:4" ht="14.25" x14ac:dyDescent="0.15">
      <c r="A39" s="55" t="s">
        <v>32</v>
      </c>
      <c r="B39" s="27">
        <v>3488895</v>
      </c>
      <c r="C39" s="5"/>
      <c r="D39" s="29"/>
    </row>
    <row r="40" spans="1:4" ht="14.25" x14ac:dyDescent="0.15">
      <c r="A40" s="55" t="s">
        <v>33</v>
      </c>
      <c r="B40" s="27">
        <v>10000000</v>
      </c>
      <c r="C40" s="5"/>
      <c r="D40" s="12"/>
    </row>
    <row r="41" spans="1:4" ht="14.25" x14ac:dyDescent="0.15">
      <c r="A41" s="59"/>
      <c r="B41" s="26"/>
      <c r="C41" s="11"/>
      <c r="D41" s="12"/>
    </row>
    <row r="42" spans="1:4" ht="14.25" x14ac:dyDescent="0.15">
      <c r="A42" s="55" t="s">
        <v>31</v>
      </c>
      <c r="B42" s="8"/>
      <c r="C42" s="37">
        <f>B39+B40</f>
        <v>13488895</v>
      </c>
      <c r="D42" s="23"/>
    </row>
    <row r="43" spans="1:4" ht="14.25" x14ac:dyDescent="0.15">
      <c r="A43" s="3"/>
      <c r="B43" s="14"/>
      <c r="C43" s="34"/>
      <c r="D43" s="25"/>
    </row>
    <row r="44" spans="1:4" ht="14.25" x14ac:dyDescent="0.15">
      <c r="A44" s="55" t="s">
        <v>22</v>
      </c>
      <c r="B44" s="19"/>
      <c r="C44" s="33"/>
      <c r="D44" s="23"/>
    </row>
    <row r="45" spans="1:4" ht="14.25" x14ac:dyDescent="0.15">
      <c r="A45" s="55" t="s">
        <v>30</v>
      </c>
      <c r="B45" s="27">
        <v>42838000</v>
      </c>
      <c r="C45" s="11"/>
      <c r="D45" s="25"/>
    </row>
    <row r="46" spans="1:4" ht="14.25" x14ac:dyDescent="0.15">
      <c r="A46" s="9"/>
      <c r="B46" s="19"/>
      <c r="C46" s="11"/>
      <c r="D46" s="25"/>
    </row>
    <row r="47" spans="1:4" ht="14.25" x14ac:dyDescent="0.15">
      <c r="A47" s="61" t="s">
        <v>29</v>
      </c>
      <c r="B47" s="10"/>
      <c r="C47" s="37">
        <f>B45</f>
        <v>42838000</v>
      </c>
      <c r="D47" s="23"/>
    </row>
    <row r="48" spans="1:4" ht="14.25" x14ac:dyDescent="0.15">
      <c r="A48" s="3"/>
      <c r="B48" s="19"/>
      <c r="C48" s="11"/>
      <c r="D48" s="23"/>
    </row>
    <row r="49" spans="1:4" ht="14.25" x14ac:dyDescent="0.15">
      <c r="A49" s="58" t="s">
        <v>24</v>
      </c>
      <c r="B49" s="40"/>
      <c r="C49" s="40"/>
      <c r="D49" s="38">
        <f>C42+C47</f>
        <v>56326895</v>
      </c>
    </row>
    <row r="50" spans="1:4" ht="14.25" x14ac:dyDescent="0.15">
      <c r="A50" s="3"/>
      <c r="B50" s="19"/>
      <c r="C50" s="11"/>
      <c r="D50" s="23"/>
    </row>
    <row r="51" spans="1:4" ht="14.25" x14ac:dyDescent="0.15">
      <c r="A51" s="55" t="s">
        <v>3</v>
      </c>
      <c r="B51" s="30"/>
      <c r="C51" s="35"/>
      <c r="D51" s="31"/>
    </row>
    <row r="52" spans="1:4" ht="15" customHeight="1" x14ac:dyDescent="0.15">
      <c r="A52" s="55" t="s">
        <v>27</v>
      </c>
      <c r="B52" s="10"/>
      <c r="C52" s="39"/>
      <c r="D52" s="39">
        <v>0</v>
      </c>
    </row>
    <row r="53" spans="1:4" ht="15.75" customHeight="1" x14ac:dyDescent="0.15">
      <c r="A53" s="55" t="s">
        <v>28</v>
      </c>
      <c r="B53" s="47"/>
      <c r="C53" s="9"/>
      <c r="D53" s="43">
        <f>D35-D49</f>
        <v>75487949</v>
      </c>
    </row>
    <row r="54" spans="1:4" ht="15.75" customHeight="1" x14ac:dyDescent="0.15">
      <c r="A54" s="59" t="s">
        <v>11</v>
      </c>
      <c r="B54" s="9"/>
      <c r="D54" s="42">
        <v>16566939</v>
      </c>
    </row>
    <row r="55" spans="1:4" ht="16.5" customHeight="1" x14ac:dyDescent="0.15">
      <c r="A55" s="55" t="s">
        <v>26</v>
      </c>
      <c r="B55" s="22"/>
      <c r="C55" s="48"/>
      <c r="D55" s="44">
        <f>D53</f>
        <v>75487949</v>
      </c>
    </row>
    <row r="56" spans="1:4" ht="14.25" x14ac:dyDescent="0.15">
      <c r="A56" s="55" t="s">
        <v>25</v>
      </c>
      <c r="B56" s="16"/>
      <c r="C56" s="10"/>
      <c r="D56" s="38">
        <f>D49+D55</f>
        <v>131814844</v>
      </c>
    </row>
    <row r="57" spans="1:4" ht="9" customHeight="1" x14ac:dyDescent="0.15"/>
    <row r="58" spans="1:4" x14ac:dyDescent="0.15">
      <c r="B58" s="2"/>
    </row>
    <row r="59" spans="1:4" ht="12.75" customHeight="1" x14ac:dyDescent="0.2">
      <c r="A59" s="1"/>
    </row>
    <row r="60" spans="1:4" x14ac:dyDescent="0.15">
      <c r="A60" s="45"/>
      <c r="B60" s="45"/>
    </row>
    <row r="61" spans="1:4" x14ac:dyDescent="0.15">
      <c r="C61" s="52"/>
      <c r="D61" s="45"/>
    </row>
    <row r="63" spans="1:4" x14ac:dyDescent="0.15">
      <c r="C63" s="52"/>
    </row>
    <row r="65" spans="1:4" ht="17.25" x14ac:dyDescent="0.2">
      <c r="A65" s="21"/>
    </row>
    <row r="66" spans="1:4" ht="14.25" x14ac:dyDescent="0.15">
      <c r="A66" s="17"/>
    </row>
    <row r="67" spans="1:4" ht="14.25" x14ac:dyDescent="0.15">
      <c r="A67" s="17"/>
    </row>
    <row r="68" spans="1:4" ht="14.25" x14ac:dyDescent="0.15">
      <c r="A68" s="17"/>
    </row>
    <row r="69" spans="1:4" ht="14.25" x14ac:dyDescent="0.15">
      <c r="A69" s="17"/>
      <c r="B69" s="13"/>
      <c r="C69" s="17"/>
      <c r="D69" s="17"/>
    </row>
    <row r="70" spans="1:4" ht="14.25" x14ac:dyDescent="0.15">
      <c r="A70" s="17"/>
      <c r="B70" s="13"/>
      <c r="C70" s="17"/>
      <c r="D70" s="17"/>
    </row>
    <row r="71" spans="1:4" ht="14.25" x14ac:dyDescent="0.15">
      <c r="A71" s="17"/>
      <c r="B71" s="20"/>
      <c r="C71" s="17"/>
      <c r="D71" s="17"/>
    </row>
    <row r="72" spans="1:4" ht="14.25" x14ac:dyDescent="0.15">
      <c r="A72" s="17"/>
      <c r="B72" s="13"/>
      <c r="C72" s="17"/>
      <c r="D72" s="17"/>
    </row>
    <row r="73" spans="1:4" ht="14.25" x14ac:dyDescent="0.15">
      <c r="A73" s="17"/>
      <c r="B73" s="13"/>
      <c r="C73" s="13"/>
      <c r="D73" s="17"/>
    </row>
    <row r="74" spans="1:4" ht="14.25" x14ac:dyDescent="0.15">
      <c r="B74" s="17"/>
      <c r="C74" s="18"/>
      <c r="D74" s="17"/>
    </row>
    <row r="75" spans="1:4" ht="14.25" x14ac:dyDescent="0.15">
      <c r="A75" s="17"/>
      <c r="B75" s="17"/>
      <c r="C75" s="18"/>
      <c r="D75" s="17"/>
    </row>
    <row r="76" spans="1:4" ht="14.25" x14ac:dyDescent="0.15">
      <c r="C76" s="17"/>
      <c r="D76" s="17"/>
    </row>
    <row r="77" spans="1:4" ht="14.25" x14ac:dyDescent="0.15">
      <c r="A77" s="17"/>
      <c r="C77" s="17"/>
      <c r="D77" s="17"/>
    </row>
    <row r="78" spans="1:4" ht="14.25" x14ac:dyDescent="0.15">
      <c r="A78" s="17"/>
      <c r="B78" s="20"/>
      <c r="C78" s="18"/>
      <c r="D78" s="17"/>
    </row>
    <row r="79" spans="1:4" ht="14.25" x14ac:dyDescent="0.15">
      <c r="A79" s="17"/>
      <c r="B79" s="13"/>
      <c r="D79" s="17"/>
    </row>
    <row r="80" spans="1:4" ht="14.25" x14ac:dyDescent="0.15">
      <c r="B80" s="17"/>
      <c r="C80" s="17"/>
      <c r="D80" s="13"/>
    </row>
    <row r="81" spans="1:4" ht="14.25" x14ac:dyDescent="0.15">
      <c r="A81" s="17"/>
      <c r="B81" s="13"/>
      <c r="C81" s="13"/>
      <c r="D81" s="18"/>
    </row>
    <row r="82" spans="1:4" ht="14.25" x14ac:dyDescent="0.15">
      <c r="B82" s="13"/>
      <c r="C82" s="17"/>
      <c r="D82" s="17"/>
    </row>
    <row r="83" spans="1:4" ht="14.25" x14ac:dyDescent="0.15">
      <c r="A83" s="17"/>
      <c r="B83" s="13"/>
      <c r="C83" s="17"/>
      <c r="D83" s="18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13"/>
      <c r="D86" s="17"/>
    </row>
    <row r="87" spans="1:4" ht="14.25" x14ac:dyDescent="0.15">
      <c r="A87" s="17"/>
      <c r="B87" s="13"/>
      <c r="D87" s="17"/>
    </row>
    <row r="88" spans="1:4" ht="14.25" x14ac:dyDescent="0.15">
      <c r="A88" s="17"/>
      <c r="B88" s="13"/>
      <c r="C88" s="17"/>
      <c r="D88" s="17"/>
    </row>
    <row r="89" spans="1:4" ht="14.25" x14ac:dyDescent="0.15">
      <c r="A89" s="17"/>
      <c r="C89" s="13"/>
      <c r="D89" s="17"/>
    </row>
    <row r="90" spans="1:4" ht="14.25" x14ac:dyDescent="0.15">
      <c r="A90" s="17"/>
      <c r="B90" s="13"/>
      <c r="D90" s="17"/>
    </row>
    <row r="91" spans="1:4" ht="14.25" x14ac:dyDescent="0.15">
      <c r="A91" s="17"/>
      <c r="B91" s="13"/>
      <c r="C91" s="17"/>
      <c r="D91" s="17"/>
    </row>
    <row r="92" spans="1:4" ht="14.25" x14ac:dyDescent="0.15">
      <c r="A92" s="17"/>
      <c r="B92" s="13"/>
      <c r="C92" s="17"/>
    </row>
    <row r="93" spans="1:4" ht="14.25" x14ac:dyDescent="0.15">
      <c r="A93" s="17"/>
      <c r="B93" s="13"/>
      <c r="C93" s="17"/>
    </row>
    <row r="94" spans="1:4" ht="14.25" x14ac:dyDescent="0.15">
      <c r="A94" s="17"/>
      <c r="B94" s="13"/>
      <c r="C94" s="17"/>
      <c r="D94" s="17"/>
    </row>
    <row r="95" spans="1:4" ht="14.25" x14ac:dyDescent="0.15">
      <c r="A95" s="17"/>
      <c r="B95" s="13"/>
      <c r="D95" s="13"/>
    </row>
    <row r="96" spans="1:4" ht="14.25" x14ac:dyDescent="0.15">
      <c r="A96" s="17"/>
      <c r="B96" s="13"/>
      <c r="C96" s="17"/>
    </row>
    <row r="97" spans="1:4" ht="14.25" x14ac:dyDescent="0.15">
      <c r="A97" s="17"/>
      <c r="B97" s="17"/>
      <c r="D97" s="18"/>
    </row>
    <row r="98" spans="1:4" ht="14.25" x14ac:dyDescent="0.15">
      <c r="A98" s="17"/>
    </row>
    <row r="99" spans="1:4" ht="14.25" x14ac:dyDescent="0.15">
      <c r="A99" s="17" t="s">
        <v>0</v>
      </c>
      <c r="C99" s="18" t="s">
        <v>0</v>
      </c>
      <c r="D99" s="18" t="s">
        <v>0</v>
      </c>
    </row>
    <row r="100" spans="1:4" x14ac:dyDescent="0.15">
      <c r="A100" t="s">
        <v>0</v>
      </c>
    </row>
    <row r="101" spans="1:4" ht="14.25" x14ac:dyDescent="0.15">
      <c r="A101" s="17" t="s">
        <v>9</v>
      </c>
    </row>
  </sheetData>
  <mergeCells count="3">
    <mergeCell ref="C3:D3"/>
    <mergeCell ref="C4:D4"/>
    <mergeCell ref="A2:D2"/>
  </mergeCells>
  <phoneticPr fontId="3"/>
  <pageMargins left="0.78740157480314965" right="0.78740157480314965" top="0.78740157480314965" bottom="0.39370078740157483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4117A-AC02-4ADE-A78A-F5A7B36FBD98}">
  <dimension ref="A1:G107"/>
  <sheetViews>
    <sheetView zoomScaleNormal="100" workbookViewId="0">
      <selection activeCell="A4" sqref="A4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</cols>
  <sheetData>
    <row r="1" spans="1:7" ht="17.25" x14ac:dyDescent="0.2">
      <c r="A1" s="1" t="s">
        <v>88</v>
      </c>
      <c r="B1" s="1"/>
    </row>
    <row r="2" spans="1:7" ht="17.25" customHeight="1" x14ac:dyDescent="0.15">
      <c r="A2" s="111" t="s">
        <v>98</v>
      </c>
      <c r="B2" s="111"/>
      <c r="C2" s="111"/>
      <c r="D2" s="111"/>
    </row>
    <row r="3" spans="1:7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7" ht="15" customHeight="1" x14ac:dyDescent="0.15">
      <c r="C4" s="115" t="s">
        <v>49</v>
      </c>
      <c r="D4" s="115"/>
      <c r="F4" s="46"/>
    </row>
    <row r="5" spans="1:7" ht="17.25" x14ac:dyDescent="0.2">
      <c r="A5" s="56" t="s">
        <v>5</v>
      </c>
      <c r="B5" s="50"/>
      <c r="C5" s="49" t="s">
        <v>4</v>
      </c>
      <c r="D5" s="49"/>
    </row>
    <row r="6" spans="1:7" ht="14.25" x14ac:dyDescent="0.15">
      <c r="A6" s="55" t="s">
        <v>2</v>
      </c>
      <c r="B6" s="24"/>
      <c r="C6" s="4"/>
      <c r="D6" s="28"/>
    </row>
    <row r="7" spans="1:7" ht="14.25" x14ac:dyDescent="0.15">
      <c r="A7" s="55" t="s">
        <v>19</v>
      </c>
      <c r="B7" s="14"/>
      <c r="C7" s="5"/>
      <c r="D7" s="12"/>
    </row>
    <row r="8" spans="1:7" ht="14.25" x14ac:dyDescent="0.15">
      <c r="A8" s="55" t="s">
        <v>34</v>
      </c>
      <c r="B8" s="51">
        <v>2385</v>
      </c>
      <c r="C8" s="5"/>
      <c r="D8" s="12"/>
    </row>
    <row r="9" spans="1:7" ht="14.25" x14ac:dyDescent="0.15">
      <c r="A9" s="55" t="s">
        <v>35</v>
      </c>
      <c r="B9" s="27">
        <f>SUM(B10:B14)</f>
        <v>13230697</v>
      </c>
      <c r="C9" s="5"/>
      <c r="D9" s="12"/>
    </row>
    <row r="10" spans="1:7" ht="14.25" x14ac:dyDescent="0.15">
      <c r="A10" s="53" t="s">
        <v>13</v>
      </c>
      <c r="B10" s="67">
        <f>8863190+117709+51341+362897+272230+70485</f>
        <v>9737852</v>
      </c>
      <c r="C10" s="5"/>
      <c r="D10" s="23"/>
    </row>
    <row r="11" spans="1:7" ht="14.25" x14ac:dyDescent="0.15">
      <c r="A11" s="54" t="s">
        <v>12</v>
      </c>
      <c r="B11" s="67">
        <f>173289+475095+56627</f>
        <v>705011</v>
      </c>
      <c r="C11" s="5"/>
      <c r="D11" s="23"/>
    </row>
    <row r="12" spans="1:7" ht="14.25" x14ac:dyDescent="0.15">
      <c r="A12" s="53" t="s">
        <v>45</v>
      </c>
      <c r="B12" s="32">
        <v>1548456</v>
      </c>
      <c r="C12" s="5"/>
      <c r="D12" s="23"/>
    </row>
    <row r="13" spans="1:7" ht="14.25" x14ac:dyDescent="0.15">
      <c r="A13" s="53" t="s">
        <v>44</v>
      </c>
      <c r="B13" s="41">
        <v>1029366</v>
      </c>
      <c r="C13" s="5"/>
      <c r="D13" s="12"/>
    </row>
    <row r="14" spans="1:7" ht="14.25" x14ac:dyDescent="0.15">
      <c r="A14" s="53" t="s">
        <v>46</v>
      </c>
      <c r="B14" s="41">
        <v>210012</v>
      </c>
      <c r="C14" s="5"/>
      <c r="D14" s="12"/>
    </row>
    <row r="15" spans="1:7" ht="14.25" x14ac:dyDescent="0.15">
      <c r="A15" s="55" t="s">
        <v>36</v>
      </c>
      <c r="B15" s="27">
        <f>SUM(B16:B26)</f>
        <v>28204578</v>
      </c>
      <c r="C15" s="6"/>
      <c r="D15" s="12"/>
    </row>
    <row r="16" spans="1:7" ht="14.25" x14ac:dyDescent="0.15">
      <c r="A16" s="54" t="s">
        <v>14</v>
      </c>
      <c r="B16" s="32">
        <f>27720+5317880</f>
        <v>5345600</v>
      </c>
      <c r="C16" s="11"/>
      <c r="D16" s="12"/>
    </row>
    <row r="17" spans="1:4" ht="14.25" x14ac:dyDescent="0.15">
      <c r="A17" s="54" t="s">
        <v>15</v>
      </c>
      <c r="B17" s="67">
        <f>13284691+1025049+642200</f>
        <v>14951940</v>
      </c>
      <c r="C17" s="5"/>
      <c r="D17" s="12"/>
    </row>
    <row r="18" spans="1:4" ht="14.25" x14ac:dyDescent="0.15">
      <c r="A18" s="53" t="s">
        <v>58</v>
      </c>
      <c r="B18" s="32">
        <f>3575856+308630+94800</f>
        <v>3979286</v>
      </c>
      <c r="C18" s="11"/>
      <c r="D18" s="12"/>
    </row>
    <row r="19" spans="1:4" ht="14.25" x14ac:dyDescent="0.15">
      <c r="A19" s="54" t="s">
        <v>16</v>
      </c>
      <c r="B19" s="67">
        <f>1527543+107586+92700</f>
        <v>1727829</v>
      </c>
      <c r="C19" s="5"/>
      <c r="D19" s="12"/>
    </row>
    <row r="20" spans="1:4" ht="14.25" x14ac:dyDescent="0.15">
      <c r="A20" s="54" t="s">
        <v>67</v>
      </c>
      <c r="B20" s="67">
        <f>1245810+92483</f>
        <v>1338293</v>
      </c>
      <c r="C20" s="5"/>
      <c r="D20" s="12"/>
    </row>
    <row r="21" spans="1:4" ht="14.25" x14ac:dyDescent="0.15">
      <c r="A21" s="54" t="s">
        <v>72</v>
      </c>
      <c r="B21" s="67">
        <v>20300</v>
      </c>
      <c r="C21" s="5"/>
      <c r="D21" s="12"/>
    </row>
    <row r="22" spans="1:4" ht="14.25" x14ac:dyDescent="0.15">
      <c r="A22" s="54" t="s">
        <v>81</v>
      </c>
      <c r="B22" s="67">
        <f>401034+25846+34200</f>
        <v>461080</v>
      </c>
      <c r="C22" s="5"/>
      <c r="D22" s="12"/>
    </row>
    <row r="23" spans="1:4" ht="14.25" x14ac:dyDescent="0.15">
      <c r="A23" s="54" t="s">
        <v>82</v>
      </c>
      <c r="B23" s="67">
        <v>97200</v>
      </c>
      <c r="C23" s="5"/>
      <c r="D23" s="12"/>
    </row>
    <row r="24" spans="1:4" ht="14.25" x14ac:dyDescent="0.15">
      <c r="A24" s="54" t="s">
        <v>17</v>
      </c>
      <c r="B24" s="32">
        <v>268050</v>
      </c>
      <c r="C24" s="5"/>
      <c r="D24" s="12"/>
    </row>
    <row r="25" spans="1:4" ht="14.25" x14ac:dyDescent="0.15">
      <c r="A25" s="54" t="s">
        <v>71</v>
      </c>
      <c r="B25" s="41">
        <v>15000</v>
      </c>
      <c r="C25" s="5"/>
      <c r="D25" s="12"/>
    </row>
    <row r="26" spans="1:4" ht="14.25" x14ac:dyDescent="0.15">
      <c r="A26" s="54" t="s">
        <v>79</v>
      </c>
      <c r="B26" s="41">
        <v>0</v>
      </c>
      <c r="C26" s="5"/>
      <c r="D26" s="12"/>
    </row>
    <row r="27" spans="1:4" ht="14.25" x14ac:dyDescent="0.15">
      <c r="A27" s="55" t="s">
        <v>37</v>
      </c>
      <c r="B27" s="27">
        <v>997304</v>
      </c>
      <c r="C27" s="15" t="s">
        <v>0</v>
      </c>
      <c r="D27" s="12"/>
    </row>
    <row r="28" spans="1:4" ht="14.25" x14ac:dyDescent="0.15">
      <c r="A28" s="61" t="s">
        <v>96</v>
      </c>
      <c r="B28" s="27">
        <v>52890</v>
      </c>
      <c r="C28" s="15"/>
      <c r="D28" s="12"/>
    </row>
    <row r="29" spans="1:4" ht="14.25" x14ac:dyDescent="0.15">
      <c r="A29" s="61" t="s">
        <v>38</v>
      </c>
      <c r="B29" s="7"/>
      <c r="C29" s="36">
        <f>B8+B9+B15+B27+B28</f>
        <v>42487854</v>
      </c>
      <c r="D29" s="12"/>
    </row>
    <row r="30" spans="1:4" ht="11.25" customHeight="1" x14ac:dyDescent="0.15">
      <c r="A30" s="11"/>
      <c r="B30" s="14"/>
      <c r="C30" s="5"/>
      <c r="D30" s="29" t="s">
        <v>0</v>
      </c>
    </row>
    <row r="31" spans="1:4" ht="14.25" x14ac:dyDescent="0.15">
      <c r="A31" s="55" t="s">
        <v>20</v>
      </c>
      <c r="B31" s="26" t="s">
        <v>0</v>
      </c>
      <c r="C31" s="5"/>
      <c r="D31" s="25"/>
    </row>
    <row r="32" spans="1:4" ht="14.25" x14ac:dyDescent="0.15">
      <c r="A32" s="55" t="s">
        <v>39</v>
      </c>
      <c r="B32" s="27">
        <f>467625+600592+19802457+25656642+5130900</f>
        <v>51658216</v>
      </c>
      <c r="C32" s="5"/>
      <c r="D32" s="12"/>
    </row>
    <row r="33" spans="1:4" ht="14.25" x14ac:dyDescent="0.15">
      <c r="A33" s="55" t="s">
        <v>54</v>
      </c>
      <c r="B33" s="27">
        <f>9503+14505+22053+25204+121249+139041+13457+658287+802809+1508774+777233+687268+996936+1321782</f>
        <v>7098101</v>
      </c>
      <c r="C33" s="5"/>
      <c r="D33" s="12"/>
    </row>
    <row r="34" spans="1:4" ht="14.25" x14ac:dyDescent="0.15">
      <c r="A34" s="55" t="s">
        <v>55</v>
      </c>
      <c r="B34" s="27">
        <f>6141+591643+1176295</f>
        <v>1774079</v>
      </c>
      <c r="C34" s="5"/>
      <c r="D34" s="12"/>
    </row>
    <row r="35" spans="1:4" ht="14.25" x14ac:dyDescent="0.15">
      <c r="A35" s="55" t="s">
        <v>75</v>
      </c>
      <c r="B35" s="27">
        <v>119689</v>
      </c>
      <c r="C35" s="5"/>
      <c r="D35" s="12"/>
    </row>
    <row r="36" spans="1:4" ht="14.25" x14ac:dyDescent="0.15">
      <c r="A36" s="55" t="s">
        <v>40</v>
      </c>
      <c r="B36" s="27">
        <f>1+1+1+1+1+1+374085+1+1343869+124410+333410</f>
        <v>2175781</v>
      </c>
      <c r="C36" s="5"/>
      <c r="D36" s="12"/>
    </row>
    <row r="37" spans="1:4" ht="14.25" x14ac:dyDescent="0.15">
      <c r="A37" s="55" t="s">
        <v>41</v>
      </c>
      <c r="B37" s="27">
        <v>110600</v>
      </c>
      <c r="C37" s="5"/>
      <c r="D37" s="12"/>
    </row>
    <row r="38" spans="1:4" ht="14.25" x14ac:dyDescent="0.15">
      <c r="A38" s="55" t="s">
        <v>42</v>
      </c>
      <c r="B38" s="27">
        <v>50000</v>
      </c>
      <c r="C38" s="11"/>
      <c r="D38" s="12"/>
    </row>
    <row r="39" spans="1:4" ht="14.25" x14ac:dyDescent="0.15">
      <c r="A39" s="55" t="s">
        <v>66</v>
      </c>
      <c r="B39" s="27">
        <v>128900</v>
      </c>
      <c r="C39" s="6"/>
      <c r="D39" s="12"/>
    </row>
    <row r="40" spans="1:4" ht="14.25" x14ac:dyDescent="0.15">
      <c r="A40" s="61" t="s">
        <v>43</v>
      </c>
      <c r="B40" s="8"/>
      <c r="C40" s="37">
        <f>SUM(B32:B39)</f>
        <v>63115366</v>
      </c>
      <c r="D40" s="12"/>
    </row>
    <row r="41" spans="1:4" ht="8.25" customHeight="1" x14ac:dyDescent="0.15">
      <c r="A41" s="11"/>
      <c r="B41" s="19"/>
      <c r="C41" s="5"/>
      <c r="D41" s="12"/>
    </row>
    <row r="42" spans="1:4" ht="14.25" x14ac:dyDescent="0.15">
      <c r="A42" s="58" t="s">
        <v>23</v>
      </c>
      <c r="B42" s="8"/>
      <c r="C42" s="10"/>
      <c r="D42" s="38">
        <f>C29+C40</f>
        <v>105603220</v>
      </c>
    </row>
    <row r="43" spans="1:4" ht="11.25" customHeight="1" x14ac:dyDescent="0.15">
      <c r="A43" s="9"/>
      <c r="B43" s="62"/>
      <c r="C43" s="62"/>
      <c r="D43" s="62"/>
    </row>
    <row r="44" spans="1:4" ht="14.25" x14ac:dyDescent="0.15">
      <c r="A44" s="60" t="s">
        <v>18</v>
      </c>
      <c r="B44" s="26"/>
      <c r="C44" s="5"/>
      <c r="D44" s="12"/>
    </row>
    <row r="45" spans="1:4" ht="14.25" x14ac:dyDescent="0.15">
      <c r="A45" s="55" t="s">
        <v>21</v>
      </c>
      <c r="B45" s="26"/>
      <c r="C45" s="5"/>
      <c r="D45" s="23"/>
    </row>
    <row r="46" spans="1:4" ht="14.25" x14ac:dyDescent="0.15">
      <c r="A46" s="55" t="s">
        <v>32</v>
      </c>
      <c r="B46" s="71">
        <v>235772</v>
      </c>
      <c r="C46" s="5"/>
      <c r="D46" s="29"/>
    </row>
    <row r="47" spans="1:4" ht="14.25" x14ac:dyDescent="0.15">
      <c r="A47" s="55" t="s">
        <v>33</v>
      </c>
      <c r="B47" s="27"/>
      <c r="C47" s="5"/>
      <c r="D47" s="12"/>
    </row>
    <row r="48" spans="1:4" ht="6.75" customHeight="1" x14ac:dyDescent="0.15">
      <c r="A48" s="59"/>
      <c r="B48" s="26"/>
      <c r="C48" s="11"/>
      <c r="D48" s="12"/>
    </row>
    <row r="49" spans="1:4" ht="14.25" x14ac:dyDescent="0.15">
      <c r="A49" s="55" t="s">
        <v>31</v>
      </c>
      <c r="B49" s="8"/>
      <c r="C49" s="37">
        <f>B46+B47</f>
        <v>235772</v>
      </c>
      <c r="D49" s="23"/>
    </row>
    <row r="50" spans="1:4" ht="11.25" customHeight="1" x14ac:dyDescent="0.15">
      <c r="A50" s="3"/>
      <c r="B50" s="14"/>
      <c r="C50" s="34"/>
      <c r="D50" s="25"/>
    </row>
    <row r="51" spans="1:4" ht="14.25" x14ac:dyDescent="0.15">
      <c r="A51" s="55" t="s">
        <v>22</v>
      </c>
      <c r="B51" s="19"/>
      <c r="C51" s="33"/>
      <c r="D51" s="23"/>
    </row>
    <row r="52" spans="1:4" ht="14.25" x14ac:dyDescent="0.15">
      <c r="A52" s="55" t="s">
        <v>30</v>
      </c>
      <c r="B52" s="27">
        <v>10000000</v>
      </c>
      <c r="C52" s="11"/>
      <c r="D52" s="25"/>
    </row>
    <row r="53" spans="1:4" ht="14.25" x14ac:dyDescent="0.15">
      <c r="A53" s="9"/>
      <c r="B53" s="19"/>
      <c r="C53" s="11"/>
      <c r="D53" s="25"/>
    </row>
    <row r="54" spans="1:4" ht="14.25" x14ac:dyDescent="0.15">
      <c r="A54" s="61" t="s">
        <v>29</v>
      </c>
      <c r="B54" s="10"/>
      <c r="C54" s="37">
        <f>B52</f>
        <v>10000000</v>
      </c>
      <c r="D54" s="23"/>
    </row>
    <row r="55" spans="1:4" ht="6.75" customHeight="1" x14ac:dyDescent="0.15">
      <c r="A55" s="3"/>
      <c r="B55" s="19"/>
      <c r="C55" s="11"/>
      <c r="D55" s="23"/>
    </row>
    <row r="56" spans="1:4" ht="14.25" x14ac:dyDescent="0.15">
      <c r="A56" s="58" t="s">
        <v>24</v>
      </c>
      <c r="B56" s="40"/>
      <c r="C56" s="40"/>
      <c r="D56" s="38">
        <f>C49+C54</f>
        <v>10235772</v>
      </c>
    </row>
    <row r="57" spans="1:4" ht="11.25" customHeight="1" x14ac:dyDescent="0.15">
      <c r="A57" s="3"/>
      <c r="B57" s="19"/>
      <c r="C57" s="11"/>
      <c r="D57" s="23"/>
    </row>
    <row r="58" spans="1:4" ht="14.25" x14ac:dyDescent="0.15">
      <c r="A58" s="55" t="s">
        <v>3</v>
      </c>
      <c r="B58" s="30"/>
      <c r="C58" s="35"/>
      <c r="D58" s="31"/>
    </row>
    <row r="59" spans="1:4" ht="15" customHeight="1" x14ac:dyDescent="0.15">
      <c r="A59" s="55" t="s">
        <v>27</v>
      </c>
      <c r="B59" s="10"/>
      <c r="C59" s="39"/>
      <c r="D59" s="39">
        <v>0</v>
      </c>
    </row>
    <row r="60" spans="1:4" ht="15.75" customHeight="1" x14ac:dyDescent="0.15">
      <c r="A60" s="55" t="s">
        <v>28</v>
      </c>
      <c r="B60" s="47"/>
      <c r="C60" s="9"/>
      <c r="D60" s="43">
        <f>D42-D56</f>
        <v>95367448</v>
      </c>
    </row>
    <row r="61" spans="1:4" ht="15.75" customHeight="1" x14ac:dyDescent="0.15">
      <c r="A61" s="59" t="s">
        <v>11</v>
      </c>
      <c r="B61" s="9"/>
      <c r="D61" s="70">
        <f>D60-'31.3月 '!D59</f>
        <v>1268025</v>
      </c>
    </row>
    <row r="62" spans="1:4" ht="16.5" customHeight="1" x14ac:dyDescent="0.15">
      <c r="A62" s="55" t="s">
        <v>26</v>
      </c>
      <c r="B62" s="22"/>
      <c r="C62" s="48"/>
      <c r="D62" s="44">
        <f>D60</f>
        <v>95367448</v>
      </c>
    </row>
    <row r="63" spans="1:4" ht="14.25" x14ac:dyDescent="0.15">
      <c r="A63" s="55" t="s">
        <v>25</v>
      </c>
      <c r="B63" s="22"/>
      <c r="C63" s="9"/>
      <c r="D63" s="69">
        <f>D56+D62</f>
        <v>105603220</v>
      </c>
    </row>
    <row r="64" spans="1:4" x14ac:dyDescent="0.15">
      <c r="B64" s="2"/>
      <c r="D64" s="68"/>
    </row>
    <row r="65" spans="1:4" ht="12.75" customHeight="1" x14ac:dyDescent="0.2">
      <c r="A65" s="1"/>
    </row>
    <row r="66" spans="1:4" x14ac:dyDescent="0.15">
      <c r="A66" s="45"/>
      <c r="B66" s="45"/>
      <c r="D66" s="68"/>
    </row>
    <row r="67" spans="1:4" x14ac:dyDescent="0.15">
      <c r="C67" s="52"/>
      <c r="D67" s="45"/>
    </row>
    <row r="69" spans="1:4" x14ac:dyDescent="0.15">
      <c r="C69" s="52"/>
    </row>
    <row r="71" spans="1:4" ht="13.5" customHeight="1" x14ac:dyDescent="0.2">
      <c r="A71" s="21"/>
    </row>
    <row r="72" spans="1:4" ht="14.25" x14ac:dyDescent="0.15">
      <c r="A72" s="17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  <c r="B75" s="13"/>
      <c r="C75" s="17"/>
      <c r="D75" s="17"/>
    </row>
    <row r="76" spans="1:4" ht="14.25" x14ac:dyDescent="0.15">
      <c r="A76" s="17"/>
      <c r="B76" s="13"/>
      <c r="C76" s="17"/>
      <c r="D76" s="17"/>
    </row>
    <row r="77" spans="1:4" ht="14.25" x14ac:dyDescent="0.15">
      <c r="A77" s="17"/>
      <c r="B77" s="20"/>
      <c r="C77" s="17"/>
      <c r="D77" s="17"/>
    </row>
    <row r="78" spans="1:4" ht="14.25" x14ac:dyDescent="0.15">
      <c r="A78" s="17"/>
      <c r="B78" s="13"/>
      <c r="C78" s="17"/>
      <c r="D78" s="17"/>
    </row>
    <row r="79" spans="1:4" ht="14.25" x14ac:dyDescent="0.15">
      <c r="A79" s="17"/>
      <c r="B79" s="13"/>
      <c r="C79" s="13"/>
      <c r="D79" s="17"/>
    </row>
    <row r="80" spans="1:4" ht="14.25" x14ac:dyDescent="0.15">
      <c r="B80" s="17"/>
      <c r="C80" s="18"/>
      <c r="D80" s="17"/>
    </row>
    <row r="81" spans="1:4" ht="14.25" x14ac:dyDescent="0.15">
      <c r="A81" s="17"/>
      <c r="B81" s="17"/>
      <c r="C81" s="18"/>
      <c r="D81" s="17"/>
    </row>
    <row r="82" spans="1:4" ht="14.25" x14ac:dyDescent="0.15">
      <c r="C82" s="17"/>
      <c r="D82" s="17"/>
    </row>
    <row r="83" spans="1:4" ht="14.25" x14ac:dyDescent="0.15">
      <c r="A83" s="17"/>
      <c r="C83" s="17"/>
      <c r="D83" s="17"/>
    </row>
    <row r="84" spans="1:4" ht="14.25" x14ac:dyDescent="0.15">
      <c r="A84" s="17"/>
      <c r="B84" s="20"/>
      <c r="C84" s="18"/>
      <c r="D84" s="17"/>
    </row>
    <row r="85" spans="1:4" ht="14.25" x14ac:dyDescent="0.15">
      <c r="A85" s="17"/>
      <c r="B85" s="13"/>
      <c r="D85" s="17"/>
    </row>
    <row r="86" spans="1:4" ht="14.25" x14ac:dyDescent="0.15">
      <c r="B86" s="17"/>
      <c r="C86" s="17"/>
      <c r="D86" s="13"/>
    </row>
    <row r="87" spans="1:4" ht="14.25" x14ac:dyDescent="0.15">
      <c r="A87" s="17"/>
      <c r="B87" s="13"/>
      <c r="C87" s="13"/>
      <c r="D87" s="18"/>
    </row>
    <row r="88" spans="1:4" ht="14.25" x14ac:dyDescent="0.15">
      <c r="B88" s="13"/>
      <c r="C88" s="17"/>
      <c r="D88" s="17"/>
    </row>
    <row r="89" spans="1:4" ht="14.25" x14ac:dyDescent="0.15">
      <c r="A89" s="17"/>
      <c r="B89" s="13"/>
      <c r="C89" s="17"/>
      <c r="D89" s="18"/>
    </row>
    <row r="90" spans="1:4" ht="14.25" x14ac:dyDescent="0.15">
      <c r="C90" s="17"/>
      <c r="D90" s="17"/>
    </row>
    <row r="91" spans="1:4" ht="14.25" x14ac:dyDescent="0.15">
      <c r="A91" s="17"/>
      <c r="C91" s="17"/>
      <c r="D91" s="17"/>
    </row>
    <row r="92" spans="1:4" ht="14.25" x14ac:dyDescent="0.15">
      <c r="A92" s="17"/>
      <c r="B92" s="13"/>
      <c r="D92" s="17"/>
    </row>
    <row r="93" spans="1:4" ht="14.25" x14ac:dyDescent="0.15">
      <c r="A93" s="17"/>
      <c r="B93" s="13"/>
      <c r="D93" s="17"/>
    </row>
    <row r="94" spans="1:4" ht="14.25" x14ac:dyDescent="0.15">
      <c r="A94" s="17"/>
      <c r="B94" s="13"/>
      <c r="C94" s="17"/>
      <c r="D94" s="17"/>
    </row>
    <row r="95" spans="1:4" ht="14.25" x14ac:dyDescent="0.15">
      <c r="A95" s="17"/>
      <c r="C95" s="13"/>
      <c r="D95" s="17"/>
    </row>
    <row r="96" spans="1:4" ht="14.25" x14ac:dyDescent="0.15">
      <c r="A96" s="17"/>
      <c r="B96" s="13"/>
      <c r="D96" s="17"/>
    </row>
    <row r="97" spans="1:4" ht="14.25" x14ac:dyDescent="0.15">
      <c r="A97" s="17"/>
      <c r="B97" s="13"/>
      <c r="C97" s="17"/>
      <c r="D97" s="17"/>
    </row>
    <row r="98" spans="1:4" ht="14.25" x14ac:dyDescent="0.15">
      <c r="A98" s="17"/>
      <c r="B98" s="13"/>
      <c r="C98" s="17"/>
    </row>
    <row r="99" spans="1:4" ht="14.25" x14ac:dyDescent="0.15">
      <c r="A99" s="17"/>
      <c r="B99" s="13"/>
      <c r="C99" s="17"/>
    </row>
    <row r="100" spans="1:4" ht="14.25" x14ac:dyDescent="0.15">
      <c r="A100" s="17"/>
      <c r="B100" s="13"/>
      <c r="C100" s="17"/>
      <c r="D100" s="17"/>
    </row>
    <row r="101" spans="1:4" ht="14.25" x14ac:dyDescent="0.15">
      <c r="A101" s="17"/>
      <c r="B101" s="13"/>
      <c r="D101" s="13"/>
    </row>
    <row r="102" spans="1:4" ht="14.25" x14ac:dyDescent="0.15">
      <c r="A102" s="17"/>
      <c r="B102" s="13"/>
      <c r="C102" s="17"/>
    </row>
    <row r="103" spans="1:4" ht="14.25" x14ac:dyDescent="0.15">
      <c r="A103" s="17"/>
      <c r="B103" s="17"/>
      <c r="D103" s="18"/>
    </row>
    <row r="104" spans="1:4" ht="14.25" x14ac:dyDescent="0.15">
      <c r="A104" s="17"/>
    </row>
    <row r="105" spans="1:4" ht="14.25" x14ac:dyDescent="0.15">
      <c r="A105" s="17" t="s">
        <v>0</v>
      </c>
      <c r="C105" s="18" t="s">
        <v>0</v>
      </c>
      <c r="D105" s="18" t="s">
        <v>0</v>
      </c>
    </row>
    <row r="106" spans="1:4" x14ac:dyDescent="0.15">
      <c r="A106" t="s">
        <v>0</v>
      </c>
    </row>
    <row r="107" spans="1:4" ht="14.25" x14ac:dyDescent="0.15">
      <c r="A107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horizontalDpi="4294967293" verticalDpi="4294967293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1A65-C1D6-4990-BE7E-7B68F770FC40}">
  <dimension ref="A1:G107"/>
  <sheetViews>
    <sheetView topLeftCell="A40" zoomScaleNormal="100" workbookViewId="0">
      <selection activeCell="D61" sqref="D61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</cols>
  <sheetData>
    <row r="1" spans="1:7" ht="17.25" x14ac:dyDescent="0.2">
      <c r="A1" s="1" t="s">
        <v>88</v>
      </c>
      <c r="B1" s="1"/>
    </row>
    <row r="2" spans="1:7" ht="17.25" customHeight="1" x14ac:dyDescent="0.15">
      <c r="A2" s="111" t="s">
        <v>99</v>
      </c>
      <c r="B2" s="111"/>
      <c r="C2" s="111"/>
      <c r="D2" s="111"/>
    </row>
    <row r="3" spans="1:7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7" ht="15" customHeight="1" x14ac:dyDescent="0.15">
      <c r="C4" s="115" t="s">
        <v>49</v>
      </c>
      <c r="D4" s="115"/>
      <c r="F4" s="46"/>
    </row>
    <row r="5" spans="1:7" ht="17.25" x14ac:dyDescent="0.2">
      <c r="A5" s="56" t="s">
        <v>5</v>
      </c>
      <c r="B5" s="50"/>
      <c r="C5" s="49" t="s">
        <v>4</v>
      </c>
      <c r="D5" s="49"/>
    </row>
    <row r="6" spans="1:7" ht="14.25" x14ac:dyDescent="0.15">
      <c r="A6" s="55" t="s">
        <v>2</v>
      </c>
      <c r="B6" s="24"/>
      <c r="C6" s="4"/>
      <c r="D6" s="28"/>
    </row>
    <row r="7" spans="1:7" ht="14.25" x14ac:dyDescent="0.15">
      <c r="A7" s="55" t="s">
        <v>19</v>
      </c>
      <c r="B7" s="14"/>
      <c r="C7" s="5"/>
      <c r="D7" s="12"/>
    </row>
    <row r="8" spans="1:7" ht="14.25" x14ac:dyDescent="0.15">
      <c r="A8" s="55" t="s">
        <v>34</v>
      </c>
      <c r="B8" s="72">
        <v>2385</v>
      </c>
      <c r="C8" s="5"/>
      <c r="D8" s="12"/>
    </row>
    <row r="9" spans="1:7" ht="14.25" x14ac:dyDescent="0.15">
      <c r="A9" s="55" t="s">
        <v>35</v>
      </c>
      <c r="B9" s="71">
        <f>SUM(B10:B14)</f>
        <v>16335219</v>
      </c>
      <c r="C9" s="5"/>
      <c r="D9" s="12"/>
    </row>
    <row r="10" spans="1:7" ht="14.25" x14ac:dyDescent="0.15">
      <c r="A10" s="53" t="s">
        <v>13</v>
      </c>
      <c r="B10" s="73">
        <f>14363083+27149+14158+229687+375720+162845</f>
        <v>15172642</v>
      </c>
      <c r="C10" s="5"/>
      <c r="D10" s="23"/>
    </row>
    <row r="11" spans="1:7" ht="14.25" x14ac:dyDescent="0.15">
      <c r="A11" s="54" t="s">
        <v>12</v>
      </c>
      <c r="B11" s="73">
        <f>200039+750975+61427</f>
        <v>1012441</v>
      </c>
      <c r="C11" s="5"/>
      <c r="D11" s="23"/>
    </row>
    <row r="12" spans="1:7" ht="14.25" x14ac:dyDescent="0.15">
      <c r="A12" s="53" t="s">
        <v>45</v>
      </c>
      <c r="B12" s="74">
        <v>13448</v>
      </c>
      <c r="C12" s="5"/>
      <c r="D12" s="23"/>
    </row>
    <row r="13" spans="1:7" ht="14.25" x14ac:dyDescent="0.15">
      <c r="A13" s="53" t="s">
        <v>44</v>
      </c>
      <c r="B13" s="75">
        <v>38700</v>
      </c>
      <c r="C13" s="5"/>
      <c r="D13" s="12"/>
    </row>
    <row r="14" spans="1:7" ht="14.25" x14ac:dyDescent="0.15">
      <c r="A14" s="53" t="s">
        <v>46</v>
      </c>
      <c r="B14" s="75">
        <v>97988</v>
      </c>
      <c r="C14" s="5"/>
      <c r="D14" s="12"/>
    </row>
    <row r="15" spans="1:7" ht="14.25" x14ac:dyDescent="0.15">
      <c r="A15" s="55" t="s">
        <v>36</v>
      </c>
      <c r="B15" s="71">
        <f>SUM(B16:B26)</f>
        <v>28288500</v>
      </c>
      <c r="C15" s="76"/>
      <c r="D15" s="12"/>
    </row>
    <row r="16" spans="1:7" ht="14.25" x14ac:dyDescent="0.15">
      <c r="A16" s="54" t="s">
        <v>14</v>
      </c>
      <c r="B16" s="74">
        <f>49280+5454150</f>
        <v>5503430</v>
      </c>
      <c r="C16" s="11"/>
      <c r="D16" s="12"/>
    </row>
    <row r="17" spans="1:4" ht="14.25" x14ac:dyDescent="0.15">
      <c r="A17" s="54" t="s">
        <v>15</v>
      </c>
      <c r="B17" s="73">
        <f>13279148+932311+613800</f>
        <v>14825259</v>
      </c>
      <c r="C17" s="5"/>
      <c r="D17" s="12"/>
    </row>
    <row r="18" spans="1:4" ht="14.25" x14ac:dyDescent="0.15">
      <c r="A18" s="53" t="s">
        <v>58</v>
      </c>
      <c r="B18" s="74">
        <f>3619116+346792+100200</f>
        <v>4066108</v>
      </c>
      <c r="C18" s="11"/>
      <c r="D18" s="12"/>
    </row>
    <row r="19" spans="1:4" ht="14.25" x14ac:dyDescent="0.15">
      <c r="A19" s="54" t="s">
        <v>16</v>
      </c>
      <c r="B19" s="73">
        <f>1599552+98848+91500</f>
        <v>1789900</v>
      </c>
      <c r="C19" s="5"/>
      <c r="D19" s="12"/>
    </row>
    <row r="20" spans="1:4" ht="14.25" x14ac:dyDescent="0.15">
      <c r="A20" s="54" t="s">
        <v>67</v>
      </c>
      <c r="B20" s="73">
        <f>1254206+90483</f>
        <v>1344689</v>
      </c>
      <c r="C20" s="5"/>
      <c r="D20" s="12"/>
    </row>
    <row r="21" spans="1:4" ht="14.25" x14ac:dyDescent="0.15">
      <c r="A21" s="54" t="s">
        <v>72</v>
      </c>
      <c r="B21" s="73">
        <v>25600</v>
      </c>
      <c r="C21" s="5"/>
      <c r="D21" s="12"/>
    </row>
    <row r="22" spans="1:4" ht="14.25" x14ac:dyDescent="0.15">
      <c r="A22" s="54" t="s">
        <v>81</v>
      </c>
      <c r="B22" s="73">
        <f>363108+22406+15000</f>
        <v>400514</v>
      </c>
      <c r="C22" s="5"/>
      <c r="D22" s="12"/>
    </row>
    <row r="23" spans="1:4" ht="14.25" x14ac:dyDescent="0.15">
      <c r="A23" s="54" t="s">
        <v>82</v>
      </c>
      <c r="B23" s="73">
        <v>88800</v>
      </c>
      <c r="C23" s="5"/>
      <c r="D23" s="12"/>
    </row>
    <row r="24" spans="1:4" ht="14.25" x14ac:dyDescent="0.15">
      <c r="A24" s="54" t="s">
        <v>17</v>
      </c>
      <c r="B24" s="74">
        <v>231700</v>
      </c>
      <c r="C24" s="5"/>
      <c r="D24" s="12"/>
    </row>
    <row r="25" spans="1:4" ht="14.25" x14ac:dyDescent="0.15">
      <c r="A25" s="54" t="s">
        <v>71</v>
      </c>
      <c r="B25" s="75">
        <v>12500</v>
      </c>
      <c r="C25" s="5"/>
      <c r="D25" s="12"/>
    </row>
    <row r="26" spans="1:4" ht="14.25" x14ac:dyDescent="0.15">
      <c r="A26" s="54" t="s">
        <v>79</v>
      </c>
      <c r="B26" s="75">
        <v>0</v>
      </c>
      <c r="C26" s="5"/>
      <c r="D26" s="12"/>
    </row>
    <row r="27" spans="1:4" ht="14.25" x14ac:dyDescent="0.15">
      <c r="A27" s="55" t="s">
        <v>37</v>
      </c>
      <c r="B27" s="71">
        <v>931898</v>
      </c>
      <c r="C27" s="15" t="s">
        <v>0</v>
      </c>
      <c r="D27" s="12"/>
    </row>
    <row r="28" spans="1:4" ht="14.25" x14ac:dyDescent="0.15">
      <c r="A28" s="61" t="s">
        <v>96</v>
      </c>
      <c r="B28" s="71">
        <v>52890</v>
      </c>
      <c r="C28" s="15"/>
      <c r="D28" s="12"/>
    </row>
    <row r="29" spans="1:4" ht="14.25" x14ac:dyDescent="0.15">
      <c r="A29" s="61" t="s">
        <v>38</v>
      </c>
      <c r="B29" s="7"/>
      <c r="C29" s="77">
        <f>B8+B9+B15+B27+B28</f>
        <v>45610892</v>
      </c>
      <c r="D29" s="12"/>
    </row>
    <row r="30" spans="1:4" ht="11.25" customHeight="1" x14ac:dyDescent="0.15">
      <c r="A30" s="11"/>
      <c r="B30" s="14"/>
      <c r="C30" s="5"/>
      <c r="D30" s="78" t="s">
        <v>0</v>
      </c>
    </row>
    <row r="31" spans="1:4" ht="14.25" x14ac:dyDescent="0.15">
      <c r="A31" s="55" t="s">
        <v>20</v>
      </c>
      <c r="B31" s="79" t="s">
        <v>0</v>
      </c>
      <c r="C31" s="5"/>
      <c r="D31" s="25"/>
    </row>
    <row r="32" spans="1:4" ht="14.25" x14ac:dyDescent="0.15">
      <c r="A32" s="55" t="s">
        <v>39</v>
      </c>
      <c r="B32" s="71">
        <f>467625+600592+19802457+25656642+5130900</f>
        <v>51658216</v>
      </c>
      <c r="C32" s="5"/>
      <c r="D32" s="12"/>
    </row>
    <row r="33" spans="1:4" ht="14.25" x14ac:dyDescent="0.15">
      <c r="A33" s="55" t="s">
        <v>54</v>
      </c>
      <c r="B33" s="71">
        <f>9503+14505+22053+25204+121249+139041+13457+658287+802809+1508774+777233+687268+996936+1321782</f>
        <v>7098101</v>
      </c>
      <c r="C33" s="5"/>
      <c r="D33" s="12"/>
    </row>
    <row r="34" spans="1:4" ht="14.25" x14ac:dyDescent="0.15">
      <c r="A34" s="55" t="s">
        <v>55</v>
      </c>
      <c r="B34" s="71">
        <f>6141+591643+1176295</f>
        <v>1774079</v>
      </c>
      <c r="C34" s="5"/>
      <c r="D34" s="12"/>
    </row>
    <row r="35" spans="1:4" ht="14.25" x14ac:dyDescent="0.15">
      <c r="A35" s="55" t="s">
        <v>75</v>
      </c>
      <c r="B35" s="71">
        <v>119689</v>
      </c>
      <c r="C35" s="5"/>
      <c r="D35" s="12"/>
    </row>
    <row r="36" spans="1:4" ht="14.25" x14ac:dyDescent="0.15">
      <c r="A36" s="55" t="s">
        <v>40</v>
      </c>
      <c r="B36" s="71">
        <f>1+1+1+1+1+1+374085+1+1343869+124410+333410</f>
        <v>2175781</v>
      </c>
      <c r="C36" s="5"/>
      <c r="D36" s="12"/>
    </row>
    <row r="37" spans="1:4" ht="14.25" x14ac:dyDescent="0.15">
      <c r="A37" s="55" t="s">
        <v>41</v>
      </c>
      <c r="B37" s="71">
        <v>110600</v>
      </c>
      <c r="C37" s="5"/>
      <c r="D37" s="12"/>
    </row>
    <row r="38" spans="1:4" ht="14.25" x14ac:dyDescent="0.15">
      <c r="A38" s="55" t="s">
        <v>42</v>
      </c>
      <c r="B38" s="71">
        <v>50000</v>
      </c>
      <c r="C38" s="11"/>
      <c r="D38" s="12"/>
    </row>
    <row r="39" spans="1:4" ht="14.25" x14ac:dyDescent="0.15">
      <c r="A39" s="55" t="s">
        <v>66</v>
      </c>
      <c r="B39" s="71">
        <v>128900</v>
      </c>
      <c r="C39" s="76"/>
      <c r="D39" s="12"/>
    </row>
    <row r="40" spans="1:4" ht="14.25" x14ac:dyDescent="0.15">
      <c r="A40" s="61" t="s">
        <v>43</v>
      </c>
      <c r="B40" s="80"/>
      <c r="C40" s="37">
        <f>SUM(B32:B39)</f>
        <v>63115366</v>
      </c>
      <c r="D40" s="12"/>
    </row>
    <row r="41" spans="1:4" ht="8.25" customHeight="1" x14ac:dyDescent="0.15">
      <c r="A41" s="11"/>
      <c r="B41" s="19"/>
      <c r="C41" s="5"/>
      <c r="D41" s="12"/>
    </row>
    <row r="42" spans="1:4" ht="14.25" x14ac:dyDescent="0.15">
      <c r="A42" s="58" t="s">
        <v>23</v>
      </c>
      <c r="B42" s="80"/>
      <c r="C42" s="10"/>
      <c r="D42" s="38">
        <f>C29+C40</f>
        <v>108726258</v>
      </c>
    </row>
    <row r="43" spans="1:4" ht="11.25" customHeight="1" x14ac:dyDescent="0.15">
      <c r="A43" s="9"/>
      <c r="B43" s="62"/>
      <c r="C43" s="62"/>
      <c r="D43" s="62"/>
    </row>
    <row r="44" spans="1:4" ht="14.25" x14ac:dyDescent="0.15">
      <c r="A44" s="60" t="s">
        <v>18</v>
      </c>
      <c r="B44" s="79"/>
      <c r="C44" s="5"/>
      <c r="D44" s="12"/>
    </row>
    <row r="45" spans="1:4" ht="14.25" x14ac:dyDescent="0.15">
      <c r="A45" s="55" t="s">
        <v>21</v>
      </c>
      <c r="B45" s="79"/>
      <c r="C45" s="5"/>
      <c r="D45" s="23"/>
    </row>
    <row r="46" spans="1:4" ht="14.25" x14ac:dyDescent="0.15">
      <c r="A46" s="55" t="s">
        <v>32</v>
      </c>
      <c r="B46" s="71">
        <v>2349529</v>
      </c>
      <c r="C46" s="5"/>
      <c r="D46" s="78"/>
    </row>
    <row r="47" spans="1:4" ht="14.25" x14ac:dyDescent="0.15">
      <c r="A47" s="55" t="s">
        <v>33</v>
      </c>
      <c r="B47" s="71"/>
      <c r="C47" s="5"/>
      <c r="D47" s="12"/>
    </row>
    <row r="48" spans="1:4" ht="6.75" customHeight="1" x14ac:dyDescent="0.15">
      <c r="A48" s="59"/>
      <c r="B48" s="79"/>
      <c r="C48" s="11"/>
      <c r="D48" s="12"/>
    </row>
    <row r="49" spans="1:4" ht="14.25" x14ac:dyDescent="0.15">
      <c r="A49" s="55" t="s">
        <v>31</v>
      </c>
      <c r="B49" s="80"/>
      <c r="C49" s="37">
        <f>B46+B47</f>
        <v>2349529</v>
      </c>
      <c r="D49" s="23"/>
    </row>
    <row r="50" spans="1:4" ht="11.25" customHeight="1" x14ac:dyDescent="0.15">
      <c r="A50" s="3"/>
      <c r="B50" s="14"/>
      <c r="C50" s="34"/>
      <c r="D50" s="25"/>
    </row>
    <row r="51" spans="1:4" ht="14.25" x14ac:dyDescent="0.15">
      <c r="A51" s="55" t="s">
        <v>22</v>
      </c>
      <c r="B51" s="19"/>
      <c r="C51" s="81"/>
      <c r="D51" s="23"/>
    </row>
    <row r="52" spans="1:4" ht="14.25" x14ac:dyDescent="0.15">
      <c r="A52" s="55" t="s">
        <v>30</v>
      </c>
      <c r="B52" s="71">
        <v>9720000</v>
      </c>
      <c r="C52" s="11"/>
      <c r="D52" s="25"/>
    </row>
    <row r="53" spans="1:4" ht="14.25" x14ac:dyDescent="0.15">
      <c r="A53" s="9"/>
      <c r="B53" s="19"/>
      <c r="C53" s="11"/>
      <c r="D53" s="25"/>
    </row>
    <row r="54" spans="1:4" ht="14.25" x14ac:dyDescent="0.15">
      <c r="A54" s="61" t="s">
        <v>29</v>
      </c>
      <c r="B54" s="10"/>
      <c r="C54" s="37">
        <f>B52</f>
        <v>9720000</v>
      </c>
      <c r="D54" s="23"/>
    </row>
    <row r="55" spans="1:4" ht="6.75" customHeight="1" x14ac:dyDescent="0.15">
      <c r="A55" s="3"/>
      <c r="B55" s="19"/>
      <c r="C55" s="11"/>
      <c r="D55" s="23"/>
    </row>
    <row r="56" spans="1:4" ht="14.25" x14ac:dyDescent="0.15">
      <c r="A56" s="58" t="s">
        <v>24</v>
      </c>
      <c r="B56" s="40"/>
      <c r="C56" s="40"/>
      <c r="D56" s="38">
        <f>C49+C54</f>
        <v>12069529</v>
      </c>
    </row>
    <row r="57" spans="1:4" ht="11.25" customHeight="1" x14ac:dyDescent="0.15">
      <c r="A57" s="3"/>
      <c r="B57" s="19"/>
      <c r="C57" s="11"/>
      <c r="D57" s="23"/>
    </row>
    <row r="58" spans="1:4" ht="14.25" x14ac:dyDescent="0.15">
      <c r="A58" s="55" t="s">
        <v>3</v>
      </c>
      <c r="B58" s="30"/>
      <c r="C58" s="35"/>
      <c r="D58" s="31"/>
    </row>
    <row r="59" spans="1:4" ht="15" customHeight="1" x14ac:dyDescent="0.15">
      <c r="A59" s="55" t="s">
        <v>27</v>
      </c>
      <c r="B59" s="10"/>
      <c r="C59" s="39"/>
      <c r="D59" s="39">
        <v>0</v>
      </c>
    </row>
    <row r="60" spans="1:4" ht="15.75" customHeight="1" x14ac:dyDescent="0.15">
      <c r="A60" s="55" t="s">
        <v>28</v>
      </c>
      <c r="B60" s="47"/>
      <c r="C60" s="9"/>
      <c r="D60" s="43">
        <f>D42-D56</f>
        <v>96656729</v>
      </c>
    </row>
    <row r="61" spans="1:4" ht="15.75" customHeight="1" x14ac:dyDescent="0.15">
      <c r="A61" s="59" t="s">
        <v>11</v>
      </c>
      <c r="B61" s="9"/>
      <c r="D61" s="70">
        <f>D60-'31.3月 '!D59</f>
        <v>2557306</v>
      </c>
    </row>
    <row r="62" spans="1:4" ht="16.5" customHeight="1" x14ac:dyDescent="0.15">
      <c r="A62" s="55" t="s">
        <v>26</v>
      </c>
      <c r="B62" s="22"/>
      <c r="C62" s="48"/>
      <c r="D62" s="44">
        <f>D60</f>
        <v>96656729</v>
      </c>
    </row>
    <row r="63" spans="1:4" ht="14.25" x14ac:dyDescent="0.15">
      <c r="A63" s="55" t="s">
        <v>25</v>
      </c>
      <c r="B63" s="22"/>
      <c r="C63" s="9"/>
      <c r="D63" s="69">
        <f>D56+D62</f>
        <v>108726258</v>
      </c>
    </row>
    <row r="64" spans="1:4" x14ac:dyDescent="0.15">
      <c r="B64" s="2"/>
      <c r="D64" s="68"/>
    </row>
    <row r="65" spans="1:4" ht="12.75" customHeight="1" x14ac:dyDescent="0.2">
      <c r="A65" s="1"/>
    </row>
    <row r="66" spans="1:4" x14ac:dyDescent="0.15">
      <c r="A66" s="45"/>
      <c r="B66" s="45"/>
      <c r="D66" s="68"/>
    </row>
    <row r="67" spans="1:4" x14ac:dyDescent="0.15">
      <c r="C67" s="52"/>
      <c r="D67" s="45"/>
    </row>
    <row r="69" spans="1:4" x14ac:dyDescent="0.15">
      <c r="C69" s="52"/>
    </row>
    <row r="71" spans="1:4" ht="13.5" customHeight="1" x14ac:dyDescent="0.2">
      <c r="A71" s="21"/>
    </row>
    <row r="72" spans="1:4" ht="14.25" x14ac:dyDescent="0.15">
      <c r="A72" s="17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  <c r="B75" s="82"/>
      <c r="C75" s="17"/>
      <c r="D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3"/>
      <c r="C77" s="17"/>
      <c r="D77" s="17"/>
    </row>
    <row r="78" spans="1:4" ht="14.25" x14ac:dyDescent="0.15">
      <c r="A78" s="17"/>
      <c r="B78" s="82"/>
      <c r="C78" s="17"/>
      <c r="D78" s="17"/>
    </row>
    <row r="79" spans="1:4" ht="14.25" x14ac:dyDescent="0.15">
      <c r="A79" s="17"/>
      <c r="B79" s="82"/>
      <c r="C79" s="82"/>
      <c r="D79" s="17"/>
    </row>
    <row r="80" spans="1:4" ht="14.25" x14ac:dyDescent="0.15">
      <c r="B80" s="17"/>
      <c r="C80" s="18"/>
      <c r="D80" s="17"/>
    </row>
    <row r="81" spans="1:4" ht="14.25" x14ac:dyDescent="0.15">
      <c r="A81" s="17"/>
      <c r="B81" s="17"/>
      <c r="C81" s="18"/>
      <c r="D81" s="17"/>
    </row>
    <row r="82" spans="1:4" ht="14.25" x14ac:dyDescent="0.15">
      <c r="C82" s="17"/>
      <c r="D82" s="17"/>
    </row>
    <row r="83" spans="1:4" ht="14.25" x14ac:dyDescent="0.15">
      <c r="A83" s="17"/>
      <c r="C83" s="17"/>
      <c r="D83" s="17"/>
    </row>
    <row r="84" spans="1:4" ht="14.25" x14ac:dyDescent="0.15">
      <c r="A84" s="17"/>
      <c r="B84" s="83"/>
      <c r="C84" s="18"/>
      <c r="D84" s="17"/>
    </row>
    <row r="85" spans="1:4" ht="14.25" x14ac:dyDescent="0.15">
      <c r="A85" s="17"/>
      <c r="B85" s="82"/>
      <c r="D85" s="17"/>
    </row>
    <row r="86" spans="1:4" ht="14.25" x14ac:dyDescent="0.15">
      <c r="B86" s="17"/>
      <c r="C86" s="17"/>
      <c r="D86" s="82"/>
    </row>
    <row r="87" spans="1:4" ht="14.25" x14ac:dyDescent="0.15">
      <c r="A87" s="17"/>
      <c r="B87" s="82"/>
      <c r="C87" s="82"/>
      <c r="D87" s="18"/>
    </row>
    <row r="88" spans="1:4" ht="14.25" x14ac:dyDescent="0.15">
      <c r="B88" s="82"/>
      <c r="C88" s="17"/>
      <c r="D88" s="17"/>
    </row>
    <row r="89" spans="1:4" ht="14.25" x14ac:dyDescent="0.15">
      <c r="A89" s="17"/>
      <c r="B89" s="82"/>
      <c r="C89" s="17"/>
      <c r="D89" s="18"/>
    </row>
    <row r="90" spans="1:4" ht="14.25" x14ac:dyDescent="0.15">
      <c r="C90" s="17"/>
      <c r="D90" s="17"/>
    </row>
    <row r="91" spans="1:4" ht="14.25" x14ac:dyDescent="0.15">
      <c r="A91" s="17"/>
      <c r="C91" s="17"/>
      <c r="D91" s="17"/>
    </row>
    <row r="92" spans="1:4" ht="14.25" x14ac:dyDescent="0.15">
      <c r="A92" s="17"/>
      <c r="B92" s="82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C94" s="17"/>
      <c r="D94" s="17"/>
    </row>
    <row r="95" spans="1:4" ht="14.25" x14ac:dyDescent="0.15">
      <c r="A95" s="17"/>
      <c r="C95" s="82"/>
      <c r="D95" s="17"/>
    </row>
    <row r="96" spans="1:4" ht="14.25" x14ac:dyDescent="0.15">
      <c r="A96" s="17"/>
      <c r="B96" s="82"/>
      <c r="D96" s="17"/>
    </row>
    <row r="97" spans="1:4" ht="14.25" x14ac:dyDescent="0.15">
      <c r="A97" s="17"/>
      <c r="B97" s="82"/>
      <c r="C97" s="17"/>
      <c r="D97" s="17"/>
    </row>
    <row r="98" spans="1:4" ht="14.25" x14ac:dyDescent="0.15">
      <c r="A98" s="17"/>
      <c r="B98" s="82"/>
      <c r="C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  <c r="D100" s="17"/>
    </row>
    <row r="101" spans="1:4" ht="14.25" x14ac:dyDescent="0.15">
      <c r="A101" s="17"/>
      <c r="B101" s="82"/>
      <c r="D101" s="82"/>
    </row>
    <row r="102" spans="1:4" ht="14.25" x14ac:dyDescent="0.15">
      <c r="A102" s="17"/>
      <c r="B102" s="82"/>
      <c r="C102" s="17"/>
    </row>
    <row r="103" spans="1:4" ht="14.25" x14ac:dyDescent="0.15">
      <c r="A103" s="17"/>
      <c r="B103" s="17"/>
      <c r="D103" s="18"/>
    </row>
    <row r="104" spans="1:4" ht="14.25" x14ac:dyDescent="0.15">
      <c r="A104" s="17"/>
    </row>
    <row r="105" spans="1:4" ht="14.25" x14ac:dyDescent="0.15">
      <c r="A105" s="17" t="s">
        <v>0</v>
      </c>
      <c r="C105" s="18" t="s">
        <v>0</v>
      </c>
      <c r="D105" s="18" t="s">
        <v>0</v>
      </c>
    </row>
    <row r="106" spans="1:4" x14ac:dyDescent="0.15">
      <c r="A106" t="s">
        <v>0</v>
      </c>
    </row>
    <row r="107" spans="1:4" ht="14.25" x14ac:dyDescent="0.15">
      <c r="A107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horizontalDpi="4294967293" verticalDpi="4294967293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EF10B-FC6C-4F2E-BCF1-E137B895098F}">
  <dimension ref="A1:G107"/>
  <sheetViews>
    <sheetView zoomScaleNormal="100" workbookViewId="0">
      <selection activeCell="D60" sqref="D60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</cols>
  <sheetData>
    <row r="1" spans="1:7" ht="17.25" x14ac:dyDescent="0.2">
      <c r="A1" s="1" t="s">
        <v>88</v>
      </c>
      <c r="B1" s="1"/>
    </row>
    <row r="2" spans="1:7" ht="17.25" customHeight="1" x14ac:dyDescent="0.15">
      <c r="A2" s="111" t="s">
        <v>100</v>
      </c>
      <c r="B2" s="111"/>
      <c r="C2" s="111"/>
      <c r="D2" s="111"/>
    </row>
    <row r="3" spans="1:7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7" ht="15" customHeight="1" x14ac:dyDescent="0.15">
      <c r="C4" s="115" t="s">
        <v>49</v>
      </c>
      <c r="D4" s="115"/>
      <c r="F4" s="46"/>
    </row>
    <row r="5" spans="1:7" ht="17.25" x14ac:dyDescent="0.2">
      <c r="A5" s="56" t="s">
        <v>5</v>
      </c>
      <c r="B5" s="50"/>
      <c r="C5" s="49" t="s">
        <v>4</v>
      </c>
      <c r="D5" s="49"/>
    </row>
    <row r="6" spans="1:7" ht="14.25" x14ac:dyDescent="0.15">
      <c r="A6" s="55" t="s">
        <v>2</v>
      </c>
      <c r="B6" s="24"/>
      <c r="C6" s="4"/>
      <c r="D6" s="28"/>
    </row>
    <row r="7" spans="1:7" ht="14.25" x14ac:dyDescent="0.15">
      <c r="A7" s="55" t="s">
        <v>19</v>
      </c>
      <c r="B7" s="14"/>
      <c r="C7" s="5"/>
      <c r="D7" s="12"/>
    </row>
    <row r="8" spans="1:7" ht="14.25" x14ac:dyDescent="0.15">
      <c r="A8" s="55" t="s">
        <v>34</v>
      </c>
      <c r="B8" s="72">
        <v>2385</v>
      </c>
      <c r="C8" s="5"/>
      <c r="D8" s="12"/>
    </row>
    <row r="9" spans="1:7" ht="14.25" x14ac:dyDescent="0.15">
      <c r="A9" s="55" t="s">
        <v>35</v>
      </c>
      <c r="B9" s="71">
        <f>SUM(B10:B14)</f>
        <v>14160391</v>
      </c>
      <c r="C9" s="5"/>
      <c r="D9" s="12"/>
    </row>
    <row r="10" spans="1:7" ht="14.25" x14ac:dyDescent="0.15">
      <c r="A10" s="53" t="s">
        <v>13</v>
      </c>
      <c r="B10" s="73">
        <f>11266628+34033+9172+314850+307248+126976</f>
        <v>12058907</v>
      </c>
      <c r="C10" s="5"/>
      <c r="D10" s="23"/>
    </row>
    <row r="11" spans="1:7" ht="14.25" x14ac:dyDescent="0.15">
      <c r="A11" s="54" t="s">
        <v>12</v>
      </c>
      <c r="B11" s="73">
        <f>247139+344444+66227</f>
        <v>657810</v>
      </c>
      <c r="C11" s="5"/>
      <c r="D11" s="23"/>
    </row>
    <row r="12" spans="1:7" ht="14.25" x14ac:dyDescent="0.15">
      <c r="A12" s="53" t="s">
        <v>45</v>
      </c>
      <c r="B12" s="74">
        <v>685434</v>
      </c>
      <c r="C12" s="5"/>
      <c r="D12" s="23"/>
    </row>
    <row r="13" spans="1:7" ht="14.25" x14ac:dyDescent="0.15">
      <c r="A13" s="53" t="s">
        <v>44</v>
      </c>
      <c r="B13" s="75">
        <v>574758</v>
      </c>
      <c r="C13" s="5"/>
      <c r="D13" s="12"/>
    </row>
    <row r="14" spans="1:7" ht="14.25" x14ac:dyDescent="0.15">
      <c r="A14" s="53" t="s">
        <v>46</v>
      </c>
      <c r="B14" s="75">
        <v>183482</v>
      </c>
      <c r="C14" s="5"/>
      <c r="D14" s="12"/>
    </row>
    <row r="15" spans="1:7" ht="14.25" x14ac:dyDescent="0.15">
      <c r="A15" s="55" t="s">
        <v>36</v>
      </c>
      <c r="B15" s="71">
        <f>SUM(B16:B26)</f>
        <v>30194653</v>
      </c>
      <c r="C15" s="76"/>
      <c r="D15" s="12"/>
    </row>
    <row r="16" spans="1:7" ht="14.25" x14ac:dyDescent="0.15">
      <c r="A16" s="54" t="s">
        <v>14</v>
      </c>
      <c r="B16" s="74">
        <f>30800+5591010</f>
        <v>5621810</v>
      </c>
      <c r="C16" s="11"/>
      <c r="D16" s="12"/>
    </row>
    <row r="17" spans="1:4" ht="14.25" x14ac:dyDescent="0.15">
      <c r="A17" s="54" t="s">
        <v>15</v>
      </c>
      <c r="B17" s="73">
        <f>13741899+1025128+671600</f>
        <v>15438627</v>
      </c>
      <c r="C17" s="5"/>
      <c r="D17" s="12"/>
    </row>
    <row r="18" spans="1:4" ht="14.25" x14ac:dyDescent="0.15">
      <c r="A18" s="53" t="s">
        <v>58</v>
      </c>
      <c r="B18" s="74">
        <f>3598267+403378+96600</f>
        <v>4098245</v>
      </c>
      <c r="C18" s="11"/>
      <c r="D18" s="12"/>
    </row>
    <row r="19" spans="1:4" ht="14.25" x14ac:dyDescent="0.15">
      <c r="A19" s="54" t="s">
        <v>16</v>
      </c>
      <c r="B19" s="73">
        <f>1511541+94045+89000</f>
        <v>1694586</v>
      </c>
      <c r="C19" s="5"/>
      <c r="D19" s="12"/>
    </row>
    <row r="20" spans="1:4" ht="14.25" x14ac:dyDescent="0.15">
      <c r="A20" s="54" t="s">
        <v>67</v>
      </c>
      <c r="B20" s="73">
        <f>1274168+101629</f>
        <v>1375797</v>
      </c>
      <c r="C20" s="5"/>
      <c r="D20" s="12"/>
    </row>
    <row r="21" spans="1:4" ht="14.25" x14ac:dyDescent="0.15">
      <c r="A21" s="54" t="s">
        <v>72</v>
      </c>
      <c r="B21" s="73">
        <v>18800</v>
      </c>
      <c r="C21" s="5"/>
      <c r="D21" s="12"/>
    </row>
    <row r="22" spans="1:4" ht="14.25" x14ac:dyDescent="0.15">
      <c r="A22" s="54" t="s">
        <v>81</v>
      </c>
      <c r="B22" s="73">
        <f>339150+22584+40800</f>
        <v>402534</v>
      </c>
      <c r="C22" s="5"/>
      <c r="D22" s="12"/>
    </row>
    <row r="23" spans="1:4" ht="14.25" x14ac:dyDescent="0.15">
      <c r="A23" s="54" t="s">
        <v>82</v>
      </c>
      <c r="B23" s="73">
        <v>68400</v>
      </c>
      <c r="C23" s="5"/>
      <c r="D23" s="12"/>
    </row>
    <row r="24" spans="1:4" ht="14.25" x14ac:dyDescent="0.15">
      <c r="A24" s="54" t="s">
        <v>17</v>
      </c>
      <c r="B24" s="74">
        <v>1441854</v>
      </c>
      <c r="C24" s="5"/>
      <c r="D24" s="12"/>
    </row>
    <row r="25" spans="1:4" ht="14.25" x14ac:dyDescent="0.15">
      <c r="A25" s="54" t="s">
        <v>71</v>
      </c>
      <c r="B25" s="75">
        <v>34000</v>
      </c>
      <c r="C25" s="5"/>
      <c r="D25" s="12"/>
    </row>
    <row r="26" spans="1:4" ht="14.25" x14ac:dyDescent="0.15">
      <c r="A26" s="54" t="s">
        <v>79</v>
      </c>
      <c r="B26" s="75">
        <v>0</v>
      </c>
      <c r="C26" s="5"/>
      <c r="D26" s="12"/>
    </row>
    <row r="27" spans="1:4" ht="14.25" x14ac:dyDescent="0.15">
      <c r="A27" s="55" t="s">
        <v>37</v>
      </c>
      <c r="B27" s="71">
        <v>739322</v>
      </c>
      <c r="C27" s="15" t="s">
        <v>0</v>
      </c>
      <c r="D27" s="12"/>
    </row>
    <row r="28" spans="1:4" ht="14.25" x14ac:dyDescent="0.15">
      <c r="A28" s="61" t="s">
        <v>96</v>
      </c>
      <c r="B28" s="71">
        <v>52890</v>
      </c>
      <c r="C28" s="15"/>
      <c r="D28" s="12"/>
    </row>
    <row r="29" spans="1:4" ht="14.25" x14ac:dyDescent="0.15">
      <c r="A29" s="61" t="s">
        <v>38</v>
      </c>
      <c r="B29" s="7"/>
      <c r="C29" s="77">
        <f>B8+B9+B15+B27+B28</f>
        <v>45149641</v>
      </c>
      <c r="D29" s="12"/>
    </row>
    <row r="30" spans="1:4" ht="11.25" customHeight="1" x14ac:dyDescent="0.15">
      <c r="A30" s="11"/>
      <c r="B30" s="14"/>
      <c r="C30" s="5"/>
      <c r="D30" s="78" t="s">
        <v>0</v>
      </c>
    </row>
    <row r="31" spans="1:4" ht="14.25" x14ac:dyDescent="0.15">
      <c r="A31" s="55" t="s">
        <v>20</v>
      </c>
      <c r="B31" s="79" t="s">
        <v>0</v>
      </c>
      <c r="C31" s="5"/>
      <c r="D31" s="25"/>
    </row>
    <row r="32" spans="1:4" ht="14.25" x14ac:dyDescent="0.15">
      <c r="A32" s="55" t="s">
        <v>39</v>
      </c>
      <c r="B32" s="71">
        <f>375000+491168+19110525+25214850+4912322</f>
        <v>50103865</v>
      </c>
      <c r="C32" s="5"/>
      <c r="D32" s="12"/>
    </row>
    <row r="33" spans="1:4" ht="14.25" x14ac:dyDescent="0.15">
      <c r="A33" s="55" t="s">
        <v>54</v>
      </c>
      <c r="B33" s="71">
        <f>1+7255+16541+18904+111982+128415+11775+585144+713608+1371313+706421+638309+960486+1273455</f>
        <v>6543609</v>
      </c>
      <c r="C33" s="5"/>
      <c r="D33" s="12"/>
    </row>
    <row r="34" spans="1:4" ht="14.25" x14ac:dyDescent="0.15">
      <c r="A34" s="55" t="s">
        <v>55</v>
      </c>
      <c r="B34" s="71">
        <f>1+537740+1092499</f>
        <v>1630240</v>
      </c>
      <c r="C34" s="5"/>
      <c r="D34" s="12"/>
    </row>
    <row r="35" spans="1:4" ht="14.25" x14ac:dyDescent="0.15">
      <c r="A35" s="55" t="s">
        <v>75</v>
      </c>
      <c r="B35" s="71">
        <v>95780</v>
      </c>
      <c r="C35" s="5"/>
      <c r="D35" s="12"/>
    </row>
    <row r="36" spans="1:4" ht="14.25" x14ac:dyDescent="0.15">
      <c r="A36" s="55" t="s">
        <v>40</v>
      </c>
      <c r="B36" s="71">
        <f>1+1+1+1+1+1+1+1+1075418+1+138921</f>
        <v>1214348</v>
      </c>
      <c r="C36" s="5"/>
      <c r="D36" s="12"/>
    </row>
    <row r="37" spans="1:4" ht="14.25" x14ac:dyDescent="0.15">
      <c r="A37" s="55" t="s">
        <v>41</v>
      </c>
      <c r="B37" s="71">
        <v>110600</v>
      </c>
      <c r="C37" s="5"/>
      <c r="D37" s="12"/>
    </row>
    <row r="38" spans="1:4" ht="14.25" x14ac:dyDescent="0.15">
      <c r="A38" s="55" t="s">
        <v>42</v>
      </c>
      <c r="B38" s="71">
        <v>50000</v>
      </c>
      <c r="C38" s="11"/>
      <c r="D38" s="12"/>
    </row>
    <row r="39" spans="1:4" ht="14.25" x14ac:dyDescent="0.15">
      <c r="A39" s="55" t="s">
        <v>66</v>
      </c>
      <c r="B39" s="71">
        <v>128900</v>
      </c>
      <c r="C39" s="76"/>
      <c r="D39" s="12"/>
    </row>
    <row r="40" spans="1:4" ht="14.25" x14ac:dyDescent="0.15">
      <c r="A40" s="61" t="s">
        <v>43</v>
      </c>
      <c r="B40" s="80"/>
      <c r="C40" s="37">
        <f>SUM(B32:B39)</f>
        <v>59877342</v>
      </c>
      <c r="D40" s="12"/>
    </row>
    <row r="41" spans="1:4" ht="8.25" customHeight="1" x14ac:dyDescent="0.15">
      <c r="A41" s="11"/>
      <c r="B41" s="19"/>
      <c r="C41" s="5"/>
      <c r="D41" s="12"/>
    </row>
    <row r="42" spans="1:4" ht="14.25" x14ac:dyDescent="0.15">
      <c r="A42" s="58" t="s">
        <v>23</v>
      </c>
      <c r="B42" s="80"/>
      <c r="C42" s="10"/>
      <c r="D42" s="38">
        <f>C29+C40</f>
        <v>105026983</v>
      </c>
    </row>
    <row r="43" spans="1:4" ht="11.25" customHeight="1" x14ac:dyDescent="0.15">
      <c r="A43" s="9"/>
      <c r="B43" s="62"/>
      <c r="C43" s="62"/>
      <c r="D43" s="62"/>
    </row>
    <row r="44" spans="1:4" ht="14.25" x14ac:dyDescent="0.15">
      <c r="A44" s="60" t="s">
        <v>18</v>
      </c>
      <c r="B44" s="79"/>
      <c r="C44" s="5"/>
      <c r="D44" s="12"/>
    </row>
    <row r="45" spans="1:4" ht="14.25" x14ac:dyDescent="0.15">
      <c r="A45" s="55" t="s">
        <v>21</v>
      </c>
      <c r="B45" s="79"/>
      <c r="C45" s="5"/>
      <c r="D45" s="23"/>
    </row>
    <row r="46" spans="1:4" ht="14.25" x14ac:dyDescent="0.15">
      <c r="A46" s="55" t="s">
        <v>32</v>
      </c>
      <c r="B46" s="71">
        <v>377548</v>
      </c>
      <c r="C46" s="5"/>
      <c r="D46" s="78"/>
    </row>
    <row r="47" spans="1:4" ht="14.25" x14ac:dyDescent="0.15">
      <c r="A47" s="55" t="s">
        <v>33</v>
      </c>
      <c r="B47" s="71"/>
      <c r="C47" s="5"/>
      <c r="D47" s="12"/>
    </row>
    <row r="48" spans="1:4" ht="6.75" customHeight="1" x14ac:dyDescent="0.15">
      <c r="A48" s="59"/>
      <c r="B48" s="79"/>
      <c r="C48" s="11"/>
      <c r="D48" s="12"/>
    </row>
    <row r="49" spans="1:4" ht="14.25" x14ac:dyDescent="0.15">
      <c r="A49" s="55" t="s">
        <v>31</v>
      </c>
      <c r="B49" s="80"/>
      <c r="C49" s="37">
        <f>B46+B47</f>
        <v>377548</v>
      </c>
      <c r="D49" s="23"/>
    </row>
    <row r="50" spans="1:4" ht="11.25" customHeight="1" x14ac:dyDescent="0.15">
      <c r="A50" s="3"/>
      <c r="B50" s="14"/>
      <c r="C50" s="34"/>
      <c r="D50" s="25"/>
    </row>
    <row r="51" spans="1:4" ht="14.25" x14ac:dyDescent="0.15">
      <c r="A51" s="55" t="s">
        <v>22</v>
      </c>
      <c r="B51" s="19"/>
      <c r="C51" s="81"/>
      <c r="D51" s="23"/>
    </row>
    <row r="52" spans="1:4" ht="14.25" x14ac:dyDescent="0.15">
      <c r="A52" s="55" t="s">
        <v>30</v>
      </c>
      <c r="B52" s="71">
        <v>9440000</v>
      </c>
      <c r="C52" s="11"/>
      <c r="D52" s="25"/>
    </row>
    <row r="53" spans="1:4" ht="14.25" x14ac:dyDescent="0.15">
      <c r="A53" s="9"/>
      <c r="B53" s="19"/>
      <c r="C53" s="11"/>
      <c r="D53" s="25"/>
    </row>
    <row r="54" spans="1:4" ht="14.25" x14ac:dyDescent="0.15">
      <c r="A54" s="61" t="s">
        <v>29</v>
      </c>
      <c r="B54" s="10"/>
      <c r="C54" s="37">
        <f>B52</f>
        <v>9440000</v>
      </c>
      <c r="D54" s="23"/>
    </row>
    <row r="55" spans="1:4" ht="6.75" customHeight="1" x14ac:dyDescent="0.15">
      <c r="A55" s="3"/>
      <c r="B55" s="19"/>
      <c r="C55" s="11"/>
      <c r="D55" s="23"/>
    </row>
    <row r="56" spans="1:4" ht="14.25" x14ac:dyDescent="0.15">
      <c r="A56" s="58" t="s">
        <v>24</v>
      </c>
      <c r="B56" s="40"/>
      <c r="C56" s="40"/>
      <c r="D56" s="38">
        <f>C49+C54</f>
        <v>9817548</v>
      </c>
    </row>
    <row r="57" spans="1:4" ht="11.25" customHeight="1" x14ac:dyDescent="0.15">
      <c r="A57" s="3"/>
      <c r="B57" s="19"/>
      <c r="C57" s="11"/>
      <c r="D57" s="23"/>
    </row>
    <row r="58" spans="1:4" ht="14.25" x14ac:dyDescent="0.15">
      <c r="A58" s="55" t="s">
        <v>3</v>
      </c>
      <c r="B58" s="30"/>
      <c r="C58" s="35"/>
      <c r="D58" s="31"/>
    </row>
    <row r="59" spans="1:4" ht="15" customHeight="1" x14ac:dyDescent="0.15">
      <c r="A59" s="55" t="s">
        <v>27</v>
      </c>
      <c r="B59" s="10"/>
      <c r="C59" s="39"/>
      <c r="D59" s="39">
        <v>0</v>
      </c>
    </row>
    <row r="60" spans="1:4" ht="15.75" customHeight="1" x14ac:dyDescent="0.15">
      <c r="A60" s="55" t="s">
        <v>28</v>
      </c>
      <c r="B60" s="47"/>
      <c r="C60" s="9"/>
      <c r="D60" s="43">
        <f>D42-D56</f>
        <v>95209435</v>
      </c>
    </row>
    <row r="61" spans="1:4" ht="15.75" customHeight="1" x14ac:dyDescent="0.15">
      <c r="A61" s="59" t="s">
        <v>11</v>
      </c>
      <c r="B61" s="9"/>
      <c r="D61" s="70">
        <f>D60-'31.3月 '!D59</f>
        <v>1110012</v>
      </c>
    </row>
    <row r="62" spans="1:4" ht="16.5" customHeight="1" x14ac:dyDescent="0.15">
      <c r="A62" s="55" t="s">
        <v>26</v>
      </c>
      <c r="B62" s="22"/>
      <c r="C62" s="48"/>
      <c r="D62" s="44">
        <f>D60</f>
        <v>95209435</v>
      </c>
    </row>
    <row r="63" spans="1:4" ht="14.25" x14ac:dyDescent="0.15">
      <c r="A63" s="55" t="s">
        <v>25</v>
      </c>
      <c r="B63" s="22"/>
      <c r="C63" s="9"/>
      <c r="D63" s="69">
        <f>D56+D62</f>
        <v>105026983</v>
      </c>
    </row>
    <row r="64" spans="1:4" x14ac:dyDescent="0.15">
      <c r="B64" s="2"/>
      <c r="D64" s="68"/>
    </row>
    <row r="65" spans="1:4" ht="12.75" customHeight="1" x14ac:dyDescent="0.2">
      <c r="A65" s="1"/>
    </row>
    <row r="66" spans="1:4" x14ac:dyDescent="0.15">
      <c r="A66" s="45"/>
      <c r="B66" s="45"/>
      <c r="D66" s="68"/>
    </row>
    <row r="67" spans="1:4" x14ac:dyDescent="0.15">
      <c r="C67" s="52"/>
      <c r="D67" s="45"/>
    </row>
    <row r="69" spans="1:4" x14ac:dyDescent="0.15">
      <c r="C69" s="52"/>
    </row>
    <row r="71" spans="1:4" ht="13.5" customHeight="1" x14ac:dyDescent="0.2">
      <c r="A71" s="21"/>
    </row>
    <row r="72" spans="1:4" ht="14.25" x14ac:dyDescent="0.15">
      <c r="A72" s="17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  <c r="B75" s="82"/>
      <c r="C75" s="17"/>
      <c r="D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3"/>
      <c r="C77" s="17"/>
      <c r="D77" s="17"/>
    </row>
    <row r="78" spans="1:4" ht="14.25" x14ac:dyDescent="0.15">
      <c r="A78" s="17"/>
      <c r="B78" s="82"/>
      <c r="C78" s="17"/>
      <c r="D78" s="17"/>
    </row>
    <row r="79" spans="1:4" ht="14.25" x14ac:dyDescent="0.15">
      <c r="A79" s="17"/>
      <c r="B79" s="82"/>
      <c r="C79" s="82"/>
      <c r="D79" s="17"/>
    </row>
    <row r="80" spans="1:4" ht="14.25" x14ac:dyDescent="0.15">
      <c r="B80" s="17"/>
      <c r="C80" s="18"/>
      <c r="D80" s="17"/>
    </row>
    <row r="81" spans="1:4" ht="14.25" x14ac:dyDescent="0.15">
      <c r="A81" s="17"/>
      <c r="B81" s="17"/>
      <c r="C81" s="18"/>
      <c r="D81" s="17"/>
    </row>
    <row r="82" spans="1:4" ht="14.25" x14ac:dyDescent="0.15">
      <c r="C82" s="17"/>
      <c r="D82" s="17"/>
    </row>
    <row r="83" spans="1:4" ht="14.25" x14ac:dyDescent="0.15">
      <c r="A83" s="17"/>
      <c r="C83" s="17"/>
      <c r="D83" s="17"/>
    </row>
    <row r="84" spans="1:4" ht="14.25" x14ac:dyDescent="0.15">
      <c r="A84" s="17"/>
      <c r="B84" s="83"/>
      <c r="C84" s="18"/>
      <c r="D84" s="17"/>
    </row>
    <row r="85" spans="1:4" ht="14.25" x14ac:dyDescent="0.15">
      <c r="A85" s="17"/>
      <c r="B85" s="82"/>
      <c r="D85" s="17"/>
    </row>
    <row r="86" spans="1:4" ht="14.25" x14ac:dyDescent="0.15">
      <c r="B86" s="17"/>
      <c r="C86" s="17"/>
      <c r="D86" s="82"/>
    </row>
    <row r="87" spans="1:4" ht="14.25" x14ac:dyDescent="0.15">
      <c r="A87" s="17"/>
      <c r="B87" s="82"/>
      <c r="C87" s="82"/>
      <c r="D87" s="18"/>
    </row>
    <row r="88" spans="1:4" ht="14.25" x14ac:dyDescent="0.15">
      <c r="B88" s="82"/>
      <c r="C88" s="17"/>
      <c r="D88" s="17"/>
    </row>
    <row r="89" spans="1:4" ht="14.25" x14ac:dyDescent="0.15">
      <c r="A89" s="17"/>
      <c r="B89" s="82"/>
      <c r="C89" s="17"/>
      <c r="D89" s="18"/>
    </row>
    <row r="90" spans="1:4" ht="14.25" x14ac:dyDescent="0.15">
      <c r="C90" s="17"/>
      <c r="D90" s="17"/>
    </row>
    <row r="91" spans="1:4" ht="14.25" x14ac:dyDescent="0.15">
      <c r="A91" s="17"/>
      <c r="C91" s="17"/>
      <c r="D91" s="17"/>
    </row>
    <row r="92" spans="1:4" ht="14.25" x14ac:dyDescent="0.15">
      <c r="A92" s="17"/>
      <c r="B92" s="82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C94" s="17"/>
      <c r="D94" s="17"/>
    </row>
    <row r="95" spans="1:4" ht="14.25" x14ac:dyDescent="0.15">
      <c r="A95" s="17"/>
      <c r="C95" s="82"/>
      <c r="D95" s="17"/>
    </row>
    <row r="96" spans="1:4" ht="14.25" x14ac:dyDescent="0.15">
      <c r="A96" s="17"/>
      <c r="B96" s="82"/>
      <c r="D96" s="17"/>
    </row>
    <row r="97" spans="1:4" ht="14.25" x14ac:dyDescent="0.15">
      <c r="A97" s="17"/>
      <c r="B97" s="82"/>
      <c r="C97" s="17"/>
      <c r="D97" s="17"/>
    </row>
    <row r="98" spans="1:4" ht="14.25" x14ac:dyDescent="0.15">
      <c r="A98" s="17"/>
      <c r="B98" s="82"/>
      <c r="C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  <c r="D100" s="17"/>
    </row>
    <row r="101" spans="1:4" ht="14.25" x14ac:dyDescent="0.15">
      <c r="A101" s="17"/>
      <c r="B101" s="82"/>
      <c r="D101" s="82"/>
    </row>
    <row r="102" spans="1:4" ht="14.25" x14ac:dyDescent="0.15">
      <c r="A102" s="17"/>
      <c r="B102" s="82"/>
      <c r="C102" s="17"/>
    </row>
    <row r="103" spans="1:4" ht="14.25" x14ac:dyDescent="0.15">
      <c r="A103" s="17"/>
      <c r="B103" s="17"/>
      <c r="D103" s="18"/>
    </row>
    <row r="104" spans="1:4" ht="14.25" x14ac:dyDescent="0.15">
      <c r="A104" s="17"/>
    </row>
    <row r="105" spans="1:4" ht="14.25" x14ac:dyDescent="0.15">
      <c r="A105" s="17" t="s">
        <v>0</v>
      </c>
      <c r="C105" s="18" t="s">
        <v>0</v>
      </c>
      <c r="D105" s="18" t="s">
        <v>0</v>
      </c>
    </row>
    <row r="106" spans="1:4" x14ac:dyDescent="0.15">
      <c r="A106" t="s">
        <v>0</v>
      </c>
    </row>
    <row r="107" spans="1:4" ht="14.25" x14ac:dyDescent="0.15">
      <c r="A107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A160F-D9C3-4A93-974A-C1B3E6CEC2CF}">
  <dimension ref="A1:G108"/>
  <sheetViews>
    <sheetView zoomScaleNormal="100" workbookViewId="0">
      <selection activeCell="A21" sqref="A21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</cols>
  <sheetData>
    <row r="1" spans="1:7" ht="17.25" x14ac:dyDescent="0.2">
      <c r="A1" s="1" t="s">
        <v>153</v>
      </c>
      <c r="B1" s="1"/>
    </row>
    <row r="2" spans="1:7" ht="17.25" customHeight="1" x14ac:dyDescent="0.15">
      <c r="A2" s="111" t="s">
        <v>101</v>
      </c>
      <c r="B2" s="111"/>
      <c r="C2" s="111"/>
      <c r="D2" s="111"/>
    </row>
    <row r="3" spans="1:7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7" ht="15" customHeight="1" x14ac:dyDescent="0.15">
      <c r="C4" s="115" t="s">
        <v>49</v>
      </c>
      <c r="D4" s="115"/>
      <c r="F4" s="46"/>
    </row>
    <row r="5" spans="1:7" ht="17.25" x14ac:dyDescent="0.2">
      <c r="A5" s="56" t="s">
        <v>5</v>
      </c>
      <c r="B5" s="50"/>
      <c r="C5" s="49" t="s">
        <v>4</v>
      </c>
      <c r="D5" s="49"/>
    </row>
    <row r="6" spans="1:7" ht="14.25" x14ac:dyDescent="0.15">
      <c r="A6" s="55" t="s">
        <v>2</v>
      </c>
      <c r="B6" s="24"/>
      <c r="C6" s="4"/>
      <c r="D6" s="28"/>
    </row>
    <row r="7" spans="1:7" ht="14.25" x14ac:dyDescent="0.15">
      <c r="A7" s="55" t="s">
        <v>19</v>
      </c>
      <c r="B7" s="14"/>
      <c r="C7" s="5"/>
      <c r="D7" s="12"/>
    </row>
    <row r="8" spans="1:7" ht="14.25" x14ac:dyDescent="0.15">
      <c r="A8" s="55" t="s">
        <v>34</v>
      </c>
      <c r="B8" s="72">
        <v>2385</v>
      </c>
      <c r="C8" s="5"/>
      <c r="D8" s="12"/>
    </row>
    <row r="9" spans="1:7" ht="14.25" x14ac:dyDescent="0.15">
      <c r="A9" s="55" t="s">
        <v>35</v>
      </c>
      <c r="B9" s="71">
        <f>SUM(B10:B14)</f>
        <v>15294422</v>
      </c>
      <c r="C9" s="5"/>
      <c r="D9" s="12"/>
    </row>
    <row r="10" spans="1:7" ht="14.25" x14ac:dyDescent="0.15">
      <c r="A10" s="53" t="s">
        <v>102</v>
      </c>
      <c r="B10" s="73">
        <f>9736145+28017+9750+313280+367692+259402</f>
        <v>10714286</v>
      </c>
      <c r="C10" s="5"/>
      <c r="D10" s="23"/>
    </row>
    <row r="11" spans="1:7" ht="14.25" x14ac:dyDescent="0.15">
      <c r="A11" s="54" t="s">
        <v>12</v>
      </c>
      <c r="B11" s="73">
        <f>255639+1296966+69827</f>
        <v>1622432</v>
      </c>
      <c r="C11" s="5"/>
      <c r="D11" s="23"/>
    </row>
    <row r="12" spans="1:7" ht="14.25" x14ac:dyDescent="0.15">
      <c r="A12" s="53" t="s">
        <v>45</v>
      </c>
      <c r="B12" s="74">
        <v>1578855</v>
      </c>
      <c r="C12" s="5"/>
      <c r="D12" s="23"/>
    </row>
    <row r="13" spans="1:7" ht="14.25" x14ac:dyDescent="0.15">
      <c r="A13" s="53" t="s">
        <v>44</v>
      </c>
      <c r="B13" s="75">
        <v>1107790</v>
      </c>
      <c r="C13" s="5"/>
      <c r="D13" s="12"/>
    </row>
    <row r="14" spans="1:7" ht="14.25" x14ac:dyDescent="0.15">
      <c r="A14" s="53" t="s">
        <v>46</v>
      </c>
      <c r="B14" s="75">
        <v>271059</v>
      </c>
      <c r="C14" s="5"/>
      <c r="D14" s="12"/>
    </row>
    <row r="15" spans="1:7" ht="14.25" x14ac:dyDescent="0.15">
      <c r="A15" s="55" t="s">
        <v>36</v>
      </c>
      <c r="B15" s="71">
        <f>SUM(B16:B27)</f>
        <v>30186713</v>
      </c>
      <c r="C15" s="76"/>
      <c r="D15" s="12"/>
    </row>
    <row r="16" spans="1:7" ht="14.25" x14ac:dyDescent="0.15">
      <c r="A16" s="54" t="s">
        <v>14</v>
      </c>
      <c r="B16" s="74">
        <f>9240+5486610</f>
        <v>5495850</v>
      </c>
      <c r="C16" s="11"/>
      <c r="D16" s="12"/>
    </row>
    <row r="17" spans="1:4" ht="14.25" x14ac:dyDescent="0.15">
      <c r="A17" s="54" t="s">
        <v>15</v>
      </c>
      <c r="B17" s="73">
        <f>13795245+986403+614300</f>
        <v>15395948</v>
      </c>
      <c r="C17" s="5"/>
      <c r="D17" s="12"/>
    </row>
    <row r="18" spans="1:4" ht="14.25" x14ac:dyDescent="0.15">
      <c r="A18" s="53" t="s">
        <v>58</v>
      </c>
      <c r="B18" s="74">
        <f>3855074+497332+117000</f>
        <v>4469406</v>
      </c>
      <c r="C18" s="11"/>
      <c r="D18" s="12"/>
    </row>
    <row r="19" spans="1:4" ht="14.25" x14ac:dyDescent="0.15">
      <c r="A19" s="54" t="s">
        <v>16</v>
      </c>
      <c r="B19" s="73">
        <f>1446408+95773+92900</f>
        <v>1635081</v>
      </c>
      <c r="C19" s="5"/>
      <c r="D19" s="12"/>
    </row>
    <row r="20" spans="1:4" ht="14.25" x14ac:dyDescent="0.15">
      <c r="A20" s="54" t="s">
        <v>67</v>
      </c>
      <c r="B20" s="73">
        <f>1300186+109076</f>
        <v>1409262</v>
      </c>
      <c r="C20" s="5"/>
      <c r="D20" s="12"/>
    </row>
    <row r="21" spans="1:4" ht="14.25" x14ac:dyDescent="0.15">
      <c r="A21" s="54" t="s">
        <v>103</v>
      </c>
      <c r="B21" s="73">
        <f>152366+20844</f>
        <v>173210</v>
      </c>
      <c r="C21" s="5"/>
      <c r="D21" s="12"/>
    </row>
    <row r="22" spans="1:4" ht="14.25" x14ac:dyDescent="0.15">
      <c r="A22" s="54" t="s">
        <v>72</v>
      </c>
      <c r="B22" s="73">
        <v>18300</v>
      </c>
      <c r="C22" s="5"/>
      <c r="D22" s="12"/>
    </row>
    <row r="23" spans="1:4" ht="14.25" x14ac:dyDescent="0.15">
      <c r="A23" s="54" t="s">
        <v>81</v>
      </c>
      <c r="B23" s="73">
        <f>351930+23226+17400</f>
        <v>392556</v>
      </c>
      <c r="C23" s="5"/>
      <c r="D23" s="12"/>
    </row>
    <row r="24" spans="1:4" ht="14.25" x14ac:dyDescent="0.15">
      <c r="A24" s="54" t="s">
        <v>82</v>
      </c>
      <c r="B24" s="73">
        <v>50400</v>
      </c>
      <c r="C24" s="5"/>
      <c r="D24" s="12"/>
    </row>
    <row r="25" spans="1:4" ht="14.25" x14ac:dyDescent="0.15">
      <c r="A25" s="54" t="s">
        <v>17</v>
      </c>
      <c r="B25" s="74">
        <v>1124200</v>
      </c>
      <c r="C25" s="5"/>
      <c r="D25" s="12"/>
    </row>
    <row r="26" spans="1:4" ht="14.25" x14ac:dyDescent="0.15">
      <c r="A26" s="54" t="s">
        <v>71</v>
      </c>
      <c r="B26" s="75">
        <v>22500</v>
      </c>
      <c r="C26" s="5"/>
      <c r="D26" s="12"/>
    </row>
    <row r="27" spans="1:4" ht="14.25" x14ac:dyDescent="0.15">
      <c r="A27" s="54" t="s">
        <v>79</v>
      </c>
      <c r="B27" s="75">
        <v>0</v>
      </c>
      <c r="C27" s="5"/>
      <c r="D27" s="12"/>
    </row>
    <row r="28" spans="1:4" ht="14.25" x14ac:dyDescent="0.15">
      <c r="A28" s="55" t="s">
        <v>37</v>
      </c>
      <c r="B28" s="71">
        <v>679876</v>
      </c>
      <c r="C28" s="15" t="s">
        <v>0</v>
      </c>
      <c r="D28" s="12"/>
    </row>
    <row r="29" spans="1:4" ht="14.25" x14ac:dyDescent="0.15">
      <c r="A29" s="61" t="s">
        <v>96</v>
      </c>
      <c r="B29" s="71">
        <v>52890</v>
      </c>
      <c r="C29" s="15"/>
      <c r="D29" s="12"/>
    </row>
    <row r="30" spans="1:4" ht="14.25" x14ac:dyDescent="0.15">
      <c r="A30" s="61" t="s">
        <v>38</v>
      </c>
      <c r="B30" s="7"/>
      <c r="C30" s="77">
        <f>B8+B9+B15+B28+B29</f>
        <v>46216286</v>
      </c>
      <c r="D30" s="12"/>
    </row>
    <row r="31" spans="1:4" ht="11.25" customHeight="1" x14ac:dyDescent="0.15">
      <c r="A31" s="11"/>
      <c r="B31" s="14"/>
      <c r="C31" s="5"/>
      <c r="D31" s="78" t="s">
        <v>0</v>
      </c>
    </row>
    <row r="32" spans="1:4" ht="14.25" x14ac:dyDescent="0.15">
      <c r="A32" s="55" t="s">
        <v>20</v>
      </c>
      <c r="B32" s="79" t="s">
        <v>0</v>
      </c>
      <c r="C32" s="5"/>
      <c r="D32" s="25"/>
    </row>
    <row r="33" spans="1:4" ht="14.25" x14ac:dyDescent="0.15">
      <c r="A33" s="55" t="s">
        <v>39</v>
      </c>
      <c r="B33" s="71">
        <f>375000+491168+19110525+25214850+4912322</f>
        <v>50103865</v>
      </c>
      <c r="C33" s="5"/>
      <c r="D33" s="12"/>
    </row>
    <row r="34" spans="1:4" ht="14.25" x14ac:dyDescent="0.15">
      <c r="A34" s="55" t="s">
        <v>54</v>
      </c>
      <c r="B34" s="71">
        <f>1+7255+16541+18904+111982+128415+11775+585144+713608+1371313+706421+638309+960486+1273455</f>
        <v>6543609</v>
      </c>
      <c r="C34" s="5"/>
      <c r="D34" s="12"/>
    </row>
    <row r="35" spans="1:4" ht="14.25" x14ac:dyDescent="0.15">
      <c r="A35" s="55" t="s">
        <v>55</v>
      </c>
      <c r="B35" s="71">
        <f>1+537740+1092499</f>
        <v>1630240</v>
      </c>
      <c r="C35" s="5"/>
      <c r="D35" s="12"/>
    </row>
    <row r="36" spans="1:4" ht="14.25" x14ac:dyDescent="0.15">
      <c r="A36" s="55" t="s">
        <v>75</v>
      </c>
      <c r="B36" s="71">
        <v>95780</v>
      </c>
      <c r="C36" s="5"/>
      <c r="D36" s="12"/>
    </row>
    <row r="37" spans="1:4" ht="14.25" x14ac:dyDescent="0.15">
      <c r="A37" s="55" t="s">
        <v>40</v>
      </c>
      <c r="B37" s="71">
        <f>1+1+1+1+1+1+1+1+1075418+1+138921</f>
        <v>1214348</v>
      </c>
      <c r="C37" s="5"/>
      <c r="D37" s="12"/>
    </row>
    <row r="38" spans="1:4" ht="14.25" x14ac:dyDescent="0.15">
      <c r="A38" s="55" t="s">
        <v>41</v>
      </c>
      <c r="B38" s="71">
        <v>110600</v>
      </c>
      <c r="C38" s="5"/>
      <c r="D38" s="12"/>
    </row>
    <row r="39" spans="1:4" ht="14.25" x14ac:dyDescent="0.15">
      <c r="A39" s="55" t="s">
        <v>42</v>
      </c>
      <c r="B39" s="71">
        <v>50000</v>
      </c>
      <c r="C39" s="11"/>
      <c r="D39" s="12"/>
    </row>
    <row r="40" spans="1:4" ht="14.25" x14ac:dyDescent="0.15">
      <c r="A40" s="55" t="s">
        <v>66</v>
      </c>
      <c r="B40" s="71">
        <v>128900</v>
      </c>
      <c r="C40" s="76"/>
      <c r="D40" s="12"/>
    </row>
    <row r="41" spans="1:4" ht="14.25" x14ac:dyDescent="0.15">
      <c r="A41" s="61" t="s">
        <v>43</v>
      </c>
      <c r="B41" s="80"/>
      <c r="C41" s="37">
        <f>SUM(B33:B40)</f>
        <v>59877342</v>
      </c>
      <c r="D41" s="12"/>
    </row>
    <row r="42" spans="1:4" ht="8.25" customHeight="1" x14ac:dyDescent="0.15">
      <c r="A42" s="11"/>
      <c r="B42" s="19"/>
      <c r="C42" s="5"/>
      <c r="D42" s="12"/>
    </row>
    <row r="43" spans="1:4" ht="14.25" x14ac:dyDescent="0.15">
      <c r="A43" s="58" t="s">
        <v>23</v>
      </c>
      <c r="B43" s="80"/>
      <c r="C43" s="10"/>
      <c r="D43" s="38">
        <f>C30+C41</f>
        <v>106093628</v>
      </c>
    </row>
    <row r="44" spans="1:4" ht="11.25" customHeight="1" x14ac:dyDescent="0.15">
      <c r="A44" s="9"/>
      <c r="B44" s="62"/>
      <c r="C44" s="62"/>
      <c r="D44" s="62"/>
    </row>
    <row r="45" spans="1:4" ht="14.25" x14ac:dyDescent="0.15">
      <c r="A45" s="60" t="s">
        <v>18</v>
      </c>
      <c r="B45" s="79"/>
      <c r="C45" s="5"/>
      <c r="D45" s="12"/>
    </row>
    <row r="46" spans="1:4" ht="14.25" x14ac:dyDescent="0.15">
      <c r="A46" s="55" t="s">
        <v>21</v>
      </c>
      <c r="B46" s="79"/>
      <c r="C46" s="5"/>
      <c r="D46" s="23"/>
    </row>
    <row r="47" spans="1:4" ht="14.25" x14ac:dyDescent="0.15">
      <c r="A47" s="55" t="s">
        <v>32</v>
      </c>
      <c r="B47" s="71">
        <v>478372</v>
      </c>
      <c r="C47" s="5"/>
      <c r="D47" s="78"/>
    </row>
    <row r="48" spans="1:4" ht="14.25" x14ac:dyDescent="0.15">
      <c r="A48" s="55" t="s">
        <v>33</v>
      </c>
      <c r="B48" s="71">
        <v>0</v>
      </c>
      <c r="C48" s="5"/>
      <c r="D48" s="12"/>
    </row>
    <row r="49" spans="1:4" ht="6.75" customHeight="1" x14ac:dyDescent="0.15">
      <c r="A49" s="59"/>
      <c r="B49" s="79"/>
      <c r="C49" s="11"/>
      <c r="D49" s="12"/>
    </row>
    <row r="50" spans="1:4" ht="14.25" x14ac:dyDescent="0.15">
      <c r="A50" s="55" t="s">
        <v>31</v>
      </c>
      <c r="B50" s="80"/>
      <c r="C50" s="37">
        <f>B47+B48</f>
        <v>478372</v>
      </c>
      <c r="D50" s="23"/>
    </row>
    <row r="51" spans="1:4" ht="11.25" customHeight="1" x14ac:dyDescent="0.15">
      <c r="A51" s="3"/>
      <c r="B51" s="14"/>
      <c r="C51" s="34"/>
      <c r="D51" s="25"/>
    </row>
    <row r="52" spans="1:4" ht="14.25" x14ac:dyDescent="0.15">
      <c r="A52" s="55" t="s">
        <v>22</v>
      </c>
      <c r="B52" s="19"/>
      <c r="C52" s="81"/>
      <c r="D52" s="23"/>
    </row>
    <row r="53" spans="1:4" ht="14.25" x14ac:dyDescent="0.15">
      <c r="A53" s="55" t="s">
        <v>30</v>
      </c>
      <c r="B53" s="71">
        <v>9160000</v>
      </c>
      <c r="C53" s="11"/>
      <c r="D53" s="25"/>
    </row>
    <row r="54" spans="1:4" ht="14.25" x14ac:dyDescent="0.15">
      <c r="A54" s="9"/>
      <c r="B54" s="19"/>
      <c r="C54" s="11"/>
      <c r="D54" s="25"/>
    </row>
    <row r="55" spans="1:4" ht="14.25" x14ac:dyDescent="0.15">
      <c r="A55" s="61" t="s">
        <v>29</v>
      </c>
      <c r="B55" s="10"/>
      <c r="C55" s="37">
        <f>B53</f>
        <v>9160000</v>
      </c>
      <c r="D55" s="23"/>
    </row>
    <row r="56" spans="1:4" ht="6.75" customHeight="1" x14ac:dyDescent="0.15">
      <c r="A56" s="3"/>
      <c r="B56" s="19"/>
      <c r="C56" s="11"/>
      <c r="D56" s="23"/>
    </row>
    <row r="57" spans="1:4" ht="14.25" x14ac:dyDescent="0.15">
      <c r="A57" s="58" t="s">
        <v>24</v>
      </c>
      <c r="B57" s="40"/>
      <c r="C57" s="40"/>
      <c r="D57" s="38">
        <f>C50+C55</f>
        <v>9638372</v>
      </c>
    </row>
    <row r="58" spans="1:4" ht="11.25" customHeight="1" x14ac:dyDescent="0.15">
      <c r="A58" s="3"/>
      <c r="B58" s="19"/>
      <c r="C58" s="11"/>
      <c r="D58" s="23"/>
    </row>
    <row r="59" spans="1:4" ht="14.25" x14ac:dyDescent="0.15">
      <c r="A59" s="55" t="s">
        <v>3</v>
      </c>
      <c r="B59" s="30"/>
      <c r="C59" s="35"/>
      <c r="D59" s="31"/>
    </row>
    <row r="60" spans="1:4" ht="15" customHeight="1" x14ac:dyDescent="0.15">
      <c r="A60" s="55" t="s">
        <v>27</v>
      </c>
      <c r="B60" s="10"/>
      <c r="C60" s="39"/>
      <c r="D60" s="39">
        <v>0</v>
      </c>
    </row>
    <row r="61" spans="1:4" ht="15.75" customHeight="1" x14ac:dyDescent="0.15">
      <c r="A61" s="55" t="s">
        <v>28</v>
      </c>
      <c r="B61" s="47"/>
      <c r="C61" s="9"/>
      <c r="D61" s="43">
        <f>D43-D57</f>
        <v>96455256</v>
      </c>
    </row>
    <row r="62" spans="1:4" ht="15.75" customHeight="1" x14ac:dyDescent="0.15">
      <c r="A62" s="59" t="s">
        <v>11</v>
      </c>
      <c r="B62" s="9"/>
      <c r="D62" s="70">
        <f>D61-'2.3月'!D60</f>
        <v>1245821</v>
      </c>
    </row>
    <row r="63" spans="1:4" ht="16.5" customHeight="1" x14ac:dyDescent="0.15">
      <c r="A63" s="55" t="s">
        <v>26</v>
      </c>
      <c r="B63" s="22"/>
      <c r="C63" s="48"/>
      <c r="D63" s="44">
        <f>D61</f>
        <v>96455256</v>
      </c>
    </row>
    <row r="64" spans="1:4" ht="14.25" x14ac:dyDescent="0.15">
      <c r="A64" s="55" t="s">
        <v>25</v>
      </c>
      <c r="B64" s="22"/>
      <c r="C64" s="9"/>
      <c r="D64" s="69">
        <f>D57+D63</f>
        <v>106093628</v>
      </c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3D1F1-9930-4ECF-886E-3B0E9FA6356C}">
  <dimension ref="A1:G108"/>
  <sheetViews>
    <sheetView zoomScaleNormal="100" workbookViewId="0">
      <selection activeCell="A2" sqref="A2:D2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</cols>
  <sheetData>
    <row r="1" spans="1:7" ht="17.25" x14ac:dyDescent="0.2">
      <c r="A1" s="1" t="s">
        <v>153</v>
      </c>
      <c r="B1" s="1"/>
    </row>
    <row r="2" spans="1:7" ht="17.25" customHeight="1" x14ac:dyDescent="0.15">
      <c r="A2" s="111" t="s">
        <v>104</v>
      </c>
      <c r="B2" s="111"/>
      <c r="C2" s="111"/>
      <c r="D2" s="111"/>
    </row>
    <row r="3" spans="1:7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7" ht="15" customHeight="1" x14ac:dyDescent="0.15">
      <c r="C4" s="115" t="s">
        <v>49</v>
      </c>
      <c r="D4" s="115"/>
      <c r="F4" s="46"/>
    </row>
    <row r="5" spans="1:7" ht="17.25" x14ac:dyDescent="0.2">
      <c r="A5" s="56" t="s">
        <v>5</v>
      </c>
      <c r="B5" s="50"/>
      <c r="C5" s="49" t="s">
        <v>4</v>
      </c>
      <c r="D5" s="49"/>
    </row>
    <row r="6" spans="1:7" ht="14.25" x14ac:dyDescent="0.15">
      <c r="A6" s="55" t="s">
        <v>2</v>
      </c>
      <c r="B6" s="24"/>
      <c r="C6" s="4"/>
      <c r="D6" s="28"/>
    </row>
    <row r="7" spans="1:7" ht="14.25" x14ac:dyDescent="0.15">
      <c r="A7" s="55" t="s">
        <v>19</v>
      </c>
      <c r="B7" s="14"/>
      <c r="C7" s="5"/>
      <c r="D7" s="12"/>
    </row>
    <row r="8" spans="1:7" ht="14.25" x14ac:dyDescent="0.15">
      <c r="A8" s="55" t="s">
        <v>34</v>
      </c>
      <c r="B8" s="72">
        <v>2385</v>
      </c>
      <c r="C8" s="5"/>
      <c r="D8" s="12"/>
    </row>
    <row r="9" spans="1:7" ht="14.25" x14ac:dyDescent="0.15">
      <c r="A9" s="55" t="s">
        <v>35</v>
      </c>
      <c r="B9" s="71">
        <f>SUM(B10:B14)</f>
        <v>18391454</v>
      </c>
      <c r="C9" s="5"/>
      <c r="D9" s="12"/>
    </row>
    <row r="10" spans="1:7" ht="14.25" x14ac:dyDescent="0.15">
      <c r="A10" s="53" t="s">
        <v>102</v>
      </c>
      <c r="B10" s="73">
        <f>11396156+45503+559+339018+336001+342407</f>
        <v>12459644</v>
      </c>
      <c r="C10" s="5"/>
      <c r="D10" s="23"/>
    </row>
    <row r="11" spans="1:7" ht="14.25" x14ac:dyDescent="0.15">
      <c r="A11" s="54" t="s">
        <v>12</v>
      </c>
      <c r="B11" s="73">
        <f>265739+1181307+73227</f>
        <v>1520273</v>
      </c>
      <c r="C11" s="5"/>
      <c r="D11" s="23"/>
    </row>
    <row r="12" spans="1:7" ht="14.25" x14ac:dyDescent="0.15">
      <c r="A12" s="53" t="s">
        <v>45</v>
      </c>
      <c r="B12" s="74">
        <v>2486203</v>
      </c>
      <c r="C12" s="5"/>
      <c r="D12" s="23"/>
    </row>
    <row r="13" spans="1:7" ht="14.25" x14ac:dyDescent="0.15">
      <c r="A13" s="53" t="s">
        <v>44</v>
      </c>
      <c r="B13" s="75">
        <v>1698143</v>
      </c>
      <c r="C13" s="5"/>
      <c r="D13" s="12"/>
    </row>
    <row r="14" spans="1:7" ht="14.25" x14ac:dyDescent="0.15">
      <c r="A14" s="53" t="s">
        <v>46</v>
      </c>
      <c r="B14" s="75">
        <v>227191</v>
      </c>
      <c r="C14" s="5"/>
      <c r="D14" s="12"/>
    </row>
    <row r="15" spans="1:7" ht="14.25" x14ac:dyDescent="0.15">
      <c r="A15" s="55" t="s">
        <v>36</v>
      </c>
      <c r="B15" s="71">
        <f>SUM(B16:B27)</f>
        <v>32195394</v>
      </c>
      <c r="C15" s="76"/>
      <c r="D15" s="12"/>
    </row>
    <row r="16" spans="1:7" ht="14.25" x14ac:dyDescent="0.15">
      <c r="A16" s="54" t="s">
        <v>14</v>
      </c>
      <c r="B16" s="74">
        <f>9240+5538430</f>
        <v>5547670</v>
      </c>
      <c r="C16" s="11"/>
      <c r="D16" s="12"/>
    </row>
    <row r="17" spans="1:4" ht="14.25" x14ac:dyDescent="0.15">
      <c r="A17" s="54" t="s">
        <v>15</v>
      </c>
      <c r="B17" s="73">
        <f>13983372+1117422+659500</f>
        <v>15760294</v>
      </c>
      <c r="C17" s="5"/>
      <c r="D17" s="12"/>
    </row>
    <row r="18" spans="1:4" ht="14.25" x14ac:dyDescent="0.15">
      <c r="A18" s="53" t="s">
        <v>58</v>
      </c>
      <c r="B18" s="74">
        <f>4220677+566391+120600</f>
        <v>4907668</v>
      </c>
      <c r="C18" s="11"/>
      <c r="D18" s="12"/>
    </row>
    <row r="19" spans="1:4" ht="14.25" x14ac:dyDescent="0.15">
      <c r="A19" s="54" t="s">
        <v>16</v>
      </c>
      <c r="B19" s="73">
        <f>1493154+99639+101900</f>
        <v>1694693</v>
      </c>
      <c r="C19" s="5"/>
      <c r="D19" s="12"/>
    </row>
    <row r="20" spans="1:4" ht="14.25" x14ac:dyDescent="0.15">
      <c r="A20" s="54" t="s">
        <v>67</v>
      </c>
      <c r="B20" s="73">
        <f>1352005+124160</f>
        <v>1476165</v>
      </c>
      <c r="C20" s="5"/>
      <c r="D20" s="12"/>
    </row>
    <row r="21" spans="1:4" ht="14.25" x14ac:dyDescent="0.15">
      <c r="A21" s="54" t="s">
        <v>103</v>
      </c>
      <c r="B21" s="73">
        <f>316179+25051</f>
        <v>341230</v>
      </c>
      <c r="C21" s="5"/>
      <c r="D21" s="12"/>
    </row>
    <row r="22" spans="1:4" ht="14.25" x14ac:dyDescent="0.15">
      <c r="A22" s="54" t="s">
        <v>72</v>
      </c>
      <c r="B22" s="73">
        <v>18500</v>
      </c>
      <c r="C22" s="5"/>
      <c r="D22" s="12"/>
    </row>
    <row r="23" spans="1:4" ht="14.25" x14ac:dyDescent="0.15">
      <c r="A23" s="54" t="s">
        <v>81</v>
      </c>
      <c r="B23" s="73">
        <f>326424+19150+0</f>
        <v>345574</v>
      </c>
      <c r="C23" s="5"/>
      <c r="D23" s="12"/>
    </row>
    <row r="24" spans="1:4" ht="14.25" x14ac:dyDescent="0.15">
      <c r="A24" s="54" t="s">
        <v>82</v>
      </c>
      <c r="B24" s="73">
        <v>0</v>
      </c>
      <c r="C24" s="5"/>
      <c r="D24" s="12"/>
    </row>
    <row r="25" spans="1:4" ht="14.25" x14ac:dyDescent="0.15">
      <c r="A25" s="54" t="s">
        <v>17</v>
      </c>
      <c r="B25" s="74">
        <v>2078100</v>
      </c>
      <c r="C25" s="5"/>
      <c r="D25" s="12"/>
    </row>
    <row r="26" spans="1:4" ht="14.25" x14ac:dyDescent="0.15">
      <c r="A26" s="54" t="s">
        <v>71</v>
      </c>
      <c r="B26" s="75">
        <v>25500</v>
      </c>
      <c r="C26" s="5"/>
      <c r="D26" s="12"/>
    </row>
    <row r="27" spans="1:4" ht="14.25" x14ac:dyDescent="0.15">
      <c r="A27" s="54" t="s">
        <v>79</v>
      </c>
      <c r="B27" s="75">
        <v>0</v>
      </c>
      <c r="C27" s="5"/>
      <c r="D27" s="12"/>
    </row>
    <row r="28" spans="1:4" ht="14.25" x14ac:dyDescent="0.15">
      <c r="A28" s="55" t="s">
        <v>37</v>
      </c>
      <c r="B28" s="71">
        <v>649876</v>
      </c>
      <c r="C28" s="15" t="s">
        <v>0</v>
      </c>
      <c r="D28" s="12"/>
    </row>
    <row r="29" spans="1:4" ht="14.25" x14ac:dyDescent="0.15">
      <c r="A29" s="61" t="s">
        <v>96</v>
      </c>
      <c r="B29" s="71">
        <v>52890</v>
      </c>
      <c r="C29" s="15"/>
      <c r="D29" s="12"/>
    </row>
    <row r="30" spans="1:4" ht="14.25" x14ac:dyDescent="0.15">
      <c r="A30" s="61" t="s">
        <v>38</v>
      </c>
      <c r="B30" s="7"/>
      <c r="C30" s="77">
        <f>B8+B9+B15+B28+B29</f>
        <v>51291999</v>
      </c>
      <c r="D30" s="12"/>
    </row>
    <row r="31" spans="1:4" ht="11.25" customHeight="1" x14ac:dyDescent="0.15">
      <c r="A31" s="11"/>
      <c r="B31" s="14"/>
      <c r="C31" s="5"/>
      <c r="D31" s="78" t="s">
        <v>0</v>
      </c>
    </row>
    <row r="32" spans="1:4" ht="14.25" x14ac:dyDescent="0.15">
      <c r="A32" s="55" t="s">
        <v>20</v>
      </c>
      <c r="B32" s="79" t="s">
        <v>0</v>
      </c>
      <c r="C32" s="5"/>
      <c r="D32" s="25"/>
    </row>
    <row r="33" spans="1:4" ht="14.25" x14ac:dyDescent="0.15">
      <c r="A33" s="55" t="s">
        <v>39</v>
      </c>
      <c r="B33" s="71">
        <f>375000+491168+19110525+25214850+4912322</f>
        <v>50103865</v>
      </c>
      <c r="C33" s="5"/>
      <c r="D33" s="12"/>
    </row>
    <row r="34" spans="1:4" ht="14.25" x14ac:dyDescent="0.15">
      <c r="A34" s="55" t="s">
        <v>54</v>
      </c>
      <c r="B34" s="71">
        <f>1+7255+16541+18904+111982+128415+11775+585144+713608+1371313+706421+638309+960486+1273455</f>
        <v>6543609</v>
      </c>
      <c r="C34" s="5"/>
      <c r="D34" s="12"/>
    </row>
    <row r="35" spans="1:4" ht="14.25" x14ac:dyDescent="0.15">
      <c r="A35" s="55" t="s">
        <v>55</v>
      </c>
      <c r="B35" s="71">
        <f>1+537740+1092499</f>
        <v>1630240</v>
      </c>
      <c r="C35" s="5"/>
      <c r="D35" s="12"/>
    </row>
    <row r="36" spans="1:4" ht="14.25" x14ac:dyDescent="0.15">
      <c r="A36" s="55" t="s">
        <v>75</v>
      </c>
      <c r="B36" s="71">
        <v>95780</v>
      </c>
      <c r="C36" s="5"/>
      <c r="D36" s="12"/>
    </row>
    <row r="37" spans="1:4" ht="14.25" x14ac:dyDescent="0.15">
      <c r="A37" s="55" t="s">
        <v>40</v>
      </c>
      <c r="B37" s="71">
        <f>1+1+1+1+1+1+1+1+1075418+1+138921</f>
        <v>1214348</v>
      </c>
      <c r="C37" s="5"/>
      <c r="D37" s="12"/>
    </row>
    <row r="38" spans="1:4" ht="14.25" x14ac:dyDescent="0.15">
      <c r="A38" s="55" t="s">
        <v>41</v>
      </c>
      <c r="B38" s="71">
        <v>110600</v>
      </c>
      <c r="C38" s="5"/>
      <c r="D38" s="12"/>
    </row>
    <row r="39" spans="1:4" ht="14.25" x14ac:dyDescent="0.15">
      <c r="A39" s="55" t="s">
        <v>42</v>
      </c>
      <c r="B39" s="71">
        <v>50000</v>
      </c>
      <c r="C39" s="11"/>
      <c r="D39" s="12"/>
    </row>
    <row r="40" spans="1:4" ht="14.25" x14ac:dyDescent="0.15">
      <c r="A40" s="55" t="s">
        <v>66</v>
      </c>
      <c r="B40" s="71">
        <v>128900</v>
      </c>
      <c r="C40" s="76"/>
      <c r="D40" s="12"/>
    </row>
    <row r="41" spans="1:4" ht="14.25" x14ac:dyDescent="0.15">
      <c r="A41" s="61" t="s">
        <v>43</v>
      </c>
      <c r="B41" s="80"/>
      <c r="C41" s="37">
        <f>SUM(B33:B40)</f>
        <v>59877342</v>
      </c>
      <c r="D41" s="12"/>
    </row>
    <row r="42" spans="1:4" ht="8.25" customHeight="1" x14ac:dyDescent="0.15">
      <c r="A42" s="11"/>
      <c r="B42" s="19"/>
      <c r="C42" s="5"/>
      <c r="D42" s="12"/>
    </row>
    <row r="43" spans="1:4" ht="14.25" x14ac:dyDescent="0.15">
      <c r="A43" s="58" t="s">
        <v>23</v>
      </c>
      <c r="B43" s="80"/>
      <c r="C43" s="10"/>
      <c r="D43" s="38">
        <f>C30+C41</f>
        <v>111169341</v>
      </c>
    </row>
    <row r="44" spans="1:4" ht="11.25" customHeight="1" x14ac:dyDescent="0.15">
      <c r="A44" s="9"/>
      <c r="B44" s="62"/>
      <c r="C44" s="62"/>
      <c r="D44" s="62"/>
    </row>
    <row r="45" spans="1:4" ht="14.25" x14ac:dyDescent="0.15">
      <c r="A45" s="60" t="s">
        <v>18</v>
      </c>
      <c r="B45" s="79"/>
      <c r="C45" s="5"/>
      <c r="D45" s="12"/>
    </row>
    <row r="46" spans="1:4" ht="14.25" x14ac:dyDescent="0.15">
      <c r="A46" s="55" t="s">
        <v>21</v>
      </c>
      <c r="B46" s="79"/>
      <c r="C46" s="5"/>
      <c r="D46" s="23"/>
    </row>
    <row r="47" spans="1:4" ht="14.25" x14ac:dyDescent="0.15">
      <c r="A47" s="55" t="s">
        <v>32</v>
      </c>
      <c r="B47" s="71">
        <v>2504364</v>
      </c>
      <c r="C47" s="5"/>
      <c r="D47" s="78"/>
    </row>
    <row r="48" spans="1:4" ht="14.25" x14ac:dyDescent="0.15">
      <c r="A48" s="55" t="s">
        <v>33</v>
      </c>
      <c r="B48" s="71">
        <v>0</v>
      </c>
      <c r="C48" s="5"/>
      <c r="D48" s="12"/>
    </row>
    <row r="49" spans="1:4" ht="6.75" customHeight="1" x14ac:dyDescent="0.15">
      <c r="A49" s="59"/>
      <c r="B49" s="79"/>
      <c r="C49" s="11"/>
      <c r="D49" s="12"/>
    </row>
    <row r="50" spans="1:4" ht="14.25" x14ac:dyDescent="0.15">
      <c r="A50" s="55" t="s">
        <v>31</v>
      </c>
      <c r="B50" s="80"/>
      <c r="C50" s="37">
        <f>B47+B48</f>
        <v>2504364</v>
      </c>
      <c r="D50" s="23"/>
    </row>
    <row r="51" spans="1:4" ht="11.25" customHeight="1" x14ac:dyDescent="0.15">
      <c r="A51" s="3"/>
      <c r="B51" s="14"/>
      <c r="C51" s="34"/>
      <c r="D51" s="25"/>
    </row>
    <row r="52" spans="1:4" ht="14.25" x14ac:dyDescent="0.15">
      <c r="A52" s="55" t="s">
        <v>22</v>
      </c>
      <c r="B52" s="19"/>
      <c r="C52" s="81"/>
      <c r="D52" s="23"/>
    </row>
    <row r="53" spans="1:4" ht="14.25" x14ac:dyDescent="0.15">
      <c r="A53" s="55" t="s">
        <v>30</v>
      </c>
      <c r="B53" s="71">
        <v>8880000</v>
      </c>
      <c r="C53" s="11"/>
      <c r="D53" s="25"/>
    </row>
    <row r="54" spans="1:4" ht="14.25" x14ac:dyDescent="0.15">
      <c r="A54" s="9"/>
      <c r="B54" s="19"/>
      <c r="C54" s="11"/>
      <c r="D54" s="25"/>
    </row>
    <row r="55" spans="1:4" ht="14.25" x14ac:dyDescent="0.15">
      <c r="A55" s="61" t="s">
        <v>29</v>
      </c>
      <c r="B55" s="10"/>
      <c r="C55" s="37">
        <f>B53</f>
        <v>8880000</v>
      </c>
      <c r="D55" s="23"/>
    </row>
    <row r="56" spans="1:4" ht="6.75" customHeight="1" x14ac:dyDescent="0.15">
      <c r="A56" s="3"/>
      <c r="B56" s="19"/>
      <c r="C56" s="11"/>
      <c r="D56" s="23"/>
    </row>
    <row r="57" spans="1:4" ht="14.25" x14ac:dyDescent="0.15">
      <c r="A57" s="58" t="s">
        <v>24</v>
      </c>
      <c r="B57" s="40"/>
      <c r="C57" s="40"/>
      <c r="D57" s="38">
        <f>C50+C55</f>
        <v>11384364</v>
      </c>
    </row>
    <row r="58" spans="1:4" ht="11.25" customHeight="1" x14ac:dyDescent="0.15">
      <c r="A58" s="3"/>
      <c r="B58" s="19"/>
      <c r="C58" s="11"/>
      <c r="D58" s="23"/>
    </row>
    <row r="59" spans="1:4" ht="14.25" x14ac:dyDescent="0.15">
      <c r="A59" s="55" t="s">
        <v>3</v>
      </c>
      <c r="B59" s="30"/>
      <c r="C59" s="35"/>
      <c r="D59" s="31"/>
    </row>
    <row r="60" spans="1:4" ht="15" customHeight="1" x14ac:dyDescent="0.15">
      <c r="A60" s="55" t="s">
        <v>27</v>
      </c>
      <c r="B60" s="10"/>
      <c r="C60" s="39"/>
      <c r="D60" s="39">
        <v>0</v>
      </c>
    </row>
    <row r="61" spans="1:4" ht="15.75" customHeight="1" x14ac:dyDescent="0.15">
      <c r="A61" s="55" t="s">
        <v>28</v>
      </c>
      <c r="B61" s="47"/>
      <c r="C61" s="9"/>
      <c r="D61" s="43">
        <f>D43-D57</f>
        <v>99784977</v>
      </c>
    </row>
    <row r="62" spans="1:4" ht="15.75" customHeight="1" x14ac:dyDescent="0.15">
      <c r="A62" s="59" t="s">
        <v>11</v>
      </c>
      <c r="B62" s="9"/>
      <c r="D62" s="70">
        <f>D61-'2.3月'!D60</f>
        <v>4575542</v>
      </c>
    </row>
    <row r="63" spans="1:4" ht="16.5" customHeight="1" x14ac:dyDescent="0.15">
      <c r="A63" s="55" t="s">
        <v>26</v>
      </c>
      <c r="B63" s="22"/>
      <c r="C63" s="48"/>
      <c r="D63" s="44">
        <f>D61</f>
        <v>99784977</v>
      </c>
    </row>
    <row r="64" spans="1:4" ht="14.25" x14ac:dyDescent="0.15">
      <c r="A64" s="55" t="s">
        <v>25</v>
      </c>
      <c r="B64" s="22"/>
      <c r="C64" s="9"/>
      <c r="D64" s="69">
        <f>D57+D63</f>
        <v>111169341</v>
      </c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2CD6-6A14-4341-8610-92A83C26C63C}">
  <dimension ref="A1:G108"/>
  <sheetViews>
    <sheetView zoomScaleNormal="100" workbookViewId="0">
      <selection activeCell="A2" sqref="A2:D2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</cols>
  <sheetData>
    <row r="1" spans="1:7" ht="17.25" x14ac:dyDescent="0.2">
      <c r="A1" s="1" t="s">
        <v>153</v>
      </c>
      <c r="B1" s="1"/>
    </row>
    <row r="2" spans="1:7" ht="17.25" customHeight="1" x14ac:dyDescent="0.15">
      <c r="A2" s="111" t="s">
        <v>105</v>
      </c>
      <c r="B2" s="111"/>
      <c r="C2" s="111"/>
      <c r="D2" s="111"/>
    </row>
    <row r="3" spans="1:7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7" ht="15" customHeight="1" x14ac:dyDescent="0.15">
      <c r="C4" s="115" t="s">
        <v>49</v>
      </c>
      <c r="D4" s="115"/>
      <c r="F4" s="46"/>
    </row>
    <row r="5" spans="1:7" ht="17.25" x14ac:dyDescent="0.2">
      <c r="A5" s="56" t="s">
        <v>5</v>
      </c>
      <c r="B5" s="50"/>
      <c r="C5" s="49" t="s">
        <v>4</v>
      </c>
      <c r="D5" s="49"/>
    </row>
    <row r="6" spans="1:7" ht="14.25" x14ac:dyDescent="0.15">
      <c r="A6" s="55" t="s">
        <v>2</v>
      </c>
      <c r="B6" s="24"/>
      <c r="C6" s="4"/>
      <c r="D6" s="28"/>
    </row>
    <row r="7" spans="1:7" ht="14.25" x14ac:dyDescent="0.15">
      <c r="A7" s="55" t="s">
        <v>19</v>
      </c>
      <c r="B7" s="14"/>
      <c r="C7" s="5"/>
      <c r="D7" s="12"/>
    </row>
    <row r="8" spans="1:7" ht="14.25" x14ac:dyDescent="0.15">
      <c r="A8" s="55" t="s">
        <v>34</v>
      </c>
      <c r="B8" s="72">
        <v>2385</v>
      </c>
      <c r="C8" s="5"/>
      <c r="D8" s="12"/>
    </row>
    <row r="9" spans="1:7" ht="14.25" x14ac:dyDescent="0.15">
      <c r="A9" s="55" t="s">
        <v>35</v>
      </c>
      <c r="B9" s="71">
        <f>SUM(B10:B14)</f>
        <v>18038567</v>
      </c>
      <c r="C9" s="5"/>
      <c r="D9" s="12"/>
    </row>
    <row r="10" spans="1:7" ht="14.25" x14ac:dyDescent="0.15">
      <c r="A10" s="53" t="s">
        <v>102</v>
      </c>
      <c r="B10" s="73">
        <f>10383574+51807+49507+291526+311029+198970</f>
        <v>11286413</v>
      </c>
      <c r="C10" s="5"/>
      <c r="D10" s="23"/>
    </row>
    <row r="11" spans="1:7" ht="14.25" x14ac:dyDescent="0.15">
      <c r="A11" s="54" t="s">
        <v>12</v>
      </c>
      <c r="B11" s="73">
        <f>272739+420435+73227</f>
        <v>766401</v>
      </c>
      <c r="C11" s="5"/>
      <c r="D11" s="23"/>
    </row>
    <row r="12" spans="1:7" ht="14.25" x14ac:dyDescent="0.15">
      <c r="A12" s="53" t="s">
        <v>45</v>
      </c>
      <c r="B12" s="74">
        <v>3349764</v>
      </c>
      <c r="C12" s="5"/>
      <c r="D12" s="23"/>
    </row>
    <row r="13" spans="1:7" ht="14.25" x14ac:dyDescent="0.15">
      <c r="A13" s="53" t="s">
        <v>44</v>
      </c>
      <c r="B13" s="75">
        <v>2336196</v>
      </c>
      <c r="C13" s="5"/>
      <c r="D13" s="12"/>
    </row>
    <row r="14" spans="1:7" ht="14.25" x14ac:dyDescent="0.15">
      <c r="A14" s="53" t="s">
        <v>46</v>
      </c>
      <c r="B14" s="75">
        <v>299793</v>
      </c>
      <c r="C14" s="5"/>
      <c r="D14" s="12"/>
    </row>
    <row r="15" spans="1:7" ht="14.25" x14ac:dyDescent="0.15">
      <c r="A15" s="55" t="s">
        <v>36</v>
      </c>
      <c r="B15" s="71">
        <f>SUM(B16:B27)</f>
        <v>31911667</v>
      </c>
      <c r="C15" s="76"/>
      <c r="D15" s="12"/>
    </row>
    <row r="16" spans="1:7" ht="14.25" x14ac:dyDescent="0.15">
      <c r="A16" s="54" t="s">
        <v>14</v>
      </c>
      <c r="B16" s="74">
        <f>30800+5698180</f>
        <v>5728980</v>
      </c>
      <c r="C16" s="11"/>
      <c r="D16" s="12"/>
    </row>
    <row r="17" spans="1:4" ht="14.25" x14ac:dyDescent="0.15">
      <c r="A17" s="54" t="s">
        <v>15</v>
      </c>
      <c r="B17" s="73">
        <f>14475188+1102870+656800</f>
        <v>16234858</v>
      </c>
      <c r="C17" s="5"/>
      <c r="D17" s="12"/>
    </row>
    <row r="18" spans="1:4" ht="14.25" x14ac:dyDescent="0.15">
      <c r="A18" s="53" t="s">
        <v>58</v>
      </c>
      <c r="B18" s="74">
        <f>4175478+493310+113400</f>
        <v>4782188</v>
      </c>
      <c r="C18" s="11"/>
      <c r="D18" s="12"/>
    </row>
    <row r="19" spans="1:4" ht="14.25" x14ac:dyDescent="0.15">
      <c r="A19" s="54" t="s">
        <v>16</v>
      </c>
      <c r="B19" s="73">
        <f>1511658+97829+103700</f>
        <v>1713187</v>
      </c>
      <c r="C19" s="5"/>
      <c r="D19" s="12"/>
    </row>
    <row r="20" spans="1:4" ht="14.25" x14ac:dyDescent="0.15">
      <c r="A20" s="54" t="s">
        <v>67</v>
      </c>
      <c r="B20" s="73">
        <f>1377399+115730</f>
        <v>1493129</v>
      </c>
      <c r="C20" s="5"/>
      <c r="D20" s="12"/>
    </row>
    <row r="21" spans="1:4" ht="14.25" x14ac:dyDescent="0.15">
      <c r="A21" s="54" t="s">
        <v>103</v>
      </c>
      <c r="B21" s="73">
        <f>323339+26396</f>
        <v>349735</v>
      </c>
      <c r="C21" s="5"/>
      <c r="D21" s="12"/>
    </row>
    <row r="22" spans="1:4" ht="14.25" x14ac:dyDescent="0.15">
      <c r="A22" s="54" t="s">
        <v>72</v>
      </c>
      <c r="B22" s="73">
        <v>19100</v>
      </c>
      <c r="C22" s="5"/>
      <c r="D22" s="12"/>
    </row>
    <row r="23" spans="1:4" ht="14.25" x14ac:dyDescent="0.15">
      <c r="A23" s="54" t="s">
        <v>81</v>
      </c>
      <c r="B23" s="73">
        <f>306660+21030+31800</f>
        <v>359490</v>
      </c>
      <c r="C23" s="5"/>
      <c r="D23" s="12"/>
    </row>
    <row r="24" spans="1:4" ht="14.25" x14ac:dyDescent="0.15">
      <c r="A24" s="54" t="s">
        <v>82</v>
      </c>
      <c r="B24" s="73">
        <v>82800</v>
      </c>
      <c r="C24" s="5"/>
      <c r="D24" s="12"/>
    </row>
    <row r="25" spans="1:4" ht="14.25" x14ac:dyDescent="0.15">
      <c r="A25" s="54" t="s">
        <v>17</v>
      </c>
      <c r="B25" s="74">
        <v>1119200</v>
      </c>
      <c r="C25" s="5"/>
      <c r="D25" s="12"/>
    </row>
    <row r="26" spans="1:4" ht="14.25" x14ac:dyDescent="0.15">
      <c r="A26" s="54" t="s">
        <v>71</v>
      </c>
      <c r="B26" s="75">
        <v>29000</v>
      </c>
      <c r="C26" s="5"/>
      <c r="D26" s="12"/>
    </row>
    <row r="27" spans="1:4" ht="14.25" x14ac:dyDescent="0.15">
      <c r="A27" s="54" t="s">
        <v>79</v>
      </c>
      <c r="B27" s="75">
        <v>0</v>
      </c>
      <c r="C27" s="5"/>
      <c r="D27" s="12"/>
    </row>
    <row r="28" spans="1:4" ht="14.25" x14ac:dyDescent="0.15">
      <c r="A28" s="55" t="s">
        <v>37</v>
      </c>
      <c r="B28" s="71">
        <v>605376</v>
      </c>
      <c r="C28" s="15" t="s">
        <v>0</v>
      </c>
      <c r="D28" s="12"/>
    </row>
    <row r="29" spans="1:4" ht="14.25" x14ac:dyDescent="0.15">
      <c r="A29" s="61" t="s">
        <v>96</v>
      </c>
      <c r="B29" s="71">
        <v>52890</v>
      </c>
      <c r="C29" s="15"/>
      <c r="D29" s="12"/>
    </row>
    <row r="30" spans="1:4" ht="14.25" x14ac:dyDescent="0.15">
      <c r="A30" s="61" t="s">
        <v>38</v>
      </c>
      <c r="B30" s="7"/>
      <c r="C30" s="77">
        <f>B8+B9+B15+B28+B29</f>
        <v>50610885</v>
      </c>
      <c r="D30" s="12"/>
    </row>
    <row r="31" spans="1:4" ht="11.25" customHeight="1" x14ac:dyDescent="0.15">
      <c r="A31" s="11"/>
      <c r="B31" s="14"/>
      <c r="C31" s="5"/>
      <c r="D31" s="78" t="s">
        <v>0</v>
      </c>
    </row>
    <row r="32" spans="1:4" ht="14.25" x14ac:dyDescent="0.15">
      <c r="A32" s="55" t="s">
        <v>20</v>
      </c>
      <c r="B32" s="79" t="s">
        <v>0</v>
      </c>
      <c r="C32" s="5"/>
      <c r="D32" s="25"/>
    </row>
    <row r="33" spans="1:4" ht="14.25" x14ac:dyDescent="0.15">
      <c r="A33" s="55" t="s">
        <v>39</v>
      </c>
      <c r="B33" s="71">
        <f>375000+491168+19110525+25214850+4912322</f>
        <v>50103865</v>
      </c>
      <c r="C33" s="5"/>
      <c r="D33" s="12"/>
    </row>
    <row r="34" spans="1:4" ht="14.25" x14ac:dyDescent="0.15">
      <c r="A34" s="55" t="s">
        <v>54</v>
      </c>
      <c r="B34" s="71">
        <f>1+7255+16541+18904+111982+128415+11775+585144+713608+1371313+706421+638309+960486+1273455</f>
        <v>6543609</v>
      </c>
      <c r="C34" s="5"/>
      <c r="D34" s="12"/>
    </row>
    <row r="35" spans="1:4" ht="14.25" x14ac:dyDescent="0.15">
      <c r="A35" s="55" t="s">
        <v>55</v>
      </c>
      <c r="B35" s="71">
        <f>1+537740+1092499</f>
        <v>1630240</v>
      </c>
      <c r="C35" s="5"/>
      <c r="D35" s="12"/>
    </row>
    <row r="36" spans="1:4" ht="14.25" x14ac:dyDescent="0.15">
      <c r="A36" s="55" t="s">
        <v>75</v>
      </c>
      <c r="B36" s="71">
        <v>95780</v>
      </c>
      <c r="C36" s="5"/>
      <c r="D36" s="12"/>
    </row>
    <row r="37" spans="1:4" ht="14.25" x14ac:dyDescent="0.15">
      <c r="A37" s="55" t="s">
        <v>40</v>
      </c>
      <c r="B37" s="71">
        <f>1+1+1+1+1+1+1+1+1075418+1+138921</f>
        <v>1214348</v>
      </c>
      <c r="C37" s="5"/>
      <c r="D37" s="12"/>
    </row>
    <row r="38" spans="1:4" ht="14.25" x14ac:dyDescent="0.15">
      <c r="A38" s="55" t="s">
        <v>41</v>
      </c>
      <c r="B38" s="71">
        <v>110600</v>
      </c>
      <c r="C38" s="5"/>
      <c r="D38" s="12"/>
    </row>
    <row r="39" spans="1:4" ht="14.25" x14ac:dyDescent="0.15">
      <c r="A39" s="55" t="s">
        <v>42</v>
      </c>
      <c r="B39" s="71">
        <v>50000</v>
      </c>
      <c r="C39" s="11"/>
      <c r="D39" s="12"/>
    </row>
    <row r="40" spans="1:4" ht="14.25" x14ac:dyDescent="0.15">
      <c r="A40" s="55" t="s">
        <v>66</v>
      </c>
      <c r="B40" s="71">
        <v>128900</v>
      </c>
      <c r="C40" s="76"/>
      <c r="D40" s="12"/>
    </row>
    <row r="41" spans="1:4" ht="14.25" x14ac:dyDescent="0.15">
      <c r="A41" s="61" t="s">
        <v>43</v>
      </c>
      <c r="B41" s="80"/>
      <c r="C41" s="37">
        <f>SUM(B33:B40)</f>
        <v>59877342</v>
      </c>
      <c r="D41" s="12"/>
    </row>
    <row r="42" spans="1:4" ht="8.25" customHeight="1" x14ac:dyDescent="0.15">
      <c r="A42" s="11"/>
      <c r="B42" s="19"/>
      <c r="C42" s="5"/>
      <c r="D42" s="12"/>
    </row>
    <row r="43" spans="1:4" ht="14.25" x14ac:dyDescent="0.15">
      <c r="A43" s="58" t="s">
        <v>23</v>
      </c>
      <c r="B43" s="80"/>
      <c r="C43" s="10"/>
      <c r="D43" s="38">
        <f>C30+C41</f>
        <v>110488227</v>
      </c>
    </row>
    <row r="44" spans="1:4" ht="11.25" customHeight="1" x14ac:dyDescent="0.15">
      <c r="A44" s="9"/>
      <c r="B44" s="62"/>
      <c r="C44" s="62"/>
      <c r="D44" s="62"/>
    </row>
    <row r="45" spans="1:4" ht="14.25" x14ac:dyDescent="0.15">
      <c r="A45" s="60" t="s">
        <v>18</v>
      </c>
      <c r="B45" s="79"/>
      <c r="C45" s="5"/>
      <c r="D45" s="12"/>
    </row>
    <row r="46" spans="1:4" ht="14.25" x14ac:dyDescent="0.15">
      <c r="A46" s="55" t="s">
        <v>21</v>
      </c>
      <c r="B46" s="79"/>
      <c r="C46" s="5"/>
      <c r="D46" s="23"/>
    </row>
    <row r="47" spans="1:4" ht="14.25" x14ac:dyDescent="0.15">
      <c r="A47" s="55" t="s">
        <v>32</v>
      </c>
      <c r="B47" s="71">
        <v>258498</v>
      </c>
      <c r="C47" s="5"/>
      <c r="D47" s="78"/>
    </row>
    <row r="48" spans="1:4" ht="14.25" x14ac:dyDescent="0.15">
      <c r="A48" s="55" t="s">
        <v>33</v>
      </c>
      <c r="B48" s="71">
        <v>0</v>
      </c>
      <c r="C48" s="5"/>
      <c r="D48" s="12"/>
    </row>
    <row r="49" spans="1:4" ht="6.75" customHeight="1" x14ac:dyDescent="0.15">
      <c r="A49" s="59"/>
      <c r="B49" s="79"/>
      <c r="C49" s="11"/>
      <c r="D49" s="12"/>
    </row>
    <row r="50" spans="1:4" ht="14.25" x14ac:dyDescent="0.15">
      <c r="A50" s="55" t="s">
        <v>31</v>
      </c>
      <c r="B50" s="80"/>
      <c r="C50" s="37">
        <f>B47+B48</f>
        <v>258498</v>
      </c>
      <c r="D50" s="23"/>
    </row>
    <row r="51" spans="1:4" ht="11.25" customHeight="1" x14ac:dyDescent="0.15">
      <c r="A51" s="3"/>
      <c r="B51" s="14"/>
      <c r="C51" s="34"/>
      <c r="D51" s="25"/>
    </row>
    <row r="52" spans="1:4" ht="14.25" x14ac:dyDescent="0.15">
      <c r="A52" s="55" t="s">
        <v>22</v>
      </c>
      <c r="B52" s="19"/>
      <c r="C52" s="81"/>
      <c r="D52" s="23"/>
    </row>
    <row r="53" spans="1:4" ht="14.25" x14ac:dyDescent="0.15">
      <c r="A53" s="55" t="s">
        <v>30</v>
      </c>
      <c r="B53" s="71">
        <v>8600000</v>
      </c>
      <c r="C53" s="11"/>
      <c r="D53" s="25"/>
    </row>
    <row r="54" spans="1:4" ht="14.25" x14ac:dyDescent="0.15">
      <c r="A54" s="9"/>
      <c r="B54" s="19"/>
      <c r="C54" s="11"/>
      <c r="D54" s="25"/>
    </row>
    <row r="55" spans="1:4" ht="14.25" x14ac:dyDescent="0.15">
      <c r="A55" s="61" t="s">
        <v>29</v>
      </c>
      <c r="B55" s="10"/>
      <c r="C55" s="37">
        <f>B53</f>
        <v>8600000</v>
      </c>
      <c r="D55" s="23"/>
    </row>
    <row r="56" spans="1:4" ht="6.75" customHeight="1" x14ac:dyDescent="0.15">
      <c r="A56" s="3"/>
      <c r="B56" s="19"/>
      <c r="C56" s="11"/>
      <c r="D56" s="23"/>
    </row>
    <row r="57" spans="1:4" ht="14.25" x14ac:dyDescent="0.15">
      <c r="A57" s="58" t="s">
        <v>24</v>
      </c>
      <c r="B57" s="40"/>
      <c r="C57" s="40"/>
      <c r="D57" s="38">
        <f>C50+C55</f>
        <v>8858498</v>
      </c>
    </row>
    <row r="58" spans="1:4" ht="11.25" customHeight="1" x14ac:dyDescent="0.15">
      <c r="A58" s="3"/>
      <c r="B58" s="19"/>
      <c r="C58" s="11"/>
      <c r="D58" s="23"/>
    </row>
    <row r="59" spans="1:4" ht="14.25" x14ac:dyDescent="0.15">
      <c r="A59" s="55" t="s">
        <v>3</v>
      </c>
      <c r="B59" s="30"/>
      <c r="C59" s="35"/>
      <c r="D59" s="31"/>
    </row>
    <row r="60" spans="1:4" ht="15" customHeight="1" x14ac:dyDescent="0.15">
      <c r="A60" s="55" t="s">
        <v>27</v>
      </c>
      <c r="B60" s="10"/>
      <c r="C60" s="39"/>
      <c r="D60" s="39">
        <v>0</v>
      </c>
    </row>
    <row r="61" spans="1:4" ht="15.75" customHeight="1" x14ac:dyDescent="0.15">
      <c r="A61" s="55" t="s">
        <v>28</v>
      </c>
      <c r="B61" s="47"/>
      <c r="C61" s="9"/>
      <c r="D61" s="43">
        <f>D43-D57</f>
        <v>101629729</v>
      </c>
    </row>
    <row r="62" spans="1:4" ht="15.75" customHeight="1" x14ac:dyDescent="0.15">
      <c r="A62" s="59" t="s">
        <v>11</v>
      </c>
      <c r="B62" s="9"/>
      <c r="D62" s="70">
        <f>D61-'2.3月'!D60</f>
        <v>6420294</v>
      </c>
    </row>
    <row r="63" spans="1:4" ht="16.5" customHeight="1" x14ac:dyDescent="0.15">
      <c r="A63" s="55" t="s">
        <v>26</v>
      </c>
      <c r="B63" s="22"/>
      <c r="C63" s="48"/>
      <c r="D63" s="44">
        <f>D61</f>
        <v>101629729</v>
      </c>
    </row>
    <row r="64" spans="1:4" ht="14.25" x14ac:dyDescent="0.15">
      <c r="A64" s="55" t="s">
        <v>25</v>
      </c>
      <c r="B64" s="22"/>
      <c r="C64" s="9"/>
      <c r="D64" s="69">
        <f>D57+D63</f>
        <v>110488227</v>
      </c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936A8-AD93-4C7E-A7AE-FE0077EB42DB}">
  <dimension ref="A1:G108"/>
  <sheetViews>
    <sheetView zoomScaleNormal="100" workbookViewId="0">
      <selection activeCell="A2" sqref="A2:D2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</cols>
  <sheetData>
    <row r="1" spans="1:7" ht="17.25" x14ac:dyDescent="0.2">
      <c r="A1" s="1" t="s">
        <v>153</v>
      </c>
      <c r="B1" s="1"/>
    </row>
    <row r="2" spans="1:7" ht="17.25" customHeight="1" x14ac:dyDescent="0.15">
      <c r="A2" s="111" t="s">
        <v>106</v>
      </c>
      <c r="B2" s="111"/>
      <c r="C2" s="111"/>
      <c r="D2" s="111"/>
    </row>
    <row r="3" spans="1:7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7" ht="15" customHeight="1" x14ac:dyDescent="0.15">
      <c r="C4" s="115" t="s">
        <v>49</v>
      </c>
      <c r="D4" s="115"/>
      <c r="F4" s="46"/>
    </row>
    <row r="5" spans="1:7" ht="17.25" x14ac:dyDescent="0.2">
      <c r="A5" s="56" t="s">
        <v>5</v>
      </c>
      <c r="B5" s="50"/>
      <c r="C5" s="49" t="s">
        <v>4</v>
      </c>
      <c r="D5" s="49"/>
    </row>
    <row r="6" spans="1:7" ht="14.25" x14ac:dyDescent="0.15">
      <c r="A6" s="55" t="s">
        <v>2</v>
      </c>
      <c r="B6" s="24"/>
      <c r="C6" s="4"/>
      <c r="D6" s="28"/>
    </row>
    <row r="7" spans="1:7" ht="14.25" x14ac:dyDescent="0.15">
      <c r="A7" s="55" t="s">
        <v>19</v>
      </c>
      <c r="B7" s="14"/>
      <c r="C7" s="5"/>
      <c r="D7" s="12"/>
    </row>
    <row r="8" spans="1:7" ht="14.25" x14ac:dyDescent="0.15">
      <c r="A8" s="55" t="s">
        <v>34</v>
      </c>
      <c r="B8" s="72">
        <v>2385</v>
      </c>
      <c r="C8" s="5"/>
      <c r="D8" s="12"/>
    </row>
    <row r="9" spans="1:7" ht="14.25" x14ac:dyDescent="0.15">
      <c r="A9" s="55" t="s">
        <v>35</v>
      </c>
      <c r="B9" s="71">
        <f>SUM(B10:B14)</f>
        <v>14122851</v>
      </c>
      <c r="C9" s="5"/>
      <c r="D9" s="12"/>
    </row>
    <row r="10" spans="1:7" ht="14.25" x14ac:dyDescent="0.15">
      <c r="A10" s="53" t="s">
        <v>102</v>
      </c>
      <c r="B10" s="73">
        <f>11930253+105277+92507+309978+317692+87301</f>
        <v>12843008</v>
      </c>
      <c r="C10" s="5"/>
      <c r="D10" s="23"/>
    </row>
    <row r="11" spans="1:7" ht="14.25" x14ac:dyDescent="0.15">
      <c r="A11" s="54" t="s">
        <v>12</v>
      </c>
      <c r="B11" s="73">
        <f>31089+554582+3227</f>
        <v>588898</v>
      </c>
      <c r="C11" s="5"/>
      <c r="D11" s="23"/>
    </row>
    <row r="12" spans="1:7" ht="14.25" x14ac:dyDescent="0.15">
      <c r="A12" s="53" t="s">
        <v>45</v>
      </c>
      <c r="B12" s="74">
        <v>255284</v>
      </c>
      <c r="C12" s="5"/>
      <c r="D12" s="23"/>
    </row>
    <row r="13" spans="1:7" ht="14.25" x14ac:dyDescent="0.15">
      <c r="A13" s="53" t="s">
        <v>44</v>
      </c>
      <c r="B13" s="75">
        <v>64356</v>
      </c>
      <c r="C13" s="5"/>
      <c r="D13" s="12"/>
    </row>
    <row r="14" spans="1:7" ht="14.25" x14ac:dyDescent="0.15">
      <c r="A14" s="53" t="s">
        <v>46</v>
      </c>
      <c r="B14" s="75">
        <v>371305</v>
      </c>
      <c r="C14" s="5"/>
      <c r="D14" s="12"/>
    </row>
    <row r="15" spans="1:7" ht="14.25" x14ac:dyDescent="0.15">
      <c r="A15" s="55" t="s">
        <v>36</v>
      </c>
      <c r="B15" s="71">
        <f>SUM(B16:B27)</f>
        <v>32792383</v>
      </c>
      <c r="C15" s="76"/>
      <c r="D15" s="12"/>
    </row>
    <row r="16" spans="1:7" ht="14.25" x14ac:dyDescent="0.15">
      <c r="A16" s="54" t="s">
        <v>14</v>
      </c>
      <c r="B16" s="74">
        <f>21560+5795400</f>
        <v>5816960</v>
      </c>
      <c r="C16" s="11"/>
      <c r="D16" s="12"/>
    </row>
    <row r="17" spans="1:4" ht="14.25" x14ac:dyDescent="0.15">
      <c r="A17" s="54" t="s">
        <v>15</v>
      </c>
      <c r="B17" s="73">
        <f>14685081+1190979+688800</f>
        <v>16564860</v>
      </c>
      <c r="C17" s="5"/>
      <c r="D17" s="12"/>
    </row>
    <row r="18" spans="1:4" ht="14.25" x14ac:dyDescent="0.15">
      <c r="A18" s="53" t="s">
        <v>58</v>
      </c>
      <c r="B18" s="74">
        <f>4310361+638468+129600</f>
        <v>5078429</v>
      </c>
      <c r="C18" s="11"/>
      <c r="D18" s="12"/>
    </row>
    <row r="19" spans="1:4" ht="14.25" x14ac:dyDescent="0.15">
      <c r="A19" s="54" t="s">
        <v>16</v>
      </c>
      <c r="B19" s="73">
        <f>1569123+106024+106100</f>
        <v>1781247</v>
      </c>
      <c r="C19" s="5"/>
      <c r="D19" s="12"/>
    </row>
    <row r="20" spans="1:4" ht="14.25" x14ac:dyDescent="0.15">
      <c r="A20" s="54" t="s">
        <v>67</v>
      </c>
      <c r="B20" s="73">
        <f>1407151+136367</f>
        <v>1543518</v>
      </c>
      <c r="C20" s="5"/>
      <c r="D20" s="12"/>
    </row>
    <row r="21" spans="1:4" ht="14.25" x14ac:dyDescent="0.15">
      <c r="A21" s="54" t="s">
        <v>103</v>
      </c>
      <c r="B21" s="73">
        <f>331054+31725</f>
        <v>362779</v>
      </c>
      <c r="C21" s="5"/>
      <c r="D21" s="12"/>
    </row>
    <row r="22" spans="1:4" ht="14.25" x14ac:dyDescent="0.15">
      <c r="A22" s="54" t="s">
        <v>72</v>
      </c>
      <c r="B22" s="73">
        <v>17200</v>
      </c>
      <c r="C22" s="5"/>
      <c r="D22" s="12"/>
    </row>
    <row r="23" spans="1:4" ht="14.25" x14ac:dyDescent="0.15">
      <c r="A23" s="54" t="s">
        <v>81</v>
      </c>
      <c r="B23" s="73">
        <f>331392+21898+24600</f>
        <v>377890</v>
      </c>
      <c r="C23" s="5"/>
      <c r="D23" s="12"/>
    </row>
    <row r="24" spans="1:4" ht="14.25" x14ac:dyDescent="0.15">
      <c r="A24" s="54" t="s">
        <v>82</v>
      </c>
      <c r="B24" s="73">
        <v>85200</v>
      </c>
      <c r="C24" s="5"/>
      <c r="D24" s="12"/>
    </row>
    <row r="25" spans="1:4" ht="14.25" x14ac:dyDescent="0.15">
      <c r="A25" s="54" t="s">
        <v>17</v>
      </c>
      <c r="B25" s="74">
        <v>1121800</v>
      </c>
      <c r="C25" s="5"/>
      <c r="D25" s="12"/>
    </row>
    <row r="26" spans="1:4" ht="14.25" x14ac:dyDescent="0.15">
      <c r="A26" s="54" t="s">
        <v>71</v>
      </c>
      <c r="B26" s="75">
        <v>42500</v>
      </c>
      <c r="C26" s="5"/>
      <c r="D26" s="12"/>
    </row>
    <row r="27" spans="1:4" ht="14.25" x14ac:dyDescent="0.15">
      <c r="A27" s="54" t="s">
        <v>79</v>
      </c>
      <c r="B27" s="75">
        <v>0</v>
      </c>
      <c r="C27" s="5"/>
      <c r="D27" s="12"/>
    </row>
    <row r="28" spans="1:4" ht="14.25" x14ac:dyDescent="0.15">
      <c r="A28" s="55" t="s">
        <v>37</v>
      </c>
      <c r="B28" s="71">
        <v>656376</v>
      </c>
      <c r="C28" s="15" t="s">
        <v>0</v>
      </c>
      <c r="D28" s="12"/>
    </row>
    <row r="29" spans="1:4" ht="14.25" x14ac:dyDescent="0.15">
      <c r="A29" s="61" t="s">
        <v>96</v>
      </c>
      <c r="B29" s="71">
        <v>52890</v>
      </c>
      <c r="C29" s="15"/>
      <c r="D29" s="12"/>
    </row>
    <row r="30" spans="1:4" ht="14.25" x14ac:dyDescent="0.15">
      <c r="A30" s="61" t="s">
        <v>38</v>
      </c>
      <c r="B30" s="7"/>
      <c r="C30" s="77">
        <f>B8+B9+B15+B28+B29</f>
        <v>47626885</v>
      </c>
      <c r="D30" s="12"/>
    </row>
    <row r="31" spans="1:4" ht="11.25" customHeight="1" x14ac:dyDescent="0.15">
      <c r="A31" s="11"/>
      <c r="B31" s="14"/>
      <c r="C31" s="5"/>
      <c r="D31" s="78" t="s">
        <v>0</v>
      </c>
    </row>
    <row r="32" spans="1:4" ht="14.25" x14ac:dyDescent="0.15">
      <c r="A32" s="55" t="s">
        <v>20</v>
      </c>
      <c r="B32" s="79" t="s">
        <v>0</v>
      </c>
      <c r="C32" s="5"/>
      <c r="D32" s="25"/>
    </row>
    <row r="33" spans="1:4" ht="14.25" x14ac:dyDescent="0.15">
      <c r="A33" s="55" t="s">
        <v>39</v>
      </c>
      <c r="B33" s="71">
        <f>375000+491168+19110525+25214850+4912322</f>
        <v>50103865</v>
      </c>
      <c r="C33" s="5"/>
      <c r="D33" s="12"/>
    </row>
    <row r="34" spans="1:4" ht="14.25" x14ac:dyDescent="0.15">
      <c r="A34" s="55" t="s">
        <v>54</v>
      </c>
      <c r="B34" s="71">
        <f>1+7255+16541+18904+111982+128415+11775+585144+713608+1371313+706421+638309+960486+1273455</f>
        <v>6543609</v>
      </c>
      <c r="C34" s="5"/>
      <c r="D34" s="12"/>
    </row>
    <row r="35" spans="1:4" ht="14.25" x14ac:dyDescent="0.15">
      <c r="A35" s="55" t="s">
        <v>55</v>
      </c>
      <c r="B35" s="71">
        <f>1+537740+1092499</f>
        <v>1630240</v>
      </c>
      <c r="C35" s="5"/>
      <c r="D35" s="12"/>
    </row>
    <row r="36" spans="1:4" ht="14.25" x14ac:dyDescent="0.15">
      <c r="A36" s="55" t="s">
        <v>75</v>
      </c>
      <c r="B36" s="71">
        <v>95780</v>
      </c>
      <c r="C36" s="5"/>
      <c r="D36" s="12"/>
    </row>
    <row r="37" spans="1:4" ht="14.25" x14ac:dyDescent="0.15">
      <c r="A37" s="55" t="s">
        <v>40</v>
      </c>
      <c r="B37" s="71">
        <f>1+1+1+1+1+1+1+1+1075418+1+138921</f>
        <v>1214348</v>
      </c>
      <c r="C37" s="5"/>
      <c r="D37" s="12"/>
    </row>
    <row r="38" spans="1:4" ht="14.25" x14ac:dyDescent="0.15">
      <c r="A38" s="55" t="s">
        <v>41</v>
      </c>
      <c r="B38" s="71">
        <v>110600</v>
      </c>
      <c r="C38" s="5"/>
      <c r="D38" s="12"/>
    </row>
    <row r="39" spans="1:4" ht="14.25" x14ac:dyDescent="0.15">
      <c r="A39" s="55" t="s">
        <v>42</v>
      </c>
      <c r="B39" s="71">
        <v>50000</v>
      </c>
      <c r="C39" s="11"/>
      <c r="D39" s="12"/>
    </row>
    <row r="40" spans="1:4" ht="14.25" x14ac:dyDescent="0.15">
      <c r="A40" s="55" t="s">
        <v>66</v>
      </c>
      <c r="B40" s="71">
        <v>128900</v>
      </c>
      <c r="C40" s="76"/>
      <c r="D40" s="12"/>
    </row>
    <row r="41" spans="1:4" ht="14.25" x14ac:dyDescent="0.15">
      <c r="A41" s="61" t="s">
        <v>43</v>
      </c>
      <c r="B41" s="80"/>
      <c r="C41" s="37">
        <f>SUM(B33:B40)</f>
        <v>59877342</v>
      </c>
      <c r="D41" s="12"/>
    </row>
    <row r="42" spans="1:4" ht="8.25" customHeight="1" x14ac:dyDescent="0.15">
      <c r="A42" s="11"/>
      <c r="B42" s="19"/>
      <c r="C42" s="5"/>
      <c r="D42" s="12"/>
    </row>
    <row r="43" spans="1:4" ht="14.25" x14ac:dyDescent="0.15">
      <c r="A43" s="58" t="s">
        <v>23</v>
      </c>
      <c r="B43" s="80"/>
      <c r="C43" s="10"/>
      <c r="D43" s="38">
        <f>C30+C41</f>
        <v>107504227</v>
      </c>
    </row>
    <row r="44" spans="1:4" ht="11.25" customHeight="1" x14ac:dyDescent="0.15">
      <c r="A44" s="9"/>
      <c r="B44" s="62"/>
      <c r="C44" s="62"/>
      <c r="D44" s="62"/>
    </row>
    <row r="45" spans="1:4" ht="14.25" x14ac:dyDescent="0.15">
      <c r="A45" s="60" t="s">
        <v>18</v>
      </c>
      <c r="B45" s="79"/>
      <c r="C45" s="5"/>
      <c r="D45" s="12"/>
    </row>
    <row r="46" spans="1:4" ht="14.25" x14ac:dyDescent="0.15">
      <c r="A46" s="55" t="s">
        <v>21</v>
      </c>
      <c r="B46" s="79"/>
      <c r="C46" s="5"/>
      <c r="D46" s="23"/>
    </row>
    <row r="47" spans="1:4" ht="14.25" x14ac:dyDescent="0.15">
      <c r="A47" s="55" t="s">
        <v>32</v>
      </c>
      <c r="B47" s="71">
        <v>1486293</v>
      </c>
      <c r="C47" s="5"/>
      <c r="D47" s="78"/>
    </row>
    <row r="48" spans="1:4" ht="14.25" x14ac:dyDescent="0.15">
      <c r="A48" s="55" t="s">
        <v>33</v>
      </c>
      <c r="B48" s="71">
        <v>0</v>
      </c>
      <c r="C48" s="5"/>
      <c r="D48" s="12"/>
    </row>
    <row r="49" spans="1:4" ht="6.75" customHeight="1" x14ac:dyDescent="0.15">
      <c r="A49" s="59"/>
      <c r="B49" s="79"/>
      <c r="C49" s="11"/>
      <c r="D49" s="12"/>
    </row>
    <row r="50" spans="1:4" ht="14.25" x14ac:dyDescent="0.15">
      <c r="A50" s="55" t="s">
        <v>31</v>
      </c>
      <c r="B50" s="80"/>
      <c r="C50" s="37">
        <f>B47+B48</f>
        <v>1486293</v>
      </c>
      <c r="D50" s="23"/>
    </row>
    <row r="51" spans="1:4" ht="11.25" customHeight="1" x14ac:dyDescent="0.15">
      <c r="A51" s="3"/>
      <c r="B51" s="14"/>
      <c r="C51" s="34"/>
      <c r="D51" s="25"/>
    </row>
    <row r="52" spans="1:4" ht="14.25" x14ac:dyDescent="0.15">
      <c r="A52" s="55" t="s">
        <v>22</v>
      </c>
      <c r="B52" s="19"/>
      <c r="C52" s="81"/>
      <c r="D52" s="23"/>
    </row>
    <row r="53" spans="1:4" ht="14.25" x14ac:dyDescent="0.15">
      <c r="A53" s="55" t="s">
        <v>30</v>
      </c>
      <c r="B53" s="71">
        <v>8320000</v>
      </c>
      <c r="C53" s="11"/>
      <c r="D53" s="25"/>
    </row>
    <row r="54" spans="1:4" ht="14.25" x14ac:dyDescent="0.15">
      <c r="A54" s="9"/>
      <c r="B54" s="19"/>
      <c r="C54" s="11"/>
      <c r="D54" s="25"/>
    </row>
    <row r="55" spans="1:4" ht="14.25" x14ac:dyDescent="0.15">
      <c r="A55" s="61" t="s">
        <v>29</v>
      </c>
      <c r="B55" s="10"/>
      <c r="C55" s="37">
        <f>B53</f>
        <v>8320000</v>
      </c>
      <c r="D55" s="23"/>
    </row>
    <row r="56" spans="1:4" ht="6.75" customHeight="1" x14ac:dyDescent="0.15">
      <c r="A56" s="3"/>
      <c r="B56" s="19"/>
      <c r="C56" s="11"/>
      <c r="D56" s="23"/>
    </row>
    <row r="57" spans="1:4" ht="14.25" x14ac:dyDescent="0.15">
      <c r="A57" s="58" t="s">
        <v>24</v>
      </c>
      <c r="B57" s="40"/>
      <c r="C57" s="40"/>
      <c r="D57" s="38">
        <f>C50+C55</f>
        <v>9806293</v>
      </c>
    </row>
    <row r="58" spans="1:4" ht="11.25" customHeight="1" x14ac:dyDescent="0.15">
      <c r="A58" s="3"/>
      <c r="B58" s="19"/>
      <c r="C58" s="11"/>
      <c r="D58" s="23"/>
    </row>
    <row r="59" spans="1:4" ht="14.25" x14ac:dyDescent="0.15">
      <c r="A59" s="55" t="s">
        <v>3</v>
      </c>
      <c r="B59" s="30"/>
      <c r="C59" s="35"/>
      <c r="D59" s="31"/>
    </row>
    <row r="60" spans="1:4" ht="15" customHeight="1" x14ac:dyDescent="0.15">
      <c r="A60" s="55" t="s">
        <v>27</v>
      </c>
      <c r="B60" s="10"/>
      <c r="C60" s="39"/>
      <c r="D60" s="39">
        <v>0</v>
      </c>
    </row>
    <row r="61" spans="1:4" ht="15.75" customHeight="1" x14ac:dyDescent="0.15">
      <c r="A61" s="55" t="s">
        <v>28</v>
      </c>
      <c r="B61" s="47"/>
      <c r="C61" s="9"/>
      <c r="D61" s="43">
        <f>D43-D57</f>
        <v>97697934</v>
      </c>
    </row>
    <row r="62" spans="1:4" ht="15.75" customHeight="1" x14ac:dyDescent="0.15">
      <c r="A62" s="59" t="s">
        <v>11</v>
      </c>
      <c r="B62" s="9"/>
      <c r="D62" s="70">
        <f>D61-'2.3月'!D60</f>
        <v>2488499</v>
      </c>
    </row>
    <row r="63" spans="1:4" ht="16.5" customHeight="1" x14ac:dyDescent="0.15">
      <c r="A63" s="55" t="s">
        <v>26</v>
      </c>
      <c r="B63" s="22"/>
      <c r="C63" s="48"/>
      <c r="D63" s="44">
        <f>D61</f>
        <v>97697934</v>
      </c>
    </row>
    <row r="64" spans="1:4" ht="14.25" x14ac:dyDescent="0.15">
      <c r="A64" s="55" t="s">
        <v>25</v>
      </c>
      <c r="B64" s="22"/>
      <c r="C64" s="9"/>
      <c r="D64" s="69">
        <f>D57+D63</f>
        <v>107504227</v>
      </c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D4DEF-752A-4AEA-B9E0-C639A8675EC7}">
  <dimension ref="A1:K108"/>
  <sheetViews>
    <sheetView zoomScaleNormal="100" workbookViewId="0">
      <selection activeCell="A2" sqref="A2:D2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</cols>
  <sheetData>
    <row r="1" spans="1:11" ht="17.25" x14ac:dyDescent="0.2">
      <c r="A1" s="1" t="s">
        <v>153</v>
      </c>
      <c r="B1" s="1"/>
    </row>
    <row r="2" spans="1:11" ht="17.25" customHeight="1" x14ac:dyDescent="0.15">
      <c r="A2" s="111" t="s">
        <v>107</v>
      </c>
      <c r="B2" s="111"/>
      <c r="C2" s="111"/>
      <c r="D2" s="111"/>
    </row>
    <row r="3" spans="1:11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50"/>
      <c r="C5" s="49" t="s">
        <v>4</v>
      </c>
      <c r="D5" s="49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13791765</v>
      </c>
      <c r="C9" s="5"/>
      <c r="D9" s="12"/>
    </row>
    <row r="10" spans="1:11" ht="14.25" x14ac:dyDescent="0.15">
      <c r="A10" s="53" t="s">
        <v>102</v>
      </c>
      <c r="B10" s="73">
        <f>9753448+37997+10304+344341+306969+91692</f>
        <v>10544751</v>
      </c>
      <c r="C10" s="5"/>
      <c r="D10" s="23"/>
      <c r="F10">
        <v>2253865</v>
      </c>
      <c r="G10">
        <v>2253871</v>
      </c>
      <c r="H10">
        <v>2253871</v>
      </c>
    </row>
    <row r="11" spans="1:11" ht="14.25" x14ac:dyDescent="0.15">
      <c r="A11" s="54" t="s">
        <v>12</v>
      </c>
      <c r="B11" s="73">
        <f>55140+745845+6827</f>
        <v>807812</v>
      </c>
      <c r="C11" s="5"/>
      <c r="D11" s="23"/>
    </row>
    <row r="12" spans="1:11" ht="14.25" x14ac:dyDescent="0.15">
      <c r="A12" s="53" t="s">
        <v>45</v>
      </c>
      <c r="B12" s="74">
        <v>1286770</v>
      </c>
      <c r="C12" s="5"/>
      <c r="D12" s="23"/>
    </row>
    <row r="13" spans="1:11" ht="14.25" x14ac:dyDescent="0.15">
      <c r="A13" s="53" t="s">
        <v>44</v>
      </c>
      <c r="B13" s="75">
        <v>702277</v>
      </c>
      <c r="C13" s="5"/>
      <c r="D13" s="12"/>
    </row>
    <row r="14" spans="1:11" ht="14.25" x14ac:dyDescent="0.15">
      <c r="A14" s="53" t="s">
        <v>46</v>
      </c>
      <c r="B14" s="75">
        <v>450155</v>
      </c>
      <c r="C14" s="5"/>
      <c r="D14" s="12"/>
    </row>
    <row r="15" spans="1:11" ht="14.25" x14ac:dyDescent="0.15">
      <c r="A15" s="55" t="s">
        <v>36</v>
      </c>
      <c r="B15" s="71">
        <f>SUM(B16:B27)</f>
        <v>32728344</v>
      </c>
      <c r="C15" s="76"/>
      <c r="D15" s="12"/>
    </row>
    <row r="16" spans="1:11" ht="14.25" x14ac:dyDescent="0.15">
      <c r="A16" s="54" t="s">
        <v>14</v>
      </c>
      <c r="B16" s="74">
        <f>9240+5874700</f>
        <v>5883940</v>
      </c>
      <c r="C16" s="11"/>
      <c r="D16" s="12"/>
    </row>
    <row r="17" spans="1:4" ht="14.25" x14ac:dyDescent="0.15">
      <c r="A17" s="54" t="s">
        <v>15</v>
      </c>
      <c r="B17" s="73">
        <f>14356493+1065589+623300</f>
        <v>16045382</v>
      </c>
      <c r="C17" s="5"/>
      <c r="D17" s="12"/>
    </row>
    <row r="18" spans="1:4" ht="14.25" x14ac:dyDescent="0.15">
      <c r="A18" s="53" t="s">
        <v>58</v>
      </c>
      <c r="B18" s="74">
        <f>4513941+723041+126600</f>
        <v>5363582</v>
      </c>
      <c r="C18" s="11"/>
      <c r="D18" s="12"/>
    </row>
    <row r="19" spans="1:4" ht="14.25" x14ac:dyDescent="0.15">
      <c r="A19" s="54" t="s">
        <v>16</v>
      </c>
      <c r="B19" s="73">
        <f>1701753+103089+85700</f>
        <v>1890542</v>
      </c>
      <c r="C19" s="5"/>
      <c r="D19" s="12"/>
    </row>
    <row r="20" spans="1:4" ht="14.25" x14ac:dyDescent="0.15">
      <c r="A20" s="54" t="s">
        <v>67</v>
      </c>
      <c r="B20" s="73">
        <f>1416777+137780</f>
        <v>1554557</v>
      </c>
      <c r="C20" s="5"/>
      <c r="D20" s="12"/>
    </row>
    <row r="21" spans="1:4" ht="14.25" x14ac:dyDescent="0.15">
      <c r="A21" s="54" t="s">
        <v>103</v>
      </c>
      <c r="B21" s="73">
        <f>334975+32844</f>
        <v>367819</v>
      </c>
      <c r="C21" s="5"/>
      <c r="D21" s="12"/>
    </row>
    <row r="22" spans="1:4" ht="14.25" x14ac:dyDescent="0.15">
      <c r="A22" s="54" t="s">
        <v>72</v>
      </c>
      <c r="B22" s="73">
        <v>24800</v>
      </c>
      <c r="C22" s="5"/>
      <c r="D22" s="12"/>
    </row>
    <row r="23" spans="1:4" ht="14.25" x14ac:dyDescent="0.15">
      <c r="A23" s="54" t="s">
        <v>81</v>
      </c>
      <c r="B23" s="73">
        <f>314472+19750+13200</f>
        <v>347422</v>
      </c>
      <c r="C23" s="5"/>
      <c r="D23" s="12"/>
    </row>
    <row r="24" spans="1:4" ht="14.25" x14ac:dyDescent="0.15">
      <c r="A24" s="54" t="s">
        <v>82</v>
      </c>
      <c r="B24" s="73">
        <v>51600</v>
      </c>
      <c r="C24" s="5"/>
      <c r="D24" s="12"/>
    </row>
    <row r="25" spans="1:4" ht="14.25" x14ac:dyDescent="0.15">
      <c r="A25" s="54" t="s">
        <v>17</v>
      </c>
      <c r="B25" s="74">
        <v>1171700</v>
      </c>
      <c r="C25" s="5"/>
      <c r="D25" s="12"/>
    </row>
    <row r="26" spans="1:4" ht="14.25" x14ac:dyDescent="0.15">
      <c r="A26" s="54" t="s">
        <v>71</v>
      </c>
      <c r="B26" s="75">
        <v>27000</v>
      </c>
      <c r="C26" s="5"/>
      <c r="D26" s="12"/>
    </row>
    <row r="27" spans="1:4" ht="14.25" x14ac:dyDescent="0.15">
      <c r="A27" s="54" t="s">
        <v>79</v>
      </c>
      <c r="B27" s="75">
        <v>0</v>
      </c>
      <c r="C27" s="5"/>
      <c r="D27" s="12"/>
    </row>
    <row r="28" spans="1:4" ht="14.25" x14ac:dyDescent="0.15">
      <c r="A28" s="55" t="s">
        <v>37</v>
      </c>
      <c r="B28" s="71">
        <v>606376</v>
      </c>
      <c r="C28" s="15" t="s">
        <v>0</v>
      </c>
      <c r="D28" s="12"/>
    </row>
    <row r="29" spans="1:4" ht="14.25" x14ac:dyDescent="0.15">
      <c r="A29" s="61" t="s">
        <v>96</v>
      </c>
      <c r="B29" s="71">
        <v>52890</v>
      </c>
      <c r="C29" s="15"/>
      <c r="D29" s="12"/>
    </row>
    <row r="30" spans="1:4" ht="14.25" x14ac:dyDescent="0.15">
      <c r="A30" s="61" t="s">
        <v>38</v>
      </c>
      <c r="B30" s="7"/>
      <c r="C30" s="77">
        <f>B8+B9+B15+B28+B29</f>
        <v>47181760</v>
      </c>
      <c r="D30" s="12"/>
    </row>
    <row r="31" spans="1:4" ht="11.25" customHeight="1" x14ac:dyDescent="0.15">
      <c r="A31" s="11"/>
      <c r="B31" s="14"/>
      <c r="C31" s="5"/>
      <c r="D31" s="78" t="s">
        <v>0</v>
      </c>
    </row>
    <row r="32" spans="1:4" ht="14.25" x14ac:dyDescent="0.15">
      <c r="A32" s="55" t="s">
        <v>20</v>
      </c>
      <c r="B32" s="79" t="s">
        <v>0</v>
      </c>
      <c r="C32" s="5"/>
      <c r="D32" s="25"/>
    </row>
    <row r="33" spans="1:4" ht="14.25" x14ac:dyDescent="0.15">
      <c r="A33" s="55" t="s">
        <v>39</v>
      </c>
      <c r="B33" s="71">
        <f>375000+491168+19110525+25214850+4912322</f>
        <v>50103865</v>
      </c>
      <c r="C33" s="5"/>
      <c r="D33" s="12"/>
    </row>
    <row r="34" spans="1:4" ht="14.25" x14ac:dyDescent="0.15">
      <c r="A34" s="55" t="s">
        <v>54</v>
      </c>
      <c r="B34" s="71">
        <f>1+7255+16541+18904+111982+128415+11775+585144+713608+1371313+706421+638309+960486+1273455</f>
        <v>6543609</v>
      </c>
      <c r="C34" s="5"/>
      <c r="D34" s="12"/>
    </row>
    <row r="35" spans="1:4" ht="14.25" x14ac:dyDescent="0.15">
      <c r="A35" s="55" t="s">
        <v>55</v>
      </c>
      <c r="B35" s="71">
        <f>1+537740+1092499</f>
        <v>1630240</v>
      </c>
      <c r="C35" s="5"/>
      <c r="D35" s="12"/>
    </row>
    <row r="36" spans="1:4" ht="14.25" x14ac:dyDescent="0.15">
      <c r="A36" s="55" t="s">
        <v>75</v>
      </c>
      <c r="B36" s="71">
        <v>95780</v>
      </c>
      <c r="C36" s="5"/>
      <c r="D36" s="12"/>
    </row>
    <row r="37" spans="1:4" ht="14.25" x14ac:dyDescent="0.15">
      <c r="A37" s="55" t="s">
        <v>40</v>
      </c>
      <c r="B37" s="71">
        <f>1+1+1+1+1+1+1+1+1075418+1+138921</f>
        <v>1214348</v>
      </c>
      <c r="C37" s="5"/>
      <c r="D37" s="12"/>
    </row>
    <row r="38" spans="1:4" ht="14.25" x14ac:dyDescent="0.15">
      <c r="A38" s="55" t="s">
        <v>41</v>
      </c>
      <c r="B38" s="71">
        <v>110600</v>
      </c>
      <c r="C38" s="5"/>
      <c r="D38" s="12"/>
    </row>
    <row r="39" spans="1:4" ht="14.25" x14ac:dyDescent="0.15">
      <c r="A39" s="55" t="s">
        <v>42</v>
      </c>
      <c r="B39" s="71">
        <v>50000</v>
      </c>
      <c r="C39" s="11"/>
      <c r="D39" s="12"/>
    </row>
    <row r="40" spans="1:4" ht="14.25" x14ac:dyDescent="0.15">
      <c r="A40" s="55" t="s">
        <v>66</v>
      </c>
      <c r="B40" s="71">
        <v>128900</v>
      </c>
      <c r="C40" s="76"/>
      <c r="D40" s="12"/>
    </row>
    <row r="41" spans="1:4" ht="14.25" x14ac:dyDescent="0.15">
      <c r="A41" s="61" t="s">
        <v>43</v>
      </c>
      <c r="B41" s="80"/>
      <c r="C41" s="37">
        <f>SUM(B33:B40)</f>
        <v>59877342</v>
      </c>
      <c r="D41" s="12"/>
    </row>
    <row r="42" spans="1:4" ht="8.25" customHeight="1" x14ac:dyDescent="0.15">
      <c r="A42" s="11"/>
      <c r="B42" s="19"/>
      <c r="C42" s="5"/>
      <c r="D42" s="12"/>
    </row>
    <row r="43" spans="1:4" ht="14.25" x14ac:dyDescent="0.15">
      <c r="A43" s="58" t="s">
        <v>23</v>
      </c>
      <c r="B43" s="80"/>
      <c r="C43" s="10"/>
      <c r="D43" s="38">
        <f>C30+C41</f>
        <v>107059102</v>
      </c>
    </row>
    <row r="44" spans="1:4" ht="11.25" customHeight="1" x14ac:dyDescent="0.15">
      <c r="A44" s="9"/>
      <c r="B44" s="62"/>
      <c r="C44" s="62"/>
      <c r="D44" s="62"/>
    </row>
    <row r="45" spans="1:4" ht="14.25" x14ac:dyDescent="0.15">
      <c r="A45" s="60" t="s">
        <v>18</v>
      </c>
      <c r="B45" s="79"/>
      <c r="C45" s="5"/>
      <c r="D45" s="12"/>
    </row>
    <row r="46" spans="1:4" ht="14.25" x14ac:dyDescent="0.15">
      <c r="A46" s="55" t="s">
        <v>21</v>
      </c>
      <c r="B46" s="79"/>
      <c r="C46" s="5"/>
      <c r="D46" s="23"/>
    </row>
    <row r="47" spans="1:4" ht="14.25" x14ac:dyDescent="0.15">
      <c r="A47" s="55" t="s">
        <v>32</v>
      </c>
      <c r="B47" s="71">
        <v>497392</v>
      </c>
      <c r="C47" s="5"/>
      <c r="D47" s="78"/>
    </row>
    <row r="48" spans="1:4" ht="14.25" x14ac:dyDescent="0.15">
      <c r="A48" s="55" t="s">
        <v>33</v>
      </c>
      <c r="B48" s="71">
        <v>0</v>
      </c>
      <c r="C48" s="5"/>
      <c r="D48" s="12"/>
    </row>
    <row r="49" spans="1:7" ht="6.75" customHeight="1" x14ac:dyDescent="0.15">
      <c r="A49" s="59"/>
      <c r="B49" s="79"/>
      <c r="C49" s="11"/>
      <c r="D49" s="12"/>
    </row>
    <row r="50" spans="1:7" ht="14.25" x14ac:dyDescent="0.15">
      <c r="A50" s="55" t="s">
        <v>31</v>
      </c>
      <c r="B50" s="80"/>
      <c r="C50" s="37">
        <f>B47+B48</f>
        <v>497392</v>
      </c>
      <c r="D50" s="23"/>
    </row>
    <row r="51" spans="1:7" ht="11.25" customHeight="1" x14ac:dyDescent="0.15">
      <c r="A51" s="3"/>
      <c r="B51" s="14"/>
      <c r="C51" s="34"/>
      <c r="D51" s="25"/>
    </row>
    <row r="52" spans="1:7" ht="14.25" x14ac:dyDescent="0.15">
      <c r="A52" s="55" t="s">
        <v>22</v>
      </c>
      <c r="B52" s="19"/>
      <c r="C52" s="81"/>
      <c r="D52" s="23"/>
    </row>
    <row r="53" spans="1:7" ht="14.25" x14ac:dyDescent="0.15">
      <c r="A53" s="55" t="s">
        <v>30</v>
      </c>
      <c r="B53" s="71">
        <v>8040000</v>
      </c>
      <c r="C53" s="11"/>
      <c r="D53" s="25"/>
    </row>
    <row r="54" spans="1:7" ht="14.25" x14ac:dyDescent="0.15">
      <c r="A54" s="9"/>
      <c r="B54" s="19"/>
      <c r="C54" s="11"/>
      <c r="D54" s="25"/>
      <c r="G54" t="s">
        <v>108</v>
      </c>
    </row>
    <row r="55" spans="1:7" ht="14.25" x14ac:dyDescent="0.15">
      <c r="A55" s="61" t="s">
        <v>29</v>
      </c>
      <c r="B55" s="10"/>
      <c r="C55" s="37">
        <f>B53</f>
        <v>8040000</v>
      </c>
      <c r="D55" s="23"/>
    </row>
    <row r="56" spans="1:7" ht="6.75" customHeight="1" x14ac:dyDescent="0.15">
      <c r="A56" s="3"/>
      <c r="B56" s="19"/>
      <c r="C56" s="11"/>
      <c r="D56" s="23"/>
    </row>
    <row r="57" spans="1:7" ht="14.25" x14ac:dyDescent="0.15">
      <c r="A57" s="58" t="s">
        <v>24</v>
      </c>
      <c r="B57" s="40"/>
      <c r="C57" s="40"/>
      <c r="D57" s="38">
        <f>C50+C55</f>
        <v>8537392</v>
      </c>
    </row>
    <row r="58" spans="1:7" ht="11.25" customHeight="1" x14ac:dyDescent="0.15">
      <c r="A58" s="3"/>
      <c r="B58" s="19"/>
      <c r="C58" s="11"/>
      <c r="D58" s="23"/>
    </row>
    <row r="59" spans="1:7" ht="14.25" x14ac:dyDescent="0.15">
      <c r="A59" s="55" t="s">
        <v>3</v>
      </c>
      <c r="B59" s="30"/>
      <c r="C59" s="35"/>
      <c r="D59" s="31"/>
    </row>
    <row r="60" spans="1:7" ht="15" customHeight="1" x14ac:dyDescent="0.15">
      <c r="A60" s="55" t="s">
        <v>27</v>
      </c>
      <c r="B60" s="10"/>
      <c r="C60" s="39"/>
      <c r="D60" s="39">
        <v>0</v>
      </c>
    </row>
    <row r="61" spans="1:7" ht="15.75" customHeight="1" x14ac:dyDescent="0.15">
      <c r="A61" s="55" t="s">
        <v>28</v>
      </c>
      <c r="B61" s="47"/>
      <c r="C61" s="9"/>
      <c r="D61" s="43">
        <f>D43-D57</f>
        <v>98521710</v>
      </c>
    </row>
    <row r="62" spans="1:7" ht="15.75" customHeight="1" x14ac:dyDescent="0.15">
      <c r="A62" s="59" t="s">
        <v>11</v>
      </c>
      <c r="B62" s="9"/>
      <c r="D62" s="70">
        <f>D61-'2.3月'!D60</f>
        <v>3312275</v>
      </c>
    </row>
    <row r="63" spans="1:7" ht="16.5" customHeight="1" x14ac:dyDescent="0.15">
      <c r="A63" s="55" t="s">
        <v>26</v>
      </c>
      <c r="B63" s="22"/>
      <c r="C63" s="48"/>
      <c r="D63" s="44">
        <f>D61</f>
        <v>98521710</v>
      </c>
    </row>
    <row r="64" spans="1:7" ht="14.25" x14ac:dyDescent="0.15">
      <c r="A64" s="55" t="s">
        <v>25</v>
      </c>
      <c r="B64" s="22"/>
      <c r="C64" s="9"/>
      <c r="D64" s="69">
        <f>D57+D63</f>
        <v>107059102</v>
      </c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8908D-3698-47EE-958A-C145617CEF0F}">
  <dimension ref="A1:K108"/>
  <sheetViews>
    <sheetView zoomScaleNormal="100" workbookViewId="0">
      <selection activeCell="A2" sqref="A2:D2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11" width="9.25" bestFit="1" customWidth="1"/>
  </cols>
  <sheetData>
    <row r="1" spans="1:11" ht="17.25" x14ac:dyDescent="0.2">
      <c r="A1" s="1" t="s">
        <v>153</v>
      </c>
      <c r="B1" s="1"/>
    </row>
    <row r="2" spans="1:11" ht="17.25" customHeight="1" x14ac:dyDescent="0.15">
      <c r="A2" s="111" t="s">
        <v>109</v>
      </c>
      <c r="B2" s="111"/>
      <c r="C2" s="111"/>
      <c r="D2" s="111"/>
    </row>
    <row r="3" spans="1:11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50"/>
      <c r="C5" s="49" t="s">
        <v>4</v>
      </c>
      <c r="D5" s="49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22202218</v>
      </c>
      <c r="C9" s="5"/>
      <c r="D9" s="12"/>
      <c r="F9" s="84">
        <v>16129511</v>
      </c>
      <c r="G9" s="84">
        <v>96319</v>
      </c>
      <c r="H9" s="84">
        <v>28555</v>
      </c>
      <c r="I9" s="84">
        <v>517585</v>
      </c>
      <c r="J9" s="84">
        <v>431529</v>
      </c>
      <c r="K9" s="84">
        <v>226585</v>
      </c>
    </row>
    <row r="10" spans="1:11" ht="14.25" x14ac:dyDescent="0.15">
      <c r="A10" s="53" t="s">
        <v>102</v>
      </c>
      <c r="B10" s="73">
        <f>F9+G9+H9+I9+J9+K9</f>
        <v>17430084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</row>
    <row r="11" spans="1:11" ht="14.25" x14ac:dyDescent="0.15">
      <c r="A11" s="54" t="s">
        <v>12</v>
      </c>
      <c r="B11" s="73">
        <f>F11+G11+H11</f>
        <v>2745249</v>
      </c>
      <c r="C11" s="5"/>
      <c r="D11" s="23"/>
      <c r="F11" s="84">
        <v>58740</v>
      </c>
      <c r="G11" s="89">
        <v>2677282</v>
      </c>
      <c r="H11" s="84">
        <v>9227</v>
      </c>
    </row>
    <row r="12" spans="1:11" ht="14.25" x14ac:dyDescent="0.15">
      <c r="A12" s="53" t="s">
        <v>45</v>
      </c>
      <c r="B12" s="86">
        <v>197717</v>
      </c>
      <c r="C12" s="5"/>
      <c r="D12" s="23"/>
    </row>
    <row r="13" spans="1:11" ht="14.25" x14ac:dyDescent="0.15">
      <c r="A13" s="53" t="s">
        <v>125</v>
      </c>
      <c r="B13" s="87">
        <v>1298197</v>
      </c>
      <c r="C13" s="5"/>
      <c r="D13" s="12"/>
    </row>
    <row r="14" spans="1:11" ht="14.25" x14ac:dyDescent="0.15">
      <c r="A14" s="53" t="s">
        <v>46</v>
      </c>
      <c r="B14" s="87">
        <v>530971</v>
      </c>
      <c r="C14" s="5"/>
      <c r="D14" s="12"/>
    </row>
    <row r="15" spans="1:11" ht="14.25" x14ac:dyDescent="0.15">
      <c r="A15" s="55" t="s">
        <v>36</v>
      </c>
      <c r="B15" s="71">
        <f>SUM(B16:B27)</f>
        <v>32831123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f>F16+G16</f>
        <v>5964020</v>
      </c>
      <c r="C16" s="11"/>
      <c r="D16" s="12"/>
      <c r="E16" t="s">
        <v>112</v>
      </c>
      <c r="F16" s="84">
        <v>21560</v>
      </c>
      <c r="G16" s="84">
        <v>5942460</v>
      </c>
      <c r="H16" s="83"/>
    </row>
    <row r="17" spans="1:8" ht="14.25" x14ac:dyDescent="0.15">
      <c r="A17" s="54" t="s">
        <v>15</v>
      </c>
      <c r="B17" s="73">
        <f>F18+G18+H18</f>
        <v>16349340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8" ht="14.25" x14ac:dyDescent="0.15">
      <c r="A18" s="53" t="s">
        <v>58</v>
      </c>
      <c r="B18" s="74">
        <f>F20+G20+H20</f>
        <v>5225657</v>
      </c>
      <c r="C18" s="11"/>
      <c r="D18" s="12"/>
      <c r="E18" t="s">
        <v>115</v>
      </c>
      <c r="F18" s="84">
        <v>14497318</v>
      </c>
      <c r="G18" s="84">
        <v>1166222</v>
      </c>
      <c r="H18" s="84">
        <v>685800</v>
      </c>
    </row>
    <row r="19" spans="1:8" ht="14.25" x14ac:dyDescent="0.15">
      <c r="A19" s="54" t="s">
        <v>16</v>
      </c>
      <c r="B19" s="73">
        <f>F22+G22+H22</f>
        <v>1665767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8" ht="14.25" x14ac:dyDescent="0.15">
      <c r="A20" s="54" t="s">
        <v>67</v>
      </c>
      <c r="B20" s="73">
        <f>F24+G24</f>
        <v>1540489</v>
      </c>
      <c r="C20" s="5"/>
      <c r="D20" s="12"/>
      <c r="E20" t="s">
        <v>119</v>
      </c>
      <c r="F20" s="84">
        <v>4379670</v>
      </c>
      <c r="G20" s="84">
        <v>725987</v>
      </c>
      <c r="H20" s="84">
        <v>120000</v>
      </c>
    </row>
    <row r="21" spans="1:8" ht="14.25" x14ac:dyDescent="0.15">
      <c r="A21" s="54" t="s">
        <v>103</v>
      </c>
      <c r="B21" s="73">
        <f>F26+G26</f>
        <v>363590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8" ht="14.25" x14ac:dyDescent="0.15">
      <c r="A22" s="54" t="s">
        <v>72</v>
      </c>
      <c r="B22" s="85">
        <v>17700</v>
      </c>
      <c r="C22" s="5"/>
      <c r="D22" s="12"/>
      <c r="E22" t="s">
        <v>120</v>
      </c>
      <c r="F22" s="84">
        <v>1469181</v>
      </c>
      <c r="G22" s="84">
        <v>98286</v>
      </c>
      <c r="H22" s="84">
        <v>98300</v>
      </c>
    </row>
    <row r="23" spans="1:8" ht="14.25" x14ac:dyDescent="0.15">
      <c r="A23" s="54" t="s">
        <v>81</v>
      </c>
      <c r="B23" s="73">
        <f>F28+G28+H28</f>
        <v>368310</v>
      </c>
      <c r="C23" s="5"/>
      <c r="D23" s="12"/>
      <c r="F23" s="83" t="s">
        <v>116</v>
      </c>
      <c r="G23" s="83" t="s">
        <v>117</v>
      </c>
      <c r="H23" s="83"/>
    </row>
    <row r="24" spans="1:8" ht="14.25" x14ac:dyDescent="0.15">
      <c r="A24" s="54" t="s">
        <v>82</v>
      </c>
      <c r="B24" s="85">
        <v>103200</v>
      </c>
      <c r="C24" s="5"/>
      <c r="D24" s="12"/>
      <c r="E24" t="s">
        <v>121</v>
      </c>
      <c r="F24" s="84">
        <v>1397424</v>
      </c>
      <c r="G24" s="84">
        <v>143065</v>
      </c>
      <c r="H24" s="83"/>
    </row>
    <row r="25" spans="1:8" ht="14.25" x14ac:dyDescent="0.15">
      <c r="A25" s="54" t="s">
        <v>17</v>
      </c>
      <c r="B25" s="86">
        <v>1215050</v>
      </c>
      <c r="C25" s="5"/>
      <c r="D25" s="12"/>
      <c r="F25" s="83" t="s">
        <v>116</v>
      </c>
      <c r="G25" s="83" t="s">
        <v>117</v>
      </c>
      <c r="H25" s="83"/>
    </row>
    <row r="26" spans="1:8" ht="14.25" x14ac:dyDescent="0.15">
      <c r="A26" s="54" t="s">
        <v>71</v>
      </c>
      <c r="B26" s="87">
        <v>18000</v>
      </c>
      <c r="C26" s="5"/>
      <c r="D26" s="12"/>
      <c r="E26" t="s">
        <v>122</v>
      </c>
      <c r="F26" s="84">
        <v>329734</v>
      </c>
      <c r="G26" s="84">
        <v>33856</v>
      </c>
      <c r="H26" s="83"/>
    </row>
    <row r="27" spans="1:8" ht="14.25" x14ac:dyDescent="0.15">
      <c r="A27" s="54" t="s">
        <v>79</v>
      </c>
      <c r="B27" s="87">
        <v>0</v>
      </c>
      <c r="C27" s="5"/>
      <c r="D27" s="12"/>
      <c r="F27" s="83" t="s">
        <v>116</v>
      </c>
      <c r="G27" s="83" t="s">
        <v>117</v>
      </c>
      <c r="H27" s="83" t="s">
        <v>118</v>
      </c>
    </row>
    <row r="28" spans="1:8" ht="14.25" x14ac:dyDescent="0.15">
      <c r="A28" s="55" t="s">
        <v>37</v>
      </c>
      <c r="B28" s="88">
        <v>656376</v>
      </c>
      <c r="C28" s="15" t="s">
        <v>0</v>
      </c>
      <c r="D28" s="12"/>
      <c r="E28" t="s">
        <v>123</v>
      </c>
      <c r="F28" s="84">
        <v>314058</v>
      </c>
      <c r="G28" s="84">
        <v>21852</v>
      </c>
      <c r="H28" s="84">
        <v>32400</v>
      </c>
    </row>
    <row r="29" spans="1:8" ht="14.25" x14ac:dyDescent="0.15">
      <c r="A29" s="61" t="s">
        <v>96</v>
      </c>
      <c r="B29" s="88">
        <v>52890</v>
      </c>
      <c r="C29" s="15"/>
      <c r="D29" s="12"/>
    </row>
    <row r="30" spans="1:8" ht="14.25" x14ac:dyDescent="0.15">
      <c r="A30" s="61" t="s">
        <v>38</v>
      </c>
      <c r="B30" s="7"/>
      <c r="C30" s="77">
        <f>B8+B9+B15+B28+B29</f>
        <v>55744992</v>
      </c>
      <c r="D30" s="12"/>
    </row>
    <row r="31" spans="1:8" ht="11.25" customHeight="1" x14ac:dyDescent="0.15">
      <c r="A31" s="11"/>
      <c r="B31" s="14"/>
      <c r="C31" s="5"/>
      <c r="D31" s="78" t="s">
        <v>0</v>
      </c>
    </row>
    <row r="32" spans="1:8" ht="14.25" x14ac:dyDescent="0.15">
      <c r="A32" s="55" t="s">
        <v>20</v>
      </c>
      <c r="B32" s="79" t="s">
        <v>0</v>
      </c>
      <c r="C32" s="5"/>
      <c r="D32" s="25"/>
    </row>
    <row r="33" spans="1:4" ht="14.25" x14ac:dyDescent="0.15">
      <c r="A33" s="55" t="s">
        <v>39</v>
      </c>
      <c r="B33" s="88">
        <f>337501+381745+18418593+24773059+4693744</f>
        <v>48604642</v>
      </c>
      <c r="C33" s="5"/>
      <c r="D33" s="12"/>
    </row>
    <row r="34" spans="1:4" ht="14.25" x14ac:dyDescent="0.15">
      <c r="A34" s="55" t="s">
        <v>54</v>
      </c>
      <c r="B34" s="88">
        <f>1+3628+11029+12604+104032+119298+10093+512001+624407+1256808+647435+595861+924036+1225128</f>
        <v>6046361</v>
      </c>
      <c r="C34" s="5"/>
      <c r="D34" s="12"/>
    </row>
    <row r="35" spans="1:4" ht="14.25" x14ac:dyDescent="0.15">
      <c r="A35" s="55" t="s">
        <v>55</v>
      </c>
      <c r="B35" s="88">
        <f>1+492839+1019848</f>
        <v>1512688</v>
      </c>
      <c r="C35" s="5"/>
      <c r="D35" s="12"/>
    </row>
    <row r="36" spans="1:4" ht="14.25" x14ac:dyDescent="0.15">
      <c r="A36" s="55" t="s">
        <v>75</v>
      </c>
      <c r="B36" s="88">
        <v>79785</v>
      </c>
      <c r="C36" s="5"/>
      <c r="D36" s="12"/>
    </row>
    <row r="37" spans="1:4" ht="14.25" x14ac:dyDescent="0.15">
      <c r="A37" s="55" t="s">
        <v>40</v>
      </c>
      <c r="B37" s="88">
        <f>1+1+1+1+1+1+1+1+896361+1+69461</f>
        <v>965831</v>
      </c>
      <c r="C37" s="5"/>
      <c r="D37" s="12"/>
    </row>
    <row r="38" spans="1:4" ht="14.25" x14ac:dyDescent="0.15">
      <c r="A38" s="55" t="s">
        <v>41</v>
      </c>
      <c r="B38" s="88">
        <v>110600</v>
      </c>
      <c r="C38" s="5"/>
      <c r="D38" s="12"/>
    </row>
    <row r="39" spans="1:4" ht="14.25" x14ac:dyDescent="0.15">
      <c r="A39" s="55" t="s">
        <v>42</v>
      </c>
      <c r="B39" s="88">
        <v>50000</v>
      </c>
      <c r="C39" s="11"/>
      <c r="D39" s="12"/>
    </row>
    <row r="40" spans="1:4" ht="14.25" x14ac:dyDescent="0.15">
      <c r="A40" s="55" t="s">
        <v>66</v>
      </c>
      <c r="B40" s="88">
        <v>128900</v>
      </c>
      <c r="C40" s="76"/>
      <c r="D40" s="12"/>
    </row>
    <row r="41" spans="1:4" ht="14.25" x14ac:dyDescent="0.15">
      <c r="A41" s="61" t="s">
        <v>43</v>
      </c>
      <c r="B41" s="80"/>
      <c r="C41" s="37">
        <f>SUM(B33:B40)</f>
        <v>57498807</v>
      </c>
      <c r="D41" s="12"/>
    </row>
    <row r="42" spans="1:4" ht="8.25" customHeight="1" x14ac:dyDescent="0.15">
      <c r="A42" s="11"/>
      <c r="B42" s="19"/>
      <c r="C42" s="5"/>
      <c r="D42" s="12"/>
    </row>
    <row r="43" spans="1:4" ht="14.25" x14ac:dyDescent="0.15">
      <c r="A43" s="58" t="s">
        <v>23</v>
      </c>
      <c r="B43" s="80"/>
      <c r="C43" s="10"/>
      <c r="D43" s="38">
        <f>C30+C41</f>
        <v>113243799</v>
      </c>
    </row>
    <row r="44" spans="1:4" ht="11.25" customHeight="1" x14ac:dyDescent="0.15">
      <c r="A44" s="9"/>
      <c r="B44" s="62"/>
      <c r="C44" s="62"/>
      <c r="D44" s="62"/>
    </row>
    <row r="45" spans="1:4" ht="14.25" x14ac:dyDescent="0.15">
      <c r="A45" s="60" t="s">
        <v>18</v>
      </c>
      <c r="B45" s="79"/>
      <c r="C45" s="5"/>
      <c r="D45" s="12"/>
    </row>
    <row r="46" spans="1:4" ht="14.25" x14ac:dyDescent="0.15">
      <c r="A46" s="55" t="s">
        <v>21</v>
      </c>
      <c r="B46" s="79"/>
      <c r="C46" s="5"/>
      <c r="D46" s="23"/>
    </row>
    <row r="47" spans="1:4" ht="14.25" x14ac:dyDescent="0.15">
      <c r="A47" s="55" t="s">
        <v>32</v>
      </c>
      <c r="B47" s="88">
        <v>4079930</v>
      </c>
      <c r="C47" s="5"/>
      <c r="D47" s="78"/>
    </row>
    <row r="48" spans="1:4" ht="14.25" x14ac:dyDescent="0.15">
      <c r="A48" s="55" t="s">
        <v>33</v>
      </c>
      <c r="B48" s="71">
        <v>0</v>
      </c>
      <c r="C48" s="5"/>
      <c r="D48" s="12"/>
    </row>
    <row r="49" spans="1:8" ht="6.75" customHeight="1" x14ac:dyDescent="0.15">
      <c r="A49" s="59"/>
      <c r="B49" s="79"/>
      <c r="C49" s="11"/>
      <c r="D49" s="12"/>
    </row>
    <row r="50" spans="1:8" ht="14.25" x14ac:dyDescent="0.15">
      <c r="A50" s="55" t="s">
        <v>31</v>
      </c>
      <c r="B50" s="80"/>
      <c r="C50" s="37">
        <f>B47+B48</f>
        <v>4079930</v>
      </c>
      <c r="D50" s="23"/>
    </row>
    <row r="51" spans="1:8" ht="11.25" customHeight="1" x14ac:dyDescent="0.15">
      <c r="A51" s="3"/>
      <c r="B51" s="14"/>
      <c r="C51" s="34"/>
      <c r="D51" s="25"/>
    </row>
    <row r="52" spans="1:8" ht="14.25" x14ac:dyDescent="0.15">
      <c r="A52" s="55" t="s">
        <v>22</v>
      </c>
      <c r="B52" s="19"/>
      <c r="C52" s="81"/>
      <c r="D52" s="23"/>
    </row>
    <row r="53" spans="1:8" ht="14.25" x14ac:dyDescent="0.15">
      <c r="A53" s="55" t="s">
        <v>30</v>
      </c>
      <c r="B53" s="88">
        <v>7760000</v>
      </c>
      <c r="C53" s="11"/>
      <c r="D53" s="25"/>
    </row>
    <row r="54" spans="1:8" ht="14.25" x14ac:dyDescent="0.15">
      <c r="A54" s="9"/>
      <c r="B54" s="19"/>
      <c r="C54" s="11"/>
      <c r="D54" s="25"/>
      <c r="G54" t="s">
        <v>108</v>
      </c>
    </row>
    <row r="55" spans="1:8" ht="14.25" x14ac:dyDescent="0.15">
      <c r="A55" s="61" t="s">
        <v>29</v>
      </c>
      <c r="B55" s="10"/>
      <c r="C55" s="37">
        <f>B53</f>
        <v>7760000</v>
      </c>
      <c r="D55" s="23"/>
    </row>
    <row r="56" spans="1:8" ht="6.75" customHeight="1" x14ac:dyDescent="0.15">
      <c r="A56" s="3"/>
      <c r="B56" s="19"/>
      <c r="C56" s="11"/>
      <c r="D56" s="23"/>
    </row>
    <row r="57" spans="1:8" ht="14.25" x14ac:dyDescent="0.15">
      <c r="A57" s="58" t="s">
        <v>24</v>
      </c>
      <c r="B57" s="40"/>
      <c r="C57" s="40"/>
      <c r="D57" s="38">
        <f>C50+C55</f>
        <v>11839930</v>
      </c>
    </row>
    <row r="58" spans="1:8" ht="11.25" customHeight="1" x14ac:dyDescent="0.15">
      <c r="A58" s="3"/>
      <c r="B58" s="19"/>
      <c r="C58" s="11"/>
      <c r="D58" s="23"/>
    </row>
    <row r="59" spans="1:8" ht="14.25" x14ac:dyDescent="0.15">
      <c r="A59" s="55" t="s">
        <v>3</v>
      </c>
      <c r="B59" s="30"/>
      <c r="C59" s="35"/>
      <c r="D59" s="31"/>
    </row>
    <row r="60" spans="1:8" ht="15" customHeight="1" x14ac:dyDescent="0.15">
      <c r="A60" s="55" t="s">
        <v>27</v>
      </c>
      <c r="B60" s="10"/>
      <c r="C60" s="39"/>
      <c r="D60" s="39">
        <v>0</v>
      </c>
      <c r="H60" t="s">
        <v>0</v>
      </c>
    </row>
    <row r="61" spans="1:8" ht="15.75" customHeight="1" x14ac:dyDescent="0.15">
      <c r="A61" s="55" t="s">
        <v>28</v>
      </c>
      <c r="B61" s="47"/>
      <c r="C61" s="9"/>
      <c r="D61" s="43">
        <f>D43-D57</f>
        <v>101403869</v>
      </c>
      <c r="F61" s="90" t="s">
        <v>124</v>
      </c>
    </row>
    <row r="62" spans="1:8" ht="15.75" customHeight="1" x14ac:dyDescent="0.15">
      <c r="A62" s="59" t="s">
        <v>11</v>
      </c>
      <c r="B62" s="9"/>
      <c r="D62" s="70">
        <f>D61-'2.3月'!D60</f>
        <v>6194434</v>
      </c>
      <c r="F62" s="92">
        <f>D62-'[1]令和2年度 '!$P$73</f>
        <v>4492494</v>
      </c>
    </row>
    <row r="63" spans="1:8" ht="16.5" customHeight="1" x14ac:dyDescent="0.15">
      <c r="A63" s="55" t="s">
        <v>26</v>
      </c>
      <c r="B63" s="22"/>
      <c r="C63" s="48"/>
      <c r="D63" s="44">
        <f>D61</f>
        <v>101403869</v>
      </c>
      <c r="F63" s="91"/>
    </row>
    <row r="64" spans="1:8" ht="14.25" x14ac:dyDescent="0.15">
      <c r="A64" s="55" t="s">
        <v>25</v>
      </c>
      <c r="B64" s="22"/>
      <c r="C64" s="9"/>
      <c r="D64" s="69">
        <f>D57+D63</f>
        <v>113243799</v>
      </c>
      <c r="F64" s="68"/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0B86E-79FC-48A3-9214-8626088DAC81}">
  <dimension ref="A1:K108"/>
  <sheetViews>
    <sheetView zoomScaleNormal="100" workbookViewId="0">
      <selection activeCell="A2" sqref="A2:D2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11" width="9.25" bestFit="1" customWidth="1"/>
  </cols>
  <sheetData>
    <row r="1" spans="1:11" ht="17.25" x14ac:dyDescent="0.2">
      <c r="A1" s="1" t="s">
        <v>153</v>
      </c>
      <c r="B1" s="1"/>
    </row>
    <row r="2" spans="1:11" ht="17.25" customHeight="1" x14ac:dyDescent="0.15">
      <c r="A2" s="111" t="s">
        <v>126</v>
      </c>
      <c r="B2" s="111"/>
      <c r="C2" s="111"/>
      <c r="D2" s="111"/>
    </row>
    <row r="3" spans="1:11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50"/>
      <c r="C5" s="49" t="s">
        <v>4</v>
      </c>
      <c r="D5" s="49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22034522</v>
      </c>
      <c r="C9" s="5"/>
      <c r="D9" s="12"/>
      <c r="F9" s="84">
        <v>16254283</v>
      </c>
      <c r="G9" s="84">
        <v>125929</v>
      </c>
      <c r="H9" s="84">
        <v>79230</v>
      </c>
      <c r="I9" s="84">
        <v>236784</v>
      </c>
      <c r="J9" s="84">
        <v>325652</v>
      </c>
      <c r="K9" s="84">
        <v>319672</v>
      </c>
    </row>
    <row r="10" spans="1:11" ht="14.25" x14ac:dyDescent="0.15">
      <c r="A10" s="53" t="s">
        <v>102</v>
      </c>
      <c r="B10" s="73">
        <f>F9+G9+H9+I9+J9+K9</f>
        <v>17341550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</row>
    <row r="11" spans="1:11" ht="14.25" x14ac:dyDescent="0.15">
      <c r="A11" s="54" t="s">
        <v>12</v>
      </c>
      <c r="B11" s="73">
        <f>F11+G11+H11</f>
        <v>1041939</v>
      </c>
      <c r="C11" s="5"/>
      <c r="D11" s="23"/>
      <c r="F11" s="84">
        <v>86640</v>
      </c>
      <c r="G11" s="89">
        <v>938872</v>
      </c>
      <c r="H11" s="84">
        <v>16427</v>
      </c>
    </row>
    <row r="12" spans="1:11" ht="14.25" x14ac:dyDescent="0.15">
      <c r="A12" s="53" t="s">
        <v>45</v>
      </c>
      <c r="B12" s="86">
        <v>1106687</v>
      </c>
      <c r="C12" s="5"/>
      <c r="D12" s="23"/>
    </row>
    <row r="13" spans="1:11" ht="14.25" x14ac:dyDescent="0.15">
      <c r="A13" s="53" t="s">
        <v>125</v>
      </c>
      <c r="B13" s="87">
        <v>1929072</v>
      </c>
      <c r="C13" s="5"/>
      <c r="D13" s="12"/>
    </row>
    <row r="14" spans="1:11" ht="14.25" x14ac:dyDescent="0.15">
      <c r="A14" s="53" t="s">
        <v>46</v>
      </c>
      <c r="B14" s="87">
        <v>615274</v>
      </c>
      <c r="C14" s="5"/>
      <c r="D14" s="12"/>
    </row>
    <row r="15" spans="1:11" ht="14.25" x14ac:dyDescent="0.15">
      <c r="A15" s="55" t="s">
        <v>36</v>
      </c>
      <c r="B15" s="71">
        <f>SUM(B16:B27)</f>
        <v>33677521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f>F16+G16</f>
        <v>6024590</v>
      </c>
      <c r="C16" s="11"/>
      <c r="D16" s="12"/>
      <c r="E16" t="s">
        <v>112</v>
      </c>
      <c r="F16" s="84">
        <v>12320</v>
      </c>
      <c r="G16" s="84">
        <v>6012270</v>
      </c>
      <c r="H16" s="83"/>
    </row>
    <row r="17" spans="1:8" ht="14.25" x14ac:dyDescent="0.15">
      <c r="A17" s="54" t="s">
        <v>15</v>
      </c>
      <c r="B17" s="73">
        <f>F18+G18+H18</f>
        <v>17309210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8" ht="14.25" x14ac:dyDescent="0.15">
      <c r="A18" s="53" t="s">
        <v>58</v>
      </c>
      <c r="B18" s="74">
        <f>F20+G20+H20</f>
        <v>5017840</v>
      </c>
      <c r="C18" s="11"/>
      <c r="D18" s="12"/>
      <c r="E18" t="s">
        <v>115</v>
      </c>
      <c r="F18" s="84">
        <v>15382552</v>
      </c>
      <c r="G18" s="84">
        <v>1225558</v>
      </c>
      <c r="H18" s="84">
        <v>701100</v>
      </c>
    </row>
    <row r="19" spans="1:8" ht="14.25" x14ac:dyDescent="0.15">
      <c r="A19" s="54" t="s">
        <v>16</v>
      </c>
      <c r="B19" s="73">
        <f>F22+G22+H22</f>
        <v>1683020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8" ht="14.25" x14ac:dyDescent="0.15">
      <c r="A20" s="54" t="s">
        <v>67</v>
      </c>
      <c r="B20" s="73">
        <f>F24+G24</f>
        <v>1575754</v>
      </c>
      <c r="C20" s="5"/>
      <c r="D20" s="12"/>
      <c r="E20" t="s">
        <v>119</v>
      </c>
      <c r="F20" s="84">
        <v>4213737</v>
      </c>
      <c r="G20" s="84">
        <v>686503</v>
      </c>
      <c r="H20" s="84">
        <v>117600</v>
      </c>
    </row>
    <row r="21" spans="1:8" ht="14.25" x14ac:dyDescent="0.15">
      <c r="A21" s="54" t="s">
        <v>103</v>
      </c>
      <c r="B21" s="73">
        <f>F26+G26</f>
        <v>368779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8" ht="14.25" x14ac:dyDescent="0.15">
      <c r="A22" s="54" t="s">
        <v>72</v>
      </c>
      <c r="B22" s="85">
        <v>18300</v>
      </c>
      <c r="C22" s="5"/>
      <c r="D22" s="12"/>
      <c r="E22" t="s">
        <v>120</v>
      </c>
      <c r="F22" s="84">
        <v>1472286</v>
      </c>
      <c r="G22" s="84">
        <v>103434</v>
      </c>
      <c r="H22" s="84">
        <v>107300</v>
      </c>
    </row>
    <row r="23" spans="1:8" ht="14.25" x14ac:dyDescent="0.15">
      <c r="A23" s="54" t="s">
        <v>81</v>
      </c>
      <c r="B23" s="73">
        <f>F28+G28+H28</f>
        <v>409228</v>
      </c>
      <c r="C23" s="5"/>
      <c r="D23" s="12"/>
      <c r="F23" s="83" t="s">
        <v>116</v>
      </c>
      <c r="G23" s="83" t="s">
        <v>117</v>
      </c>
      <c r="H23" s="83"/>
    </row>
    <row r="24" spans="1:8" ht="14.25" x14ac:dyDescent="0.15">
      <c r="A24" s="54" t="s">
        <v>82</v>
      </c>
      <c r="B24" s="85">
        <v>120000</v>
      </c>
      <c r="C24" s="5"/>
      <c r="D24" s="12"/>
      <c r="E24" t="s">
        <v>121</v>
      </c>
      <c r="F24" s="84">
        <v>1432570</v>
      </c>
      <c r="G24" s="84">
        <v>143184</v>
      </c>
      <c r="H24" s="83"/>
    </row>
    <row r="25" spans="1:8" ht="14.25" x14ac:dyDescent="0.15">
      <c r="A25" s="54" t="s">
        <v>17</v>
      </c>
      <c r="B25" s="86">
        <v>1122300</v>
      </c>
      <c r="C25" s="5"/>
      <c r="D25" s="12"/>
      <c r="F25" s="83" t="s">
        <v>116</v>
      </c>
      <c r="G25" s="83" t="s">
        <v>117</v>
      </c>
      <c r="H25" s="83"/>
    </row>
    <row r="26" spans="1:8" ht="14.25" x14ac:dyDescent="0.15">
      <c r="A26" s="54" t="s">
        <v>71</v>
      </c>
      <c r="B26" s="87">
        <v>28500</v>
      </c>
      <c r="C26" s="5"/>
      <c r="D26" s="12"/>
      <c r="E26" t="s">
        <v>122</v>
      </c>
      <c r="F26" s="84">
        <v>335246</v>
      </c>
      <c r="G26" s="84">
        <v>33533</v>
      </c>
      <c r="H26" s="83"/>
    </row>
    <row r="27" spans="1:8" ht="14.25" x14ac:dyDescent="0.15">
      <c r="A27" s="54" t="s">
        <v>79</v>
      </c>
      <c r="B27" s="87">
        <v>0</v>
      </c>
      <c r="C27" s="5"/>
      <c r="D27" s="12"/>
      <c r="F27" s="83" t="s">
        <v>116</v>
      </c>
      <c r="G27" s="83" t="s">
        <v>117</v>
      </c>
      <c r="H27" s="83" t="s">
        <v>118</v>
      </c>
    </row>
    <row r="28" spans="1:8" ht="14.25" x14ac:dyDescent="0.15">
      <c r="A28" s="55" t="s">
        <v>37</v>
      </c>
      <c r="B28" s="88">
        <v>674876</v>
      </c>
      <c r="C28" s="15" t="s">
        <v>0</v>
      </c>
      <c r="D28" s="12"/>
      <c r="E28" t="s">
        <v>123</v>
      </c>
      <c r="F28" s="84">
        <v>351156</v>
      </c>
      <c r="G28" s="84">
        <v>23872</v>
      </c>
      <c r="H28" s="84">
        <v>34200</v>
      </c>
    </row>
    <row r="29" spans="1:8" ht="14.25" x14ac:dyDescent="0.15">
      <c r="A29" s="61" t="s">
        <v>96</v>
      </c>
      <c r="B29" s="88">
        <v>52890</v>
      </c>
      <c r="C29" s="15"/>
      <c r="D29" s="12"/>
    </row>
    <row r="30" spans="1:8" ht="14.25" x14ac:dyDescent="0.15">
      <c r="A30" s="61" t="s">
        <v>38</v>
      </c>
      <c r="B30" s="7"/>
      <c r="C30" s="77">
        <f>B8+B9+B15+B28+B29</f>
        <v>56442194</v>
      </c>
      <c r="D30" s="12"/>
    </row>
    <row r="31" spans="1:8" ht="11.25" customHeight="1" x14ac:dyDescent="0.15">
      <c r="A31" s="11"/>
      <c r="B31" s="14"/>
      <c r="C31" s="5"/>
      <c r="D31" s="78" t="s">
        <v>0</v>
      </c>
    </row>
    <row r="32" spans="1:8" ht="14.25" x14ac:dyDescent="0.15">
      <c r="A32" s="55" t="s">
        <v>20</v>
      </c>
      <c r="B32" s="79" t="s">
        <v>0</v>
      </c>
      <c r="C32" s="5"/>
      <c r="D32" s="25"/>
    </row>
    <row r="33" spans="1:4" ht="14.25" x14ac:dyDescent="0.15">
      <c r="A33" s="55" t="s">
        <v>39</v>
      </c>
      <c r="B33" s="88">
        <f>337501+381745+18418593+24773059+4693744</f>
        <v>48604642</v>
      </c>
      <c r="C33" s="5"/>
      <c r="D33" s="12"/>
    </row>
    <row r="34" spans="1:4" ht="14.25" x14ac:dyDescent="0.15">
      <c r="A34" s="55" t="s">
        <v>54</v>
      </c>
      <c r="B34" s="88">
        <f>1+3628+11029+12604+104032+119298+10093+512001+624407+1256808+647435+595861+924036+1225128</f>
        <v>6046361</v>
      </c>
      <c r="C34" s="5"/>
      <c r="D34" s="12"/>
    </row>
    <row r="35" spans="1:4" ht="14.25" x14ac:dyDescent="0.15">
      <c r="A35" s="55" t="s">
        <v>55</v>
      </c>
      <c r="B35" s="88">
        <f>1+492839+1019848</f>
        <v>1512688</v>
      </c>
      <c r="C35" s="5"/>
      <c r="D35" s="12"/>
    </row>
    <row r="36" spans="1:4" ht="14.25" x14ac:dyDescent="0.15">
      <c r="A36" s="55" t="s">
        <v>75</v>
      </c>
      <c r="B36" s="88">
        <v>79785</v>
      </c>
      <c r="C36" s="5"/>
      <c r="D36" s="12"/>
    </row>
    <row r="37" spans="1:4" ht="14.25" x14ac:dyDescent="0.15">
      <c r="A37" s="55" t="s">
        <v>40</v>
      </c>
      <c r="B37" s="88">
        <f>1+1+1+1+1+1+1+896361+1+69461</f>
        <v>965830</v>
      </c>
      <c r="C37" s="5"/>
      <c r="D37" s="12"/>
    </row>
    <row r="38" spans="1:4" ht="14.25" x14ac:dyDescent="0.15">
      <c r="A38" s="55" t="s">
        <v>41</v>
      </c>
      <c r="B38" s="88">
        <v>110600</v>
      </c>
      <c r="C38" s="5"/>
      <c r="D38" s="12"/>
    </row>
    <row r="39" spans="1:4" ht="14.25" x14ac:dyDescent="0.15">
      <c r="A39" s="55" t="s">
        <v>42</v>
      </c>
      <c r="B39" s="88">
        <v>50000</v>
      </c>
      <c r="C39" s="11"/>
      <c r="D39" s="12"/>
    </row>
    <row r="40" spans="1:4" ht="14.25" x14ac:dyDescent="0.15">
      <c r="A40" s="55" t="s">
        <v>66</v>
      </c>
      <c r="B40" s="88">
        <v>128900</v>
      </c>
      <c r="C40" s="76"/>
      <c r="D40" s="12"/>
    </row>
    <row r="41" spans="1:4" ht="14.25" x14ac:dyDescent="0.15">
      <c r="A41" s="61" t="s">
        <v>43</v>
      </c>
      <c r="B41" s="80"/>
      <c r="C41" s="37">
        <f>SUM(B33:B40)</f>
        <v>57498806</v>
      </c>
      <c r="D41" s="12"/>
    </row>
    <row r="42" spans="1:4" ht="8.25" customHeight="1" x14ac:dyDescent="0.15">
      <c r="A42" s="11"/>
      <c r="B42" s="19"/>
      <c r="C42" s="5"/>
      <c r="D42" s="12"/>
    </row>
    <row r="43" spans="1:4" ht="14.25" x14ac:dyDescent="0.15">
      <c r="A43" s="58" t="s">
        <v>23</v>
      </c>
      <c r="B43" s="80"/>
      <c r="C43" s="10"/>
      <c r="D43" s="38">
        <f>C30+C41</f>
        <v>113941000</v>
      </c>
    </row>
    <row r="44" spans="1:4" ht="11.25" customHeight="1" x14ac:dyDescent="0.15">
      <c r="A44" s="9"/>
      <c r="B44" s="62"/>
      <c r="C44" s="62"/>
      <c r="D44" s="62"/>
    </row>
    <row r="45" spans="1:4" ht="14.25" x14ac:dyDescent="0.15">
      <c r="A45" s="60" t="s">
        <v>18</v>
      </c>
      <c r="B45" s="79"/>
      <c r="C45" s="5"/>
      <c r="D45" s="12"/>
    </row>
    <row r="46" spans="1:4" ht="14.25" x14ac:dyDescent="0.15">
      <c r="A46" s="55" t="s">
        <v>21</v>
      </c>
      <c r="B46" s="79"/>
      <c r="C46" s="5"/>
      <c r="D46" s="23"/>
    </row>
    <row r="47" spans="1:4" ht="14.25" x14ac:dyDescent="0.15">
      <c r="A47" s="55" t="s">
        <v>32</v>
      </c>
      <c r="B47" s="88">
        <v>2349150</v>
      </c>
      <c r="C47" s="5"/>
      <c r="D47" s="78"/>
    </row>
    <row r="48" spans="1:4" ht="14.25" x14ac:dyDescent="0.15">
      <c r="A48" s="55" t="s">
        <v>33</v>
      </c>
      <c r="B48" s="71">
        <v>0</v>
      </c>
      <c r="C48" s="5"/>
      <c r="D48" s="12"/>
    </row>
    <row r="49" spans="1:8" ht="6.75" customHeight="1" x14ac:dyDescent="0.15">
      <c r="A49" s="59"/>
      <c r="B49" s="79"/>
      <c r="C49" s="11"/>
      <c r="D49" s="12"/>
    </row>
    <row r="50" spans="1:8" ht="14.25" x14ac:dyDescent="0.15">
      <c r="A50" s="55" t="s">
        <v>31</v>
      </c>
      <c r="B50" s="80"/>
      <c r="C50" s="37">
        <f>B47+B48</f>
        <v>2349150</v>
      </c>
      <c r="D50" s="23"/>
    </row>
    <row r="51" spans="1:8" ht="11.25" customHeight="1" x14ac:dyDescent="0.15">
      <c r="A51" s="3"/>
      <c r="B51" s="14"/>
      <c r="C51" s="34"/>
      <c r="D51" s="25"/>
    </row>
    <row r="52" spans="1:8" ht="14.25" x14ac:dyDescent="0.15">
      <c r="A52" s="55" t="s">
        <v>22</v>
      </c>
      <c r="B52" s="19"/>
      <c r="C52" s="81"/>
      <c r="D52" s="23"/>
    </row>
    <row r="53" spans="1:8" ht="14.25" x14ac:dyDescent="0.15">
      <c r="A53" s="55" t="s">
        <v>30</v>
      </c>
      <c r="B53" s="88">
        <v>7480000</v>
      </c>
      <c r="C53" s="11"/>
      <c r="D53" s="25"/>
    </row>
    <row r="54" spans="1:8" ht="14.25" x14ac:dyDescent="0.15">
      <c r="A54" s="9"/>
      <c r="B54" s="19"/>
      <c r="C54" s="11"/>
      <c r="D54" s="25"/>
      <c r="G54" t="s">
        <v>108</v>
      </c>
    </row>
    <row r="55" spans="1:8" ht="14.25" x14ac:dyDescent="0.15">
      <c r="A55" s="61" t="s">
        <v>29</v>
      </c>
      <c r="B55" s="10"/>
      <c r="C55" s="37">
        <f>B53</f>
        <v>7480000</v>
      </c>
      <c r="D55" s="23"/>
    </row>
    <row r="56" spans="1:8" ht="6.75" customHeight="1" x14ac:dyDescent="0.15">
      <c r="A56" s="3"/>
      <c r="B56" s="19"/>
      <c r="C56" s="11"/>
      <c r="D56" s="23"/>
    </row>
    <row r="57" spans="1:8" ht="14.25" x14ac:dyDescent="0.15">
      <c r="A57" s="58" t="s">
        <v>24</v>
      </c>
      <c r="B57" s="40"/>
      <c r="C57" s="40"/>
      <c r="D57" s="38">
        <f>C50+C55</f>
        <v>9829150</v>
      </c>
    </row>
    <row r="58" spans="1:8" ht="11.25" customHeight="1" x14ac:dyDescent="0.15">
      <c r="A58" s="3"/>
      <c r="B58" s="19"/>
      <c r="C58" s="11"/>
      <c r="D58" s="23"/>
    </row>
    <row r="59" spans="1:8" ht="14.25" x14ac:dyDescent="0.15">
      <c r="A59" s="55" t="s">
        <v>3</v>
      </c>
      <c r="B59" s="30"/>
      <c r="C59" s="35"/>
      <c r="D59" s="31"/>
    </row>
    <row r="60" spans="1:8" ht="15" customHeight="1" x14ac:dyDescent="0.15">
      <c r="A60" s="55" t="s">
        <v>27</v>
      </c>
      <c r="B60" s="10"/>
      <c r="C60" s="39"/>
      <c r="D60" s="39">
        <v>0</v>
      </c>
      <c r="H60" t="s">
        <v>0</v>
      </c>
    </row>
    <row r="61" spans="1:8" ht="15.75" customHeight="1" x14ac:dyDescent="0.15">
      <c r="A61" s="55" t="s">
        <v>28</v>
      </c>
      <c r="B61" s="47"/>
      <c r="C61" s="9"/>
      <c r="D61" s="43">
        <f>D43-D57</f>
        <v>104111850</v>
      </c>
      <c r="F61" s="90" t="s">
        <v>124</v>
      </c>
    </row>
    <row r="62" spans="1:8" ht="15.75" customHeight="1" x14ac:dyDescent="0.15">
      <c r="A62" s="59" t="s">
        <v>11</v>
      </c>
      <c r="B62" s="9"/>
      <c r="D62" s="70">
        <f>D61-'2.3月'!D60</f>
        <v>8902415</v>
      </c>
      <c r="F62" s="92">
        <f>D62-'[1]令和2年度 '!$P$73</f>
        <v>7200475</v>
      </c>
    </row>
    <row r="63" spans="1:8" ht="16.5" customHeight="1" x14ac:dyDescent="0.15">
      <c r="A63" s="55" t="s">
        <v>26</v>
      </c>
      <c r="B63" s="22"/>
      <c r="C63" s="48"/>
      <c r="D63" s="44">
        <f>D61</f>
        <v>104111850</v>
      </c>
      <c r="F63" s="91"/>
    </row>
    <row r="64" spans="1:8" ht="14.25" x14ac:dyDescent="0.15">
      <c r="A64" s="55" t="s">
        <v>25</v>
      </c>
      <c r="B64" s="22"/>
      <c r="C64" s="9"/>
      <c r="D64" s="69">
        <f>D57+D63</f>
        <v>113941000</v>
      </c>
      <c r="F64" s="68"/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DB18E-66E0-43BF-9FBD-39B738F03FB7}">
  <dimension ref="A1:G101"/>
  <sheetViews>
    <sheetView topLeftCell="A45" workbookViewId="0">
      <selection activeCell="A3" sqref="A3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</cols>
  <sheetData>
    <row r="1" spans="1:7" ht="17.25" x14ac:dyDescent="0.2">
      <c r="A1" s="1" t="s">
        <v>61</v>
      </c>
      <c r="B1" s="1"/>
    </row>
    <row r="2" spans="1:7" ht="17.25" customHeight="1" x14ac:dyDescent="0.15">
      <c r="A2" s="111" t="s">
        <v>62</v>
      </c>
      <c r="B2" s="111"/>
      <c r="C2" s="111"/>
      <c r="D2" s="111"/>
    </row>
    <row r="3" spans="1:7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7" ht="15" customHeight="1" x14ac:dyDescent="0.15">
      <c r="C4" s="115" t="s">
        <v>49</v>
      </c>
      <c r="D4" s="115"/>
      <c r="F4" s="46"/>
    </row>
    <row r="5" spans="1:7" ht="17.25" x14ac:dyDescent="0.2">
      <c r="A5" s="56" t="s">
        <v>5</v>
      </c>
      <c r="B5" s="50"/>
      <c r="C5" s="49" t="s">
        <v>4</v>
      </c>
      <c r="D5" s="49"/>
    </row>
    <row r="6" spans="1:7" ht="14.25" x14ac:dyDescent="0.15">
      <c r="A6" s="55" t="s">
        <v>2</v>
      </c>
      <c r="B6" s="24"/>
      <c r="C6" s="4"/>
      <c r="D6" s="28"/>
    </row>
    <row r="7" spans="1:7" ht="14.25" x14ac:dyDescent="0.15">
      <c r="A7" s="55" t="s">
        <v>19</v>
      </c>
      <c r="B7" s="14"/>
      <c r="C7" s="5"/>
      <c r="D7" s="12"/>
    </row>
    <row r="8" spans="1:7" ht="14.25" x14ac:dyDescent="0.15">
      <c r="A8" s="55" t="s">
        <v>34</v>
      </c>
      <c r="B8" s="51">
        <v>2445</v>
      </c>
      <c r="C8" s="5"/>
      <c r="D8" s="12"/>
    </row>
    <row r="9" spans="1:7" ht="14.25" x14ac:dyDescent="0.15">
      <c r="A9" s="55" t="s">
        <v>35</v>
      </c>
      <c r="B9" s="27">
        <f>SUM(B10:B14)</f>
        <v>11242577</v>
      </c>
      <c r="C9" s="5"/>
      <c r="D9" s="12"/>
    </row>
    <row r="10" spans="1:7" ht="14.25" x14ac:dyDescent="0.15">
      <c r="A10" s="53" t="s">
        <v>13</v>
      </c>
      <c r="B10" s="32">
        <f>10353182+2444+6636+271994+239704+112164</f>
        <v>10986124</v>
      </c>
      <c r="C10" s="5"/>
      <c r="D10" s="23"/>
    </row>
    <row r="11" spans="1:7" ht="14.25" x14ac:dyDescent="0.15">
      <c r="A11" s="54" t="s">
        <v>12</v>
      </c>
      <c r="B11" s="67">
        <f>23538+85630+78944</f>
        <v>188112</v>
      </c>
      <c r="C11" s="5"/>
      <c r="D11" s="23"/>
    </row>
    <row r="12" spans="1:7" ht="14.25" x14ac:dyDescent="0.15">
      <c r="A12" s="53" t="s">
        <v>45</v>
      </c>
      <c r="B12" s="32">
        <v>9695</v>
      </c>
      <c r="C12" s="5"/>
      <c r="D12" s="23"/>
    </row>
    <row r="13" spans="1:7" ht="14.25" x14ac:dyDescent="0.15">
      <c r="A13" s="53" t="s">
        <v>44</v>
      </c>
      <c r="B13" s="41">
        <v>53741</v>
      </c>
      <c r="C13" s="5"/>
      <c r="D13" s="12"/>
    </row>
    <row r="14" spans="1:7" ht="14.25" x14ac:dyDescent="0.15">
      <c r="A14" s="53" t="s">
        <v>46</v>
      </c>
      <c r="B14" s="41">
        <v>4905</v>
      </c>
      <c r="C14" s="5"/>
      <c r="D14" s="12"/>
    </row>
    <row r="15" spans="1:7" ht="14.25" x14ac:dyDescent="0.15">
      <c r="A15" s="55" t="s">
        <v>36</v>
      </c>
      <c r="B15" s="27">
        <f>SUM(B16:B21)</f>
        <v>30519401</v>
      </c>
      <c r="C15" s="6"/>
      <c r="D15" s="12"/>
    </row>
    <row r="16" spans="1:7" ht="14.25" x14ac:dyDescent="0.15">
      <c r="A16" s="54" t="s">
        <v>14</v>
      </c>
      <c r="B16" s="32">
        <f>65000+5015000</f>
        <v>5080000</v>
      </c>
      <c r="C16" s="11"/>
      <c r="D16" s="12"/>
    </row>
    <row r="17" spans="1:4" ht="14.25" x14ac:dyDescent="0.15">
      <c r="A17" s="54" t="s">
        <v>15</v>
      </c>
      <c r="B17" s="32">
        <f>14818977+1010572+515000</f>
        <v>16344549</v>
      </c>
      <c r="C17" s="5"/>
      <c r="D17" s="12"/>
    </row>
    <row r="18" spans="1:4" ht="14.25" x14ac:dyDescent="0.15">
      <c r="A18" s="53" t="s">
        <v>58</v>
      </c>
      <c r="B18" s="32">
        <f>4550679+710048+116000</f>
        <v>5376727</v>
      </c>
      <c r="C18" s="11"/>
      <c r="D18" s="12"/>
    </row>
    <row r="19" spans="1:4" ht="14.25" x14ac:dyDescent="0.15">
      <c r="A19" s="54" t="s">
        <v>16</v>
      </c>
      <c r="B19" s="67">
        <f>2125710+168940+120500</f>
        <v>2415150</v>
      </c>
      <c r="C19" s="5"/>
      <c r="D19" s="12"/>
    </row>
    <row r="20" spans="1:4" ht="14.25" x14ac:dyDescent="0.15">
      <c r="A20" s="54" t="s">
        <v>17</v>
      </c>
      <c r="B20" s="32">
        <v>1288475</v>
      </c>
      <c r="C20" s="5"/>
      <c r="D20" s="12"/>
    </row>
    <row r="21" spans="1:4" ht="14.25" x14ac:dyDescent="0.15">
      <c r="A21" s="54" t="s">
        <v>60</v>
      </c>
      <c r="B21" s="41">
        <v>14500</v>
      </c>
      <c r="C21" s="5"/>
      <c r="D21" s="12"/>
    </row>
    <row r="22" spans="1:4" ht="14.25" x14ac:dyDescent="0.15">
      <c r="A22" s="55" t="s">
        <v>37</v>
      </c>
      <c r="B22" s="27">
        <v>359375</v>
      </c>
      <c r="C22" s="15" t="s">
        <v>0</v>
      </c>
      <c r="D22" s="12"/>
    </row>
    <row r="23" spans="1:4" ht="14.25" x14ac:dyDescent="0.15">
      <c r="A23" s="61" t="s">
        <v>38</v>
      </c>
      <c r="B23" s="7"/>
      <c r="C23" s="36">
        <f>B8+B9+B15+B22</f>
        <v>42123798</v>
      </c>
      <c r="D23" s="12"/>
    </row>
    <row r="24" spans="1:4" ht="14.25" x14ac:dyDescent="0.15">
      <c r="A24" s="11"/>
      <c r="B24" s="14"/>
      <c r="C24" s="5"/>
      <c r="D24" s="29" t="s">
        <v>0</v>
      </c>
    </row>
    <row r="25" spans="1:4" ht="14.25" x14ac:dyDescent="0.15">
      <c r="A25" s="55" t="s">
        <v>20</v>
      </c>
      <c r="B25" s="26" t="s">
        <v>0</v>
      </c>
      <c r="C25" s="5"/>
      <c r="D25" s="25"/>
    </row>
    <row r="26" spans="1:4" ht="14.25" x14ac:dyDescent="0.15">
      <c r="A26" s="55" t="s">
        <v>39</v>
      </c>
      <c r="B26" s="27">
        <f>3567000+2023097+28797573+31399931</f>
        <v>65787601</v>
      </c>
      <c r="C26" s="5"/>
      <c r="D26" s="12"/>
    </row>
    <row r="27" spans="1:4" ht="14.25" x14ac:dyDescent="0.15">
      <c r="A27" s="55" t="s">
        <v>54</v>
      </c>
      <c r="B27" s="27">
        <f>291963+117136+114545+149899+352135+403812+81796+2388738+2913169+5376364+2769586</f>
        <v>14959143</v>
      </c>
      <c r="C27" s="5"/>
      <c r="D27" s="12"/>
    </row>
    <row r="28" spans="1:4" ht="14.25" x14ac:dyDescent="0.15">
      <c r="A28" s="55" t="s">
        <v>55</v>
      </c>
      <c r="B28" s="27">
        <f>233800+2108253</f>
        <v>2342053</v>
      </c>
      <c r="C28" s="5"/>
      <c r="D28" s="12"/>
    </row>
    <row r="29" spans="1:4" ht="14.25" x14ac:dyDescent="0.15">
      <c r="A29" s="55" t="s">
        <v>40</v>
      </c>
      <c r="B29" s="27">
        <f>31739+54662+138805+1+1+1</f>
        <v>225209</v>
      </c>
      <c r="C29" s="5"/>
      <c r="D29" s="12"/>
    </row>
    <row r="30" spans="1:4" ht="14.25" x14ac:dyDescent="0.15">
      <c r="A30" s="55" t="s">
        <v>41</v>
      </c>
      <c r="B30" s="27">
        <v>110600</v>
      </c>
      <c r="C30" s="5"/>
      <c r="D30" s="12"/>
    </row>
    <row r="31" spans="1:4" ht="14.25" x14ac:dyDescent="0.15">
      <c r="A31" s="55" t="s">
        <v>42</v>
      </c>
      <c r="B31" s="27">
        <v>350000</v>
      </c>
      <c r="C31" s="11"/>
      <c r="D31" s="12"/>
    </row>
    <row r="32" spans="1:4" ht="14.25" x14ac:dyDescent="0.15">
      <c r="A32" s="57"/>
      <c r="B32" s="26"/>
      <c r="C32" s="6"/>
      <c r="D32" s="12"/>
    </row>
    <row r="33" spans="1:4" ht="14.25" x14ac:dyDescent="0.15">
      <c r="A33" s="61" t="s">
        <v>43</v>
      </c>
      <c r="B33" s="8"/>
      <c r="C33" s="37">
        <f>SUM(B26:B31)</f>
        <v>83774606</v>
      </c>
      <c r="D33" s="12"/>
    </row>
    <row r="34" spans="1:4" ht="14.25" x14ac:dyDescent="0.15">
      <c r="A34" s="11"/>
      <c r="B34" s="19"/>
      <c r="C34" s="5"/>
      <c r="D34" s="12"/>
    </row>
    <row r="35" spans="1:4" ht="14.25" x14ac:dyDescent="0.15">
      <c r="A35" s="58" t="s">
        <v>23</v>
      </c>
      <c r="B35" s="8"/>
      <c r="C35" s="10"/>
      <c r="D35" s="38">
        <f>C23+C33</f>
        <v>125898404</v>
      </c>
    </row>
    <row r="36" spans="1:4" x14ac:dyDescent="0.15">
      <c r="A36" s="9"/>
      <c r="B36" s="62"/>
      <c r="C36" s="62"/>
      <c r="D36" s="62"/>
    </row>
    <row r="37" spans="1:4" ht="14.25" x14ac:dyDescent="0.15">
      <c r="A37" s="60" t="s">
        <v>18</v>
      </c>
      <c r="B37" s="26"/>
      <c r="C37" s="5"/>
      <c r="D37" s="12"/>
    </row>
    <row r="38" spans="1:4" ht="14.25" x14ac:dyDescent="0.15">
      <c r="A38" s="55" t="s">
        <v>21</v>
      </c>
      <c r="B38" s="26"/>
      <c r="C38" s="5"/>
      <c r="D38" s="23"/>
    </row>
    <row r="39" spans="1:4" ht="14.25" x14ac:dyDescent="0.15">
      <c r="A39" s="55" t="s">
        <v>32</v>
      </c>
      <c r="B39" s="27">
        <v>2460278</v>
      </c>
      <c r="C39" s="5"/>
      <c r="D39" s="29"/>
    </row>
    <row r="40" spans="1:4" ht="14.25" x14ac:dyDescent="0.15">
      <c r="A40" s="55" t="s">
        <v>33</v>
      </c>
      <c r="B40" s="27">
        <v>8000000</v>
      </c>
      <c r="C40" s="5"/>
      <c r="D40" s="12"/>
    </row>
    <row r="41" spans="1:4" ht="14.25" x14ac:dyDescent="0.15">
      <c r="A41" s="59"/>
      <c r="B41" s="26"/>
      <c r="C41" s="11"/>
      <c r="D41" s="12"/>
    </row>
    <row r="42" spans="1:4" ht="14.25" x14ac:dyDescent="0.15">
      <c r="A42" s="55" t="s">
        <v>31</v>
      </c>
      <c r="B42" s="8"/>
      <c r="C42" s="37">
        <f>B39+B40</f>
        <v>10460278</v>
      </c>
      <c r="D42" s="23"/>
    </row>
    <row r="43" spans="1:4" ht="14.25" x14ac:dyDescent="0.15">
      <c r="A43" s="3"/>
      <c r="B43" s="14"/>
      <c r="C43" s="34"/>
      <c r="D43" s="25"/>
    </row>
    <row r="44" spans="1:4" ht="14.25" x14ac:dyDescent="0.15">
      <c r="A44" s="55" t="s">
        <v>22</v>
      </c>
      <c r="B44" s="19"/>
      <c r="C44" s="33"/>
      <c r="D44" s="23"/>
    </row>
    <row r="45" spans="1:4" ht="14.25" x14ac:dyDescent="0.15">
      <c r="A45" s="55" t="s">
        <v>30</v>
      </c>
      <c r="B45" s="27">
        <f>21000000+16846000</f>
        <v>37846000</v>
      </c>
      <c r="C45" s="11"/>
      <c r="D45" s="25"/>
    </row>
    <row r="46" spans="1:4" ht="14.25" x14ac:dyDescent="0.15">
      <c r="A46" s="9"/>
      <c r="B46" s="19"/>
      <c r="C46" s="11"/>
      <c r="D46" s="25"/>
    </row>
    <row r="47" spans="1:4" ht="14.25" x14ac:dyDescent="0.15">
      <c r="A47" s="61" t="s">
        <v>29</v>
      </c>
      <c r="B47" s="10"/>
      <c r="C47" s="37">
        <f>B45</f>
        <v>37846000</v>
      </c>
      <c r="D47" s="23"/>
    </row>
    <row r="48" spans="1:4" ht="14.25" x14ac:dyDescent="0.15">
      <c r="A48" s="3"/>
      <c r="B48" s="19"/>
      <c r="C48" s="11"/>
      <c r="D48" s="23"/>
    </row>
    <row r="49" spans="1:4" ht="14.25" x14ac:dyDescent="0.15">
      <c r="A49" s="58" t="s">
        <v>24</v>
      </c>
      <c r="B49" s="40"/>
      <c r="C49" s="40"/>
      <c r="D49" s="38">
        <f>C42+C47</f>
        <v>48306278</v>
      </c>
    </row>
    <row r="50" spans="1:4" ht="14.25" x14ac:dyDescent="0.15">
      <c r="A50" s="3"/>
      <c r="B50" s="19"/>
      <c r="C50" s="11"/>
      <c r="D50" s="23"/>
    </row>
    <row r="51" spans="1:4" ht="14.25" x14ac:dyDescent="0.15">
      <c r="A51" s="55" t="s">
        <v>3</v>
      </c>
      <c r="B51" s="30"/>
      <c r="C51" s="35"/>
      <c r="D51" s="31"/>
    </row>
    <row r="52" spans="1:4" ht="15" customHeight="1" x14ac:dyDescent="0.15">
      <c r="A52" s="55" t="s">
        <v>27</v>
      </c>
      <c r="B52" s="10"/>
      <c r="C52" s="39"/>
      <c r="D52" s="39">
        <v>0</v>
      </c>
    </row>
    <row r="53" spans="1:4" ht="15.75" customHeight="1" x14ac:dyDescent="0.15">
      <c r="A53" s="55" t="s">
        <v>28</v>
      </c>
      <c r="B53" s="47"/>
      <c r="C53" s="9"/>
      <c r="D53" s="43">
        <f>D35-D49</f>
        <v>77592126</v>
      </c>
    </row>
    <row r="54" spans="1:4" ht="15.75" customHeight="1" x14ac:dyDescent="0.15">
      <c r="A54" s="59" t="s">
        <v>11</v>
      </c>
      <c r="B54" s="9"/>
      <c r="D54" s="42">
        <f>D55-'23.3月'!D55</f>
        <v>2104177</v>
      </c>
    </row>
    <row r="55" spans="1:4" ht="16.5" customHeight="1" x14ac:dyDescent="0.15">
      <c r="A55" s="55" t="s">
        <v>26</v>
      </c>
      <c r="B55" s="22"/>
      <c r="C55" s="48"/>
      <c r="D55" s="44">
        <f>D53</f>
        <v>77592126</v>
      </c>
    </row>
    <row r="56" spans="1:4" ht="14.25" x14ac:dyDescent="0.15">
      <c r="A56" s="55" t="s">
        <v>25</v>
      </c>
      <c r="B56" s="16"/>
      <c r="C56" s="10"/>
      <c r="D56" s="38">
        <f>D49+D55</f>
        <v>125898404</v>
      </c>
    </row>
    <row r="57" spans="1:4" ht="9" customHeight="1" x14ac:dyDescent="0.15"/>
    <row r="58" spans="1:4" x14ac:dyDescent="0.15">
      <c r="B58" s="2"/>
      <c r="D58" s="68"/>
    </row>
    <row r="59" spans="1:4" ht="12.75" customHeight="1" x14ac:dyDescent="0.2">
      <c r="A59" s="1"/>
    </row>
    <row r="60" spans="1:4" x14ac:dyDescent="0.15">
      <c r="A60" s="45"/>
      <c r="B60" s="45"/>
      <c r="D60" s="68"/>
    </row>
    <row r="61" spans="1:4" x14ac:dyDescent="0.15">
      <c r="C61" s="52"/>
      <c r="D61" s="45"/>
    </row>
    <row r="63" spans="1:4" x14ac:dyDescent="0.15">
      <c r="C63" s="52"/>
    </row>
    <row r="65" spans="1:4" ht="17.25" x14ac:dyDescent="0.2">
      <c r="A65" s="21"/>
    </row>
    <row r="66" spans="1:4" ht="14.25" x14ac:dyDescent="0.15">
      <c r="A66" s="17"/>
    </row>
    <row r="67" spans="1:4" ht="14.25" x14ac:dyDescent="0.15">
      <c r="A67" s="17"/>
    </row>
    <row r="68" spans="1:4" ht="14.25" x14ac:dyDescent="0.15">
      <c r="A68" s="17"/>
    </row>
    <row r="69" spans="1:4" ht="14.25" x14ac:dyDescent="0.15">
      <c r="A69" s="17"/>
      <c r="B69" s="13"/>
      <c r="C69" s="17"/>
      <c r="D69" s="17"/>
    </row>
    <row r="70" spans="1:4" ht="14.25" x14ac:dyDescent="0.15">
      <c r="A70" s="17"/>
      <c r="B70" s="13"/>
      <c r="C70" s="17"/>
      <c r="D70" s="17"/>
    </row>
    <row r="71" spans="1:4" ht="14.25" x14ac:dyDescent="0.15">
      <c r="A71" s="17"/>
      <c r="B71" s="20"/>
      <c r="C71" s="17"/>
      <c r="D71" s="17"/>
    </row>
    <row r="72" spans="1:4" ht="14.25" x14ac:dyDescent="0.15">
      <c r="A72" s="17"/>
      <c r="B72" s="13"/>
      <c r="C72" s="17"/>
      <c r="D72" s="17"/>
    </row>
    <row r="73" spans="1:4" ht="14.25" x14ac:dyDescent="0.15">
      <c r="A73" s="17"/>
      <c r="B73" s="13"/>
      <c r="C73" s="13"/>
      <c r="D73" s="17"/>
    </row>
    <row r="74" spans="1:4" ht="14.25" x14ac:dyDescent="0.15">
      <c r="B74" s="17"/>
      <c r="C74" s="18"/>
      <c r="D74" s="17"/>
    </row>
    <row r="75" spans="1:4" ht="14.25" x14ac:dyDescent="0.15">
      <c r="A75" s="17"/>
      <c r="B75" s="17"/>
      <c r="C75" s="18"/>
      <c r="D75" s="17"/>
    </row>
    <row r="76" spans="1:4" ht="14.25" x14ac:dyDescent="0.15">
      <c r="C76" s="17"/>
      <c r="D76" s="17"/>
    </row>
    <row r="77" spans="1:4" ht="14.25" x14ac:dyDescent="0.15">
      <c r="A77" s="17"/>
      <c r="C77" s="17"/>
      <c r="D77" s="17"/>
    </row>
    <row r="78" spans="1:4" ht="14.25" x14ac:dyDescent="0.15">
      <c r="A78" s="17"/>
      <c r="B78" s="20"/>
      <c r="C78" s="18"/>
      <c r="D78" s="17"/>
    </row>
    <row r="79" spans="1:4" ht="14.25" x14ac:dyDescent="0.15">
      <c r="A79" s="17"/>
      <c r="B79" s="13"/>
      <c r="D79" s="17"/>
    </row>
    <row r="80" spans="1:4" ht="14.25" x14ac:dyDescent="0.15">
      <c r="B80" s="17"/>
      <c r="C80" s="17"/>
      <c r="D80" s="13"/>
    </row>
    <row r="81" spans="1:4" ht="14.25" x14ac:dyDescent="0.15">
      <c r="A81" s="17"/>
      <c r="B81" s="13"/>
      <c r="C81" s="13"/>
      <c r="D81" s="18"/>
    </row>
    <row r="82" spans="1:4" ht="14.25" x14ac:dyDescent="0.15">
      <c r="B82" s="13"/>
      <c r="C82" s="17"/>
      <c r="D82" s="17"/>
    </row>
    <row r="83" spans="1:4" ht="14.25" x14ac:dyDescent="0.15">
      <c r="A83" s="17"/>
      <c r="B83" s="13"/>
      <c r="C83" s="17"/>
      <c r="D83" s="18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13"/>
      <c r="D86" s="17"/>
    </row>
    <row r="87" spans="1:4" ht="14.25" x14ac:dyDescent="0.15">
      <c r="A87" s="17"/>
      <c r="B87" s="13"/>
      <c r="D87" s="17"/>
    </row>
    <row r="88" spans="1:4" ht="14.25" x14ac:dyDescent="0.15">
      <c r="A88" s="17"/>
      <c r="B88" s="13"/>
      <c r="C88" s="17"/>
      <c r="D88" s="17"/>
    </row>
    <row r="89" spans="1:4" ht="14.25" x14ac:dyDescent="0.15">
      <c r="A89" s="17"/>
      <c r="C89" s="13"/>
      <c r="D89" s="17"/>
    </row>
    <row r="90" spans="1:4" ht="14.25" x14ac:dyDescent="0.15">
      <c r="A90" s="17"/>
      <c r="B90" s="13"/>
      <c r="D90" s="17"/>
    </row>
    <row r="91" spans="1:4" ht="14.25" x14ac:dyDescent="0.15">
      <c r="A91" s="17"/>
      <c r="B91" s="13"/>
      <c r="C91" s="17"/>
      <c r="D91" s="17"/>
    </row>
    <row r="92" spans="1:4" ht="14.25" x14ac:dyDescent="0.15">
      <c r="A92" s="17"/>
      <c r="B92" s="13"/>
      <c r="C92" s="17"/>
    </row>
    <row r="93" spans="1:4" ht="14.25" x14ac:dyDescent="0.15">
      <c r="A93" s="17"/>
      <c r="B93" s="13"/>
      <c r="C93" s="17"/>
    </row>
    <row r="94" spans="1:4" ht="14.25" x14ac:dyDescent="0.15">
      <c r="A94" s="17"/>
      <c r="B94" s="13"/>
      <c r="C94" s="17"/>
      <c r="D94" s="17"/>
    </row>
    <row r="95" spans="1:4" ht="14.25" x14ac:dyDescent="0.15">
      <c r="A95" s="17"/>
      <c r="B95" s="13"/>
      <c r="D95" s="13"/>
    </row>
    <row r="96" spans="1:4" ht="14.25" x14ac:dyDescent="0.15">
      <c r="A96" s="17"/>
      <c r="B96" s="13"/>
      <c r="C96" s="17"/>
    </row>
    <row r="97" spans="1:4" ht="14.25" x14ac:dyDescent="0.15">
      <c r="A97" s="17"/>
      <c r="B97" s="17"/>
      <c r="D97" s="18"/>
    </row>
    <row r="98" spans="1:4" ht="14.25" x14ac:dyDescent="0.15">
      <c r="A98" s="17"/>
    </row>
    <row r="99" spans="1:4" ht="14.25" x14ac:dyDescent="0.15">
      <c r="A99" s="17" t="s">
        <v>0</v>
      </c>
      <c r="C99" s="18" t="s">
        <v>0</v>
      </c>
      <c r="D99" s="18" t="s">
        <v>0</v>
      </c>
    </row>
    <row r="100" spans="1:4" x14ac:dyDescent="0.15">
      <c r="A100" t="s">
        <v>0</v>
      </c>
    </row>
    <row r="101" spans="1:4" ht="14.25" x14ac:dyDescent="0.15">
      <c r="A101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78740157480314965" bottom="0.39370078740157483" header="0.51181102362204722" footer="0.51181102362204722"/>
  <pageSetup paperSize="9" orientation="portrait" horizontalDpi="4294967293" verticalDpi="4294967293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D8C41-1FF7-488E-ABF7-B093FD02DA88}">
  <dimension ref="A1:K108"/>
  <sheetViews>
    <sheetView zoomScaleNormal="100" workbookViewId="0">
      <selection activeCell="A2" sqref="A2:D2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11" width="9.25" bestFit="1" customWidth="1"/>
  </cols>
  <sheetData>
    <row r="1" spans="1:11" ht="17.25" x14ac:dyDescent="0.2">
      <c r="A1" s="1" t="s">
        <v>153</v>
      </c>
      <c r="B1" s="1"/>
    </row>
    <row r="2" spans="1:11" ht="17.25" customHeight="1" x14ac:dyDescent="0.15">
      <c r="A2" s="111" t="s">
        <v>127</v>
      </c>
      <c r="B2" s="111"/>
      <c r="C2" s="111"/>
      <c r="D2" s="111"/>
    </row>
    <row r="3" spans="1:11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50"/>
      <c r="C5" s="49" t="s">
        <v>4</v>
      </c>
      <c r="D5" s="49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14802344</v>
      </c>
      <c r="C9" s="5"/>
      <c r="D9" s="12"/>
      <c r="F9" s="84">
        <v>12668097</v>
      </c>
      <c r="G9" s="84">
        <v>39987</v>
      </c>
      <c r="H9" s="84">
        <v>3381</v>
      </c>
      <c r="I9" s="84">
        <v>259476</v>
      </c>
      <c r="J9" s="84">
        <v>301506</v>
      </c>
      <c r="K9" s="84">
        <v>112545</v>
      </c>
    </row>
    <row r="10" spans="1:11" ht="14.25" x14ac:dyDescent="0.15">
      <c r="A10" s="53" t="s">
        <v>102</v>
      </c>
      <c r="B10" s="73">
        <f>F9+G9+H9+I9+J9+K9</f>
        <v>13384992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</row>
    <row r="11" spans="1:11" ht="14.25" x14ac:dyDescent="0.15">
      <c r="A11" s="54" t="s">
        <v>12</v>
      </c>
      <c r="B11" s="73">
        <f>F11+G11+H11</f>
        <v>738222</v>
      </c>
      <c r="C11" s="5"/>
      <c r="D11" s="23"/>
      <c r="F11" s="84">
        <v>123040</v>
      </c>
      <c r="G11" s="89">
        <v>585207</v>
      </c>
      <c r="H11" s="84">
        <v>29975</v>
      </c>
    </row>
    <row r="12" spans="1:11" ht="14.25" x14ac:dyDescent="0.15">
      <c r="A12" s="53" t="s">
        <v>128</v>
      </c>
      <c r="B12" s="86">
        <v>510434</v>
      </c>
      <c r="C12" s="5"/>
      <c r="D12" s="23"/>
    </row>
    <row r="13" spans="1:11" ht="14.25" x14ac:dyDescent="0.15">
      <c r="A13" s="53" t="s">
        <v>129</v>
      </c>
      <c r="B13" s="87">
        <v>162354</v>
      </c>
      <c r="C13" s="5"/>
      <c r="D13" s="12"/>
    </row>
    <row r="14" spans="1:11" ht="14.25" x14ac:dyDescent="0.15">
      <c r="A14" s="53" t="s">
        <v>130</v>
      </c>
      <c r="B14" s="87">
        <v>6342</v>
      </c>
      <c r="C14" s="5"/>
      <c r="D14" s="12"/>
    </row>
    <row r="15" spans="1:11" ht="14.25" x14ac:dyDescent="0.15">
      <c r="A15" s="55" t="s">
        <v>36</v>
      </c>
      <c r="B15" s="71">
        <f>SUM(B16:B27)</f>
        <v>32634088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f>F16+G16</f>
        <v>5822600</v>
      </c>
      <c r="C16" s="11"/>
      <c r="D16" s="12"/>
      <c r="E16" t="s">
        <v>112</v>
      </c>
      <c r="F16" s="84">
        <v>12320</v>
      </c>
      <c r="G16" s="84">
        <v>5810280</v>
      </c>
      <c r="H16" s="83"/>
    </row>
    <row r="17" spans="1:11" ht="14.25" x14ac:dyDescent="0.15">
      <c r="A17" s="54" t="s">
        <v>15</v>
      </c>
      <c r="B17" s="73">
        <f>F18+G18+H18</f>
        <v>17057547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f>F20+G20+H20</f>
        <v>4539934</v>
      </c>
      <c r="C18" s="11"/>
      <c r="D18" s="12"/>
      <c r="E18" t="s">
        <v>115</v>
      </c>
      <c r="F18" s="84">
        <v>15206079</v>
      </c>
      <c r="G18" s="84">
        <v>1150868</v>
      </c>
      <c r="H18" s="84">
        <v>700600</v>
      </c>
    </row>
    <row r="19" spans="1:11" ht="14.25" x14ac:dyDescent="0.15">
      <c r="A19" s="54" t="s">
        <v>16</v>
      </c>
      <c r="B19" s="73">
        <f>F22+G22+H22</f>
        <v>1709862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f>F24+G24</f>
        <v>1515638</v>
      </c>
      <c r="C20" s="5"/>
      <c r="D20" s="12"/>
      <c r="E20" t="s">
        <v>119</v>
      </c>
      <c r="F20" s="84">
        <v>3849723</v>
      </c>
      <c r="G20" s="84">
        <v>590011</v>
      </c>
      <c r="H20" s="84">
        <v>100200</v>
      </c>
    </row>
    <row r="21" spans="1:11" ht="14.25" x14ac:dyDescent="0.15">
      <c r="A21" s="54" t="s">
        <v>103</v>
      </c>
      <c r="B21" s="73">
        <f>F26+G26</f>
        <v>351999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72</v>
      </c>
      <c r="B22" s="85">
        <v>13900</v>
      </c>
      <c r="C22" s="5"/>
      <c r="D22" s="12"/>
      <c r="E22" t="s">
        <v>120</v>
      </c>
      <c r="F22" s="84">
        <v>1511877</v>
      </c>
      <c r="G22" s="84">
        <v>102685</v>
      </c>
      <c r="H22" s="84">
        <v>95300</v>
      </c>
    </row>
    <row r="23" spans="1:11" ht="14.25" x14ac:dyDescent="0.15">
      <c r="A23" s="54" t="s">
        <v>81</v>
      </c>
      <c r="B23" s="73">
        <f>F28+G28+H28</f>
        <v>397608</v>
      </c>
      <c r="C23" s="5"/>
      <c r="D23" s="12"/>
      <c r="F23" s="83" t="s">
        <v>116</v>
      </c>
      <c r="G23" s="83" t="s">
        <v>117</v>
      </c>
      <c r="H23" s="83"/>
    </row>
    <row r="24" spans="1:11" ht="14.25" x14ac:dyDescent="0.15">
      <c r="A24" s="54" t="s">
        <v>82</v>
      </c>
      <c r="B24" s="85">
        <v>104400</v>
      </c>
      <c r="C24" s="5"/>
      <c r="D24" s="12"/>
      <c r="E24" t="s">
        <v>121</v>
      </c>
      <c r="F24" s="84">
        <v>1386648</v>
      </c>
      <c r="G24" s="84">
        <v>128990</v>
      </c>
      <c r="H24" s="83"/>
    </row>
    <row r="25" spans="1:11" ht="14.25" x14ac:dyDescent="0.15">
      <c r="A25" s="54" t="s">
        <v>17</v>
      </c>
      <c r="B25" s="86">
        <v>1114600</v>
      </c>
      <c r="C25" s="5"/>
      <c r="D25" s="12"/>
      <c r="F25" s="83" t="s">
        <v>116</v>
      </c>
      <c r="G25" s="83" t="s">
        <v>117</v>
      </c>
      <c r="H25" s="83"/>
      <c r="K25" t="s">
        <v>108</v>
      </c>
    </row>
    <row r="26" spans="1:11" ht="14.25" x14ac:dyDescent="0.15">
      <c r="A26" s="54" t="s">
        <v>71</v>
      </c>
      <c r="B26" s="87">
        <v>6000</v>
      </c>
      <c r="C26" s="5"/>
      <c r="D26" s="12"/>
      <c r="E26" t="s">
        <v>122</v>
      </c>
      <c r="F26" s="84">
        <v>322274</v>
      </c>
      <c r="G26" s="84">
        <v>29725</v>
      </c>
      <c r="H26" s="83"/>
    </row>
    <row r="27" spans="1:11" ht="14.25" x14ac:dyDescent="0.15">
      <c r="A27" s="54" t="s">
        <v>79</v>
      </c>
      <c r="B27" s="87">
        <v>0</v>
      </c>
      <c r="C27" s="5"/>
      <c r="D27" s="12"/>
      <c r="F27" s="83" t="s">
        <v>131</v>
      </c>
      <c r="G27" s="83" t="s">
        <v>117</v>
      </c>
      <c r="H27" s="83" t="s">
        <v>118</v>
      </c>
    </row>
    <row r="28" spans="1:11" ht="14.25" x14ac:dyDescent="0.15">
      <c r="A28" s="55" t="s">
        <v>37</v>
      </c>
      <c r="B28" s="88">
        <v>725876</v>
      </c>
      <c r="C28" s="15" t="s">
        <v>0</v>
      </c>
      <c r="D28" s="12"/>
      <c r="E28" t="s">
        <v>123</v>
      </c>
      <c r="F28" s="84">
        <v>351156</v>
      </c>
      <c r="G28" s="84">
        <v>22452</v>
      </c>
      <c r="H28" s="84">
        <v>24000</v>
      </c>
    </row>
    <row r="29" spans="1:11" ht="14.25" x14ac:dyDescent="0.15">
      <c r="A29" s="61" t="s">
        <v>96</v>
      </c>
      <c r="B29" s="88">
        <v>52890</v>
      </c>
      <c r="C29" s="15"/>
      <c r="D29" s="12"/>
    </row>
    <row r="30" spans="1:11" ht="14.25" x14ac:dyDescent="0.15">
      <c r="A30" s="61" t="s">
        <v>38</v>
      </c>
      <c r="B30" s="7"/>
      <c r="C30" s="77">
        <f>B8+B9+B15+B28+B29</f>
        <v>48217583</v>
      </c>
      <c r="D30" s="12"/>
    </row>
    <row r="31" spans="1:11" ht="11.25" customHeight="1" x14ac:dyDescent="0.15">
      <c r="A31" s="11"/>
      <c r="B31" s="14"/>
      <c r="C31" s="5"/>
      <c r="D31" s="78" t="s">
        <v>0</v>
      </c>
    </row>
    <row r="32" spans="1:11" ht="14.25" x14ac:dyDescent="0.15">
      <c r="A32" s="55" t="s">
        <v>20</v>
      </c>
      <c r="B32" s="79" t="s">
        <v>0</v>
      </c>
      <c r="C32" s="5"/>
      <c r="D32" s="25"/>
    </row>
    <row r="33" spans="1:4" ht="14.25" x14ac:dyDescent="0.15">
      <c r="A33" s="55" t="s">
        <v>39</v>
      </c>
      <c r="B33" s="88">
        <f>337501+381745+18418593+24773059+4693744</f>
        <v>48604642</v>
      </c>
      <c r="C33" s="5"/>
      <c r="D33" s="12"/>
    </row>
    <row r="34" spans="1:4" ht="14.25" x14ac:dyDescent="0.15">
      <c r="A34" s="55" t="s">
        <v>54</v>
      </c>
      <c r="B34" s="88">
        <f>1+3628+11029+12604+104032+119298+10093+512001+624407+1256808+647435+595861+924036+1225128</f>
        <v>6046361</v>
      </c>
      <c r="C34" s="5"/>
      <c r="D34" s="12"/>
    </row>
    <row r="35" spans="1:4" ht="14.25" x14ac:dyDescent="0.15">
      <c r="A35" s="55" t="s">
        <v>55</v>
      </c>
      <c r="B35" s="88">
        <f>1+492839+1019848</f>
        <v>1512688</v>
      </c>
      <c r="C35" s="5"/>
      <c r="D35" s="12"/>
    </row>
    <row r="36" spans="1:4" ht="14.25" x14ac:dyDescent="0.15">
      <c r="A36" s="55" t="s">
        <v>75</v>
      </c>
      <c r="B36" s="88">
        <v>79785</v>
      </c>
      <c r="C36" s="5"/>
      <c r="D36" s="12"/>
    </row>
    <row r="37" spans="1:4" ht="14.25" x14ac:dyDescent="0.15">
      <c r="A37" s="55" t="s">
        <v>40</v>
      </c>
      <c r="B37" s="88">
        <f>1+1+1+1+1+1+1+896361+1+69461</f>
        <v>965830</v>
      </c>
      <c r="C37" s="5"/>
      <c r="D37" s="12"/>
    </row>
    <row r="38" spans="1:4" ht="14.25" x14ac:dyDescent="0.15">
      <c r="A38" s="55" t="s">
        <v>41</v>
      </c>
      <c r="B38" s="88">
        <v>110600</v>
      </c>
      <c r="C38" s="5"/>
      <c r="D38" s="12"/>
    </row>
    <row r="39" spans="1:4" ht="14.25" x14ac:dyDescent="0.15">
      <c r="A39" s="55" t="s">
        <v>42</v>
      </c>
      <c r="B39" s="88">
        <v>50000</v>
      </c>
      <c r="C39" s="11"/>
      <c r="D39" s="12"/>
    </row>
    <row r="40" spans="1:4" ht="14.25" x14ac:dyDescent="0.15">
      <c r="A40" s="55" t="s">
        <v>66</v>
      </c>
      <c r="B40" s="88">
        <v>128900</v>
      </c>
      <c r="C40" s="76"/>
      <c r="D40" s="12"/>
    </row>
    <row r="41" spans="1:4" ht="14.25" x14ac:dyDescent="0.15">
      <c r="A41" s="61" t="s">
        <v>43</v>
      </c>
      <c r="B41" s="80"/>
      <c r="C41" s="37">
        <f>SUM(B33:B40)</f>
        <v>57498806</v>
      </c>
      <c r="D41" s="12"/>
    </row>
    <row r="42" spans="1:4" ht="8.25" customHeight="1" x14ac:dyDescent="0.15">
      <c r="A42" s="11"/>
      <c r="B42" s="19"/>
      <c r="C42" s="5"/>
      <c r="D42" s="12"/>
    </row>
    <row r="43" spans="1:4" ht="14.25" x14ac:dyDescent="0.15">
      <c r="A43" s="58" t="s">
        <v>23</v>
      </c>
      <c r="B43" s="80"/>
      <c r="C43" s="10"/>
      <c r="D43" s="38">
        <f>C30+C41</f>
        <v>105716389</v>
      </c>
    </row>
    <row r="44" spans="1:4" ht="11.25" customHeight="1" x14ac:dyDescent="0.15">
      <c r="A44" s="9"/>
      <c r="B44" s="62"/>
      <c r="C44" s="62"/>
      <c r="D44" s="62"/>
    </row>
    <row r="45" spans="1:4" ht="14.25" x14ac:dyDescent="0.15">
      <c r="A45" s="60" t="s">
        <v>18</v>
      </c>
      <c r="B45" s="79"/>
      <c r="C45" s="5"/>
      <c r="D45" s="12"/>
    </row>
    <row r="46" spans="1:4" ht="14.25" x14ac:dyDescent="0.15">
      <c r="A46" s="55" t="s">
        <v>21</v>
      </c>
      <c r="B46" s="79"/>
      <c r="C46" s="5"/>
      <c r="D46" s="23"/>
    </row>
    <row r="47" spans="1:4" ht="14.25" x14ac:dyDescent="0.15">
      <c r="A47" s="55" t="s">
        <v>32</v>
      </c>
      <c r="B47" s="88">
        <v>1605014</v>
      </c>
      <c r="C47" s="5"/>
      <c r="D47" s="78"/>
    </row>
    <row r="48" spans="1:4" ht="14.25" x14ac:dyDescent="0.15">
      <c r="A48" s="55" t="s">
        <v>33</v>
      </c>
      <c r="B48" s="71">
        <v>0</v>
      </c>
      <c r="C48" s="5"/>
      <c r="D48" s="12"/>
    </row>
    <row r="49" spans="1:8" ht="6.75" customHeight="1" x14ac:dyDescent="0.15">
      <c r="A49" s="59"/>
      <c r="B49" s="79"/>
      <c r="C49" s="11"/>
      <c r="D49" s="12"/>
    </row>
    <row r="50" spans="1:8" ht="14.25" x14ac:dyDescent="0.15">
      <c r="A50" s="55" t="s">
        <v>31</v>
      </c>
      <c r="B50" s="80"/>
      <c r="C50" s="37">
        <f>B47+B48</f>
        <v>1605014</v>
      </c>
      <c r="D50" s="23"/>
    </row>
    <row r="51" spans="1:8" ht="11.25" customHeight="1" x14ac:dyDescent="0.15">
      <c r="A51" s="3"/>
      <c r="B51" s="14"/>
      <c r="C51" s="34"/>
      <c r="D51" s="25"/>
    </row>
    <row r="52" spans="1:8" ht="14.25" x14ac:dyDescent="0.15">
      <c r="A52" s="55" t="s">
        <v>22</v>
      </c>
      <c r="B52" s="19"/>
      <c r="C52" s="81"/>
      <c r="D52" s="23"/>
    </row>
    <row r="53" spans="1:8" ht="14.25" x14ac:dyDescent="0.15">
      <c r="A53" s="55" t="s">
        <v>30</v>
      </c>
      <c r="B53" s="88">
        <v>7200000</v>
      </c>
      <c r="C53" s="11"/>
      <c r="D53" s="25"/>
    </row>
    <row r="54" spans="1:8" ht="14.25" x14ac:dyDescent="0.15">
      <c r="A54" s="9"/>
      <c r="B54" s="19"/>
      <c r="C54" s="11"/>
      <c r="D54" s="25"/>
      <c r="G54" t="s">
        <v>108</v>
      </c>
    </row>
    <row r="55" spans="1:8" ht="14.25" x14ac:dyDescent="0.15">
      <c r="A55" s="61" t="s">
        <v>29</v>
      </c>
      <c r="B55" s="10"/>
      <c r="C55" s="37">
        <f>B53</f>
        <v>7200000</v>
      </c>
      <c r="D55" s="23"/>
    </row>
    <row r="56" spans="1:8" ht="6.75" customHeight="1" x14ac:dyDescent="0.15">
      <c r="A56" s="3"/>
      <c r="B56" s="19"/>
      <c r="C56" s="11"/>
      <c r="D56" s="23"/>
    </row>
    <row r="57" spans="1:8" ht="14.25" x14ac:dyDescent="0.15">
      <c r="A57" s="58" t="s">
        <v>24</v>
      </c>
      <c r="B57" s="40"/>
      <c r="C57" s="40"/>
      <c r="D57" s="38">
        <f>C50+C55</f>
        <v>8805014</v>
      </c>
    </row>
    <row r="58" spans="1:8" ht="11.25" customHeight="1" x14ac:dyDescent="0.15">
      <c r="A58" s="3"/>
      <c r="B58" s="19"/>
      <c r="C58" s="11"/>
      <c r="D58" s="23"/>
    </row>
    <row r="59" spans="1:8" ht="14.25" x14ac:dyDescent="0.15">
      <c r="A59" s="55" t="s">
        <v>3</v>
      </c>
      <c r="B59" s="30"/>
      <c r="C59" s="35"/>
      <c r="D59" s="31"/>
    </row>
    <row r="60" spans="1:8" ht="15" customHeight="1" x14ac:dyDescent="0.15">
      <c r="A60" s="55" t="s">
        <v>27</v>
      </c>
      <c r="B60" s="10"/>
      <c r="C60" s="39"/>
      <c r="D60" s="39">
        <v>0</v>
      </c>
      <c r="H60" t="s">
        <v>0</v>
      </c>
    </row>
    <row r="61" spans="1:8" ht="15.75" customHeight="1" x14ac:dyDescent="0.15">
      <c r="A61" s="55" t="s">
        <v>28</v>
      </c>
      <c r="B61" s="47"/>
      <c r="C61" s="9"/>
      <c r="D61" s="43">
        <f>D43-D57</f>
        <v>96911375</v>
      </c>
      <c r="F61" s="90" t="s">
        <v>124</v>
      </c>
    </row>
    <row r="62" spans="1:8" ht="15.75" customHeight="1" x14ac:dyDescent="0.15">
      <c r="A62" s="59" t="s">
        <v>11</v>
      </c>
      <c r="B62" s="9"/>
      <c r="D62" s="70">
        <f>D61-'2.3月'!D60</f>
        <v>1701940</v>
      </c>
      <c r="F62" s="92">
        <f>D62-'[1]令和2年度 '!$P$73</f>
        <v>0</v>
      </c>
    </row>
    <row r="63" spans="1:8" ht="16.5" customHeight="1" x14ac:dyDescent="0.15">
      <c r="A63" s="55" t="s">
        <v>26</v>
      </c>
      <c r="B63" s="22"/>
      <c r="C63" s="48"/>
      <c r="D63" s="44">
        <f>D61</f>
        <v>96911375</v>
      </c>
      <c r="F63" s="91"/>
    </row>
    <row r="64" spans="1:8" ht="14.25" x14ac:dyDescent="0.15">
      <c r="A64" s="55" t="s">
        <v>25</v>
      </c>
      <c r="B64" s="22"/>
      <c r="C64" s="9"/>
      <c r="D64" s="69">
        <f>D57+D63</f>
        <v>105716389</v>
      </c>
      <c r="F64" s="68"/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012A1-C067-458A-8619-1DCD53EEAA24}">
  <dimension ref="A1:K108"/>
  <sheetViews>
    <sheetView zoomScaleNormal="100" workbookViewId="0">
      <selection activeCell="A2" sqref="A2:D2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8" width="9.25" bestFit="1" customWidth="1"/>
    <col min="9" max="9" width="9.25" customWidth="1"/>
    <col min="10" max="11" width="9.25" bestFit="1" customWidth="1"/>
  </cols>
  <sheetData>
    <row r="1" spans="1:11" ht="17.25" x14ac:dyDescent="0.2">
      <c r="A1" s="1" t="s">
        <v>153</v>
      </c>
      <c r="B1" s="1"/>
    </row>
    <row r="2" spans="1:11" ht="17.25" customHeight="1" x14ac:dyDescent="0.15">
      <c r="A2" s="111" t="s">
        <v>132</v>
      </c>
      <c r="B2" s="111"/>
      <c r="C2" s="111"/>
      <c r="D2" s="111"/>
    </row>
    <row r="3" spans="1:11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50"/>
      <c r="C5" s="49" t="s">
        <v>4</v>
      </c>
      <c r="D5" s="49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18409994</v>
      </c>
      <c r="C9" s="5"/>
      <c r="D9" s="12"/>
      <c r="F9" s="84">
        <v>14230987</v>
      </c>
      <c r="G9" s="84">
        <v>71575</v>
      </c>
      <c r="H9" s="84">
        <v>62724</v>
      </c>
      <c r="I9" s="84">
        <v>285197</v>
      </c>
      <c r="J9" s="84">
        <v>342942</v>
      </c>
      <c r="K9" s="84">
        <v>215245</v>
      </c>
    </row>
    <row r="10" spans="1:11" ht="14.25" x14ac:dyDescent="0.15">
      <c r="A10" s="53" t="s">
        <v>102</v>
      </c>
      <c r="B10" s="73">
        <f>F9+G9+H9+I9+J9+K9</f>
        <v>15208670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</row>
    <row r="11" spans="1:11" ht="14.25" x14ac:dyDescent="0.15">
      <c r="A11" s="54" t="s">
        <v>12</v>
      </c>
      <c r="B11" s="73">
        <f>F11+G11+H11</f>
        <v>982518</v>
      </c>
      <c r="C11" s="5"/>
      <c r="D11" s="23"/>
      <c r="F11" s="84">
        <v>146000</v>
      </c>
      <c r="G11" s="89">
        <v>800369</v>
      </c>
      <c r="H11" s="84">
        <v>36149</v>
      </c>
    </row>
    <row r="12" spans="1:11" ht="14.25" x14ac:dyDescent="0.15">
      <c r="A12" s="53" t="s">
        <v>128</v>
      </c>
      <c r="B12" s="86">
        <v>1354991</v>
      </c>
      <c r="C12" s="5"/>
      <c r="D12" s="23"/>
    </row>
    <row r="13" spans="1:11" ht="14.25" x14ac:dyDescent="0.15">
      <c r="A13" s="53" t="s">
        <v>129</v>
      </c>
      <c r="B13" s="87">
        <v>750112</v>
      </c>
      <c r="C13" s="5"/>
      <c r="D13" s="12"/>
    </row>
    <row r="14" spans="1:11" ht="14.25" x14ac:dyDescent="0.15">
      <c r="A14" s="53" t="s">
        <v>130</v>
      </c>
      <c r="B14" s="87">
        <v>113703</v>
      </c>
      <c r="C14" s="5"/>
      <c r="D14" s="12"/>
    </row>
    <row r="15" spans="1:11" ht="14.25" x14ac:dyDescent="0.15">
      <c r="A15" s="55" t="s">
        <v>36</v>
      </c>
      <c r="B15" s="71">
        <f>SUM(B16:B27)</f>
        <v>30070910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f>F16+G16</f>
        <v>5603580</v>
      </c>
      <c r="C16" s="11"/>
      <c r="D16" s="12"/>
      <c r="E16" t="s">
        <v>112</v>
      </c>
      <c r="F16" s="84">
        <v>30800</v>
      </c>
      <c r="G16" s="84">
        <v>5572780</v>
      </c>
      <c r="H16" s="83"/>
    </row>
    <row r="17" spans="1:11" ht="14.25" x14ac:dyDescent="0.15">
      <c r="A17" s="54" t="s">
        <v>15</v>
      </c>
      <c r="B17" s="73">
        <f>F18+G18+H18</f>
        <v>15218608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f>F20+G20+H20</f>
        <v>4023168</v>
      </c>
      <c r="C18" s="11"/>
      <c r="D18" s="12"/>
      <c r="E18" t="s">
        <v>115</v>
      </c>
      <c r="F18" s="84">
        <v>13766821</v>
      </c>
      <c r="G18" s="84">
        <v>875687</v>
      </c>
      <c r="H18" s="84">
        <v>576100</v>
      </c>
    </row>
    <row r="19" spans="1:11" ht="14.25" x14ac:dyDescent="0.15">
      <c r="A19" s="54" t="s">
        <v>16</v>
      </c>
      <c r="B19" s="73">
        <f>F22+G22+H22</f>
        <v>1765641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f>F24+G24</f>
        <v>1364333</v>
      </c>
      <c r="C20" s="5"/>
      <c r="D20" s="12"/>
      <c r="E20" t="s">
        <v>119</v>
      </c>
      <c r="F20" s="84">
        <v>3396195</v>
      </c>
      <c r="G20" s="84">
        <v>535173</v>
      </c>
      <c r="H20" s="84">
        <v>91800</v>
      </c>
    </row>
    <row r="21" spans="1:11" ht="14.25" x14ac:dyDescent="0.15">
      <c r="A21" s="54" t="s">
        <v>103</v>
      </c>
      <c r="B21" s="73">
        <f>F26+G26</f>
        <v>316242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72</v>
      </c>
      <c r="B22" s="85">
        <v>19000</v>
      </c>
      <c r="C22" s="5"/>
      <c r="D22" s="12"/>
      <c r="E22" t="s">
        <v>120</v>
      </c>
      <c r="F22" s="84">
        <v>1557501</v>
      </c>
      <c r="G22" s="84">
        <v>104440</v>
      </c>
      <c r="H22" s="84">
        <v>103700</v>
      </c>
    </row>
    <row r="23" spans="1:11" ht="14.25" x14ac:dyDescent="0.15">
      <c r="A23" s="54" t="s">
        <v>81</v>
      </c>
      <c r="B23" s="73">
        <f>F28+G28+H28</f>
        <v>398488</v>
      </c>
      <c r="C23" s="5"/>
      <c r="D23" s="12"/>
      <c r="F23" s="83" t="s">
        <v>131</v>
      </c>
      <c r="G23" s="83" t="s">
        <v>117</v>
      </c>
      <c r="H23" s="83"/>
    </row>
    <row r="24" spans="1:11" ht="14.25" x14ac:dyDescent="0.15">
      <c r="A24" s="54" t="s">
        <v>82</v>
      </c>
      <c r="B24" s="85">
        <v>94200</v>
      </c>
      <c r="C24" s="5"/>
      <c r="D24" s="12"/>
      <c r="E24" t="s">
        <v>121</v>
      </c>
      <c r="F24" s="84">
        <v>1257285</v>
      </c>
      <c r="G24" s="84">
        <v>107048</v>
      </c>
      <c r="H24" s="83"/>
    </row>
    <row r="25" spans="1:11" ht="14.25" x14ac:dyDescent="0.15">
      <c r="A25" s="54" t="s">
        <v>17</v>
      </c>
      <c r="B25" s="86">
        <v>1243150</v>
      </c>
      <c r="C25" s="5"/>
      <c r="D25" s="12"/>
      <c r="F25" s="83" t="s">
        <v>116</v>
      </c>
      <c r="G25" s="83" t="s">
        <v>117</v>
      </c>
      <c r="H25" s="83"/>
      <c r="K25" t="s">
        <v>108</v>
      </c>
    </row>
    <row r="26" spans="1:11" ht="14.25" x14ac:dyDescent="0.15">
      <c r="A26" s="54" t="s">
        <v>71</v>
      </c>
      <c r="B26" s="87">
        <v>24500</v>
      </c>
      <c r="C26" s="5"/>
      <c r="D26" s="12"/>
      <c r="E26" t="s">
        <v>122</v>
      </c>
      <c r="F26" s="84">
        <v>291532</v>
      </c>
      <c r="G26" s="84">
        <v>24710</v>
      </c>
      <c r="H26" s="83"/>
    </row>
    <row r="27" spans="1:11" ht="14.25" x14ac:dyDescent="0.15">
      <c r="A27" s="54" t="s">
        <v>79</v>
      </c>
      <c r="B27" s="85">
        <v>0</v>
      </c>
      <c r="C27" s="5"/>
      <c r="D27" s="12"/>
      <c r="F27" s="83" t="s">
        <v>131</v>
      </c>
      <c r="G27" s="83" t="s">
        <v>117</v>
      </c>
      <c r="H27" s="83" t="s">
        <v>118</v>
      </c>
    </row>
    <row r="28" spans="1:11" ht="14.25" x14ac:dyDescent="0.15">
      <c r="A28" s="55" t="s">
        <v>37</v>
      </c>
      <c r="B28" s="88">
        <v>1276015</v>
      </c>
      <c r="C28" s="15" t="s">
        <v>0</v>
      </c>
      <c r="D28" s="12"/>
      <c r="E28" t="s">
        <v>123</v>
      </c>
      <c r="F28" s="84">
        <v>338790</v>
      </c>
      <c r="G28" s="84">
        <v>23098</v>
      </c>
      <c r="H28" s="84">
        <v>36600</v>
      </c>
    </row>
    <row r="29" spans="1:11" ht="14.25" x14ac:dyDescent="0.15">
      <c r="A29" s="61" t="s">
        <v>96</v>
      </c>
      <c r="B29" s="88">
        <v>52890</v>
      </c>
      <c r="C29" s="15"/>
      <c r="D29" s="12"/>
    </row>
    <row r="30" spans="1:11" ht="14.25" x14ac:dyDescent="0.15">
      <c r="A30" s="61" t="s">
        <v>38</v>
      </c>
      <c r="B30" s="7"/>
      <c r="C30" s="77">
        <f>B8+B9+B15+B28+B29</f>
        <v>49812194</v>
      </c>
      <c r="D30" s="12"/>
    </row>
    <row r="31" spans="1:11" ht="11.25" customHeight="1" x14ac:dyDescent="0.15">
      <c r="A31" s="11"/>
      <c r="B31" s="14"/>
      <c r="C31" s="5"/>
      <c r="D31" s="78" t="s">
        <v>0</v>
      </c>
    </row>
    <row r="32" spans="1:11" ht="14.25" x14ac:dyDescent="0.15">
      <c r="A32" s="55" t="s">
        <v>20</v>
      </c>
      <c r="B32" s="79" t="s">
        <v>0</v>
      </c>
      <c r="C32" s="5"/>
      <c r="D32" s="25"/>
    </row>
    <row r="33" spans="1:4" ht="14.25" x14ac:dyDescent="0.15">
      <c r="A33" s="55" t="s">
        <v>39</v>
      </c>
      <c r="B33" s="88">
        <f>337501+381745+18418593+24773059+4693744</f>
        <v>48604642</v>
      </c>
      <c r="C33" s="5"/>
      <c r="D33" s="12"/>
    </row>
    <row r="34" spans="1:4" ht="14.25" x14ac:dyDescent="0.15">
      <c r="A34" s="55" t="s">
        <v>54</v>
      </c>
      <c r="B34" s="88">
        <f>1+3628+11029+12604+104032+119298+10093+512001+624407+1256808+647435+595861+924036+1225128</f>
        <v>6046361</v>
      </c>
      <c r="C34" s="5"/>
      <c r="D34" s="12"/>
    </row>
    <row r="35" spans="1:4" ht="14.25" x14ac:dyDescent="0.15">
      <c r="A35" s="55" t="s">
        <v>55</v>
      </c>
      <c r="B35" s="88">
        <f>1+492839+1019848</f>
        <v>1512688</v>
      </c>
      <c r="C35" s="5"/>
      <c r="D35" s="12"/>
    </row>
    <row r="36" spans="1:4" ht="14.25" x14ac:dyDescent="0.15">
      <c r="A36" s="55" t="s">
        <v>75</v>
      </c>
      <c r="B36" s="88">
        <v>79785</v>
      </c>
      <c r="C36" s="5"/>
      <c r="D36" s="12"/>
    </row>
    <row r="37" spans="1:4" ht="14.25" x14ac:dyDescent="0.15">
      <c r="A37" s="55" t="s">
        <v>40</v>
      </c>
      <c r="B37" s="88">
        <f>1+1+1+1+1+1+1+896361+1+69461</f>
        <v>965830</v>
      </c>
      <c r="C37" s="5"/>
      <c r="D37" s="12"/>
    </row>
    <row r="38" spans="1:4" ht="14.25" x14ac:dyDescent="0.15">
      <c r="A38" s="55" t="s">
        <v>41</v>
      </c>
      <c r="B38" s="88">
        <v>110600</v>
      </c>
      <c r="C38" s="5"/>
      <c r="D38" s="12"/>
    </row>
    <row r="39" spans="1:4" ht="14.25" x14ac:dyDescent="0.15">
      <c r="A39" s="55" t="s">
        <v>42</v>
      </c>
      <c r="B39" s="88">
        <v>50000</v>
      </c>
      <c r="C39" s="11"/>
      <c r="D39" s="12"/>
    </row>
    <row r="40" spans="1:4" ht="14.25" x14ac:dyDescent="0.15">
      <c r="A40" s="55" t="s">
        <v>66</v>
      </c>
      <c r="B40" s="88">
        <v>128900</v>
      </c>
      <c r="C40" s="76"/>
      <c r="D40" s="12"/>
    </row>
    <row r="41" spans="1:4" ht="14.25" x14ac:dyDescent="0.15">
      <c r="A41" s="61" t="s">
        <v>43</v>
      </c>
      <c r="B41" s="80"/>
      <c r="C41" s="37">
        <f>SUM(B33:B40)</f>
        <v>57498806</v>
      </c>
      <c r="D41" s="12"/>
    </row>
    <row r="42" spans="1:4" ht="8.25" customHeight="1" x14ac:dyDescent="0.15">
      <c r="A42" s="11"/>
      <c r="B42" s="19"/>
      <c r="C42" s="5"/>
      <c r="D42" s="12"/>
    </row>
    <row r="43" spans="1:4" ht="14.25" x14ac:dyDescent="0.15">
      <c r="A43" s="58" t="s">
        <v>23</v>
      </c>
      <c r="B43" s="80"/>
      <c r="C43" s="10"/>
      <c r="D43" s="38">
        <f>C30+C41</f>
        <v>107311000</v>
      </c>
    </row>
    <row r="44" spans="1:4" ht="11.25" customHeight="1" x14ac:dyDescent="0.15">
      <c r="A44" s="9"/>
      <c r="B44" s="62"/>
      <c r="C44" s="62"/>
      <c r="D44" s="62"/>
    </row>
    <row r="45" spans="1:4" ht="14.25" x14ac:dyDescent="0.15">
      <c r="A45" s="60" t="s">
        <v>18</v>
      </c>
      <c r="B45" s="79"/>
      <c r="C45" s="5"/>
      <c r="D45" s="12"/>
    </row>
    <row r="46" spans="1:4" ht="14.25" x14ac:dyDescent="0.15">
      <c r="A46" s="55" t="s">
        <v>21</v>
      </c>
      <c r="B46" s="79"/>
      <c r="C46" s="5"/>
      <c r="D46" s="23"/>
    </row>
    <row r="47" spans="1:4" ht="14.25" x14ac:dyDescent="0.15">
      <c r="A47" s="55" t="s">
        <v>32</v>
      </c>
      <c r="B47" s="88">
        <v>3422352</v>
      </c>
      <c r="C47" s="5"/>
      <c r="D47" s="78"/>
    </row>
    <row r="48" spans="1:4" ht="14.25" x14ac:dyDescent="0.15">
      <c r="A48" s="55" t="s">
        <v>33</v>
      </c>
      <c r="B48" s="71">
        <v>0</v>
      </c>
      <c r="C48" s="5"/>
      <c r="D48" s="12"/>
    </row>
    <row r="49" spans="1:8" ht="6.75" customHeight="1" x14ac:dyDescent="0.15">
      <c r="A49" s="59"/>
      <c r="B49" s="79"/>
      <c r="C49" s="11"/>
      <c r="D49" s="12"/>
    </row>
    <row r="50" spans="1:8" ht="14.25" x14ac:dyDescent="0.15">
      <c r="A50" s="55" t="s">
        <v>31</v>
      </c>
      <c r="B50" s="80"/>
      <c r="C50" s="37">
        <f>B47+B48</f>
        <v>3422352</v>
      </c>
      <c r="D50" s="23"/>
    </row>
    <row r="51" spans="1:8" ht="11.25" customHeight="1" x14ac:dyDescent="0.15">
      <c r="A51" s="3"/>
      <c r="B51" s="14"/>
      <c r="C51" s="34"/>
      <c r="D51" s="25"/>
    </row>
    <row r="52" spans="1:8" ht="14.25" x14ac:dyDescent="0.15">
      <c r="A52" s="55" t="s">
        <v>22</v>
      </c>
      <c r="B52" s="19"/>
      <c r="C52" s="81"/>
      <c r="D52" s="23"/>
    </row>
    <row r="53" spans="1:8" ht="14.25" x14ac:dyDescent="0.15">
      <c r="A53" s="55" t="s">
        <v>30</v>
      </c>
      <c r="B53" s="88">
        <v>6920000</v>
      </c>
      <c r="C53" s="11"/>
      <c r="D53" s="25"/>
    </row>
    <row r="54" spans="1:8" ht="14.25" x14ac:dyDescent="0.15">
      <c r="A54" s="9"/>
      <c r="B54" s="19"/>
      <c r="C54" s="11"/>
      <c r="D54" s="25"/>
      <c r="G54" t="s">
        <v>108</v>
      </c>
    </row>
    <row r="55" spans="1:8" ht="14.25" x14ac:dyDescent="0.15">
      <c r="A55" s="61" t="s">
        <v>29</v>
      </c>
      <c r="B55" s="10"/>
      <c r="C55" s="37">
        <f>B53</f>
        <v>6920000</v>
      </c>
      <c r="D55" s="23"/>
    </row>
    <row r="56" spans="1:8" ht="6.75" customHeight="1" x14ac:dyDescent="0.15">
      <c r="A56" s="3"/>
      <c r="B56" s="19"/>
      <c r="C56" s="11"/>
      <c r="D56" s="23"/>
    </row>
    <row r="57" spans="1:8" ht="14.25" x14ac:dyDescent="0.15">
      <c r="A57" s="58" t="s">
        <v>24</v>
      </c>
      <c r="B57" s="40"/>
      <c r="C57" s="40"/>
      <c r="D57" s="38">
        <f>C50+C55</f>
        <v>10342352</v>
      </c>
    </row>
    <row r="58" spans="1:8" ht="11.25" customHeight="1" x14ac:dyDescent="0.15">
      <c r="A58" s="3"/>
      <c r="B58" s="19"/>
      <c r="C58" s="11"/>
      <c r="D58" s="23"/>
    </row>
    <row r="59" spans="1:8" ht="14.25" x14ac:dyDescent="0.15">
      <c r="A59" s="55" t="s">
        <v>3</v>
      </c>
      <c r="B59" s="30"/>
      <c r="C59" s="35"/>
      <c r="D59" s="31"/>
    </row>
    <row r="60" spans="1:8" ht="15" customHeight="1" x14ac:dyDescent="0.15">
      <c r="A60" s="55" t="s">
        <v>27</v>
      </c>
      <c r="B60" s="10"/>
      <c r="C60" s="39"/>
      <c r="D60" s="39">
        <v>0</v>
      </c>
      <c r="H60" t="s">
        <v>0</v>
      </c>
    </row>
    <row r="61" spans="1:8" ht="15.75" customHeight="1" x14ac:dyDescent="0.15">
      <c r="A61" s="55" t="s">
        <v>28</v>
      </c>
      <c r="B61" s="47"/>
      <c r="C61" s="9"/>
      <c r="D61" s="43">
        <f>D43-D57</f>
        <v>96968648</v>
      </c>
      <c r="F61" s="90" t="s">
        <v>124</v>
      </c>
    </row>
    <row r="62" spans="1:8" ht="15.75" customHeight="1" x14ac:dyDescent="0.15">
      <c r="A62" s="59" t="s">
        <v>11</v>
      </c>
      <c r="B62" s="9"/>
      <c r="D62" s="70">
        <f>D61-'2.3月'!D60</f>
        <v>1759213</v>
      </c>
      <c r="F62" s="92">
        <f>D62-'[2]令和2年度 '!$P$73</f>
        <v>559589</v>
      </c>
    </row>
    <row r="63" spans="1:8" ht="16.5" customHeight="1" x14ac:dyDescent="0.15">
      <c r="A63" s="55" t="s">
        <v>26</v>
      </c>
      <c r="B63" s="22"/>
      <c r="C63" s="48"/>
      <c r="D63" s="44">
        <f>D61</f>
        <v>96968648</v>
      </c>
      <c r="F63" s="91"/>
    </row>
    <row r="64" spans="1:8" ht="14.25" x14ac:dyDescent="0.15">
      <c r="A64" s="55" t="s">
        <v>25</v>
      </c>
      <c r="B64" s="22"/>
      <c r="C64" s="9"/>
      <c r="D64" s="69">
        <f>D57+D63</f>
        <v>107311000</v>
      </c>
      <c r="F64" s="68"/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C65D-CA5A-4085-B6D2-B6E258BADBEA}">
  <dimension ref="A1:K108"/>
  <sheetViews>
    <sheetView zoomScaleNormal="100" workbookViewId="0">
      <selection activeCell="A2" sqref="A2:D2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8" width="9.25" bestFit="1" customWidth="1"/>
    <col min="9" max="9" width="9.25" customWidth="1"/>
    <col min="10" max="11" width="9.25" bestFit="1" customWidth="1"/>
  </cols>
  <sheetData>
    <row r="1" spans="1:11" ht="17.25" x14ac:dyDescent="0.2">
      <c r="A1" s="1" t="s">
        <v>153</v>
      </c>
      <c r="B1" s="1"/>
    </row>
    <row r="2" spans="1:11" ht="17.25" customHeight="1" x14ac:dyDescent="0.15">
      <c r="A2" s="111" t="s">
        <v>133</v>
      </c>
      <c r="B2" s="111"/>
      <c r="C2" s="111"/>
      <c r="D2" s="111"/>
    </row>
    <row r="3" spans="1:11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50"/>
      <c r="C5" s="49" t="s">
        <v>4</v>
      </c>
      <c r="D5" s="49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20500309</v>
      </c>
      <c r="C9" s="5"/>
      <c r="D9" s="12"/>
      <c r="F9" s="84">
        <v>15901552</v>
      </c>
      <c r="G9" s="84">
        <v>27183</v>
      </c>
      <c r="H9" s="84">
        <v>4837</v>
      </c>
      <c r="I9" s="84">
        <v>244585</v>
      </c>
      <c r="J9" s="84">
        <v>282552</v>
      </c>
      <c r="K9" s="84">
        <v>141685</v>
      </c>
    </row>
    <row r="10" spans="1:11" ht="14.25" x14ac:dyDescent="0.15">
      <c r="A10" s="53" t="s">
        <v>102</v>
      </c>
      <c r="B10" s="73">
        <f>F9+G9+H9+I9+J9+K9</f>
        <v>16602394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</row>
    <row r="11" spans="1:11" ht="14.25" x14ac:dyDescent="0.15">
      <c r="A11" s="54" t="s">
        <v>12</v>
      </c>
      <c r="B11" s="73">
        <f>F11+G11+H11</f>
        <v>684208</v>
      </c>
      <c r="C11" s="5"/>
      <c r="D11" s="23"/>
      <c r="F11" s="84">
        <v>161050</v>
      </c>
      <c r="G11" s="89">
        <v>479635</v>
      </c>
      <c r="H11" s="84">
        <v>43523</v>
      </c>
    </row>
    <row r="12" spans="1:11" ht="14.25" x14ac:dyDescent="0.15">
      <c r="A12" s="53" t="s">
        <v>128</v>
      </c>
      <c r="B12" s="86">
        <v>1747930</v>
      </c>
      <c r="C12" s="5"/>
      <c r="D12" s="23"/>
    </row>
    <row r="13" spans="1:11" ht="14.25" x14ac:dyDescent="0.15">
      <c r="A13" s="53" t="s">
        <v>129</v>
      </c>
      <c r="B13" s="87">
        <v>1249362</v>
      </c>
      <c r="C13" s="5"/>
      <c r="D13" s="12"/>
    </row>
    <row r="14" spans="1:11" ht="14.25" x14ac:dyDescent="0.15">
      <c r="A14" s="53" t="s">
        <v>130</v>
      </c>
      <c r="B14" s="87">
        <v>216415</v>
      </c>
      <c r="C14" s="5"/>
      <c r="D14" s="12"/>
    </row>
    <row r="15" spans="1:11" ht="14.25" x14ac:dyDescent="0.15">
      <c r="A15" s="55" t="s">
        <v>36</v>
      </c>
      <c r="B15" s="71">
        <f>SUM(B16:B27)</f>
        <v>27277260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f>F16+G16</f>
        <v>5517700</v>
      </c>
      <c r="C16" s="11"/>
      <c r="D16" s="12"/>
      <c r="E16" t="s">
        <v>112</v>
      </c>
      <c r="F16" s="84">
        <v>46200</v>
      </c>
      <c r="G16" s="84">
        <v>5471500</v>
      </c>
      <c r="H16" s="83"/>
    </row>
    <row r="17" spans="1:11" ht="14.25" x14ac:dyDescent="0.15">
      <c r="A17" s="54" t="s">
        <v>15</v>
      </c>
      <c r="B17" s="73">
        <f>F18+G18+H18</f>
        <v>13355382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f>F20+G20+H20</f>
        <v>3619369</v>
      </c>
      <c r="C18" s="11"/>
      <c r="D18" s="12"/>
      <c r="E18" t="s">
        <v>115</v>
      </c>
      <c r="F18" s="84">
        <v>11988556</v>
      </c>
      <c r="G18" s="84">
        <v>809126</v>
      </c>
      <c r="H18" s="84">
        <v>557700</v>
      </c>
    </row>
    <row r="19" spans="1:11" ht="14.25" x14ac:dyDescent="0.15">
      <c r="A19" s="54" t="s">
        <v>16</v>
      </c>
      <c r="B19" s="73">
        <f>F22+G22+H22</f>
        <v>1724256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f>F24+G24</f>
        <v>1213475</v>
      </c>
      <c r="C20" s="5"/>
      <c r="D20" s="12"/>
      <c r="E20" t="s">
        <v>119</v>
      </c>
      <c r="F20" s="84">
        <v>3087954</v>
      </c>
      <c r="G20" s="84">
        <v>447415</v>
      </c>
      <c r="H20" s="84">
        <v>84000</v>
      </c>
    </row>
    <row r="21" spans="1:11" ht="14.25" x14ac:dyDescent="0.15">
      <c r="A21" s="54" t="s">
        <v>103</v>
      </c>
      <c r="B21" s="73">
        <f>F26+G26</f>
        <v>281656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72</v>
      </c>
      <c r="B22" s="85">
        <v>15500</v>
      </c>
      <c r="C22" s="5"/>
      <c r="D22" s="12"/>
      <c r="E22" t="s">
        <v>120</v>
      </c>
      <c r="F22" s="84">
        <v>1548171</v>
      </c>
      <c r="G22" s="84">
        <v>97585</v>
      </c>
      <c r="H22" s="84">
        <v>78500</v>
      </c>
    </row>
    <row r="23" spans="1:11" ht="14.25" x14ac:dyDescent="0.15">
      <c r="A23" s="54" t="s">
        <v>81</v>
      </c>
      <c r="B23" s="73">
        <f>F28+G28+H28</f>
        <v>354022</v>
      </c>
      <c r="C23" s="5"/>
      <c r="D23" s="12"/>
      <c r="F23" s="83" t="s">
        <v>131</v>
      </c>
      <c r="G23" s="83" t="s">
        <v>117</v>
      </c>
      <c r="H23" s="83"/>
    </row>
    <row r="24" spans="1:11" ht="14.25" x14ac:dyDescent="0.15">
      <c r="A24" s="54" t="s">
        <v>82</v>
      </c>
      <c r="B24" s="85">
        <v>70200</v>
      </c>
      <c r="C24" s="5"/>
      <c r="D24" s="12"/>
      <c r="E24" t="s">
        <v>121</v>
      </c>
      <c r="F24" s="84">
        <v>1119753</v>
      </c>
      <c r="G24" s="84">
        <v>93722</v>
      </c>
      <c r="H24" s="83"/>
    </row>
    <row r="25" spans="1:11" ht="14.25" x14ac:dyDescent="0.15">
      <c r="A25" s="54" t="s">
        <v>17</v>
      </c>
      <c r="B25" s="86">
        <v>1112200</v>
      </c>
      <c r="C25" s="5"/>
      <c r="D25" s="12"/>
      <c r="F25" s="83" t="s">
        <v>116</v>
      </c>
      <c r="G25" s="83" t="s">
        <v>117</v>
      </c>
      <c r="H25" s="83"/>
      <c r="K25" t="s">
        <v>108</v>
      </c>
    </row>
    <row r="26" spans="1:11" ht="14.25" x14ac:dyDescent="0.15">
      <c r="A26" s="54" t="s">
        <v>71</v>
      </c>
      <c r="B26" s="87">
        <v>13500</v>
      </c>
      <c r="C26" s="5"/>
      <c r="D26" s="12"/>
      <c r="E26" t="s">
        <v>122</v>
      </c>
      <c r="F26" s="84">
        <v>260537</v>
      </c>
      <c r="G26" s="84">
        <v>21119</v>
      </c>
      <c r="H26" s="83"/>
    </row>
    <row r="27" spans="1:11" ht="14.25" x14ac:dyDescent="0.15">
      <c r="A27" s="54" t="s">
        <v>79</v>
      </c>
      <c r="B27" s="85">
        <v>0</v>
      </c>
      <c r="C27" s="5"/>
      <c r="D27" s="12"/>
      <c r="F27" s="83" t="s">
        <v>131</v>
      </c>
      <c r="G27" s="83" t="s">
        <v>117</v>
      </c>
      <c r="H27" s="83" t="s">
        <v>118</v>
      </c>
    </row>
    <row r="28" spans="1:11" ht="14.25" x14ac:dyDescent="0.15">
      <c r="A28" s="55" t="s">
        <v>37</v>
      </c>
      <c r="B28" s="88">
        <v>1140600</v>
      </c>
      <c r="C28" s="15" t="s">
        <v>0</v>
      </c>
      <c r="D28" s="12"/>
      <c r="E28" t="s">
        <v>123</v>
      </c>
      <c r="F28" s="84">
        <v>314472</v>
      </c>
      <c r="G28" s="84">
        <v>19150</v>
      </c>
      <c r="H28" s="84">
        <v>20400</v>
      </c>
    </row>
    <row r="29" spans="1:11" ht="14.25" x14ac:dyDescent="0.15">
      <c r="A29" s="61" t="s">
        <v>96</v>
      </c>
      <c r="B29" s="88">
        <v>52890</v>
      </c>
      <c r="C29" s="15"/>
      <c r="D29" s="12"/>
    </row>
    <row r="30" spans="1:11" ht="14.25" x14ac:dyDescent="0.15">
      <c r="A30" s="61" t="s">
        <v>38</v>
      </c>
      <c r="B30" s="7"/>
      <c r="C30" s="77">
        <f>B8+B9+B15+B28+B29</f>
        <v>48973444</v>
      </c>
      <c r="D30" s="12"/>
    </row>
    <row r="31" spans="1:11" ht="11.25" customHeight="1" x14ac:dyDescent="0.15">
      <c r="A31" s="11"/>
      <c r="B31" s="14"/>
      <c r="C31" s="5"/>
      <c r="D31" s="78" t="s">
        <v>0</v>
      </c>
    </row>
    <row r="32" spans="1:11" ht="14.25" x14ac:dyDescent="0.15">
      <c r="A32" s="55" t="s">
        <v>20</v>
      </c>
      <c r="B32" s="79" t="s">
        <v>0</v>
      </c>
      <c r="C32" s="5"/>
      <c r="D32" s="25"/>
    </row>
    <row r="33" spans="1:4" ht="14.25" x14ac:dyDescent="0.15">
      <c r="A33" s="55" t="s">
        <v>39</v>
      </c>
      <c r="B33" s="88">
        <f>337501+381745+18418593+24773059+4693744</f>
        <v>48604642</v>
      </c>
      <c r="C33" s="5"/>
      <c r="D33" s="12"/>
    </row>
    <row r="34" spans="1:4" ht="14.25" x14ac:dyDescent="0.15">
      <c r="A34" s="55" t="s">
        <v>54</v>
      </c>
      <c r="B34" s="88">
        <f>1+3628+11029+12604+104032+119298+10093+512001+624407+1256808+647435+595861+924036+1225128</f>
        <v>6046361</v>
      </c>
      <c r="C34" s="5"/>
      <c r="D34" s="12"/>
    </row>
    <row r="35" spans="1:4" ht="14.25" x14ac:dyDescent="0.15">
      <c r="A35" s="55" t="s">
        <v>55</v>
      </c>
      <c r="B35" s="88">
        <f>1+492839+1019848</f>
        <v>1512688</v>
      </c>
      <c r="C35" s="5"/>
      <c r="D35" s="12"/>
    </row>
    <row r="36" spans="1:4" ht="14.25" x14ac:dyDescent="0.15">
      <c r="A36" s="55" t="s">
        <v>75</v>
      </c>
      <c r="B36" s="88">
        <v>79785</v>
      </c>
      <c r="C36" s="5"/>
      <c r="D36" s="12"/>
    </row>
    <row r="37" spans="1:4" ht="14.25" x14ac:dyDescent="0.15">
      <c r="A37" s="55" t="s">
        <v>40</v>
      </c>
      <c r="B37" s="88">
        <f>1+1+1+1+1+1+896361+1+69461</f>
        <v>965829</v>
      </c>
      <c r="C37" s="5"/>
      <c r="D37" s="12"/>
    </row>
    <row r="38" spans="1:4" ht="14.25" x14ac:dyDescent="0.15">
      <c r="A38" s="55" t="s">
        <v>41</v>
      </c>
      <c r="B38" s="88">
        <v>110600</v>
      </c>
      <c r="C38" s="5"/>
      <c r="D38" s="12"/>
    </row>
    <row r="39" spans="1:4" ht="14.25" x14ac:dyDescent="0.15">
      <c r="A39" s="55" t="s">
        <v>42</v>
      </c>
      <c r="B39" s="88">
        <v>50000</v>
      </c>
      <c r="C39" s="11"/>
      <c r="D39" s="12"/>
    </row>
    <row r="40" spans="1:4" ht="14.25" x14ac:dyDescent="0.15">
      <c r="A40" s="55" t="s">
        <v>66</v>
      </c>
      <c r="B40" s="88">
        <v>128900</v>
      </c>
      <c r="C40" s="76"/>
      <c r="D40" s="12"/>
    </row>
    <row r="41" spans="1:4" ht="14.25" x14ac:dyDescent="0.15">
      <c r="A41" s="61" t="s">
        <v>43</v>
      </c>
      <c r="B41" s="80"/>
      <c r="C41" s="37">
        <f>SUM(B33:B40)</f>
        <v>57498805</v>
      </c>
      <c r="D41" s="12"/>
    </row>
    <row r="42" spans="1:4" ht="8.25" customHeight="1" x14ac:dyDescent="0.15">
      <c r="A42" s="11"/>
      <c r="B42" s="19"/>
      <c r="C42" s="5"/>
      <c r="D42" s="12"/>
    </row>
    <row r="43" spans="1:4" ht="14.25" x14ac:dyDescent="0.15">
      <c r="A43" s="58" t="s">
        <v>23</v>
      </c>
      <c r="B43" s="80"/>
      <c r="C43" s="10"/>
      <c r="D43" s="38">
        <f>C30+C41</f>
        <v>106472249</v>
      </c>
    </row>
    <row r="44" spans="1:4" ht="11.25" customHeight="1" x14ac:dyDescent="0.15">
      <c r="A44" s="9"/>
      <c r="B44" s="62"/>
      <c r="C44" s="62"/>
      <c r="D44" s="62"/>
    </row>
    <row r="45" spans="1:4" ht="14.25" x14ac:dyDescent="0.15">
      <c r="A45" s="60" t="s">
        <v>18</v>
      </c>
      <c r="B45" s="79"/>
      <c r="C45" s="5"/>
      <c r="D45" s="12"/>
    </row>
    <row r="46" spans="1:4" ht="14.25" x14ac:dyDescent="0.15">
      <c r="A46" s="55" t="s">
        <v>21</v>
      </c>
      <c r="B46" s="79"/>
      <c r="C46" s="5"/>
      <c r="D46" s="23"/>
    </row>
    <row r="47" spans="1:4" ht="14.25" x14ac:dyDescent="0.15">
      <c r="A47" s="55" t="s">
        <v>32</v>
      </c>
      <c r="B47" s="88">
        <v>3131381</v>
      </c>
      <c r="C47" s="5"/>
      <c r="D47" s="78"/>
    </row>
    <row r="48" spans="1:4" ht="14.25" x14ac:dyDescent="0.15">
      <c r="A48" s="55" t="s">
        <v>33</v>
      </c>
      <c r="B48" s="71">
        <v>0</v>
      </c>
      <c r="C48" s="5"/>
      <c r="D48" s="12"/>
    </row>
    <row r="49" spans="1:8" ht="6.75" customHeight="1" x14ac:dyDescent="0.15">
      <c r="A49" s="59"/>
      <c r="B49" s="79"/>
      <c r="C49" s="11"/>
      <c r="D49" s="12"/>
    </row>
    <row r="50" spans="1:8" ht="14.25" x14ac:dyDescent="0.15">
      <c r="A50" s="55" t="s">
        <v>31</v>
      </c>
      <c r="B50" s="80"/>
      <c r="C50" s="37">
        <f>B47+B48</f>
        <v>3131381</v>
      </c>
      <c r="D50" s="23"/>
    </row>
    <row r="51" spans="1:8" ht="11.25" customHeight="1" x14ac:dyDescent="0.15">
      <c r="A51" s="3"/>
      <c r="B51" s="14"/>
      <c r="C51" s="34"/>
      <c r="D51" s="25"/>
    </row>
    <row r="52" spans="1:8" ht="14.25" x14ac:dyDescent="0.15">
      <c r="A52" s="55" t="s">
        <v>22</v>
      </c>
      <c r="B52" s="19"/>
      <c r="C52" s="81"/>
      <c r="D52" s="23"/>
    </row>
    <row r="53" spans="1:8" ht="14.25" x14ac:dyDescent="0.15">
      <c r="A53" s="55" t="s">
        <v>30</v>
      </c>
      <c r="B53" s="88">
        <v>6640000</v>
      </c>
      <c r="C53" s="11"/>
      <c r="D53" s="25"/>
    </row>
    <row r="54" spans="1:8" ht="14.25" x14ac:dyDescent="0.15">
      <c r="A54" s="9"/>
      <c r="B54" s="19"/>
      <c r="C54" s="11"/>
      <c r="D54" s="25"/>
      <c r="G54" t="s">
        <v>108</v>
      </c>
    </row>
    <row r="55" spans="1:8" ht="14.25" x14ac:dyDescent="0.15">
      <c r="A55" s="61" t="s">
        <v>29</v>
      </c>
      <c r="B55" s="10"/>
      <c r="C55" s="37">
        <f>B53</f>
        <v>6640000</v>
      </c>
      <c r="D55" s="23"/>
    </row>
    <row r="56" spans="1:8" ht="6.75" customHeight="1" x14ac:dyDescent="0.15">
      <c r="A56" s="3"/>
      <c r="B56" s="19"/>
      <c r="C56" s="11"/>
      <c r="D56" s="23"/>
    </row>
    <row r="57" spans="1:8" ht="14.25" x14ac:dyDescent="0.15">
      <c r="A57" s="58" t="s">
        <v>24</v>
      </c>
      <c r="B57" s="40"/>
      <c r="C57" s="40"/>
      <c r="D57" s="38">
        <f>C50+C55</f>
        <v>9771381</v>
      </c>
    </row>
    <row r="58" spans="1:8" ht="11.25" customHeight="1" x14ac:dyDescent="0.15">
      <c r="A58" s="3"/>
      <c r="B58" s="19"/>
      <c r="C58" s="11"/>
      <c r="D58" s="23"/>
    </row>
    <row r="59" spans="1:8" ht="14.25" x14ac:dyDescent="0.15">
      <c r="A59" s="55" t="s">
        <v>3</v>
      </c>
      <c r="B59" s="30"/>
      <c r="C59" s="35"/>
      <c r="D59" s="31"/>
    </row>
    <row r="60" spans="1:8" ht="15" customHeight="1" x14ac:dyDescent="0.15">
      <c r="A60" s="55" t="s">
        <v>27</v>
      </c>
      <c r="B60" s="10"/>
      <c r="C60" s="39"/>
      <c r="D60" s="39">
        <v>0</v>
      </c>
      <c r="H60" t="s">
        <v>0</v>
      </c>
    </row>
    <row r="61" spans="1:8" ht="15.75" customHeight="1" x14ac:dyDescent="0.15">
      <c r="A61" s="55" t="s">
        <v>28</v>
      </c>
      <c r="B61" s="47"/>
      <c r="C61" s="9"/>
      <c r="D61" s="43">
        <f>D43-D57</f>
        <v>96700868</v>
      </c>
      <c r="F61" s="90" t="s">
        <v>124</v>
      </c>
    </row>
    <row r="62" spans="1:8" ht="15.75" customHeight="1" x14ac:dyDescent="0.15">
      <c r="A62" s="59" t="s">
        <v>11</v>
      </c>
      <c r="B62" s="9"/>
      <c r="D62" s="70">
        <f>D61-'2.3月'!D60</f>
        <v>1491433</v>
      </c>
      <c r="F62" s="92">
        <f>D62-'[2]令和2年度 '!$P$73</f>
        <v>291809</v>
      </c>
    </row>
    <row r="63" spans="1:8" ht="16.5" customHeight="1" x14ac:dyDescent="0.15">
      <c r="A63" s="55" t="s">
        <v>26</v>
      </c>
      <c r="B63" s="22"/>
      <c r="C63" s="48"/>
      <c r="D63" s="44">
        <f>D61</f>
        <v>96700868</v>
      </c>
      <c r="F63" s="91"/>
    </row>
    <row r="64" spans="1:8" ht="14.25" x14ac:dyDescent="0.15">
      <c r="A64" s="55" t="s">
        <v>25</v>
      </c>
      <c r="B64" s="22"/>
      <c r="C64" s="9"/>
      <c r="D64" s="69">
        <f>D57+D63</f>
        <v>106472249</v>
      </c>
      <c r="F64" s="68"/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55205-193E-470D-9516-E6C3B728FDEC}">
  <dimension ref="A1:K108"/>
  <sheetViews>
    <sheetView zoomScaleNormal="100" workbookViewId="0">
      <selection activeCell="A2" sqref="A2:D2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8" width="9.25" bestFit="1" customWidth="1"/>
    <col min="9" max="9" width="9.25" customWidth="1"/>
    <col min="10" max="11" width="9.25" bestFit="1" customWidth="1"/>
  </cols>
  <sheetData>
    <row r="1" spans="1:11" ht="17.25" x14ac:dyDescent="0.2">
      <c r="A1" s="1" t="s">
        <v>153</v>
      </c>
      <c r="B1" s="1"/>
    </row>
    <row r="2" spans="1:11" ht="17.25" customHeight="1" x14ac:dyDescent="0.15">
      <c r="A2" s="111" t="s">
        <v>134</v>
      </c>
      <c r="B2" s="111"/>
      <c r="C2" s="111"/>
      <c r="D2" s="111"/>
    </row>
    <row r="3" spans="1:11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50"/>
      <c r="C5" s="49" t="s">
        <v>4</v>
      </c>
      <c r="D5" s="49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19847021</v>
      </c>
      <c r="C9" s="5"/>
      <c r="D9" s="12"/>
      <c r="F9" s="84">
        <v>15788316</v>
      </c>
      <c r="G9" s="84">
        <v>68645</v>
      </c>
      <c r="H9" s="84">
        <v>539</v>
      </c>
      <c r="I9" s="84">
        <v>343295</v>
      </c>
      <c r="J9" s="84">
        <v>333448</v>
      </c>
      <c r="K9" s="84">
        <v>220796</v>
      </c>
    </row>
    <row r="10" spans="1:11" ht="14.25" x14ac:dyDescent="0.15">
      <c r="A10" s="53" t="s">
        <v>102</v>
      </c>
      <c r="B10" s="73">
        <f>F9+G9+H9+I9+J9+K9</f>
        <v>16755039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f>F11+G11+H11</f>
        <v>677447</v>
      </c>
      <c r="C11" s="5"/>
      <c r="D11" s="23"/>
      <c r="F11" s="84">
        <v>188500</v>
      </c>
      <c r="G11" s="89">
        <v>440524</v>
      </c>
      <c r="H11" s="84">
        <v>48423</v>
      </c>
    </row>
    <row r="12" spans="1:11" ht="14.25" x14ac:dyDescent="0.15">
      <c r="A12" s="53" t="s">
        <v>128</v>
      </c>
      <c r="B12" s="86">
        <v>1362469</v>
      </c>
      <c r="C12" s="5"/>
      <c r="D12" s="23"/>
    </row>
    <row r="13" spans="1:11" ht="14.25" x14ac:dyDescent="0.15">
      <c r="A13" s="53" t="s">
        <v>129</v>
      </c>
      <c r="B13" s="87">
        <v>728655</v>
      </c>
      <c r="C13" s="5"/>
      <c r="D13" s="12"/>
    </row>
    <row r="14" spans="1:11" ht="14.25" x14ac:dyDescent="0.15">
      <c r="A14" s="53" t="s">
        <v>130</v>
      </c>
      <c r="B14" s="87">
        <v>323411</v>
      </c>
      <c r="C14" s="5"/>
      <c r="D14" s="12"/>
    </row>
    <row r="15" spans="1:11" ht="14.25" x14ac:dyDescent="0.15">
      <c r="A15" s="55" t="s">
        <v>36</v>
      </c>
      <c r="B15" s="71">
        <f>SUM(B16:B27)</f>
        <v>26547515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f>F16+G16</f>
        <v>5375010</v>
      </c>
      <c r="C16" s="11"/>
      <c r="D16" s="12"/>
      <c r="E16" t="s">
        <v>112</v>
      </c>
      <c r="F16" s="84">
        <v>27720</v>
      </c>
      <c r="G16" s="84">
        <v>5347290</v>
      </c>
      <c r="H16" s="83"/>
    </row>
    <row r="17" spans="1:11" ht="14.25" x14ac:dyDescent="0.15">
      <c r="A17" s="54" t="s">
        <v>15</v>
      </c>
      <c r="B17" s="73">
        <f>F18+G18+H18</f>
        <v>13048114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f>F20+G20+H20</f>
        <v>3325425</v>
      </c>
      <c r="C18" s="11"/>
      <c r="D18" s="12"/>
      <c r="E18" t="s">
        <v>115</v>
      </c>
      <c r="F18" s="84">
        <v>11661457</v>
      </c>
      <c r="G18" s="84">
        <v>830057</v>
      </c>
      <c r="H18" s="84">
        <v>556600</v>
      </c>
    </row>
    <row r="19" spans="1:11" ht="14.25" x14ac:dyDescent="0.15">
      <c r="A19" s="54" t="s">
        <v>16</v>
      </c>
      <c r="B19" s="73">
        <f>F22+G22+H22</f>
        <v>1821491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f>F24+G24</f>
        <v>1169511</v>
      </c>
      <c r="C20" s="5"/>
      <c r="D20" s="12"/>
      <c r="E20" t="s">
        <v>119</v>
      </c>
      <c r="F20" s="84">
        <v>2924883</v>
      </c>
      <c r="G20" s="84">
        <v>321342</v>
      </c>
      <c r="H20" s="84">
        <v>79200</v>
      </c>
    </row>
    <row r="21" spans="1:11" ht="14.25" x14ac:dyDescent="0.15">
      <c r="A21" s="54" t="s">
        <v>103</v>
      </c>
      <c r="B21" s="73">
        <f>F26+G26</f>
        <v>269820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72</v>
      </c>
      <c r="B22" s="85">
        <v>14100</v>
      </c>
      <c r="C22" s="5"/>
      <c r="D22" s="12"/>
      <c r="E22" t="s">
        <v>120</v>
      </c>
      <c r="F22" s="84">
        <v>1605753</v>
      </c>
      <c r="G22" s="84">
        <v>110838</v>
      </c>
      <c r="H22" s="84">
        <v>104900</v>
      </c>
    </row>
    <row r="23" spans="1:11" ht="14.25" x14ac:dyDescent="0.15">
      <c r="A23" s="54" t="s">
        <v>81</v>
      </c>
      <c r="B23" s="73">
        <f>F28+G28+H28</f>
        <v>314944</v>
      </c>
      <c r="C23" s="5"/>
      <c r="D23" s="12"/>
      <c r="F23" s="83" t="s">
        <v>131</v>
      </c>
      <c r="G23" s="83" t="s">
        <v>117</v>
      </c>
      <c r="H23" s="83"/>
    </row>
    <row r="24" spans="1:11" ht="14.25" x14ac:dyDescent="0.15">
      <c r="A24" s="54" t="s">
        <v>82</v>
      </c>
      <c r="B24" s="85">
        <v>83400</v>
      </c>
      <c r="C24" s="5"/>
      <c r="D24" s="12"/>
      <c r="E24" t="s">
        <v>121</v>
      </c>
      <c r="F24" s="84">
        <v>1086903</v>
      </c>
      <c r="G24" s="84">
        <v>82608</v>
      </c>
      <c r="H24" s="83"/>
    </row>
    <row r="25" spans="1:11" ht="14.25" x14ac:dyDescent="0.15">
      <c r="A25" s="54" t="s">
        <v>17</v>
      </c>
      <c r="B25" s="86">
        <v>1110200</v>
      </c>
      <c r="C25" s="5"/>
      <c r="D25" s="12"/>
      <c r="F25" s="83" t="s">
        <v>116</v>
      </c>
      <c r="G25" s="83" t="s">
        <v>117</v>
      </c>
      <c r="H25" s="83"/>
      <c r="K25" t="s">
        <v>108</v>
      </c>
    </row>
    <row r="26" spans="1:11" ht="14.25" x14ac:dyDescent="0.15">
      <c r="A26" s="54" t="s">
        <v>71</v>
      </c>
      <c r="B26" s="87">
        <v>15500</v>
      </c>
      <c r="C26" s="5"/>
      <c r="D26" s="12"/>
      <c r="E26" t="s">
        <v>122</v>
      </c>
      <c r="F26" s="84">
        <v>252185</v>
      </c>
      <c r="G26" s="84">
        <v>17635</v>
      </c>
      <c r="H26" s="83"/>
    </row>
    <row r="27" spans="1:11" ht="14.25" x14ac:dyDescent="0.15">
      <c r="A27" s="54" t="s">
        <v>79</v>
      </c>
      <c r="B27" s="85">
        <v>0</v>
      </c>
      <c r="C27" s="5"/>
      <c r="D27" s="12"/>
      <c r="F27" s="83" t="s">
        <v>131</v>
      </c>
      <c r="G27" s="83" t="s">
        <v>135</v>
      </c>
      <c r="H27" s="83" t="s">
        <v>118</v>
      </c>
    </row>
    <row r="28" spans="1:11" ht="14.25" x14ac:dyDescent="0.15">
      <c r="A28" s="55" t="s">
        <v>37</v>
      </c>
      <c r="B28" s="88">
        <v>957172</v>
      </c>
      <c r="C28" s="15" t="s">
        <v>0</v>
      </c>
      <c r="D28" s="12"/>
      <c r="E28" t="s">
        <v>123</v>
      </c>
      <c r="F28" s="84">
        <v>276132</v>
      </c>
      <c r="G28" s="84">
        <v>19612</v>
      </c>
      <c r="H28" s="84">
        <v>19200</v>
      </c>
    </row>
    <row r="29" spans="1:11" ht="14.25" x14ac:dyDescent="0.15">
      <c r="A29" s="61" t="s">
        <v>96</v>
      </c>
      <c r="B29" s="88">
        <v>52890</v>
      </c>
      <c r="C29" s="15"/>
      <c r="D29" s="12"/>
    </row>
    <row r="30" spans="1:11" ht="14.25" x14ac:dyDescent="0.15">
      <c r="A30" s="61" t="s">
        <v>38</v>
      </c>
      <c r="B30" s="7"/>
      <c r="C30" s="77">
        <f>B8+B9+B15+B28+B29</f>
        <v>47406983</v>
      </c>
      <c r="D30" s="12"/>
    </row>
    <row r="31" spans="1:11" ht="11.25" customHeight="1" x14ac:dyDescent="0.15">
      <c r="A31" s="11"/>
      <c r="B31" s="14"/>
      <c r="C31" s="5"/>
      <c r="D31" s="78" t="s">
        <v>0</v>
      </c>
    </row>
    <row r="32" spans="1:11" ht="14.25" x14ac:dyDescent="0.15">
      <c r="A32" s="55" t="s">
        <v>20</v>
      </c>
      <c r="B32" s="79" t="s">
        <v>0</v>
      </c>
      <c r="C32" s="5"/>
      <c r="D32" s="25"/>
    </row>
    <row r="33" spans="1:4" ht="14.25" x14ac:dyDescent="0.15">
      <c r="A33" s="55" t="s">
        <v>39</v>
      </c>
      <c r="B33" s="88">
        <f>337501+381745+18418593+24773059+4693744</f>
        <v>48604642</v>
      </c>
      <c r="C33" s="5"/>
      <c r="D33" s="12"/>
    </row>
    <row r="34" spans="1:4" ht="14.25" x14ac:dyDescent="0.15">
      <c r="A34" s="55" t="s">
        <v>54</v>
      </c>
      <c r="B34" s="88">
        <f>1+3628+11029+12604+104032+119298+10093+512001+624407+1256808+647435+595861+924036+1225128</f>
        <v>6046361</v>
      </c>
      <c r="C34" s="5"/>
      <c r="D34" s="12"/>
    </row>
    <row r="35" spans="1:4" ht="14.25" x14ac:dyDescent="0.15">
      <c r="A35" s="55" t="s">
        <v>55</v>
      </c>
      <c r="B35" s="88">
        <f>1+492839+1019848</f>
        <v>1512688</v>
      </c>
      <c r="C35" s="5"/>
      <c r="D35" s="12"/>
    </row>
    <row r="36" spans="1:4" ht="14.25" x14ac:dyDescent="0.15">
      <c r="A36" s="55" t="s">
        <v>75</v>
      </c>
      <c r="B36" s="88">
        <v>79785</v>
      </c>
      <c r="C36" s="5"/>
      <c r="D36" s="12"/>
    </row>
    <row r="37" spans="1:4" ht="14.25" x14ac:dyDescent="0.15">
      <c r="A37" s="55" t="s">
        <v>40</v>
      </c>
      <c r="B37" s="88">
        <f>1+1+1+1+1+1+896361+1+69461</f>
        <v>965829</v>
      </c>
      <c r="C37" s="5"/>
      <c r="D37" s="12"/>
    </row>
    <row r="38" spans="1:4" ht="14.25" x14ac:dyDescent="0.15">
      <c r="A38" s="55" t="s">
        <v>41</v>
      </c>
      <c r="B38" s="88">
        <v>110600</v>
      </c>
      <c r="C38" s="5"/>
      <c r="D38" s="12"/>
    </row>
    <row r="39" spans="1:4" ht="14.25" x14ac:dyDescent="0.15">
      <c r="A39" s="55" t="s">
        <v>42</v>
      </c>
      <c r="B39" s="88">
        <v>50000</v>
      </c>
      <c r="C39" s="11"/>
      <c r="D39" s="12"/>
    </row>
    <row r="40" spans="1:4" ht="14.25" x14ac:dyDescent="0.15">
      <c r="A40" s="55" t="s">
        <v>66</v>
      </c>
      <c r="B40" s="88">
        <v>150290</v>
      </c>
      <c r="C40" s="76"/>
      <c r="D40" s="12"/>
    </row>
    <row r="41" spans="1:4" ht="14.25" x14ac:dyDescent="0.15">
      <c r="A41" s="61" t="s">
        <v>43</v>
      </c>
      <c r="B41" s="80"/>
      <c r="C41" s="37">
        <f>SUM(B33:B40)</f>
        <v>57520195</v>
      </c>
      <c r="D41" s="12"/>
    </row>
    <row r="42" spans="1:4" ht="8.25" customHeight="1" x14ac:dyDescent="0.15">
      <c r="A42" s="11"/>
      <c r="B42" s="19"/>
      <c r="C42" s="5"/>
      <c r="D42" s="12"/>
    </row>
    <row r="43" spans="1:4" ht="14.25" x14ac:dyDescent="0.15">
      <c r="A43" s="58" t="s">
        <v>23</v>
      </c>
      <c r="B43" s="80"/>
      <c r="C43" s="10"/>
      <c r="D43" s="38">
        <f>C30+C41</f>
        <v>104927178</v>
      </c>
    </row>
    <row r="44" spans="1:4" ht="11.25" customHeight="1" x14ac:dyDescent="0.15">
      <c r="A44" s="9"/>
      <c r="B44" s="62"/>
      <c r="C44" s="62"/>
      <c r="D44" s="62"/>
    </row>
    <row r="45" spans="1:4" ht="14.25" x14ac:dyDescent="0.15">
      <c r="A45" s="60" t="s">
        <v>18</v>
      </c>
      <c r="B45" s="79"/>
      <c r="C45" s="5"/>
      <c r="D45" s="12"/>
    </row>
    <row r="46" spans="1:4" ht="14.25" x14ac:dyDescent="0.15">
      <c r="A46" s="55" t="s">
        <v>21</v>
      </c>
      <c r="B46" s="79"/>
      <c r="C46" s="5"/>
      <c r="D46" s="23"/>
    </row>
    <row r="47" spans="1:4" ht="14.25" x14ac:dyDescent="0.15">
      <c r="A47" s="55" t="s">
        <v>32</v>
      </c>
      <c r="B47" s="88">
        <v>2279414</v>
      </c>
      <c r="C47" s="5"/>
      <c r="D47" s="78"/>
    </row>
    <row r="48" spans="1:4" ht="14.25" x14ac:dyDescent="0.15">
      <c r="A48" s="55" t="s">
        <v>33</v>
      </c>
      <c r="B48" s="71">
        <v>0</v>
      </c>
      <c r="C48" s="5"/>
      <c r="D48" s="12"/>
    </row>
    <row r="49" spans="1:8" ht="6.75" customHeight="1" x14ac:dyDescent="0.15">
      <c r="A49" s="59"/>
      <c r="B49" s="79"/>
      <c r="C49" s="11"/>
      <c r="D49" s="12"/>
    </row>
    <row r="50" spans="1:8" ht="14.25" x14ac:dyDescent="0.15">
      <c r="A50" s="55" t="s">
        <v>31</v>
      </c>
      <c r="B50" s="80"/>
      <c r="C50" s="37">
        <f>B47+B48</f>
        <v>2279414</v>
      </c>
      <c r="D50" s="23"/>
    </row>
    <row r="51" spans="1:8" ht="11.25" customHeight="1" x14ac:dyDescent="0.15">
      <c r="A51" s="3"/>
      <c r="B51" s="14"/>
      <c r="C51" s="34"/>
      <c r="D51" s="25"/>
    </row>
    <row r="52" spans="1:8" ht="14.25" x14ac:dyDescent="0.15">
      <c r="A52" s="55" t="s">
        <v>22</v>
      </c>
      <c r="B52" s="19"/>
      <c r="C52" s="81"/>
      <c r="D52" s="23"/>
    </row>
    <row r="53" spans="1:8" ht="14.25" x14ac:dyDescent="0.15">
      <c r="A53" s="55" t="s">
        <v>30</v>
      </c>
      <c r="B53" s="88">
        <v>6360000</v>
      </c>
      <c r="C53" s="11"/>
      <c r="D53" s="25"/>
    </row>
    <row r="54" spans="1:8" ht="14.25" x14ac:dyDescent="0.15">
      <c r="A54" s="9"/>
      <c r="B54" s="19"/>
      <c r="C54" s="11"/>
      <c r="D54" s="25"/>
      <c r="G54" t="s">
        <v>108</v>
      </c>
    </row>
    <row r="55" spans="1:8" ht="14.25" x14ac:dyDescent="0.15">
      <c r="A55" s="61" t="s">
        <v>29</v>
      </c>
      <c r="B55" s="10"/>
      <c r="C55" s="37">
        <f>B53</f>
        <v>6360000</v>
      </c>
      <c r="D55" s="23"/>
    </row>
    <row r="56" spans="1:8" ht="6.75" customHeight="1" x14ac:dyDescent="0.15">
      <c r="A56" s="3"/>
      <c r="B56" s="19"/>
      <c r="C56" s="11"/>
      <c r="D56" s="23"/>
    </row>
    <row r="57" spans="1:8" ht="14.25" x14ac:dyDescent="0.15">
      <c r="A57" s="58" t="s">
        <v>24</v>
      </c>
      <c r="B57" s="40"/>
      <c r="C57" s="40"/>
      <c r="D57" s="38">
        <f>C50+C55</f>
        <v>8639414</v>
      </c>
    </row>
    <row r="58" spans="1:8" ht="11.25" customHeight="1" x14ac:dyDescent="0.15">
      <c r="A58" s="3"/>
      <c r="B58" s="19"/>
      <c r="C58" s="11"/>
      <c r="D58" s="23"/>
    </row>
    <row r="59" spans="1:8" ht="14.25" x14ac:dyDescent="0.15">
      <c r="A59" s="55" t="s">
        <v>3</v>
      </c>
      <c r="B59" s="30"/>
      <c r="C59" s="35"/>
      <c r="D59" s="31"/>
    </row>
    <row r="60" spans="1:8" ht="15" customHeight="1" x14ac:dyDescent="0.15">
      <c r="A60" s="55" t="s">
        <v>27</v>
      </c>
      <c r="B60" s="10"/>
      <c r="C60" s="39"/>
      <c r="D60" s="39">
        <v>0</v>
      </c>
      <c r="H60" t="s">
        <v>0</v>
      </c>
    </row>
    <row r="61" spans="1:8" ht="15.75" customHeight="1" x14ac:dyDescent="0.15">
      <c r="A61" s="55" t="s">
        <v>28</v>
      </c>
      <c r="B61" s="47"/>
      <c r="C61" s="9"/>
      <c r="D61" s="43">
        <f>D43-D57</f>
        <v>96287764</v>
      </c>
      <c r="F61" s="90" t="s">
        <v>124</v>
      </c>
    </row>
    <row r="62" spans="1:8" ht="15.75" customHeight="1" x14ac:dyDescent="0.15">
      <c r="A62" s="59" t="s">
        <v>11</v>
      </c>
      <c r="B62" s="9"/>
      <c r="D62" s="70">
        <f>D61-'2.3月'!D60</f>
        <v>1078329</v>
      </c>
      <c r="F62" s="92">
        <f>D62-'[2]令和2年度 '!$P$73</f>
        <v>-121295</v>
      </c>
    </row>
    <row r="63" spans="1:8" ht="16.5" customHeight="1" x14ac:dyDescent="0.15">
      <c r="A63" s="55" t="s">
        <v>26</v>
      </c>
      <c r="B63" s="22"/>
      <c r="C63" s="48"/>
      <c r="D63" s="44">
        <f>D61</f>
        <v>96287764</v>
      </c>
      <c r="F63" s="91"/>
    </row>
    <row r="64" spans="1:8" ht="14.25" x14ac:dyDescent="0.15">
      <c r="A64" s="55" t="s">
        <v>25</v>
      </c>
      <c r="B64" s="22"/>
      <c r="C64" s="9"/>
      <c r="D64" s="69">
        <f>D57+D63</f>
        <v>104927178</v>
      </c>
      <c r="F64" s="68"/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CE8A3-7031-467B-9EAE-3E345EEB8BA8}">
  <dimension ref="A1:K108"/>
  <sheetViews>
    <sheetView zoomScaleNormal="100" workbookViewId="0">
      <selection activeCell="A2" sqref="A2:D2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8" width="9.25" bestFit="1" customWidth="1"/>
    <col min="9" max="9" width="9.25" customWidth="1"/>
    <col min="10" max="11" width="9.25" bestFit="1" customWidth="1"/>
  </cols>
  <sheetData>
    <row r="1" spans="1:11" ht="17.25" x14ac:dyDescent="0.2">
      <c r="A1" s="1" t="s">
        <v>153</v>
      </c>
      <c r="B1" s="1"/>
    </row>
    <row r="2" spans="1:11" ht="17.25" customHeight="1" x14ac:dyDescent="0.15">
      <c r="A2" s="111" t="s">
        <v>136</v>
      </c>
      <c r="B2" s="111"/>
      <c r="C2" s="111"/>
      <c r="D2" s="111"/>
    </row>
    <row r="3" spans="1:11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50"/>
      <c r="C5" s="49" t="s">
        <v>4</v>
      </c>
      <c r="D5" s="49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16839880</v>
      </c>
      <c r="C9" s="5"/>
      <c r="D9" s="12"/>
      <c r="F9" s="84">
        <v>11111159</v>
      </c>
      <c r="G9" s="84">
        <v>29925</v>
      </c>
      <c r="H9" s="84">
        <v>25737</v>
      </c>
      <c r="I9" s="84">
        <v>342177</v>
      </c>
      <c r="J9" s="84">
        <v>389993</v>
      </c>
      <c r="K9" s="84">
        <v>1321376</v>
      </c>
    </row>
    <row r="10" spans="1:11" ht="14.25" x14ac:dyDescent="0.15">
      <c r="A10" s="53" t="s">
        <v>102</v>
      </c>
      <c r="B10" s="73">
        <f>F9+G9+H9+I9+J9+K9</f>
        <v>13220367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f>F11+G11+H11</f>
        <v>409457</v>
      </c>
      <c r="C11" s="5"/>
      <c r="D11" s="23"/>
      <c r="F11" s="84">
        <v>31580</v>
      </c>
      <c r="G11" s="89">
        <v>375654</v>
      </c>
      <c r="H11" s="84">
        <v>2223</v>
      </c>
    </row>
    <row r="12" spans="1:11" ht="14.25" x14ac:dyDescent="0.15">
      <c r="A12" s="53" t="s">
        <v>128</v>
      </c>
      <c r="B12" s="86">
        <v>1521426</v>
      </c>
      <c r="C12" s="5"/>
      <c r="D12" s="23"/>
    </row>
    <row r="13" spans="1:11" ht="14.25" x14ac:dyDescent="0.15">
      <c r="A13" s="53" t="s">
        <v>129</v>
      </c>
      <c r="B13" s="87">
        <v>1249344</v>
      </c>
      <c r="C13" s="5"/>
      <c r="D13" s="12"/>
    </row>
    <row r="14" spans="1:11" ht="14.25" x14ac:dyDescent="0.15">
      <c r="A14" s="53" t="s">
        <v>130</v>
      </c>
      <c r="B14" s="87">
        <v>439286</v>
      </c>
      <c r="C14" s="5"/>
      <c r="D14" s="12"/>
    </row>
    <row r="15" spans="1:11" ht="14.25" x14ac:dyDescent="0.15">
      <c r="A15" s="55" t="s">
        <v>36</v>
      </c>
      <c r="B15" s="71">
        <f>SUM(B16:B27)</f>
        <v>30160602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f>F16+G16</f>
        <v>5674420</v>
      </c>
      <c r="C16" s="11"/>
      <c r="D16" s="12"/>
      <c r="E16" t="s">
        <v>112</v>
      </c>
      <c r="F16" s="84">
        <v>15400</v>
      </c>
      <c r="G16" s="84">
        <v>5659020</v>
      </c>
      <c r="H16" s="83"/>
    </row>
    <row r="17" spans="1:11" ht="14.25" x14ac:dyDescent="0.15">
      <c r="A17" s="54" t="s">
        <v>15</v>
      </c>
      <c r="B17" s="73">
        <f>F18+G18+H18</f>
        <v>15224565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f>F20+G20+H20</f>
        <v>3941012</v>
      </c>
      <c r="C18" s="11"/>
      <c r="D18" s="12"/>
      <c r="E18" t="s">
        <v>115</v>
      </c>
      <c r="F18" s="84">
        <v>13475384</v>
      </c>
      <c r="G18" s="84">
        <v>1074681</v>
      </c>
      <c r="H18" s="84">
        <v>674500</v>
      </c>
    </row>
    <row r="19" spans="1:11" ht="14.25" x14ac:dyDescent="0.15">
      <c r="A19" s="54" t="s">
        <v>16</v>
      </c>
      <c r="B19" s="73">
        <f>F22+G22+H22</f>
        <v>1934745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f>F24+G24</f>
        <v>1355083</v>
      </c>
      <c r="C20" s="5"/>
      <c r="D20" s="12"/>
      <c r="E20" t="s">
        <v>119</v>
      </c>
      <c r="F20" s="84">
        <v>3428352</v>
      </c>
      <c r="G20" s="84">
        <v>403460</v>
      </c>
      <c r="H20" s="84">
        <v>109200</v>
      </c>
    </row>
    <row r="21" spans="1:11" ht="14.25" x14ac:dyDescent="0.15">
      <c r="A21" s="54" t="s">
        <v>103</v>
      </c>
      <c r="B21" s="73">
        <f>F26+G26</f>
        <v>313077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72</v>
      </c>
      <c r="B22" s="85">
        <v>14900</v>
      </c>
      <c r="C22" s="5"/>
      <c r="D22" s="12"/>
      <c r="E22" t="s">
        <v>120</v>
      </c>
      <c r="F22" s="84">
        <v>1706715</v>
      </c>
      <c r="G22" s="84">
        <v>109330</v>
      </c>
      <c r="H22" s="84">
        <v>118700</v>
      </c>
    </row>
    <row r="23" spans="1:11" ht="14.25" x14ac:dyDescent="0.15">
      <c r="A23" s="54" t="s">
        <v>81</v>
      </c>
      <c r="B23" s="73">
        <f>F28+G28+H28</f>
        <v>331650</v>
      </c>
      <c r="C23" s="5"/>
      <c r="D23" s="12"/>
      <c r="F23" s="83" t="s">
        <v>131</v>
      </c>
      <c r="G23" s="83" t="s">
        <v>117</v>
      </c>
      <c r="H23" s="83"/>
    </row>
    <row r="24" spans="1:11" ht="14.25" x14ac:dyDescent="0.15">
      <c r="A24" s="54" t="s">
        <v>82</v>
      </c>
      <c r="B24" s="85">
        <v>98400</v>
      </c>
      <c r="C24" s="5"/>
      <c r="D24" s="12"/>
      <c r="E24" t="s">
        <v>121</v>
      </c>
      <c r="F24" s="84">
        <v>1252216</v>
      </c>
      <c r="G24" s="84">
        <v>102867</v>
      </c>
      <c r="H24" s="83"/>
    </row>
    <row r="25" spans="1:11" ht="14.25" x14ac:dyDescent="0.15">
      <c r="A25" s="54" t="s">
        <v>17</v>
      </c>
      <c r="B25" s="86">
        <v>1253250</v>
      </c>
      <c r="C25" s="5"/>
      <c r="D25" s="12"/>
      <c r="F25" s="83" t="s">
        <v>116</v>
      </c>
      <c r="G25" s="83" t="s">
        <v>117</v>
      </c>
      <c r="H25" s="83"/>
      <c r="K25" t="s">
        <v>108</v>
      </c>
    </row>
    <row r="26" spans="1:11" ht="14.25" x14ac:dyDescent="0.15">
      <c r="A26" s="54" t="s">
        <v>71</v>
      </c>
      <c r="B26" s="87">
        <v>19500</v>
      </c>
      <c r="C26" s="5"/>
      <c r="D26" s="12"/>
      <c r="E26" t="s">
        <v>122</v>
      </c>
      <c r="F26" s="84">
        <v>290463</v>
      </c>
      <c r="G26" s="84">
        <v>22614</v>
      </c>
      <c r="H26" s="83"/>
    </row>
    <row r="27" spans="1:11" ht="14.25" x14ac:dyDescent="0.15">
      <c r="A27" s="54" t="s">
        <v>79</v>
      </c>
      <c r="B27" s="85">
        <v>0</v>
      </c>
      <c r="C27" s="5"/>
      <c r="D27" s="12"/>
      <c r="F27" s="83" t="s">
        <v>131</v>
      </c>
      <c r="G27" s="83" t="s">
        <v>135</v>
      </c>
      <c r="H27" s="83" t="s">
        <v>118</v>
      </c>
    </row>
    <row r="28" spans="1:11" ht="14.25" x14ac:dyDescent="0.15">
      <c r="A28" s="55" t="s">
        <v>37</v>
      </c>
      <c r="B28" s="88">
        <v>798518</v>
      </c>
      <c r="C28" s="15" t="s">
        <v>0</v>
      </c>
      <c r="D28" s="12"/>
      <c r="E28" t="s">
        <v>123</v>
      </c>
      <c r="F28" s="84">
        <v>274530</v>
      </c>
      <c r="G28" s="84">
        <v>21720</v>
      </c>
      <c r="H28" s="84">
        <v>35400</v>
      </c>
    </row>
    <row r="29" spans="1:11" ht="14.25" x14ac:dyDescent="0.15">
      <c r="A29" s="61" t="s">
        <v>96</v>
      </c>
      <c r="B29" s="88">
        <v>52890</v>
      </c>
      <c r="C29" s="15"/>
      <c r="D29" s="12"/>
    </row>
    <row r="30" spans="1:11" ht="14.25" x14ac:dyDescent="0.15">
      <c r="A30" s="61" t="s">
        <v>38</v>
      </c>
      <c r="B30" s="7"/>
      <c r="C30" s="77">
        <f>B8+B9+B15+B28+B29</f>
        <v>47854275</v>
      </c>
      <c r="D30" s="12"/>
    </row>
    <row r="31" spans="1:11" ht="11.25" customHeight="1" x14ac:dyDescent="0.15">
      <c r="A31" s="11"/>
      <c r="B31" s="14"/>
      <c r="C31" s="5"/>
      <c r="D31" s="78" t="s">
        <v>0</v>
      </c>
    </row>
    <row r="32" spans="1:11" ht="14.25" x14ac:dyDescent="0.15">
      <c r="A32" s="55" t="s">
        <v>20</v>
      </c>
      <c r="B32" s="79" t="s">
        <v>0</v>
      </c>
      <c r="C32" s="5"/>
      <c r="D32" s="25"/>
    </row>
    <row r="33" spans="1:4" ht="14.25" x14ac:dyDescent="0.15">
      <c r="A33" s="55" t="s">
        <v>39</v>
      </c>
      <c r="B33" s="88">
        <f>300001+272321+17726661+24331267+4475167</f>
        <v>47105417</v>
      </c>
      <c r="C33" s="5"/>
      <c r="D33" s="12"/>
    </row>
    <row r="34" spans="1:4" ht="14.25" x14ac:dyDescent="0.15">
      <c r="A34" s="55" t="s">
        <v>54</v>
      </c>
      <c r="B34" s="88">
        <f>1+1+5517+6305+96081+110181+8411+438858+535206+1142304+588449+553414+887586+1176802</f>
        <v>5549116</v>
      </c>
      <c r="C34" s="5"/>
      <c r="D34" s="12"/>
    </row>
    <row r="35" spans="1:4" ht="14.25" x14ac:dyDescent="0.15">
      <c r="A35" s="55" t="s">
        <v>55</v>
      </c>
      <c r="B35" s="88">
        <f>1+447938+947197</f>
        <v>1395136</v>
      </c>
      <c r="C35" s="5"/>
      <c r="D35" s="12"/>
    </row>
    <row r="36" spans="1:4" ht="14.25" x14ac:dyDescent="0.15">
      <c r="A36" s="55" t="s">
        <v>75</v>
      </c>
      <c r="B36" s="88">
        <f>63790+259495</f>
        <v>323285</v>
      </c>
      <c r="C36" s="5"/>
      <c r="D36" s="12"/>
    </row>
    <row r="37" spans="1:4" ht="14.25" x14ac:dyDescent="0.15">
      <c r="A37" s="55" t="s">
        <v>40</v>
      </c>
      <c r="B37" s="88">
        <f>1+1+1+1+1+1+717304+1+1</f>
        <v>717312</v>
      </c>
      <c r="C37" s="5"/>
      <c r="D37" s="12"/>
    </row>
    <row r="38" spans="1:4" ht="14.25" x14ac:dyDescent="0.15">
      <c r="A38" s="55" t="s">
        <v>41</v>
      </c>
      <c r="B38" s="88">
        <v>110600</v>
      </c>
      <c r="C38" s="5"/>
      <c r="D38" s="12"/>
    </row>
    <row r="39" spans="1:4" ht="14.25" x14ac:dyDescent="0.15">
      <c r="A39" s="55" t="s">
        <v>42</v>
      </c>
      <c r="B39" s="88">
        <v>50000</v>
      </c>
      <c r="C39" s="11"/>
      <c r="D39" s="12"/>
    </row>
    <row r="40" spans="1:4" ht="14.25" x14ac:dyDescent="0.15">
      <c r="A40" s="55" t="s">
        <v>66</v>
      </c>
      <c r="B40" s="88">
        <v>156460</v>
      </c>
      <c r="C40" s="76"/>
      <c r="D40" s="12"/>
    </row>
    <row r="41" spans="1:4" ht="14.25" x14ac:dyDescent="0.15">
      <c r="A41" s="61" t="s">
        <v>43</v>
      </c>
      <c r="B41" s="80"/>
      <c r="C41" s="37">
        <f>SUM(B33:B40)</f>
        <v>55407326</v>
      </c>
      <c r="D41" s="12"/>
    </row>
    <row r="42" spans="1:4" ht="8.25" customHeight="1" x14ac:dyDescent="0.15">
      <c r="A42" s="11"/>
      <c r="B42" s="19"/>
      <c r="C42" s="5"/>
      <c r="D42" s="12"/>
    </row>
    <row r="43" spans="1:4" ht="14.25" x14ac:dyDescent="0.15">
      <c r="A43" s="58" t="s">
        <v>23</v>
      </c>
      <c r="B43" s="80"/>
      <c r="C43" s="10"/>
      <c r="D43" s="38">
        <f>C30+C41</f>
        <v>103261601</v>
      </c>
    </row>
    <row r="44" spans="1:4" ht="11.25" customHeight="1" x14ac:dyDescent="0.15">
      <c r="A44" s="9"/>
      <c r="B44" s="62"/>
      <c r="C44" s="62"/>
      <c r="D44" s="62"/>
    </row>
    <row r="45" spans="1:4" ht="14.25" x14ac:dyDescent="0.15">
      <c r="A45" s="60" t="s">
        <v>18</v>
      </c>
      <c r="B45" s="79"/>
      <c r="C45" s="5"/>
      <c r="D45" s="12"/>
    </row>
    <row r="46" spans="1:4" ht="14.25" x14ac:dyDescent="0.15">
      <c r="A46" s="55" t="s">
        <v>21</v>
      </c>
      <c r="B46" s="79"/>
      <c r="C46" s="5"/>
      <c r="D46" s="23"/>
    </row>
    <row r="47" spans="1:4" ht="14.25" x14ac:dyDescent="0.15">
      <c r="A47" s="55" t="s">
        <v>32</v>
      </c>
      <c r="B47" s="88">
        <v>396722</v>
      </c>
      <c r="C47" s="5"/>
      <c r="D47" s="78"/>
    </row>
    <row r="48" spans="1:4" ht="14.25" x14ac:dyDescent="0.15">
      <c r="A48" s="55" t="s">
        <v>33</v>
      </c>
      <c r="B48" s="71">
        <v>0</v>
      </c>
      <c r="C48" s="5"/>
      <c r="D48" s="12"/>
    </row>
    <row r="49" spans="1:8" ht="6.75" customHeight="1" x14ac:dyDescent="0.15">
      <c r="A49" s="59"/>
      <c r="B49" s="79"/>
      <c r="C49" s="11"/>
      <c r="D49" s="12"/>
    </row>
    <row r="50" spans="1:8" ht="14.25" x14ac:dyDescent="0.15">
      <c r="A50" s="55" t="s">
        <v>31</v>
      </c>
      <c r="B50" s="80"/>
      <c r="C50" s="37">
        <f>B47+B48</f>
        <v>396722</v>
      </c>
      <c r="D50" s="23"/>
      <c r="E50" t="s">
        <v>108</v>
      </c>
    </row>
    <row r="51" spans="1:8" ht="11.25" customHeight="1" x14ac:dyDescent="0.15">
      <c r="A51" s="3"/>
      <c r="B51" s="14"/>
      <c r="C51" s="34"/>
      <c r="D51" s="25"/>
    </row>
    <row r="52" spans="1:8" ht="14.25" x14ac:dyDescent="0.15">
      <c r="A52" s="55" t="s">
        <v>22</v>
      </c>
      <c r="B52" s="19"/>
      <c r="C52" s="81"/>
      <c r="D52" s="23"/>
    </row>
    <row r="53" spans="1:8" ht="14.25" x14ac:dyDescent="0.15">
      <c r="A53" s="55" t="s">
        <v>30</v>
      </c>
      <c r="B53" s="88">
        <v>6080000</v>
      </c>
      <c r="C53" s="11"/>
      <c r="D53" s="25"/>
    </row>
    <row r="54" spans="1:8" ht="14.25" x14ac:dyDescent="0.15">
      <c r="A54" s="9"/>
      <c r="B54" s="19"/>
      <c r="C54" s="11"/>
      <c r="D54" s="25"/>
      <c r="G54" t="s">
        <v>108</v>
      </c>
    </row>
    <row r="55" spans="1:8" ht="14.25" x14ac:dyDescent="0.15">
      <c r="A55" s="61" t="s">
        <v>29</v>
      </c>
      <c r="B55" s="10"/>
      <c r="C55" s="37">
        <f>B53</f>
        <v>6080000</v>
      </c>
      <c r="D55" s="23"/>
    </row>
    <row r="56" spans="1:8" ht="6.75" customHeight="1" x14ac:dyDescent="0.15">
      <c r="A56" s="3"/>
      <c r="B56" s="19"/>
      <c r="C56" s="11"/>
      <c r="D56" s="23"/>
    </row>
    <row r="57" spans="1:8" ht="14.25" x14ac:dyDescent="0.15">
      <c r="A57" s="58" t="s">
        <v>24</v>
      </c>
      <c r="B57" s="40"/>
      <c r="C57" s="40"/>
      <c r="D57" s="38">
        <f>C50+C55</f>
        <v>6476722</v>
      </c>
    </row>
    <row r="58" spans="1:8" ht="11.25" customHeight="1" x14ac:dyDescent="0.15">
      <c r="A58" s="3"/>
      <c r="B58" s="19"/>
      <c r="C58" s="11"/>
      <c r="D58" s="23"/>
    </row>
    <row r="59" spans="1:8" ht="14.25" x14ac:dyDescent="0.15">
      <c r="A59" s="55" t="s">
        <v>3</v>
      </c>
      <c r="B59" s="30"/>
      <c r="C59" s="35"/>
      <c r="D59" s="31"/>
    </row>
    <row r="60" spans="1:8" ht="15" customHeight="1" x14ac:dyDescent="0.15">
      <c r="A60" s="55" t="s">
        <v>27</v>
      </c>
      <c r="B60" s="10"/>
      <c r="C60" s="39"/>
      <c r="D60" s="39">
        <v>0</v>
      </c>
      <c r="H60" t="s">
        <v>0</v>
      </c>
    </row>
    <row r="61" spans="1:8" ht="15.75" customHeight="1" x14ac:dyDescent="0.15">
      <c r="A61" s="55" t="s">
        <v>28</v>
      </c>
      <c r="B61" s="47"/>
      <c r="C61" s="9"/>
      <c r="D61" s="43">
        <f>D43-D57</f>
        <v>96784879</v>
      </c>
      <c r="F61" s="90" t="s">
        <v>124</v>
      </c>
    </row>
    <row r="62" spans="1:8" ht="15.75" customHeight="1" x14ac:dyDescent="0.15">
      <c r="A62" s="59" t="s">
        <v>11</v>
      </c>
      <c r="B62" s="9"/>
      <c r="D62" s="70">
        <f>D61-'2.3月'!D60</f>
        <v>1575444</v>
      </c>
      <c r="F62" s="92">
        <f>D62-'[3]令和2年度 '!$P$73</f>
        <v>0</v>
      </c>
    </row>
    <row r="63" spans="1:8" ht="16.5" customHeight="1" x14ac:dyDescent="0.15">
      <c r="A63" s="55" t="s">
        <v>26</v>
      </c>
      <c r="B63" s="22"/>
      <c r="C63" s="48"/>
      <c r="D63" s="44">
        <f>D61</f>
        <v>96784879</v>
      </c>
      <c r="F63" s="91"/>
    </row>
    <row r="64" spans="1:8" ht="14.25" x14ac:dyDescent="0.15">
      <c r="A64" s="55" t="s">
        <v>25</v>
      </c>
      <c r="B64" s="22"/>
      <c r="C64" s="9"/>
      <c r="D64" s="69">
        <f>D57+D63</f>
        <v>103261601</v>
      </c>
      <c r="F64" s="68"/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EF77-19F0-416C-805E-84D1B6DBED7B}">
  <dimension ref="A1:K108"/>
  <sheetViews>
    <sheetView zoomScaleNormal="100" workbookViewId="0">
      <selection activeCell="A2" sqref="A2:D2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8" width="9.25" bestFit="1" customWidth="1"/>
    <col min="9" max="9" width="9.25" customWidth="1"/>
    <col min="10" max="11" width="9.25" bestFit="1" customWidth="1"/>
  </cols>
  <sheetData>
    <row r="1" spans="1:11" ht="17.25" x14ac:dyDescent="0.2">
      <c r="A1" s="1" t="s">
        <v>152</v>
      </c>
      <c r="B1" s="1"/>
    </row>
    <row r="2" spans="1:11" ht="17.25" customHeight="1" x14ac:dyDescent="0.15">
      <c r="A2" s="111" t="s">
        <v>137</v>
      </c>
      <c r="B2" s="111"/>
      <c r="C2" s="111"/>
      <c r="D2" s="111"/>
    </row>
    <row r="3" spans="1:11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50"/>
      <c r="C5" s="49" t="s">
        <v>4</v>
      </c>
      <c r="D5" s="49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16552434</v>
      </c>
      <c r="C9" s="5"/>
      <c r="D9" s="12"/>
      <c r="F9" s="84">
        <f>'[4]0138359'!$AJ$37</f>
        <v>6087098</v>
      </c>
      <c r="G9" s="84">
        <f>'[4]0138642（居宅）'!$AJ$37</f>
        <v>25125</v>
      </c>
      <c r="H9" s="84">
        <f>'[4]0138655（通所）'!$AJ$37</f>
        <v>8278</v>
      </c>
      <c r="I9" s="84">
        <f>'[4]0156560（新庄）'!$AJ$37</f>
        <v>268965</v>
      </c>
      <c r="J9" s="84">
        <f>'[4]0158313（ゆけむり）'!$AJ$37</f>
        <v>315717</v>
      </c>
      <c r="K9" s="84">
        <f>'[4]0139101（ちゃれんじ）'!$AJ$37</f>
        <v>5525616</v>
      </c>
    </row>
    <row r="10" spans="1:11" ht="14.25" x14ac:dyDescent="0.15">
      <c r="A10" s="53" t="s">
        <v>102</v>
      </c>
      <c r="B10" s="73">
        <v>11404522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515718</v>
      </c>
      <c r="C11" s="5"/>
      <c r="D11" s="23"/>
      <c r="F11" s="84">
        <f>'[4]2253865（助け合い）'!$AJ$37</f>
        <v>351901</v>
      </c>
      <c r="G11" s="89">
        <f>'[4]2253871（通所）'!$AJ$37</f>
        <v>584567</v>
      </c>
      <c r="H11" s="84">
        <f>'[4]2254321（ミニ）'!$AJ$37</f>
        <v>37523</v>
      </c>
    </row>
    <row r="12" spans="1:11" ht="14.25" x14ac:dyDescent="0.15">
      <c r="A12" s="53" t="s">
        <v>128</v>
      </c>
      <c r="B12" s="86">
        <v>2106656</v>
      </c>
      <c r="C12" s="5"/>
      <c r="D12" s="23"/>
    </row>
    <row r="13" spans="1:11" ht="14.25" x14ac:dyDescent="0.15">
      <c r="A13" s="53" t="s">
        <v>129</v>
      </c>
      <c r="B13" s="87">
        <v>1933387</v>
      </c>
      <c r="C13" s="5"/>
      <c r="D13" s="12"/>
    </row>
    <row r="14" spans="1:11" ht="14.25" x14ac:dyDescent="0.15">
      <c r="A14" s="53" t="s">
        <v>130</v>
      </c>
      <c r="B14" s="87">
        <v>592151</v>
      </c>
      <c r="C14" s="5"/>
      <c r="D14" s="12"/>
    </row>
    <row r="15" spans="1:11" ht="14.25" x14ac:dyDescent="0.15">
      <c r="A15" s="55" t="s">
        <v>36</v>
      </c>
      <c r="B15" s="71">
        <f>SUM(B16:B27)</f>
        <v>31602178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5925460</v>
      </c>
      <c r="C16" s="11"/>
      <c r="D16" s="12"/>
      <c r="E16" t="s">
        <v>112</v>
      </c>
      <c r="F16" s="84">
        <f>'[5]未収金（認定調査委託料）'!$AJ$37</f>
        <v>36960</v>
      </c>
      <c r="G16" s="84">
        <f>'[5]未収金（居宅支援介護報酬）'!$AJ$37</f>
        <v>5175480</v>
      </c>
      <c r="H16" s="83"/>
    </row>
    <row r="17" spans="1:11" ht="14.25" x14ac:dyDescent="0.15">
      <c r="A17" s="54" t="s">
        <v>15</v>
      </c>
      <c r="B17" s="73">
        <v>17234740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4179160</v>
      </c>
      <c r="C18" s="11"/>
      <c r="D18" s="12"/>
      <c r="E18" t="s">
        <v>115</v>
      </c>
      <c r="F18" s="84">
        <f>'[5]未収金（通所保険請求）'!$AJ$37</f>
        <v>11969869</v>
      </c>
      <c r="G18" s="84">
        <f>'[5]未収金（通所利用者負担）'!$AJ$37</f>
        <v>1176056</v>
      </c>
      <c r="H18" s="84">
        <f>'[5]未収金（通所食費）'!$AJ$37</f>
        <v>647800</v>
      </c>
    </row>
    <row r="19" spans="1:11" ht="14.25" x14ac:dyDescent="0.15">
      <c r="A19" s="54" t="s">
        <v>16</v>
      </c>
      <c r="B19" s="73">
        <v>1789950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1489410</v>
      </c>
      <c r="C20" s="5"/>
      <c r="D20" s="12"/>
      <c r="E20" t="s">
        <v>119</v>
      </c>
      <c r="F20" s="84">
        <f>'[5]未収金（ゆけむり保険請求）'!$AJ$37</f>
        <v>4118472</v>
      </c>
      <c r="G20" s="84">
        <f>'[5]未収金（ゆけむり利用者負担）'!$AJ$37</f>
        <v>616547</v>
      </c>
      <c r="H20" s="84">
        <f>'[5]未収金（ゆけむり食費）'!$AJ$37</f>
        <v>121200</v>
      </c>
    </row>
    <row r="21" spans="1:11" ht="14.25" x14ac:dyDescent="0.15">
      <c r="A21" s="54" t="s">
        <v>103</v>
      </c>
      <c r="B21" s="73">
        <v>342770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72</v>
      </c>
      <c r="B22" s="85">
        <v>10100</v>
      </c>
      <c r="C22" s="5"/>
      <c r="D22" s="12"/>
      <c r="E22" t="s">
        <v>120</v>
      </c>
      <c r="F22" s="84">
        <f>'[5]未収金（予防通所保険請求）'!$AJ$37</f>
        <v>1937111</v>
      </c>
      <c r="G22" s="84">
        <f>'[5]未収金（予防通所利用者負担）'!$AJ$37</f>
        <v>118239</v>
      </c>
      <c r="H22" s="84">
        <f>'[5]未収金（予防通所食費）'!$AJ$37</f>
        <v>139200</v>
      </c>
    </row>
    <row r="23" spans="1:11" ht="14.25" x14ac:dyDescent="0.15">
      <c r="A23" s="54" t="s">
        <v>81</v>
      </c>
      <c r="B23" s="73">
        <v>335688</v>
      </c>
      <c r="C23" s="5"/>
      <c r="D23" s="12"/>
      <c r="F23" s="83" t="s">
        <v>131</v>
      </c>
      <c r="G23" s="83" t="s">
        <v>117</v>
      </c>
      <c r="H23" s="83"/>
    </row>
    <row r="24" spans="1:11" ht="14.25" x14ac:dyDescent="0.15">
      <c r="A24" s="54" t="s">
        <v>82</v>
      </c>
      <c r="B24" s="85">
        <v>129000</v>
      </c>
      <c r="C24" s="5"/>
      <c r="D24" s="12"/>
      <c r="E24" t="s">
        <v>121</v>
      </c>
      <c r="F24" s="84">
        <f>'[5]未収金（処遇改善保険請求）'!$AJ$37</f>
        <v>1262836</v>
      </c>
      <c r="G24" s="84">
        <f>'[5]未収金（処遇改善利用者負担）'!$AJ$37</f>
        <v>135461</v>
      </c>
      <c r="H24" s="83"/>
    </row>
    <row r="25" spans="1:11" ht="14.25" x14ac:dyDescent="0.15">
      <c r="A25" s="54" t="s">
        <v>17</v>
      </c>
      <c r="B25" s="86">
        <v>134900</v>
      </c>
      <c r="C25" s="5"/>
      <c r="D25" s="12"/>
      <c r="F25" s="83" t="s">
        <v>116</v>
      </c>
      <c r="G25" s="83" t="s">
        <v>117</v>
      </c>
      <c r="H25" s="83"/>
      <c r="K25" t="s">
        <v>108</v>
      </c>
    </row>
    <row r="26" spans="1:11" ht="14.25" x14ac:dyDescent="0.15">
      <c r="A26" s="54" t="s">
        <v>71</v>
      </c>
      <c r="B26" s="87">
        <v>31000</v>
      </c>
      <c r="C26" s="5"/>
      <c r="D26" s="12"/>
      <c r="E26" t="s">
        <v>122</v>
      </c>
      <c r="F26" s="84">
        <f>'[5]未収金（特定処遇改善保険請求）'!$AJ$37</f>
        <v>295245</v>
      </c>
      <c r="G26" s="84">
        <f>'[5]未収金（特定処遇改善利用者負担）'!$AJ$37</f>
        <v>32794</v>
      </c>
      <c r="H26" s="83"/>
    </row>
    <row r="27" spans="1:11" ht="14.25" x14ac:dyDescent="0.15">
      <c r="A27" s="54" t="s">
        <v>79</v>
      </c>
      <c r="B27" s="85">
        <v>0</v>
      </c>
      <c r="C27" s="5"/>
      <c r="D27" s="12"/>
      <c r="F27" s="83" t="s">
        <v>131</v>
      </c>
      <c r="G27" s="83" t="s">
        <v>135</v>
      </c>
      <c r="H27" s="83" t="s">
        <v>118</v>
      </c>
    </row>
    <row r="28" spans="1:11" ht="14.25" x14ac:dyDescent="0.15">
      <c r="A28" s="55" t="s">
        <v>37</v>
      </c>
      <c r="B28" s="88">
        <v>825806</v>
      </c>
      <c r="C28" s="15" t="s">
        <v>0</v>
      </c>
      <c r="D28" s="12"/>
      <c r="E28" t="s">
        <v>123</v>
      </c>
      <c r="F28" s="84">
        <f>'[5]未収金（サロン保険請求）'!$AJ$37</f>
        <v>345250</v>
      </c>
      <c r="G28" s="84">
        <f>'[5]未収金（サロン利用者負担）'!$AJ$37</f>
        <v>24274</v>
      </c>
      <c r="H28" s="84">
        <f>'[5]未収金（サロン食費）'!$AJ$37</f>
        <v>42000</v>
      </c>
    </row>
    <row r="29" spans="1:11" ht="14.25" x14ac:dyDescent="0.15">
      <c r="A29" s="61" t="s">
        <v>96</v>
      </c>
      <c r="B29" s="88">
        <v>52890</v>
      </c>
      <c r="C29" s="15"/>
      <c r="D29" s="12"/>
    </row>
    <row r="30" spans="1:11" ht="14.25" x14ac:dyDescent="0.15">
      <c r="A30" s="61" t="s">
        <v>38</v>
      </c>
      <c r="B30" s="7"/>
      <c r="C30" s="77">
        <f>B8+B9+B15+B28+B29</f>
        <v>49035693</v>
      </c>
      <c r="D30" s="12"/>
    </row>
    <row r="31" spans="1:11" ht="11.25" customHeight="1" x14ac:dyDescent="0.15">
      <c r="A31" s="11"/>
      <c r="B31" s="14"/>
      <c r="C31" s="5"/>
      <c r="D31" s="78" t="s">
        <v>0</v>
      </c>
    </row>
    <row r="32" spans="1:11" ht="14.25" x14ac:dyDescent="0.15">
      <c r="A32" s="55" t="s">
        <v>20</v>
      </c>
      <c r="B32" s="79" t="s">
        <v>0</v>
      </c>
      <c r="C32" s="5"/>
      <c r="D32" s="25"/>
    </row>
    <row r="33" spans="1:4" ht="14.25" x14ac:dyDescent="0.15">
      <c r="A33" s="55" t="s">
        <v>39</v>
      </c>
      <c r="B33" s="88">
        <v>47105417</v>
      </c>
      <c r="C33" s="5"/>
      <c r="D33" s="12"/>
    </row>
    <row r="34" spans="1:4" ht="14.25" x14ac:dyDescent="0.15">
      <c r="A34" s="55" t="s">
        <v>54</v>
      </c>
      <c r="B34" s="88">
        <v>5549116</v>
      </c>
      <c r="C34" s="5"/>
      <c r="D34" s="12"/>
    </row>
    <row r="35" spans="1:4" ht="14.25" x14ac:dyDescent="0.15">
      <c r="A35" s="55" t="s">
        <v>55</v>
      </c>
      <c r="B35" s="88">
        <v>1395136</v>
      </c>
      <c r="C35" s="5"/>
      <c r="D35" s="12"/>
    </row>
    <row r="36" spans="1:4" ht="14.25" x14ac:dyDescent="0.15">
      <c r="A36" s="55" t="s">
        <v>75</v>
      </c>
      <c r="B36" s="88">
        <v>323285</v>
      </c>
      <c r="C36" s="5"/>
      <c r="D36" s="12"/>
    </row>
    <row r="37" spans="1:4" ht="14.25" x14ac:dyDescent="0.15">
      <c r="A37" s="55" t="s">
        <v>40</v>
      </c>
      <c r="B37" s="88">
        <v>717312</v>
      </c>
      <c r="C37" s="5"/>
      <c r="D37" s="12"/>
    </row>
    <row r="38" spans="1:4" ht="14.25" x14ac:dyDescent="0.15">
      <c r="A38" s="55" t="s">
        <v>41</v>
      </c>
      <c r="B38" s="88">
        <v>110600</v>
      </c>
      <c r="C38" s="5"/>
      <c r="D38" s="12"/>
    </row>
    <row r="39" spans="1:4" ht="14.25" x14ac:dyDescent="0.15">
      <c r="A39" s="55" t="s">
        <v>42</v>
      </c>
      <c r="B39" s="88">
        <v>50000</v>
      </c>
      <c r="C39" s="11"/>
      <c r="D39" s="12"/>
    </row>
    <row r="40" spans="1:4" ht="14.25" x14ac:dyDescent="0.15">
      <c r="A40" s="55" t="s">
        <v>66</v>
      </c>
      <c r="B40" s="88">
        <v>156460</v>
      </c>
      <c r="C40" s="76"/>
      <c r="D40" s="12"/>
    </row>
    <row r="41" spans="1:4" ht="14.25" x14ac:dyDescent="0.15">
      <c r="A41" s="61" t="s">
        <v>43</v>
      </c>
      <c r="B41" s="80"/>
      <c r="C41" s="37">
        <f>SUM(B33:B40)</f>
        <v>55407326</v>
      </c>
      <c r="D41" s="12"/>
    </row>
    <row r="42" spans="1:4" ht="8.25" customHeight="1" x14ac:dyDescent="0.15">
      <c r="A42" s="11"/>
      <c r="B42" s="19"/>
      <c r="C42" s="5"/>
      <c r="D42" s="12"/>
    </row>
    <row r="43" spans="1:4" ht="14.25" x14ac:dyDescent="0.15">
      <c r="A43" s="58" t="s">
        <v>23</v>
      </c>
      <c r="B43" s="80"/>
      <c r="C43" s="10"/>
      <c r="D43" s="38">
        <f>C30+C41</f>
        <v>104443019</v>
      </c>
    </row>
    <row r="44" spans="1:4" ht="11.25" customHeight="1" x14ac:dyDescent="0.15">
      <c r="A44" s="9"/>
      <c r="B44" s="62"/>
      <c r="C44" s="62"/>
      <c r="D44" s="62"/>
    </row>
    <row r="45" spans="1:4" ht="14.25" x14ac:dyDescent="0.15">
      <c r="A45" s="60" t="s">
        <v>18</v>
      </c>
      <c r="B45" s="79"/>
      <c r="C45" s="5"/>
      <c r="D45" s="12"/>
    </row>
    <row r="46" spans="1:4" ht="14.25" x14ac:dyDescent="0.15">
      <c r="A46" s="55" t="s">
        <v>21</v>
      </c>
      <c r="B46" s="79"/>
      <c r="C46" s="5"/>
      <c r="D46" s="23"/>
    </row>
    <row r="47" spans="1:4" ht="14.25" x14ac:dyDescent="0.15">
      <c r="A47" s="55" t="s">
        <v>32</v>
      </c>
      <c r="B47" s="88">
        <v>502434</v>
      </c>
      <c r="C47" s="5"/>
      <c r="D47" s="78"/>
    </row>
    <row r="48" spans="1:4" ht="14.25" x14ac:dyDescent="0.15">
      <c r="A48" s="55" t="s">
        <v>33</v>
      </c>
      <c r="B48" s="71">
        <v>0</v>
      </c>
      <c r="C48" s="5"/>
      <c r="D48" s="12"/>
    </row>
    <row r="49" spans="1:8" ht="6.75" customHeight="1" x14ac:dyDescent="0.15">
      <c r="A49" s="59"/>
      <c r="B49" s="79"/>
      <c r="C49" s="11"/>
      <c r="D49" s="12"/>
    </row>
    <row r="50" spans="1:8" ht="14.25" x14ac:dyDescent="0.15">
      <c r="A50" s="55" t="s">
        <v>31</v>
      </c>
      <c r="B50" s="80"/>
      <c r="C50" s="37">
        <f>B47+B48</f>
        <v>502434</v>
      </c>
      <c r="D50" s="23"/>
      <c r="E50" t="s">
        <v>108</v>
      </c>
    </row>
    <row r="51" spans="1:8" ht="11.25" customHeight="1" x14ac:dyDescent="0.15">
      <c r="A51" s="3"/>
      <c r="B51" s="14"/>
      <c r="C51" s="34"/>
      <c r="D51" s="25"/>
    </row>
    <row r="52" spans="1:8" ht="14.25" x14ac:dyDescent="0.15">
      <c r="A52" s="55" t="s">
        <v>22</v>
      </c>
      <c r="B52" s="19"/>
      <c r="C52" s="81"/>
      <c r="D52" s="23"/>
    </row>
    <row r="53" spans="1:8" ht="14.25" x14ac:dyDescent="0.15">
      <c r="A53" s="55" t="s">
        <v>30</v>
      </c>
      <c r="B53" s="88">
        <v>5800000</v>
      </c>
      <c r="C53" s="11"/>
      <c r="D53" s="25"/>
    </row>
    <row r="54" spans="1:8" ht="14.25" x14ac:dyDescent="0.15">
      <c r="A54" s="9"/>
      <c r="B54" s="19"/>
      <c r="C54" s="11"/>
      <c r="D54" s="25"/>
      <c r="G54" t="s">
        <v>108</v>
      </c>
    </row>
    <row r="55" spans="1:8" ht="14.25" x14ac:dyDescent="0.15">
      <c r="A55" s="61" t="s">
        <v>29</v>
      </c>
      <c r="B55" s="10"/>
      <c r="C55" s="37">
        <f>B53</f>
        <v>5800000</v>
      </c>
      <c r="D55" s="23"/>
    </row>
    <row r="56" spans="1:8" ht="6.75" customHeight="1" x14ac:dyDescent="0.15">
      <c r="A56" s="3"/>
      <c r="B56" s="19"/>
      <c r="C56" s="11"/>
      <c r="D56" s="23"/>
    </row>
    <row r="57" spans="1:8" ht="14.25" x14ac:dyDescent="0.15">
      <c r="A57" s="58" t="s">
        <v>24</v>
      </c>
      <c r="B57" s="40"/>
      <c r="C57" s="40"/>
      <c r="D57" s="38">
        <f>C50+C55</f>
        <v>6302434</v>
      </c>
    </row>
    <row r="58" spans="1:8" ht="11.25" customHeight="1" x14ac:dyDescent="0.15">
      <c r="A58" s="3"/>
      <c r="B58" s="19"/>
      <c r="C58" s="11"/>
      <c r="D58" s="23"/>
    </row>
    <row r="59" spans="1:8" ht="14.25" x14ac:dyDescent="0.15">
      <c r="A59" s="55" t="s">
        <v>3</v>
      </c>
      <c r="B59" s="30"/>
      <c r="C59" s="35"/>
      <c r="D59" s="31"/>
    </row>
    <row r="60" spans="1:8" ht="15" customHeight="1" x14ac:dyDescent="0.15">
      <c r="A60" s="55" t="s">
        <v>27</v>
      </c>
      <c r="B60" s="10"/>
      <c r="C60" s="39"/>
      <c r="D60" s="39">
        <v>0</v>
      </c>
      <c r="H60" t="s">
        <v>0</v>
      </c>
    </row>
    <row r="61" spans="1:8" ht="15.75" customHeight="1" x14ac:dyDescent="0.15">
      <c r="A61" s="55" t="s">
        <v>28</v>
      </c>
      <c r="B61" s="47"/>
      <c r="C61" s="9"/>
      <c r="D61" s="43">
        <f>D43-D57</f>
        <v>98140585</v>
      </c>
      <c r="F61" s="90" t="s">
        <v>124</v>
      </c>
    </row>
    <row r="62" spans="1:8" ht="15.75" customHeight="1" x14ac:dyDescent="0.15">
      <c r="A62" s="59" t="s">
        <v>11</v>
      </c>
      <c r="B62" s="9"/>
      <c r="D62" s="70">
        <f>D63-'3.3月'!D63</f>
        <v>1355706</v>
      </c>
      <c r="F62" s="92">
        <f>D62-[3]令和3年度!$P$73</f>
        <v>1332279</v>
      </c>
    </row>
    <row r="63" spans="1:8" ht="16.5" customHeight="1" x14ac:dyDescent="0.15">
      <c r="A63" s="55" t="s">
        <v>26</v>
      </c>
      <c r="B63" s="22"/>
      <c r="C63" s="48"/>
      <c r="D63" s="44">
        <f>D61</f>
        <v>98140585</v>
      </c>
      <c r="F63" s="91"/>
    </row>
    <row r="64" spans="1:8" ht="14.25" x14ac:dyDescent="0.15">
      <c r="A64" s="55" t="s">
        <v>25</v>
      </c>
      <c r="B64" s="22"/>
      <c r="C64" s="9"/>
      <c r="D64" s="69">
        <f>D57+D63</f>
        <v>104443019</v>
      </c>
      <c r="F64" s="68"/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78E18-9010-43A6-B44B-4438C083C8AA}">
  <dimension ref="A1:K108"/>
  <sheetViews>
    <sheetView topLeftCell="A19" zoomScaleNormal="100" workbookViewId="0">
      <selection activeCell="A2" sqref="A2:D2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8" width="9.25" bestFit="1" customWidth="1"/>
    <col min="9" max="9" width="9.25" customWidth="1"/>
    <col min="10" max="11" width="9.25" bestFit="1" customWidth="1"/>
  </cols>
  <sheetData>
    <row r="1" spans="1:11" ht="17.25" x14ac:dyDescent="0.2">
      <c r="A1" s="1" t="s">
        <v>152</v>
      </c>
      <c r="B1" s="1"/>
    </row>
    <row r="2" spans="1:11" ht="17.25" customHeight="1" x14ac:dyDescent="0.15">
      <c r="A2" s="111" t="s">
        <v>138</v>
      </c>
      <c r="B2" s="111"/>
      <c r="C2" s="111"/>
      <c r="D2" s="111"/>
    </row>
    <row r="3" spans="1:11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50"/>
      <c r="C5" s="49" t="s">
        <v>4</v>
      </c>
      <c r="D5" s="49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17750386</v>
      </c>
      <c r="C9" s="5"/>
      <c r="D9" s="12"/>
      <c r="F9" s="84">
        <f>'[4]0138359'!$AJ$37</f>
        <v>6087098</v>
      </c>
      <c r="G9" s="84">
        <f>'[4]0138642（居宅）'!$AJ$37</f>
        <v>25125</v>
      </c>
      <c r="H9" s="84">
        <f>'[4]0138655（通所）'!$AJ$37</f>
        <v>8278</v>
      </c>
      <c r="I9" s="84">
        <f>'[4]0156560（新庄）'!$AJ$37</f>
        <v>268965</v>
      </c>
      <c r="J9" s="84">
        <f>'[4]0158313（ゆけむり）'!$AJ$37</f>
        <v>315717</v>
      </c>
      <c r="K9" s="84">
        <f>'[4]0139101（ちゃれんじ）'!$AJ$37</f>
        <v>5525616</v>
      </c>
    </row>
    <row r="10" spans="1:11" ht="14.25" x14ac:dyDescent="0.15">
      <c r="A10" s="53" t="s">
        <v>102</v>
      </c>
      <c r="B10" s="73">
        <v>11196087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611669</v>
      </c>
      <c r="C11" s="5"/>
      <c r="D11" s="23"/>
      <c r="F11" s="84">
        <f>'[4]2253865（助け合い）'!$AJ$37</f>
        <v>351901</v>
      </c>
      <c r="G11" s="89">
        <f>'[4]2253871（通所）'!$AJ$37</f>
        <v>584567</v>
      </c>
      <c r="H11" s="84">
        <f>'[4]2254321（ミニ）'!$AJ$37</f>
        <v>37523</v>
      </c>
    </row>
    <row r="12" spans="1:11" ht="14.25" x14ac:dyDescent="0.15">
      <c r="A12" s="53" t="s">
        <v>128</v>
      </c>
      <c r="B12" s="86">
        <v>2795553</v>
      </c>
      <c r="C12" s="5"/>
      <c r="D12" s="23"/>
    </row>
    <row r="13" spans="1:11" ht="14.25" x14ac:dyDescent="0.15">
      <c r="A13" s="53" t="s">
        <v>129</v>
      </c>
      <c r="B13" s="87">
        <v>2523169</v>
      </c>
      <c r="C13" s="5"/>
      <c r="D13" s="12"/>
    </row>
    <row r="14" spans="1:11" ht="14.25" x14ac:dyDescent="0.15">
      <c r="A14" s="53" t="s">
        <v>130</v>
      </c>
      <c r="B14" s="87">
        <v>623908</v>
      </c>
      <c r="C14" s="5"/>
      <c r="D14" s="12"/>
    </row>
    <row r="15" spans="1:11" ht="14.25" x14ac:dyDescent="0.15">
      <c r="A15" s="55" t="s">
        <v>36</v>
      </c>
      <c r="B15" s="71">
        <f>SUM(B16:B27)</f>
        <v>31525684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5908640</v>
      </c>
      <c r="C16" s="11"/>
      <c r="D16" s="12"/>
      <c r="E16" t="s">
        <v>112</v>
      </c>
      <c r="F16" s="84">
        <f>'[5]未収金（認定調査委託料）'!$AJ$37</f>
        <v>36960</v>
      </c>
      <c r="G16" s="84">
        <f>'[5]未収金（居宅支援介護報酬）'!$AJ$37</f>
        <v>5175480</v>
      </c>
      <c r="H16" s="83"/>
    </row>
    <row r="17" spans="1:11" ht="14.25" x14ac:dyDescent="0.15">
      <c r="A17" s="54" t="s">
        <v>15</v>
      </c>
      <c r="B17" s="73">
        <v>17470284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3936124</v>
      </c>
      <c r="C18" s="11"/>
      <c r="D18" s="12"/>
      <c r="E18" t="s">
        <v>115</v>
      </c>
      <c r="F18" s="84">
        <f>'[5]未収金（通所保険請求）'!$AJ$37</f>
        <v>11969869</v>
      </c>
      <c r="G18" s="84">
        <f>'[5]未収金（通所利用者負担）'!$AJ$37</f>
        <v>1176056</v>
      </c>
      <c r="H18" s="84">
        <f>'[5]未収金（通所食費）'!$AJ$37</f>
        <v>647800</v>
      </c>
    </row>
    <row r="19" spans="1:11" ht="14.25" x14ac:dyDescent="0.15">
      <c r="A19" s="54" t="s">
        <v>16</v>
      </c>
      <c r="B19" s="73">
        <v>1793743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1478436</v>
      </c>
      <c r="C20" s="5"/>
      <c r="D20" s="12"/>
      <c r="E20" t="s">
        <v>119</v>
      </c>
      <c r="F20" s="84">
        <f>'[5]未収金（ゆけむり保険請求）'!$AJ$37</f>
        <v>4118472</v>
      </c>
      <c r="G20" s="84">
        <f>'[5]未収金（ゆけむり利用者負担）'!$AJ$37</f>
        <v>616547</v>
      </c>
      <c r="H20" s="84">
        <f>'[5]未収金（ゆけむり食費）'!$AJ$37</f>
        <v>121200</v>
      </c>
    </row>
    <row r="21" spans="1:11" ht="14.25" x14ac:dyDescent="0.15">
      <c r="A21" s="54" t="s">
        <v>103</v>
      </c>
      <c r="B21" s="73">
        <v>338267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72</v>
      </c>
      <c r="B22" s="85">
        <v>19000</v>
      </c>
      <c r="C22" s="5"/>
      <c r="D22" s="12"/>
      <c r="E22" t="s">
        <v>120</v>
      </c>
      <c r="F22" s="84">
        <f>'[5]未収金（予防通所保険請求）'!$AJ$37</f>
        <v>1937111</v>
      </c>
      <c r="G22" s="84">
        <f>'[5]未収金（予防通所利用者負担）'!$AJ$37</f>
        <v>118239</v>
      </c>
      <c r="H22" s="84">
        <f>'[5]未収金（予防通所食費）'!$AJ$37</f>
        <v>139200</v>
      </c>
    </row>
    <row r="23" spans="1:11" ht="14.25" x14ac:dyDescent="0.15">
      <c r="A23" s="54" t="s">
        <v>81</v>
      </c>
      <c r="B23" s="73">
        <v>344590</v>
      </c>
      <c r="C23" s="5"/>
      <c r="D23" s="12"/>
      <c r="F23" s="83" t="s">
        <v>131</v>
      </c>
      <c r="G23" s="83" t="s">
        <v>117</v>
      </c>
      <c r="H23" s="83"/>
    </row>
    <row r="24" spans="1:11" ht="14.25" x14ac:dyDescent="0.15">
      <c r="A24" s="54" t="s">
        <v>82</v>
      </c>
      <c r="B24" s="85">
        <v>102600</v>
      </c>
      <c r="C24" s="5"/>
      <c r="D24" s="12"/>
      <c r="E24" t="s">
        <v>121</v>
      </c>
      <c r="F24" s="84">
        <f>'[5]未収金（処遇改善保険請求）'!$AJ$37</f>
        <v>1262836</v>
      </c>
      <c r="G24" s="84">
        <f>'[5]未収金（処遇改善利用者負担）'!$AJ$37</f>
        <v>135461</v>
      </c>
      <c r="H24" s="83"/>
    </row>
    <row r="25" spans="1:11" ht="14.25" x14ac:dyDescent="0.15">
      <c r="A25" s="54" t="s">
        <v>17</v>
      </c>
      <c r="B25" s="86">
        <v>107000</v>
      </c>
      <c r="C25" s="5"/>
      <c r="D25" s="12"/>
      <c r="F25" s="83" t="s">
        <v>116</v>
      </c>
      <c r="G25" s="83" t="s">
        <v>117</v>
      </c>
      <c r="H25" s="83"/>
      <c r="K25" t="s">
        <v>108</v>
      </c>
    </row>
    <row r="26" spans="1:11" ht="14.25" x14ac:dyDescent="0.15">
      <c r="A26" s="54" t="s">
        <v>71</v>
      </c>
      <c r="B26" s="87">
        <v>27000</v>
      </c>
      <c r="C26" s="5"/>
      <c r="D26" s="12"/>
      <c r="E26" t="s">
        <v>122</v>
      </c>
      <c r="F26" s="84">
        <f>'[5]未収金（特定処遇改善保険請求）'!$AJ$37</f>
        <v>295245</v>
      </c>
      <c r="G26" s="84">
        <f>'[5]未収金（特定処遇改善利用者負担）'!$AJ$37</f>
        <v>32794</v>
      </c>
      <c r="H26" s="83"/>
    </row>
    <row r="27" spans="1:11" ht="14.25" x14ac:dyDescent="0.15">
      <c r="A27" s="54" t="s">
        <v>79</v>
      </c>
      <c r="B27" s="85">
        <v>0</v>
      </c>
      <c r="C27" s="5"/>
      <c r="D27" s="12"/>
      <c r="F27" s="83" t="s">
        <v>131</v>
      </c>
      <c r="G27" s="83" t="s">
        <v>135</v>
      </c>
      <c r="H27" s="83" t="s">
        <v>118</v>
      </c>
    </row>
    <row r="28" spans="1:11" ht="14.25" x14ac:dyDescent="0.15">
      <c r="A28" s="55" t="s">
        <v>37</v>
      </c>
      <c r="B28" s="88">
        <v>728376</v>
      </c>
      <c r="C28" s="15" t="s">
        <v>0</v>
      </c>
      <c r="D28" s="12"/>
      <c r="E28" t="s">
        <v>123</v>
      </c>
      <c r="F28" s="84">
        <f>'[5]未収金（サロン保険請求）'!$AJ$37</f>
        <v>345250</v>
      </c>
      <c r="G28" s="84">
        <f>'[5]未収金（サロン利用者負担）'!$AJ$37</f>
        <v>24274</v>
      </c>
      <c r="H28" s="84">
        <f>'[5]未収金（サロン食費）'!$AJ$37</f>
        <v>42000</v>
      </c>
    </row>
    <row r="29" spans="1:11" ht="14.25" x14ac:dyDescent="0.15">
      <c r="A29" s="61" t="s">
        <v>96</v>
      </c>
      <c r="B29" s="88">
        <v>52890</v>
      </c>
      <c r="C29" s="15"/>
      <c r="D29" s="12"/>
    </row>
    <row r="30" spans="1:11" ht="14.25" x14ac:dyDescent="0.15">
      <c r="A30" s="61" t="s">
        <v>38</v>
      </c>
      <c r="B30" s="7"/>
      <c r="C30" s="77">
        <f>B8+B9+B15+B28+B29</f>
        <v>50059721</v>
      </c>
      <c r="D30" s="12"/>
    </row>
    <row r="31" spans="1:11" ht="11.25" customHeight="1" x14ac:dyDescent="0.15">
      <c r="A31" s="11"/>
      <c r="B31" s="14"/>
      <c r="C31" s="5"/>
      <c r="D31" s="78" t="s">
        <v>0</v>
      </c>
    </row>
    <row r="32" spans="1:11" ht="14.25" x14ac:dyDescent="0.15">
      <c r="A32" s="55" t="s">
        <v>20</v>
      </c>
      <c r="B32" s="79" t="s">
        <v>0</v>
      </c>
      <c r="C32" s="5"/>
      <c r="D32" s="25"/>
    </row>
    <row r="33" spans="1:4" ht="14.25" x14ac:dyDescent="0.15">
      <c r="A33" s="55" t="s">
        <v>39</v>
      </c>
      <c r="B33" s="88">
        <f>300001+272321+17726661+24331267+4475167</f>
        <v>47105417</v>
      </c>
      <c r="C33" s="5"/>
      <c r="D33" s="12"/>
    </row>
    <row r="34" spans="1:4" ht="14.25" x14ac:dyDescent="0.15">
      <c r="A34" s="55" t="s">
        <v>54</v>
      </c>
      <c r="B34" s="88">
        <f>1+1+5517+6305+96081+110181+8411+438858+535206+1142304+588449+553414+887586+1176802</f>
        <v>5549116</v>
      </c>
      <c r="C34" s="5"/>
      <c r="D34" s="12"/>
    </row>
    <row r="35" spans="1:4" ht="14.25" x14ac:dyDescent="0.15">
      <c r="A35" s="55" t="s">
        <v>55</v>
      </c>
      <c r="B35" s="88">
        <f>1+447938+947197</f>
        <v>1395136</v>
      </c>
      <c r="C35" s="5"/>
      <c r="D35" s="12"/>
    </row>
    <row r="36" spans="1:4" ht="14.25" x14ac:dyDescent="0.15">
      <c r="A36" s="55" t="s">
        <v>75</v>
      </c>
      <c r="B36" s="88">
        <f>63790+259495</f>
        <v>323285</v>
      </c>
      <c r="C36" s="5"/>
      <c r="D36" s="12"/>
    </row>
    <row r="37" spans="1:4" ht="14.25" x14ac:dyDescent="0.15">
      <c r="A37" s="55" t="s">
        <v>40</v>
      </c>
      <c r="B37" s="88">
        <f>1+1+1+1+1+1+717304+1+1</f>
        <v>717312</v>
      </c>
      <c r="C37" s="5"/>
      <c r="D37" s="12"/>
    </row>
    <row r="38" spans="1:4" ht="14.25" x14ac:dyDescent="0.15">
      <c r="A38" s="55" t="s">
        <v>41</v>
      </c>
      <c r="B38" s="88">
        <v>110600</v>
      </c>
      <c r="C38" s="5"/>
      <c r="D38" s="12"/>
    </row>
    <row r="39" spans="1:4" ht="14.25" x14ac:dyDescent="0.15">
      <c r="A39" s="55" t="s">
        <v>42</v>
      </c>
      <c r="B39" s="88">
        <v>50000</v>
      </c>
      <c r="C39" s="11"/>
      <c r="D39" s="12"/>
    </row>
    <row r="40" spans="1:4" ht="14.25" x14ac:dyDescent="0.15">
      <c r="A40" s="55" t="s">
        <v>66</v>
      </c>
      <c r="B40" s="88">
        <v>156460</v>
      </c>
      <c r="C40" s="76"/>
      <c r="D40" s="12"/>
    </row>
    <row r="41" spans="1:4" ht="14.25" x14ac:dyDescent="0.15">
      <c r="A41" s="61" t="s">
        <v>43</v>
      </c>
      <c r="B41" s="80"/>
      <c r="C41" s="37">
        <f>SUM(B33:B40)</f>
        <v>55407326</v>
      </c>
      <c r="D41" s="12"/>
    </row>
    <row r="42" spans="1:4" ht="8.25" customHeight="1" x14ac:dyDescent="0.15">
      <c r="A42" s="11"/>
      <c r="B42" s="19"/>
      <c r="C42" s="5"/>
      <c r="D42" s="12"/>
    </row>
    <row r="43" spans="1:4" ht="14.25" x14ac:dyDescent="0.15">
      <c r="A43" s="58" t="s">
        <v>23</v>
      </c>
      <c r="B43" s="80"/>
      <c r="C43" s="10"/>
      <c r="D43" s="38">
        <f>C30+C41</f>
        <v>105467047</v>
      </c>
    </row>
    <row r="44" spans="1:4" ht="11.25" customHeight="1" x14ac:dyDescent="0.15">
      <c r="A44" s="9"/>
      <c r="B44" s="62"/>
      <c r="C44" s="62"/>
      <c r="D44" s="62"/>
    </row>
    <row r="45" spans="1:4" ht="14.25" x14ac:dyDescent="0.15">
      <c r="A45" s="60" t="s">
        <v>18</v>
      </c>
      <c r="B45" s="79"/>
      <c r="C45" s="5"/>
      <c r="D45" s="12"/>
    </row>
    <row r="46" spans="1:4" ht="14.25" x14ac:dyDescent="0.15">
      <c r="A46" s="55" t="s">
        <v>21</v>
      </c>
      <c r="B46" s="79"/>
      <c r="C46" s="5"/>
      <c r="D46" s="23"/>
    </row>
    <row r="47" spans="1:4" ht="14.25" x14ac:dyDescent="0.15">
      <c r="A47" s="55" t="s">
        <v>32</v>
      </c>
      <c r="B47" s="88">
        <v>559672</v>
      </c>
      <c r="C47" s="5"/>
      <c r="D47" s="78"/>
    </row>
    <row r="48" spans="1:4" ht="14.25" x14ac:dyDescent="0.15">
      <c r="A48" s="55" t="s">
        <v>33</v>
      </c>
      <c r="B48" s="71">
        <v>0</v>
      </c>
      <c r="C48" s="5"/>
      <c r="D48" s="12"/>
    </row>
    <row r="49" spans="1:8" ht="6.75" customHeight="1" x14ac:dyDescent="0.15">
      <c r="A49" s="59"/>
      <c r="B49" s="79"/>
      <c r="C49" s="11"/>
      <c r="D49" s="12"/>
    </row>
    <row r="50" spans="1:8" ht="14.25" x14ac:dyDescent="0.15">
      <c r="A50" s="55" t="s">
        <v>31</v>
      </c>
      <c r="B50" s="80"/>
      <c r="C50" s="37">
        <f>B47+B48</f>
        <v>559672</v>
      </c>
      <c r="D50" s="23"/>
      <c r="E50" t="s">
        <v>108</v>
      </c>
    </row>
    <row r="51" spans="1:8" ht="11.25" customHeight="1" x14ac:dyDescent="0.15">
      <c r="A51" s="3"/>
      <c r="B51" s="14"/>
      <c r="C51" s="34"/>
      <c r="D51" s="25"/>
    </row>
    <row r="52" spans="1:8" ht="14.25" x14ac:dyDescent="0.15">
      <c r="A52" s="55" t="s">
        <v>22</v>
      </c>
      <c r="B52" s="19"/>
      <c r="C52" s="81"/>
      <c r="D52" s="23"/>
    </row>
    <row r="53" spans="1:8" ht="14.25" x14ac:dyDescent="0.15">
      <c r="A53" s="55" t="s">
        <v>30</v>
      </c>
      <c r="B53" s="88">
        <v>5520000</v>
      </c>
      <c r="C53" s="11"/>
      <c r="D53" s="25"/>
    </row>
    <row r="54" spans="1:8" ht="14.25" x14ac:dyDescent="0.15">
      <c r="A54" s="9"/>
      <c r="B54" s="19"/>
      <c r="C54" s="11"/>
      <c r="D54" s="25"/>
      <c r="G54" t="s">
        <v>108</v>
      </c>
    </row>
    <row r="55" spans="1:8" ht="14.25" x14ac:dyDescent="0.15">
      <c r="A55" s="61" t="s">
        <v>29</v>
      </c>
      <c r="B55" s="10"/>
      <c r="C55" s="37">
        <f>B53</f>
        <v>5520000</v>
      </c>
      <c r="D55" s="23"/>
    </row>
    <row r="56" spans="1:8" ht="6.75" customHeight="1" x14ac:dyDescent="0.15">
      <c r="A56" s="3"/>
      <c r="B56" s="19"/>
      <c r="C56" s="11"/>
      <c r="D56" s="23"/>
    </row>
    <row r="57" spans="1:8" ht="14.25" x14ac:dyDescent="0.15">
      <c r="A57" s="58" t="s">
        <v>24</v>
      </c>
      <c r="B57" s="40"/>
      <c r="C57" s="40"/>
      <c r="D57" s="38">
        <f>C50+C55</f>
        <v>6079672</v>
      </c>
    </row>
    <row r="58" spans="1:8" ht="11.25" customHeight="1" x14ac:dyDescent="0.15">
      <c r="A58" s="3"/>
      <c r="B58" s="19"/>
      <c r="C58" s="11"/>
      <c r="D58" s="23"/>
    </row>
    <row r="59" spans="1:8" ht="14.25" x14ac:dyDescent="0.15">
      <c r="A59" s="55" t="s">
        <v>3</v>
      </c>
      <c r="B59" s="30"/>
      <c r="C59" s="35"/>
      <c r="D59" s="31"/>
    </row>
    <row r="60" spans="1:8" ht="15" customHeight="1" x14ac:dyDescent="0.15">
      <c r="A60" s="55" t="s">
        <v>27</v>
      </c>
      <c r="B60" s="10"/>
      <c r="C60" s="39"/>
      <c r="D60" s="39">
        <v>0</v>
      </c>
      <c r="H60" t="s">
        <v>0</v>
      </c>
    </row>
    <row r="61" spans="1:8" ht="15.75" customHeight="1" x14ac:dyDescent="0.15">
      <c r="A61" s="55" t="s">
        <v>28</v>
      </c>
      <c r="B61" s="47"/>
      <c r="C61" s="9"/>
      <c r="D61" s="43">
        <f>D43-D57</f>
        <v>99387375</v>
      </c>
      <c r="F61" s="90" t="s">
        <v>124</v>
      </c>
    </row>
    <row r="62" spans="1:8" ht="15.75" customHeight="1" x14ac:dyDescent="0.15">
      <c r="A62" s="59" t="s">
        <v>11</v>
      </c>
      <c r="B62" s="9"/>
      <c r="D62" s="70">
        <f>D63-'3.3月'!D63</f>
        <v>2602496</v>
      </c>
      <c r="F62" s="92">
        <f>D62-[3]令和3年度!$P$73</f>
        <v>2579069</v>
      </c>
    </row>
    <row r="63" spans="1:8" ht="16.5" customHeight="1" x14ac:dyDescent="0.15">
      <c r="A63" s="55" t="s">
        <v>26</v>
      </c>
      <c r="B63" s="22"/>
      <c r="C63" s="48"/>
      <c r="D63" s="44">
        <f>D61</f>
        <v>99387375</v>
      </c>
      <c r="F63" s="91"/>
    </row>
    <row r="64" spans="1:8" ht="14.25" x14ac:dyDescent="0.15">
      <c r="A64" s="55" t="s">
        <v>25</v>
      </c>
      <c r="B64" s="22"/>
      <c r="C64" s="9"/>
      <c r="D64" s="69">
        <f>D57+D63</f>
        <v>105467047</v>
      </c>
      <c r="F64" s="68"/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3AFF-7CA5-4DCB-9CDB-9A4ED6ECB899}">
  <dimension ref="A1:K108"/>
  <sheetViews>
    <sheetView zoomScaleNormal="100" workbookViewId="0">
      <selection activeCell="A2" sqref="A2:D2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8" width="9.25" bestFit="1" customWidth="1"/>
    <col min="9" max="9" width="9.25" customWidth="1"/>
    <col min="10" max="11" width="9.25" bestFit="1" customWidth="1"/>
  </cols>
  <sheetData>
    <row r="1" spans="1:11" ht="17.25" x14ac:dyDescent="0.2">
      <c r="A1" s="1" t="s">
        <v>152</v>
      </c>
      <c r="B1" s="1"/>
    </row>
    <row r="2" spans="1:11" ht="17.25" customHeight="1" x14ac:dyDescent="0.15">
      <c r="A2" s="111" t="s">
        <v>139</v>
      </c>
      <c r="B2" s="111"/>
      <c r="C2" s="111"/>
      <c r="D2" s="111"/>
    </row>
    <row r="3" spans="1:11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50"/>
      <c r="C5" s="49" t="s">
        <v>4</v>
      </c>
      <c r="D5" s="49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18773187</v>
      </c>
      <c r="C9" s="5"/>
      <c r="D9" s="12"/>
      <c r="F9" s="84">
        <f>'[4]0138359'!$AJ$37</f>
        <v>6087098</v>
      </c>
      <c r="G9" s="84">
        <f>'[4]0138642（居宅）'!$AJ$37</f>
        <v>25125</v>
      </c>
      <c r="H9" s="84">
        <f>'[4]0138655（通所）'!$AJ$37</f>
        <v>8278</v>
      </c>
      <c r="I9" s="84">
        <f>'[4]0156560（新庄）'!$AJ$37</f>
        <v>268965</v>
      </c>
      <c r="J9" s="84">
        <f>'[4]0158313（ゆけむり）'!$AJ$37</f>
        <v>315717</v>
      </c>
      <c r="K9" s="84">
        <f>'[4]0139101（ちゃれんじ）'!$AJ$37</f>
        <v>5525616</v>
      </c>
    </row>
    <row r="10" spans="1:11" ht="14.25" x14ac:dyDescent="0.15">
      <c r="A10" s="53" t="s">
        <v>102</v>
      </c>
      <c r="B10" s="73">
        <v>11198344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228176</v>
      </c>
      <c r="C11" s="5"/>
      <c r="D11" s="23"/>
      <c r="F11" s="84">
        <f>'[4]2253865（助け合い）'!$AJ$37</f>
        <v>351901</v>
      </c>
      <c r="G11" s="89">
        <f>'[4]2253871（通所）'!$AJ$37</f>
        <v>584567</v>
      </c>
      <c r="H11" s="84">
        <f>'[4]2254321（ミニ）'!$AJ$37</f>
        <v>37523</v>
      </c>
    </row>
    <row r="12" spans="1:11" ht="14.25" x14ac:dyDescent="0.15">
      <c r="A12" s="53" t="s">
        <v>128</v>
      </c>
      <c r="B12" s="86">
        <v>3483558</v>
      </c>
      <c r="C12" s="5"/>
      <c r="D12" s="23"/>
    </row>
    <row r="13" spans="1:11" ht="14.25" x14ac:dyDescent="0.15">
      <c r="A13" s="53" t="s">
        <v>129</v>
      </c>
      <c r="B13" s="87">
        <v>3069160</v>
      </c>
      <c r="C13" s="5"/>
      <c r="D13" s="12"/>
    </row>
    <row r="14" spans="1:11" ht="14.25" x14ac:dyDescent="0.15">
      <c r="A14" s="53" t="s">
        <v>130</v>
      </c>
      <c r="B14" s="87">
        <v>793949</v>
      </c>
      <c r="C14" s="5"/>
      <c r="D14" s="12"/>
    </row>
    <row r="15" spans="1:11" ht="14.25" x14ac:dyDescent="0.15">
      <c r="A15" s="55" t="s">
        <v>36</v>
      </c>
      <c r="B15" s="71">
        <f>SUM(B16:B27)</f>
        <v>31417092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5786850</v>
      </c>
      <c r="C16" s="11"/>
      <c r="D16" s="12"/>
      <c r="E16" t="s">
        <v>112</v>
      </c>
      <c r="F16" s="84">
        <f>'[5]未収金（認定調査委託料）'!$AJ$37</f>
        <v>36960</v>
      </c>
      <c r="G16" s="84">
        <f>'[5]未収金（居宅支援介護報酬）'!$AJ$37</f>
        <v>5175480</v>
      </c>
      <c r="H16" s="83"/>
    </row>
    <row r="17" spans="1:11" ht="14.25" x14ac:dyDescent="0.15">
      <c r="A17" s="54" t="s">
        <v>15</v>
      </c>
      <c r="B17" s="73">
        <v>17227266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4080421</v>
      </c>
      <c r="C18" s="11"/>
      <c r="D18" s="12"/>
      <c r="E18" t="s">
        <v>115</v>
      </c>
      <c r="F18" s="84">
        <f>'[5]未収金（通所保険請求）'!$AJ$37</f>
        <v>11969869</v>
      </c>
      <c r="G18" s="84">
        <f>'[5]未収金（通所利用者負担）'!$AJ$37</f>
        <v>1176056</v>
      </c>
      <c r="H18" s="84">
        <f>'[5]未収金（通所食費）'!$AJ$37</f>
        <v>647800</v>
      </c>
    </row>
    <row r="19" spans="1:11" ht="14.25" x14ac:dyDescent="0.15">
      <c r="A19" s="54" t="s">
        <v>16</v>
      </c>
      <c r="B19" s="73">
        <v>1875726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1484097</v>
      </c>
      <c r="C20" s="5"/>
      <c r="D20" s="12"/>
      <c r="E20" t="s">
        <v>119</v>
      </c>
      <c r="F20" s="84">
        <f>'[5]未収金（ゆけむり保険請求）'!$AJ$37</f>
        <v>4118472</v>
      </c>
      <c r="G20" s="84">
        <f>'[5]未収金（ゆけむり利用者負担）'!$AJ$37</f>
        <v>616547</v>
      </c>
      <c r="H20" s="84">
        <f>'[5]未収金（ゆけむり食費）'!$AJ$37</f>
        <v>121200</v>
      </c>
    </row>
    <row r="21" spans="1:11" ht="14.25" x14ac:dyDescent="0.15">
      <c r="A21" s="54" t="s">
        <v>103</v>
      </c>
      <c r="B21" s="73">
        <v>340857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72</v>
      </c>
      <c r="B22" s="85">
        <v>19000</v>
      </c>
      <c r="C22" s="5"/>
      <c r="D22" s="12"/>
      <c r="E22" t="s">
        <v>120</v>
      </c>
      <c r="F22" s="84">
        <f>'[5]未収金（予防通所保険請求）'!$AJ$37</f>
        <v>1937111</v>
      </c>
      <c r="G22" s="84">
        <f>'[5]未収金（予防通所利用者負担）'!$AJ$37</f>
        <v>118239</v>
      </c>
      <c r="H22" s="84">
        <f>'[5]未収金（予防通所食費）'!$AJ$37</f>
        <v>139200</v>
      </c>
    </row>
    <row r="23" spans="1:11" ht="14.25" x14ac:dyDescent="0.15">
      <c r="A23" s="54" t="s">
        <v>81</v>
      </c>
      <c r="B23" s="73">
        <v>352875</v>
      </c>
      <c r="C23" s="5"/>
      <c r="D23" s="12"/>
      <c r="F23" s="83" t="s">
        <v>131</v>
      </c>
      <c r="G23" s="83" t="s">
        <v>117</v>
      </c>
      <c r="H23" s="83"/>
    </row>
    <row r="24" spans="1:11" ht="14.25" x14ac:dyDescent="0.15">
      <c r="A24" s="54" t="s">
        <v>82</v>
      </c>
      <c r="B24" s="85">
        <v>101400</v>
      </c>
      <c r="C24" s="5"/>
      <c r="D24" s="12"/>
      <c r="E24" t="s">
        <v>121</v>
      </c>
      <c r="F24" s="84">
        <f>'[5]未収金（処遇改善保険請求）'!$AJ$37</f>
        <v>1262836</v>
      </c>
      <c r="G24" s="84">
        <f>'[5]未収金（処遇改善利用者負担）'!$AJ$37</f>
        <v>135461</v>
      </c>
      <c r="H24" s="83"/>
    </row>
    <row r="25" spans="1:11" ht="14.25" x14ac:dyDescent="0.15">
      <c r="A25" s="54" t="s">
        <v>17</v>
      </c>
      <c r="B25" s="86">
        <v>117600</v>
      </c>
      <c r="C25" s="5"/>
      <c r="D25" s="12"/>
      <c r="F25" s="83" t="s">
        <v>116</v>
      </c>
      <c r="G25" s="83" t="s">
        <v>117</v>
      </c>
      <c r="H25" s="83"/>
      <c r="K25" t="s">
        <v>108</v>
      </c>
    </row>
    <row r="26" spans="1:11" ht="14.25" x14ac:dyDescent="0.15">
      <c r="A26" s="54" t="s">
        <v>71</v>
      </c>
      <c r="B26" s="87">
        <v>31000</v>
      </c>
      <c r="C26" s="5"/>
      <c r="D26" s="12"/>
      <c r="E26" t="s">
        <v>122</v>
      </c>
      <c r="F26" s="84">
        <f>'[5]未収金（特定処遇改善保険請求）'!$AJ$37</f>
        <v>295245</v>
      </c>
      <c r="G26" s="84">
        <f>'[5]未収金（特定処遇改善利用者負担）'!$AJ$37</f>
        <v>32794</v>
      </c>
      <c r="H26" s="83"/>
    </row>
    <row r="27" spans="1:11" ht="14.25" x14ac:dyDescent="0.15">
      <c r="A27" s="54" t="s">
        <v>79</v>
      </c>
      <c r="B27" s="85">
        <v>0</v>
      </c>
      <c r="C27" s="5"/>
      <c r="D27" s="12"/>
      <c r="F27" s="83" t="s">
        <v>131</v>
      </c>
      <c r="G27" s="83" t="s">
        <v>135</v>
      </c>
      <c r="H27" s="83" t="s">
        <v>118</v>
      </c>
    </row>
    <row r="28" spans="1:11" ht="14.25" x14ac:dyDescent="0.15">
      <c r="A28" s="55" t="s">
        <v>37</v>
      </c>
      <c r="B28" s="88">
        <v>748376</v>
      </c>
      <c r="C28" s="15" t="s">
        <v>0</v>
      </c>
      <c r="D28" s="12"/>
      <c r="E28" t="s">
        <v>123</v>
      </c>
      <c r="F28" s="84">
        <f>'[5]未収金（サロン保険請求）'!$AJ$37</f>
        <v>345250</v>
      </c>
      <c r="G28" s="84">
        <f>'[5]未収金（サロン利用者負担）'!$AJ$37</f>
        <v>24274</v>
      </c>
      <c r="H28" s="84">
        <f>'[5]未収金（サロン食費）'!$AJ$37</f>
        <v>42000</v>
      </c>
    </row>
    <row r="29" spans="1:11" ht="14.25" x14ac:dyDescent="0.15">
      <c r="A29" s="61" t="s">
        <v>96</v>
      </c>
      <c r="B29" s="88">
        <v>52890</v>
      </c>
      <c r="C29" s="15"/>
      <c r="D29" s="12"/>
    </row>
    <row r="30" spans="1:11" ht="14.25" x14ac:dyDescent="0.15">
      <c r="A30" s="61" t="s">
        <v>38</v>
      </c>
      <c r="B30" s="7"/>
      <c r="C30" s="77">
        <f>B8+B9+B15+B28+B29</f>
        <v>50993930</v>
      </c>
      <c r="D30" s="12"/>
    </row>
    <row r="31" spans="1:11" ht="11.25" customHeight="1" x14ac:dyDescent="0.15">
      <c r="A31" s="11"/>
      <c r="B31" s="14"/>
      <c r="C31" s="5"/>
      <c r="D31" s="78" t="s">
        <v>0</v>
      </c>
    </row>
    <row r="32" spans="1:11" ht="14.25" x14ac:dyDescent="0.15">
      <c r="A32" s="55" t="s">
        <v>20</v>
      </c>
      <c r="B32" s="79" t="s">
        <v>0</v>
      </c>
      <c r="C32" s="5"/>
      <c r="D32" s="25"/>
    </row>
    <row r="33" spans="1:4" ht="14.25" x14ac:dyDescent="0.15">
      <c r="A33" s="55" t="s">
        <v>39</v>
      </c>
      <c r="B33" s="88">
        <f>300001+272321+17726661+24331267+4475167</f>
        <v>47105417</v>
      </c>
      <c r="C33" s="5"/>
      <c r="D33" s="12"/>
    </row>
    <row r="34" spans="1:4" ht="14.25" x14ac:dyDescent="0.15">
      <c r="A34" s="55" t="s">
        <v>54</v>
      </c>
      <c r="B34" s="88">
        <f>1+1+5517+6305+96081+110181+8411+438858+535206+1142304+588449+553414+887586+1176802</f>
        <v>5549116</v>
      </c>
      <c r="C34" s="5"/>
      <c r="D34" s="12"/>
    </row>
    <row r="35" spans="1:4" ht="14.25" x14ac:dyDescent="0.15">
      <c r="A35" s="55" t="s">
        <v>55</v>
      </c>
      <c r="B35" s="88">
        <f>1+447938+947197</f>
        <v>1395136</v>
      </c>
      <c r="C35" s="5"/>
      <c r="D35" s="12"/>
    </row>
    <row r="36" spans="1:4" ht="14.25" x14ac:dyDescent="0.15">
      <c r="A36" s="55" t="s">
        <v>75</v>
      </c>
      <c r="B36" s="88">
        <f>63790+259495</f>
        <v>323285</v>
      </c>
      <c r="C36" s="5"/>
      <c r="D36" s="12"/>
    </row>
    <row r="37" spans="1:4" ht="14.25" x14ac:dyDescent="0.15">
      <c r="A37" s="55" t="s">
        <v>40</v>
      </c>
      <c r="B37" s="88">
        <f>1+1+1+1+1+1+717304+1+1</f>
        <v>717312</v>
      </c>
      <c r="C37" s="5"/>
      <c r="D37" s="12"/>
    </row>
    <row r="38" spans="1:4" ht="14.25" x14ac:dyDescent="0.15">
      <c r="A38" s="55" t="s">
        <v>41</v>
      </c>
      <c r="B38" s="88">
        <v>110600</v>
      </c>
      <c r="C38" s="5"/>
      <c r="D38" s="12"/>
    </row>
    <row r="39" spans="1:4" ht="14.25" x14ac:dyDescent="0.15">
      <c r="A39" s="55" t="s">
        <v>42</v>
      </c>
      <c r="B39" s="88">
        <v>50000</v>
      </c>
      <c r="C39" s="11"/>
      <c r="D39" s="12"/>
    </row>
    <row r="40" spans="1:4" ht="14.25" x14ac:dyDescent="0.15">
      <c r="A40" s="55" t="s">
        <v>66</v>
      </c>
      <c r="B40" s="88">
        <v>156460</v>
      </c>
      <c r="C40" s="76"/>
      <c r="D40" s="12"/>
    </row>
    <row r="41" spans="1:4" ht="14.25" x14ac:dyDescent="0.15">
      <c r="A41" s="61" t="s">
        <v>43</v>
      </c>
      <c r="B41" s="80"/>
      <c r="C41" s="37">
        <f>SUM(B33:B40)</f>
        <v>55407326</v>
      </c>
      <c r="D41" s="12"/>
    </row>
    <row r="42" spans="1:4" ht="8.25" customHeight="1" x14ac:dyDescent="0.15">
      <c r="A42" s="11"/>
      <c r="B42" s="19"/>
      <c r="C42" s="5"/>
      <c r="D42" s="12"/>
    </row>
    <row r="43" spans="1:4" ht="14.25" x14ac:dyDescent="0.15">
      <c r="A43" s="58" t="s">
        <v>23</v>
      </c>
      <c r="B43" s="80"/>
      <c r="C43" s="10"/>
      <c r="D43" s="38">
        <f>C30+C41</f>
        <v>106401256</v>
      </c>
    </row>
    <row r="44" spans="1:4" ht="11.25" customHeight="1" x14ac:dyDescent="0.15">
      <c r="A44" s="9"/>
      <c r="B44" s="62"/>
      <c r="C44" s="62"/>
      <c r="D44" s="62"/>
    </row>
    <row r="45" spans="1:4" ht="14.25" x14ac:dyDescent="0.15">
      <c r="A45" s="60" t="s">
        <v>18</v>
      </c>
      <c r="B45" s="79"/>
      <c r="C45" s="5"/>
      <c r="D45" s="12"/>
    </row>
    <row r="46" spans="1:4" ht="14.25" x14ac:dyDescent="0.15">
      <c r="A46" s="55" t="s">
        <v>21</v>
      </c>
      <c r="B46" s="79"/>
      <c r="C46" s="5"/>
      <c r="D46" s="23"/>
    </row>
    <row r="47" spans="1:4" ht="14.25" x14ac:dyDescent="0.15">
      <c r="A47" s="55" t="s">
        <v>32</v>
      </c>
      <c r="B47" s="88">
        <v>329915</v>
      </c>
      <c r="C47" s="5"/>
      <c r="D47" s="78"/>
    </row>
    <row r="48" spans="1:4" ht="14.25" x14ac:dyDescent="0.15">
      <c r="A48" s="55" t="s">
        <v>33</v>
      </c>
      <c r="B48" s="71">
        <v>0</v>
      </c>
      <c r="C48" s="5"/>
      <c r="D48" s="12"/>
    </row>
    <row r="49" spans="1:8" ht="6.75" customHeight="1" x14ac:dyDescent="0.15">
      <c r="A49" s="59"/>
      <c r="B49" s="79"/>
      <c r="C49" s="11"/>
      <c r="D49" s="12"/>
    </row>
    <row r="50" spans="1:8" ht="14.25" x14ac:dyDescent="0.15">
      <c r="A50" s="55" t="s">
        <v>31</v>
      </c>
      <c r="B50" s="80"/>
      <c r="C50" s="37">
        <f>B47+B48</f>
        <v>329915</v>
      </c>
      <c r="D50" s="23"/>
      <c r="E50" t="s">
        <v>108</v>
      </c>
    </row>
    <row r="51" spans="1:8" ht="11.25" customHeight="1" x14ac:dyDescent="0.15">
      <c r="A51" s="3"/>
      <c r="B51" s="14"/>
      <c r="C51" s="34"/>
      <c r="D51" s="25"/>
    </row>
    <row r="52" spans="1:8" ht="14.25" x14ac:dyDescent="0.15">
      <c r="A52" s="55" t="s">
        <v>22</v>
      </c>
      <c r="B52" s="19"/>
      <c r="C52" s="81"/>
      <c r="D52" s="23"/>
    </row>
    <row r="53" spans="1:8" ht="14.25" x14ac:dyDescent="0.15">
      <c r="A53" s="55" t="s">
        <v>30</v>
      </c>
      <c r="B53" s="88">
        <v>5240000</v>
      </c>
      <c r="C53" s="11"/>
      <c r="D53" s="25"/>
    </row>
    <row r="54" spans="1:8" ht="14.25" x14ac:dyDescent="0.15">
      <c r="A54" s="9"/>
      <c r="B54" s="19"/>
      <c r="C54" s="11"/>
      <c r="D54" s="25"/>
      <c r="G54" t="s">
        <v>108</v>
      </c>
    </row>
    <row r="55" spans="1:8" ht="14.25" x14ac:dyDescent="0.15">
      <c r="A55" s="61" t="s">
        <v>29</v>
      </c>
      <c r="B55" s="10"/>
      <c r="C55" s="37">
        <f>B53</f>
        <v>5240000</v>
      </c>
      <c r="D55" s="23"/>
    </row>
    <row r="56" spans="1:8" ht="6.75" customHeight="1" x14ac:dyDescent="0.15">
      <c r="A56" s="3"/>
      <c r="B56" s="19"/>
      <c r="C56" s="11"/>
      <c r="D56" s="23"/>
    </row>
    <row r="57" spans="1:8" ht="14.25" x14ac:dyDescent="0.15">
      <c r="A57" s="58" t="s">
        <v>24</v>
      </c>
      <c r="B57" s="40"/>
      <c r="C57" s="40"/>
      <c r="D57" s="38">
        <f>C50+C55</f>
        <v>5569915</v>
      </c>
    </row>
    <row r="58" spans="1:8" ht="11.25" customHeight="1" x14ac:dyDescent="0.15">
      <c r="A58" s="3"/>
      <c r="B58" s="19"/>
      <c r="C58" s="11"/>
      <c r="D58" s="23"/>
    </row>
    <row r="59" spans="1:8" ht="14.25" x14ac:dyDescent="0.15">
      <c r="A59" s="55" t="s">
        <v>3</v>
      </c>
      <c r="B59" s="30"/>
      <c r="C59" s="35"/>
      <c r="D59" s="31"/>
    </row>
    <row r="60" spans="1:8" ht="15" customHeight="1" x14ac:dyDescent="0.15">
      <c r="A60" s="55" t="s">
        <v>27</v>
      </c>
      <c r="B60" s="10"/>
      <c r="C60" s="39"/>
      <c r="D60" s="39">
        <v>0</v>
      </c>
      <c r="H60" t="s">
        <v>0</v>
      </c>
    </row>
    <row r="61" spans="1:8" ht="15.75" customHeight="1" x14ac:dyDescent="0.15">
      <c r="A61" s="55" t="s">
        <v>28</v>
      </c>
      <c r="B61" s="47"/>
      <c r="C61" s="9"/>
      <c r="D61" s="43">
        <f>D43-D57</f>
        <v>100831341</v>
      </c>
      <c r="F61" s="90" t="s">
        <v>124</v>
      </c>
    </row>
    <row r="62" spans="1:8" ht="15.75" customHeight="1" x14ac:dyDescent="0.15">
      <c r="A62" s="59" t="s">
        <v>11</v>
      </c>
      <c r="B62" s="9"/>
      <c r="D62" s="70">
        <f>D63-'3.3月'!D63</f>
        <v>4046462</v>
      </c>
      <c r="F62" s="92">
        <f>D62-[3]令和3年度!$P$73</f>
        <v>4023035</v>
      </c>
    </row>
    <row r="63" spans="1:8" ht="16.5" customHeight="1" x14ac:dyDescent="0.15">
      <c r="A63" s="55" t="s">
        <v>26</v>
      </c>
      <c r="B63" s="22"/>
      <c r="C63" s="48"/>
      <c r="D63" s="44">
        <f>D61</f>
        <v>100831341</v>
      </c>
      <c r="F63" s="91"/>
    </row>
    <row r="64" spans="1:8" ht="14.25" x14ac:dyDescent="0.15">
      <c r="A64" s="55" t="s">
        <v>25</v>
      </c>
      <c r="B64" s="22"/>
      <c r="C64" s="9"/>
      <c r="D64" s="69">
        <f>D57+D63</f>
        <v>106401256</v>
      </c>
      <c r="F64" s="68"/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F4C74-FEF0-4DC7-B551-EC3EABF2C831}">
  <dimension ref="A1:K108"/>
  <sheetViews>
    <sheetView zoomScaleNormal="100" workbookViewId="0">
      <selection activeCell="A2" sqref="A2:D2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8" width="9.25" bestFit="1" customWidth="1"/>
    <col min="9" max="9" width="9.25" customWidth="1"/>
    <col min="10" max="11" width="9.25" bestFit="1" customWidth="1"/>
  </cols>
  <sheetData>
    <row r="1" spans="1:11" ht="17.25" x14ac:dyDescent="0.2">
      <c r="A1" s="1" t="s">
        <v>152</v>
      </c>
      <c r="B1" s="1"/>
    </row>
    <row r="2" spans="1:11" ht="17.25" customHeight="1" x14ac:dyDescent="0.15">
      <c r="A2" s="111" t="s">
        <v>140</v>
      </c>
      <c r="B2" s="111"/>
      <c r="C2" s="111"/>
      <c r="D2" s="111"/>
    </row>
    <row r="3" spans="1:11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50"/>
      <c r="C5" s="49" t="s">
        <v>4</v>
      </c>
      <c r="D5" s="49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18026632</v>
      </c>
      <c r="C9" s="5"/>
      <c r="D9" s="12"/>
      <c r="F9" s="84">
        <f>'[4]0138359'!$AJ$37</f>
        <v>6087098</v>
      </c>
      <c r="G9" s="84">
        <f>'[4]0138642（居宅）'!$AJ$37</f>
        <v>25125</v>
      </c>
      <c r="H9" s="84">
        <f>'[4]0138655（通所）'!$AJ$37</f>
        <v>8278</v>
      </c>
      <c r="I9" s="84">
        <f>'[4]0156560（新庄）'!$AJ$37</f>
        <v>268965</v>
      </c>
      <c r="J9" s="84">
        <f>'[4]0158313（ゆけむり）'!$AJ$37</f>
        <v>315717</v>
      </c>
      <c r="K9" s="84">
        <f>'[4]0139101（ちゃれんじ）'!$AJ$37</f>
        <v>5525616</v>
      </c>
    </row>
    <row r="10" spans="1:11" ht="14.25" x14ac:dyDescent="0.15">
      <c r="A10" s="53" t="s">
        <v>102</v>
      </c>
      <c r="B10" s="73">
        <v>15494693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1446017</v>
      </c>
      <c r="C11" s="5"/>
      <c r="D11" s="23"/>
      <c r="F11" s="84">
        <f>'[4]2253865（助け合い）'!$AJ$37</f>
        <v>351901</v>
      </c>
      <c r="G11" s="89">
        <f>'[4]2253871（通所）'!$AJ$37</f>
        <v>584567</v>
      </c>
      <c r="H11" s="84">
        <f>'[4]2254321（ミニ）'!$AJ$37</f>
        <v>37523</v>
      </c>
    </row>
    <row r="12" spans="1:11" ht="14.25" x14ac:dyDescent="0.15">
      <c r="A12" s="53" t="s">
        <v>128</v>
      </c>
      <c r="B12" s="86">
        <v>906709</v>
      </c>
      <c r="C12" s="5"/>
      <c r="D12" s="23"/>
    </row>
    <row r="13" spans="1:11" ht="14.25" x14ac:dyDescent="0.15">
      <c r="A13" s="53" t="s">
        <v>129</v>
      </c>
      <c r="B13" s="87">
        <v>178528</v>
      </c>
      <c r="C13" s="5"/>
      <c r="D13" s="12"/>
    </row>
    <row r="14" spans="1:11" ht="14.25" x14ac:dyDescent="0.15">
      <c r="A14" s="53" t="s">
        <v>130</v>
      </c>
      <c r="B14" s="87">
        <v>685</v>
      </c>
      <c r="C14" s="5"/>
      <c r="D14" s="12"/>
    </row>
    <row r="15" spans="1:11" ht="14.25" x14ac:dyDescent="0.15">
      <c r="A15" s="55" t="s">
        <v>36</v>
      </c>
      <c r="B15" s="71">
        <f>SUM(B16:B27)</f>
        <v>30457799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5594380</v>
      </c>
      <c r="C16" s="11"/>
      <c r="D16" s="12"/>
      <c r="E16" t="s">
        <v>112</v>
      </c>
      <c r="F16" s="84">
        <f>'[5]未収金（認定調査委託料）'!$AJ$37</f>
        <v>36960</v>
      </c>
      <c r="G16" s="84">
        <f>'[5]未収金（居宅支援介護報酬）'!$AJ$37</f>
        <v>5175480</v>
      </c>
      <c r="H16" s="83"/>
    </row>
    <row r="17" spans="1:11" ht="14.25" x14ac:dyDescent="0.15">
      <c r="A17" s="54" t="s">
        <v>15</v>
      </c>
      <c r="B17" s="73">
        <v>16154841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4459624</v>
      </c>
      <c r="C18" s="11"/>
      <c r="D18" s="12"/>
      <c r="E18" t="s">
        <v>115</v>
      </c>
      <c r="F18" s="84">
        <f>'[5]未収金（通所保険請求）'!$AJ$37</f>
        <v>11969869</v>
      </c>
      <c r="G18" s="84">
        <f>'[5]未収金（通所利用者負担）'!$AJ$37</f>
        <v>1176056</v>
      </c>
      <c r="H18" s="84">
        <f>'[5]未収金（通所食費）'!$AJ$37</f>
        <v>647800</v>
      </c>
    </row>
    <row r="19" spans="1:11" ht="14.25" x14ac:dyDescent="0.15">
      <c r="A19" s="54" t="s">
        <v>16</v>
      </c>
      <c r="B19" s="73">
        <v>2104936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1202042</v>
      </c>
      <c r="C20" s="5"/>
      <c r="D20" s="12"/>
      <c r="E20" t="s">
        <v>119</v>
      </c>
      <c r="F20" s="84">
        <f>'[5]未収金（ゆけむり保険請求）'!$AJ$37</f>
        <v>4118472</v>
      </c>
      <c r="G20" s="84">
        <f>'[5]未収金（ゆけむり利用者負担）'!$AJ$37</f>
        <v>616547</v>
      </c>
      <c r="H20" s="84">
        <f>'[5]未収金（ゆけむり食費）'!$AJ$37</f>
        <v>121200</v>
      </c>
    </row>
    <row r="21" spans="1:11" ht="14.25" x14ac:dyDescent="0.15">
      <c r="A21" s="54" t="s">
        <v>103</v>
      </c>
      <c r="B21" s="73">
        <v>339528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72</v>
      </c>
      <c r="B22" s="85">
        <v>16300</v>
      </c>
      <c r="C22" s="5"/>
      <c r="D22" s="12"/>
      <c r="E22" t="s">
        <v>120</v>
      </c>
      <c r="F22" s="84">
        <f>'[5]未収金（予防通所保険請求）'!$AJ$37</f>
        <v>1937111</v>
      </c>
      <c r="G22" s="84">
        <f>'[5]未収金（予防通所利用者負担）'!$AJ$37</f>
        <v>118239</v>
      </c>
      <c r="H22" s="84">
        <f>'[5]未収金（予防通所食費）'!$AJ$37</f>
        <v>139200</v>
      </c>
    </row>
    <row r="23" spans="1:11" ht="14.25" x14ac:dyDescent="0.15">
      <c r="A23" s="54" t="s">
        <v>81</v>
      </c>
      <c r="B23" s="73">
        <v>329648</v>
      </c>
      <c r="C23" s="5"/>
      <c r="D23" s="12"/>
      <c r="F23" s="83" t="s">
        <v>131</v>
      </c>
      <c r="G23" s="83" t="s">
        <v>117</v>
      </c>
      <c r="H23" s="83"/>
    </row>
    <row r="24" spans="1:11" ht="14.25" x14ac:dyDescent="0.15">
      <c r="A24" s="54" t="s">
        <v>82</v>
      </c>
      <c r="B24" s="85">
        <v>101400</v>
      </c>
      <c r="C24" s="5"/>
      <c r="D24" s="12"/>
      <c r="E24" t="s">
        <v>121</v>
      </c>
      <c r="F24" s="84">
        <f>'[5]未収金（処遇改善保険請求）'!$AJ$37</f>
        <v>1262836</v>
      </c>
      <c r="G24" s="84">
        <f>'[5]未収金（処遇改善利用者負担）'!$AJ$37</f>
        <v>135461</v>
      </c>
      <c r="H24" s="83"/>
    </row>
    <row r="25" spans="1:11" ht="14.25" x14ac:dyDescent="0.15">
      <c r="A25" s="54" t="s">
        <v>17</v>
      </c>
      <c r="B25" s="86">
        <v>127100</v>
      </c>
      <c r="C25" s="5"/>
      <c r="D25" s="12"/>
      <c r="F25" s="83" t="s">
        <v>116</v>
      </c>
      <c r="G25" s="83" t="s">
        <v>117</v>
      </c>
      <c r="H25" s="83"/>
      <c r="K25" t="s">
        <v>108</v>
      </c>
    </row>
    <row r="26" spans="1:11" ht="14.25" x14ac:dyDescent="0.15">
      <c r="A26" s="54" t="s">
        <v>71</v>
      </c>
      <c r="B26" s="87">
        <v>28000</v>
      </c>
      <c r="C26" s="5"/>
      <c r="D26" s="12"/>
      <c r="E26" t="s">
        <v>122</v>
      </c>
      <c r="F26" s="84">
        <f>'[5]未収金（特定処遇改善保険請求）'!$AJ$37</f>
        <v>295245</v>
      </c>
      <c r="G26" s="84">
        <f>'[5]未収金（特定処遇改善利用者負担）'!$AJ$37</f>
        <v>32794</v>
      </c>
      <c r="H26" s="83"/>
    </row>
    <row r="27" spans="1:11" ht="14.25" x14ac:dyDescent="0.15">
      <c r="A27" s="54" t="s">
        <v>79</v>
      </c>
      <c r="B27" s="85">
        <v>0</v>
      </c>
      <c r="C27" s="5"/>
      <c r="D27" s="12"/>
      <c r="F27" s="83" t="s">
        <v>131</v>
      </c>
      <c r="G27" s="83" t="s">
        <v>135</v>
      </c>
      <c r="H27" s="83" t="s">
        <v>118</v>
      </c>
    </row>
    <row r="28" spans="1:11" ht="14.25" x14ac:dyDescent="0.15">
      <c r="A28" s="55" t="s">
        <v>37</v>
      </c>
      <c r="B28" s="88">
        <v>798376</v>
      </c>
      <c r="C28" s="15" t="s">
        <v>0</v>
      </c>
      <c r="D28" s="12"/>
      <c r="E28" t="s">
        <v>123</v>
      </c>
      <c r="F28" s="84">
        <f>'[5]未収金（サロン保険請求）'!$AJ$37</f>
        <v>345250</v>
      </c>
      <c r="G28" s="84">
        <f>'[5]未収金（サロン利用者負担）'!$AJ$37</f>
        <v>24274</v>
      </c>
      <c r="H28" s="84">
        <f>'[5]未収金（サロン食費）'!$AJ$37</f>
        <v>42000</v>
      </c>
    </row>
    <row r="29" spans="1:11" ht="14.25" x14ac:dyDescent="0.15">
      <c r="A29" s="61" t="s">
        <v>96</v>
      </c>
      <c r="B29" s="88">
        <v>52890</v>
      </c>
      <c r="C29" s="15"/>
      <c r="D29" s="12"/>
    </row>
    <row r="30" spans="1:11" ht="14.25" x14ac:dyDescent="0.15">
      <c r="A30" s="61" t="s">
        <v>38</v>
      </c>
      <c r="B30" s="7"/>
      <c r="C30" s="77">
        <f>B8+B9+B15+B28+B29</f>
        <v>49338082</v>
      </c>
      <c r="D30" s="12"/>
    </row>
    <row r="31" spans="1:11" ht="11.25" customHeight="1" x14ac:dyDescent="0.15">
      <c r="A31" s="11"/>
      <c r="B31" s="14"/>
      <c r="C31" s="5"/>
      <c r="D31" s="78" t="s">
        <v>0</v>
      </c>
    </row>
    <row r="32" spans="1:11" ht="14.25" x14ac:dyDescent="0.15">
      <c r="A32" s="55" t="s">
        <v>20</v>
      </c>
      <c r="B32" s="79" t="s">
        <v>0</v>
      </c>
      <c r="C32" s="5"/>
      <c r="D32" s="25"/>
    </row>
    <row r="33" spans="1:4" ht="14.25" x14ac:dyDescent="0.15">
      <c r="A33" s="55" t="s">
        <v>39</v>
      </c>
      <c r="B33" s="88">
        <f>300001+272321+17726661+24331267+4475167</f>
        <v>47105417</v>
      </c>
      <c r="C33" s="5"/>
      <c r="D33" s="12"/>
    </row>
    <row r="34" spans="1:4" ht="14.25" x14ac:dyDescent="0.15">
      <c r="A34" s="55" t="s">
        <v>54</v>
      </c>
      <c r="B34" s="88">
        <f>1+1+5517+6305+96081+110181+8411+438858+535206+1142304+588449+553414+887586+1176802</f>
        <v>5549116</v>
      </c>
      <c r="C34" s="5"/>
      <c r="D34" s="12"/>
    </row>
    <row r="35" spans="1:4" ht="14.25" x14ac:dyDescent="0.15">
      <c r="A35" s="55" t="s">
        <v>55</v>
      </c>
      <c r="B35" s="88">
        <f>1+447938+947197</f>
        <v>1395136</v>
      </c>
      <c r="C35" s="5"/>
      <c r="D35" s="12"/>
    </row>
    <row r="36" spans="1:4" ht="14.25" x14ac:dyDescent="0.15">
      <c r="A36" s="55" t="s">
        <v>75</v>
      </c>
      <c r="B36" s="88">
        <f>63790+259495</f>
        <v>323285</v>
      </c>
      <c r="C36" s="5"/>
      <c r="D36" s="12"/>
    </row>
    <row r="37" spans="1:4" ht="14.25" x14ac:dyDescent="0.15">
      <c r="A37" s="55" t="s">
        <v>40</v>
      </c>
      <c r="B37" s="88">
        <f>1+1+1+1+1+1+717304+1+1</f>
        <v>717312</v>
      </c>
      <c r="C37" s="5"/>
      <c r="D37" s="12"/>
    </row>
    <row r="38" spans="1:4" ht="14.25" x14ac:dyDescent="0.15">
      <c r="A38" s="55" t="s">
        <v>41</v>
      </c>
      <c r="B38" s="88">
        <v>110600</v>
      </c>
      <c r="C38" s="5"/>
      <c r="D38" s="12"/>
    </row>
    <row r="39" spans="1:4" ht="14.25" x14ac:dyDescent="0.15">
      <c r="A39" s="55" t="s">
        <v>42</v>
      </c>
      <c r="B39" s="88">
        <v>50000</v>
      </c>
      <c r="C39" s="11"/>
      <c r="D39" s="12"/>
    </row>
    <row r="40" spans="1:4" ht="14.25" x14ac:dyDescent="0.15">
      <c r="A40" s="55" t="s">
        <v>66</v>
      </c>
      <c r="B40" s="88">
        <v>156460</v>
      </c>
      <c r="C40" s="76"/>
      <c r="D40" s="12"/>
    </row>
    <row r="41" spans="1:4" ht="14.25" x14ac:dyDescent="0.15">
      <c r="A41" s="61" t="s">
        <v>43</v>
      </c>
      <c r="B41" s="80"/>
      <c r="C41" s="37">
        <f>SUM(B33:B40)</f>
        <v>55407326</v>
      </c>
      <c r="D41" s="12"/>
    </row>
    <row r="42" spans="1:4" ht="8.25" customHeight="1" x14ac:dyDescent="0.15">
      <c r="A42" s="11"/>
      <c r="B42" s="19"/>
      <c r="C42" s="5"/>
      <c r="D42" s="12"/>
    </row>
    <row r="43" spans="1:4" ht="14.25" x14ac:dyDescent="0.15">
      <c r="A43" s="58" t="s">
        <v>23</v>
      </c>
      <c r="B43" s="80"/>
      <c r="C43" s="10"/>
      <c r="D43" s="38">
        <f>C30+C41</f>
        <v>104745408</v>
      </c>
    </row>
    <row r="44" spans="1:4" ht="11.25" customHeight="1" x14ac:dyDescent="0.15">
      <c r="A44" s="9"/>
      <c r="B44" s="62"/>
      <c r="C44" s="62"/>
      <c r="D44" s="62"/>
    </row>
    <row r="45" spans="1:4" ht="14.25" x14ac:dyDescent="0.15">
      <c r="A45" s="60" t="s">
        <v>18</v>
      </c>
      <c r="B45" s="79"/>
      <c r="C45" s="5"/>
      <c r="D45" s="12"/>
    </row>
    <row r="46" spans="1:4" ht="14.25" x14ac:dyDescent="0.15">
      <c r="A46" s="55" t="s">
        <v>21</v>
      </c>
      <c r="B46" s="79"/>
      <c r="C46" s="5"/>
      <c r="D46" s="23"/>
    </row>
    <row r="47" spans="1:4" ht="14.25" x14ac:dyDescent="0.15">
      <c r="A47" s="55" t="s">
        <v>32</v>
      </c>
      <c r="B47" s="88">
        <v>3674620</v>
      </c>
      <c r="C47" s="5"/>
      <c r="D47" s="78"/>
    </row>
    <row r="48" spans="1:4" ht="14.25" x14ac:dyDescent="0.15">
      <c r="A48" s="55" t="s">
        <v>33</v>
      </c>
      <c r="B48" s="71">
        <v>0</v>
      </c>
      <c r="C48" s="5"/>
      <c r="D48" s="12"/>
    </row>
    <row r="49" spans="1:8" ht="6.75" customHeight="1" x14ac:dyDescent="0.15">
      <c r="A49" s="59"/>
      <c r="B49" s="79"/>
      <c r="C49" s="11"/>
      <c r="D49" s="12"/>
    </row>
    <row r="50" spans="1:8" ht="14.25" x14ac:dyDescent="0.15">
      <c r="A50" s="55" t="s">
        <v>31</v>
      </c>
      <c r="B50" s="80"/>
      <c r="C50" s="37">
        <f>B47+B48</f>
        <v>3674620</v>
      </c>
      <c r="D50" s="23"/>
      <c r="E50" t="s">
        <v>108</v>
      </c>
    </row>
    <row r="51" spans="1:8" ht="11.25" customHeight="1" x14ac:dyDescent="0.15">
      <c r="A51" s="3"/>
      <c r="B51" s="14"/>
      <c r="C51" s="34"/>
      <c r="D51" s="25"/>
    </row>
    <row r="52" spans="1:8" ht="14.25" x14ac:dyDescent="0.15">
      <c r="A52" s="55" t="s">
        <v>22</v>
      </c>
      <c r="B52" s="19"/>
      <c r="C52" s="81"/>
      <c r="D52" s="23"/>
    </row>
    <row r="53" spans="1:8" ht="14.25" x14ac:dyDescent="0.15">
      <c r="A53" s="55" t="s">
        <v>30</v>
      </c>
      <c r="B53" s="88">
        <v>4960000</v>
      </c>
      <c r="C53" s="11"/>
      <c r="D53" s="25"/>
    </row>
    <row r="54" spans="1:8" ht="14.25" x14ac:dyDescent="0.15">
      <c r="A54" s="9"/>
      <c r="B54" s="19"/>
      <c r="C54" s="11"/>
      <c r="D54" s="25"/>
      <c r="G54" t="s">
        <v>108</v>
      </c>
    </row>
    <row r="55" spans="1:8" ht="14.25" x14ac:dyDescent="0.15">
      <c r="A55" s="61" t="s">
        <v>29</v>
      </c>
      <c r="B55" s="10"/>
      <c r="C55" s="37">
        <f>B53</f>
        <v>4960000</v>
      </c>
      <c r="D55" s="23"/>
    </row>
    <row r="56" spans="1:8" ht="6.75" customHeight="1" x14ac:dyDescent="0.15">
      <c r="A56" s="3"/>
      <c r="B56" s="19"/>
      <c r="C56" s="11"/>
      <c r="D56" s="23"/>
    </row>
    <row r="57" spans="1:8" ht="14.25" x14ac:dyDescent="0.15">
      <c r="A57" s="58" t="s">
        <v>24</v>
      </c>
      <c r="B57" s="40"/>
      <c r="C57" s="40"/>
      <c r="D57" s="38">
        <f>C50+C55</f>
        <v>8634620</v>
      </c>
    </row>
    <row r="58" spans="1:8" ht="11.25" customHeight="1" x14ac:dyDescent="0.15">
      <c r="A58" s="3"/>
      <c r="B58" s="19"/>
      <c r="C58" s="11"/>
      <c r="D58" s="23"/>
    </row>
    <row r="59" spans="1:8" ht="14.25" x14ac:dyDescent="0.15">
      <c r="A59" s="55" t="s">
        <v>3</v>
      </c>
      <c r="B59" s="30"/>
      <c r="C59" s="35"/>
      <c r="D59" s="31"/>
    </row>
    <row r="60" spans="1:8" ht="15" customHeight="1" x14ac:dyDescent="0.15">
      <c r="A60" s="55" t="s">
        <v>27</v>
      </c>
      <c r="B60" s="10"/>
      <c r="C60" s="39"/>
      <c r="D60" s="39">
        <v>0</v>
      </c>
      <c r="H60" t="s">
        <v>0</v>
      </c>
    </row>
    <row r="61" spans="1:8" ht="15.75" customHeight="1" x14ac:dyDescent="0.15">
      <c r="A61" s="55" t="s">
        <v>28</v>
      </c>
      <c r="B61" s="47"/>
      <c r="C61" s="9"/>
      <c r="D61" s="43">
        <f>D43-D57</f>
        <v>96110788</v>
      </c>
      <c r="F61" s="90" t="s">
        <v>124</v>
      </c>
    </row>
    <row r="62" spans="1:8" ht="15.75" customHeight="1" x14ac:dyDescent="0.15">
      <c r="A62" s="59" t="s">
        <v>11</v>
      </c>
      <c r="B62" s="9"/>
      <c r="D62" s="70">
        <v>-674091</v>
      </c>
      <c r="F62" s="92">
        <f>D62</f>
        <v>-674091</v>
      </c>
    </row>
    <row r="63" spans="1:8" ht="16.5" customHeight="1" x14ac:dyDescent="0.15">
      <c r="A63" s="55" t="s">
        <v>26</v>
      </c>
      <c r="B63" s="22"/>
      <c r="C63" s="48"/>
      <c r="D63" s="44">
        <f>D61</f>
        <v>96110788</v>
      </c>
      <c r="F63" s="91"/>
    </row>
    <row r="64" spans="1:8" ht="14.25" x14ac:dyDescent="0.15">
      <c r="A64" s="55" t="s">
        <v>25</v>
      </c>
      <c r="B64" s="22"/>
      <c r="C64" s="9"/>
      <c r="D64" s="69">
        <f>D57+D63</f>
        <v>104745408</v>
      </c>
      <c r="F64" s="68"/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A54E-3D91-4145-8736-2BFAE126B8F1}">
  <dimension ref="A1:K108"/>
  <sheetViews>
    <sheetView zoomScaleNormal="100" workbookViewId="0">
      <selection activeCell="A2" sqref="A2:D2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8" width="9.25" bestFit="1" customWidth="1"/>
    <col min="9" max="9" width="9.25" customWidth="1"/>
    <col min="10" max="11" width="9.25" bestFit="1" customWidth="1"/>
  </cols>
  <sheetData>
    <row r="1" spans="1:11" ht="17.25" x14ac:dyDescent="0.2">
      <c r="A1" s="1" t="s">
        <v>152</v>
      </c>
      <c r="B1" s="1"/>
    </row>
    <row r="2" spans="1:11" ht="17.25" customHeight="1" x14ac:dyDescent="0.15">
      <c r="A2" s="111" t="s">
        <v>141</v>
      </c>
      <c r="B2" s="111"/>
      <c r="C2" s="111"/>
      <c r="D2" s="111"/>
    </row>
    <row r="3" spans="1:11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50"/>
      <c r="C5" s="49" t="s">
        <v>4</v>
      </c>
      <c r="D5" s="49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17974632</v>
      </c>
      <c r="C9" s="5"/>
      <c r="D9" s="12"/>
      <c r="F9" s="84">
        <f>'[4]0138359'!$AJ$37</f>
        <v>6087098</v>
      </c>
      <c r="G9" s="84">
        <f>'[4]0138642（居宅）'!$AJ$37</f>
        <v>25125</v>
      </c>
      <c r="H9" s="84">
        <f>'[4]0138655（通所）'!$AJ$37</f>
        <v>8278</v>
      </c>
      <c r="I9" s="84">
        <f>'[4]0156560（新庄）'!$AJ$37</f>
        <v>268965</v>
      </c>
      <c r="J9" s="84">
        <f>'[4]0158313（ゆけむり）'!$AJ$37</f>
        <v>315717</v>
      </c>
      <c r="K9" s="84">
        <f>'[4]0139101（ちゃれんじ）'!$AJ$37</f>
        <v>5525616</v>
      </c>
    </row>
    <row r="10" spans="1:11" ht="14.25" x14ac:dyDescent="0.15">
      <c r="A10" s="53" t="s">
        <v>102</v>
      </c>
      <c r="B10" s="73">
        <v>13779080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1587801</v>
      </c>
      <c r="C11" s="5"/>
      <c r="D11" s="23"/>
      <c r="F11" s="84">
        <f>'[4]2253865（助け合い）'!$AJ$37</f>
        <v>351901</v>
      </c>
      <c r="G11" s="89">
        <f>'[4]2253871（通所）'!$AJ$37</f>
        <v>584567</v>
      </c>
      <c r="H11" s="84">
        <f>'[4]2254321（ミニ）'!$AJ$37</f>
        <v>37523</v>
      </c>
    </row>
    <row r="12" spans="1:11" ht="14.25" x14ac:dyDescent="0.15">
      <c r="A12" s="53" t="s">
        <v>128</v>
      </c>
      <c r="B12" s="74">
        <v>1677111</v>
      </c>
      <c r="C12" s="5"/>
      <c r="D12" s="23"/>
    </row>
    <row r="13" spans="1:11" ht="14.25" x14ac:dyDescent="0.15">
      <c r="A13" s="53" t="s">
        <v>129</v>
      </c>
      <c r="B13" s="75">
        <v>748592</v>
      </c>
      <c r="C13" s="5"/>
      <c r="D13" s="12"/>
      <c r="E13" s="93" t="s">
        <v>142</v>
      </c>
      <c r="F13" s="94">
        <f>[4]JA0034628!$AJ$37</f>
        <v>1724338</v>
      </c>
      <c r="G13" s="93" t="s">
        <v>143</v>
      </c>
      <c r="H13" s="94">
        <f>[4]ゆうちょ6473091!$AJ$37</f>
        <v>512220</v>
      </c>
      <c r="I13" s="93" t="s">
        <v>144</v>
      </c>
      <c r="J13" s="94">
        <f>[4]しま信0116975!$AJ$37</f>
        <v>389923</v>
      </c>
    </row>
    <row r="14" spans="1:11" ht="14.25" x14ac:dyDescent="0.15">
      <c r="A14" s="53" t="s">
        <v>130</v>
      </c>
      <c r="B14" s="75">
        <v>182048</v>
      </c>
      <c r="C14" s="5"/>
      <c r="D14" s="12"/>
    </row>
    <row r="15" spans="1:11" ht="14.25" x14ac:dyDescent="0.15">
      <c r="A15" s="55" t="s">
        <v>36</v>
      </c>
      <c r="B15" s="71">
        <f>SUM(B16:B27)</f>
        <v>30044953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5352520</v>
      </c>
      <c r="C16" s="11"/>
      <c r="D16" s="12"/>
      <c r="E16" t="s">
        <v>112</v>
      </c>
      <c r="F16" s="84">
        <f>'[5]未収金（認定調査委託料）'!$AJ$37</f>
        <v>36960</v>
      </c>
      <c r="G16" s="84">
        <f>'[5]未収金（居宅支援介護報酬）'!$AJ$37</f>
        <v>5175480</v>
      </c>
      <c r="H16" s="83"/>
    </row>
    <row r="17" spans="1:11" ht="14.25" x14ac:dyDescent="0.15">
      <c r="A17" s="54" t="s">
        <v>15</v>
      </c>
      <c r="B17" s="73">
        <v>15713211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4660652</v>
      </c>
      <c r="C18" s="11"/>
      <c r="D18" s="12"/>
      <c r="E18" t="s">
        <v>115</v>
      </c>
      <c r="F18" s="84">
        <f>'[5]未収金（通所保険請求）'!$AJ$37</f>
        <v>11969869</v>
      </c>
      <c r="G18" s="84">
        <f>'[5]未収金（通所利用者負担）'!$AJ$37</f>
        <v>1176056</v>
      </c>
      <c r="H18" s="84">
        <f>'[5]未収金（通所食費）'!$AJ$37</f>
        <v>647800</v>
      </c>
    </row>
    <row r="19" spans="1:11" ht="14.25" x14ac:dyDescent="0.15">
      <c r="A19" s="54" t="s">
        <v>16</v>
      </c>
      <c r="B19" s="73">
        <v>2178467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1204569</v>
      </c>
      <c r="C20" s="5"/>
      <c r="D20" s="12"/>
      <c r="E20" t="s">
        <v>119</v>
      </c>
      <c r="F20" s="84">
        <f>'[5]未収金（ゆけむり保険請求）'!$AJ$37</f>
        <v>4118472</v>
      </c>
      <c r="G20" s="84">
        <f>'[5]未収金（ゆけむり利用者負担）'!$AJ$37</f>
        <v>616547</v>
      </c>
      <c r="H20" s="84">
        <f>'[5]未収金（ゆけむり食費）'!$AJ$37</f>
        <v>121200</v>
      </c>
    </row>
    <row r="21" spans="1:11" ht="14.25" x14ac:dyDescent="0.15">
      <c r="A21" s="54" t="s">
        <v>103</v>
      </c>
      <c r="B21" s="73">
        <v>342368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72</v>
      </c>
      <c r="B22" s="85">
        <v>10700</v>
      </c>
      <c r="C22" s="5"/>
      <c r="D22" s="12"/>
      <c r="E22" t="s">
        <v>120</v>
      </c>
      <c r="F22" s="84">
        <f>'[5]未収金（予防通所保険請求）'!$AJ$37</f>
        <v>1937111</v>
      </c>
      <c r="G22" s="84">
        <f>'[5]未収金（予防通所利用者負担）'!$AJ$37</f>
        <v>118239</v>
      </c>
      <c r="H22" s="84">
        <f>'[5]未収金（予防通所食費）'!$AJ$37</f>
        <v>139200</v>
      </c>
    </row>
    <row r="23" spans="1:11" ht="14.25" x14ac:dyDescent="0.15">
      <c r="A23" s="54" t="s">
        <v>81</v>
      </c>
      <c r="B23" s="73">
        <v>360566</v>
      </c>
      <c r="C23" s="5"/>
      <c r="D23" s="12"/>
      <c r="F23" s="83" t="s">
        <v>131</v>
      </c>
      <c r="G23" s="83" t="s">
        <v>117</v>
      </c>
      <c r="H23" s="83"/>
    </row>
    <row r="24" spans="1:11" ht="14.25" x14ac:dyDescent="0.15">
      <c r="A24" s="54" t="s">
        <v>82</v>
      </c>
      <c r="B24" s="85">
        <v>46800</v>
      </c>
      <c r="C24" s="5"/>
      <c r="D24" s="12"/>
      <c r="E24" t="s">
        <v>121</v>
      </c>
      <c r="F24" s="84">
        <f>'[5]未収金（処遇改善保険請求）'!$AJ$37</f>
        <v>1262836</v>
      </c>
      <c r="G24" s="84">
        <f>'[5]未収金（処遇改善利用者負担）'!$AJ$37</f>
        <v>135461</v>
      </c>
      <c r="H24" s="83"/>
    </row>
    <row r="25" spans="1:11" ht="14.25" x14ac:dyDescent="0.15">
      <c r="A25" s="54" t="s">
        <v>17</v>
      </c>
      <c r="B25" s="86">
        <v>158100</v>
      </c>
      <c r="C25" s="5"/>
      <c r="D25" s="12"/>
      <c r="F25" s="83" t="s">
        <v>116</v>
      </c>
      <c r="G25" s="83" t="s">
        <v>117</v>
      </c>
      <c r="H25" s="83"/>
      <c r="K25" t="s">
        <v>108</v>
      </c>
    </row>
    <row r="26" spans="1:11" ht="14.25" x14ac:dyDescent="0.15">
      <c r="A26" s="54" t="s">
        <v>71</v>
      </c>
      <c r="B26" s="87">
        <v>17000</v>
      </c>
      <c r="C26" s="5"/>
      <c r="D26" s="12"/>
      <c r="E26" t="s">
        <v>122</v>
      </c>
      <c r="F26" s="84">
        <f>'[5]未収金（特定処遇改善保険請求）'!$AJ$37</f>
        <v>295245</v>
      </c>
      <c r="G26" s="84">
        <f>'[5]未収金（特定処遇改善利用者負担）'!$AJ$37</f>
        <v>32794</v>
      </c>
      <c r="H26" s="83"/>
    </row>
    <row r="27" spans="1:11" ht="14.25" x14ac:dyDescent="0.15">
      <c r="A27" s="54" t="s">
        <v>79</v>
      </c>
      <c r="B27" s="85">
        <v>0</v>
      </c>
      <c r="C27" s="5"/>
      <c r="D27" s="12"/>
      <c r="F27" s="83" t="s">
        <v>131</v>
      </c>
      <c r="G27" s="83" t="s">
        <v>135</v>
      </c>
      <c r="H27" s="83" t="s">
        <v>118</v>
      </c>
    </row>
    <row r="28" spans="1:11" ht="14.25" x14ac:dyDescent="0.15">
      <c r="A28" s="55" t="s">
        <v>37</v>
      </c>
      <c r="B28" s="88">
        <v>808376</v>
      </c>
      <c r="C28" s="15" t="s">
        <v>0</v>
      </c>
      <c r="D28" s="12"/>
      <c r="E28" t="s">
        <v>123</v>
      </c>
      <c r="F28" s="84">
        <f>'[5]未収金（サロン保険請求）'!$AJ$37</f>
        <v>345250</v>
      </c>
      <c r="G28" s="84">
        <f>'[5]未収金（サロン利用者負担）'!$AJ$37</f>
        <v>24274</v>
      </c>
      <c r="H28" s="84">
        <f>'[5]未収金（サロン食費）'!$AJ$37</f>
        <v>42000</v>
      </c>
    </row>
    <row r="29" spans="1:11" ht="14.25" x14ac:dyDescent="0.15">
      <c r="A29" s="61" t="s">
        <v>96</v>
      </c>
      <c r="B29" s="88">
        <v>52890</v>
      </c>
      <c r="C29" s="15"/>
      <c r="D29" s="12"/>
    </row>
    <row r="30" spans="1:11" ht="14.25" x14ac:dyDescent="0.15">
      <c r="A30" s="61" t="s">
        <v>38</v>
      </c>
      <c r="B30" s="7"/>
      <c r="C30" s="77">
        <f>B8+B9+B15+B28+B29</f>
        <v>48883236</v>
      </c>
      <c r="D30" s="12"/>
    </row>
    <row r="31" spans="1:11" ht="11.25" customHeight="1" x14ac:dyDescent="0.15">
      <c r="A31" s="11"/>
      <c r="B31" s="14"/>
      <c r="C31" s="5"/>
      <c r="D31" s="78" t="s">
        <v>0</v>
      </c>
    </row>
    <row r="32" spans="1:11" ht="14.25" x14ac:dyDescent="0.15">
      <c r="A32" s="55" t="s">
        <v>20</v>
      </c>
      <c r="B32" s="79" t="s">
        <v>0</v>
      </c>
      <c r="C32" s="5"/>
      <c r="D32" s="25"/>
    </row>
    <row r="33" spans="1:4" ht="14.25" x14ac:dyDescent="0.15">
      <c r="A33" s="55" t="s">
        <v>39</v>
      </c>
      <c r="B33" s="88">
        <f>300001+272321+17726661+24331267+4475167</f>
        <v>47105417</v>
      </c>
      <c r="C33" s="5"/>
      <c r="D33" s="12"/>
    </row>
    <row r="34" spans="1:4" ht="14.25" x14ac:dyDescent="0.15">
      <c r="A34" s="55" t="s">
        <v>54</v>
      </c>
      <c r="B34" s="88">
        <f>1+1+5517+6305+96081+110181+8411+438858+535206+1142304+588449+553414+887586+1176802</f>
        <v>5549116</v>
      </c>
      <c r="C34" s="5"/>
      <c r="D34" s="12"/>
    </row>
    <row r="35" spans="1:4" ht="14.25" x14ac:dyDescent="0.15">
      <c r="A35" s="55" t="s">
        <v>55</v>
      </c>
      <c r="B35" s="88">
        <f>1+447938+947197</f>
        <v>1395136</v>
      </c>
      <c r="C35" s="5"/>
      <c r="D35" s="12"/>
    </row>
    <row r="36" spans="1:4" ht="14.25" x14ac:dyDescent="0.15">
      <c r="A36" s="55" t="s">
        <v>75</v>
      </c>
      <c r="B36" s="88">
        <f>63790+259495</f>
        <v>323285</v>
      </c>
      <c r="C36" s="5"/>
      <c r="D36" s="12"/>
    </row>
    <row r="37" spans="1:4" ht="14.25" x14ac:dyDescent="0.15">
      <c r="A37" s="55" t="s">
        <v>40</v>
      </c>
      <c r="B37" s="88">
        <f>1+1+1+1+1+1+717304+1+1</f>
        <v>717312</v>
      </c>
      <c r="C37" s="5"/>
      <c r="D37" s="12"/>
    </row>
    <row r="38" spans="1:4" ht="14.25" x14ac:dyDescent="0.15">
      <c r="A38" s="55" t="s">
        <v>41</v>
      </c>
      <c r="B38" s="88">
        <v>110600</v>
      </c>
      <c r="C38" s="5"/>
      <c r="D38" s="12"/>
    </row>
    <row r="39" spans="1:4" ht="14.25" x14ac:dyDescent="0.15">
      <c r="A39" s="55" t="s">
        <v>42</v>
      </c>
      <c r="B39" s="88">
        <v>50000</v>
      </c>
      <c r="C39" s="11"/>
      <c r="D39" s="12"/>
    </row>
    <row r="40" spans="1:4" ht="14.25" x14ac:dyDescent="0.15">
      <c r="A40" s="55" t="s">
        <v>66</v>
      </c>
      <c r="B40" s="88">
        <v>156460</v>
      </c>
      <c r="C40" s="76"/>
      <c r="D40" s="12"/>
    </row>
    <row r="41" spans="1:4" ht="14.25" x14ac:dyDescent="0.15">
      <c r="A41" s="61" t="s">
        <v>43</v>
      </c>
      <c r="B41" s="80"/>
      <c r="C41" s="37">
        <f>SUM(B33:B40)</f>
        <v>55407326</v>
      </c>
      <c r="D41" s="12"/>
    </row>
    <row r="42" spans="1:4" ht="8.25" customHeight="1" x14ac:dyDescent="0.15">
      <c r="A42" s="11"/>
      <c r="B42" s="19"/>
      <c r="C42" s="5"/>
      <c r="D42" s="12"/>
    </row>
    <row r="43" spans="1:4" ht="14.25" x14ac:dyDescent="0.15">
      <c r="A43" s="58" t="s">
        <v>23</v>
      </c>
      <c r="B43" s="80"/>
      <c r="C43" s="10"/>
      <c r="D43" s="38">
        <f>C30+C41</f>
        <v>104290562</v>
      </c>
    </row>
    <row r="44" spans="1:4" ht="11.25" customHeight="1" x14ac:dyDescent="0.15">
      <c r="A44" s="9"/>
      <c r="B44" s="62"/>
      <c r="C44" s="62"/>
      <c r="D44" s="62"/>
    </row>
    <row r="45" spans="1:4" ht="14.25" x14ac:dyDescent="0.15">
      <c r="A45" s="60" t="s">
        <v>18</v>
      </c>
      <c r="B45" s="79"/>
      <c r="C45" s="5"/>
      <c r="D45" s="12"/>
    </row>
    <row r="46" spans="1:4" ht="14.25" x14ac:dyDescent="0.15">
      <c r="A46" s="55" t="s">
        <v>21</v>
      </c>
      <c r="B46" s="79"/>
      <c r="C46" s="5"/>
      <c r="D46" s="23"/>
    </row>
    <row r="47" spans="1:4" ht="14.25" x14ac:dyDescent="0.15">
      <c r="A47" s="55" t="s">
        <v>32</v>
      </c>
      <c r="B47" s="88">
        <v>1528023</v>
      </c>
      <c r="C47" s="5"/>
      <c r="D47" s="78"/>
    </row>
    <row r="48" spans="1:4" ht="14.25" x14ac:dyDescent="0.15">
      <c r="A48" s="55" t="s">
        <v>33</v>
      </c>
      <c r="B48" s="71">
        <v>0</v>
      </c>
      <c r="C48" s="5"/>
      <c r="D48" s="12"/>
    </row>
    <row r="49" spans="1:8" ht="6.75" customHeight="1" x14ac:dyDescent="0.15">
      <c r="A49" s="59"/>
      <c r="B49" s="79"/>
      <c r="C49" s="11"/>
      <c r="D49" s="12"/>
    </row>
    <row r="50" spans="1:8" ht="14.25" x14ac:dyDescent="0.15">
      <c r="A50" s="55" t="s">
        <v>31</v>
      </c>
      <c r="B50" s="80"/>
      <c r="C50" s="37">
        <f>B47+B48</f>
        <v>1528023</v>
      </c>
      <c r="D50" s="23"/>
      <c r="E50" t="s">
        <v>108</v>
      </c>
    </row>
    <row r="51" spans="1:8" ht="11.25" customHeight="1" x14ac:dyDescent="0.15">
      <c r="A51" s="3"/>
      <c r="B51" s="14"/>
      <c r="C51" s="34"/>
      <c r="D51" s="25"/>
    </row>
    <row r="52" spans="1:8" ht="14.25" x14ac:dyDescent="0.15">
      <c r="A52" s="55" t="s">
        <v>22</v>
      </c>
      <c r="B52" s="19"/>
      <c r="C52" s="81"/>
      <c r="D52" s="23"/>
    </row>
    <row r="53" spans="1:8" ht="14.25" x14ac:dyDescent="0.15">
      <c r="A53" s="55" t="s">
        <v>30</v>
      </c>
      <c r="B53" s="88">
        <v>4680000</v>
      </c>
      <c r="C53" s="11"/>
      <c r="D53" s="25"/>
    </row>
    <row r="54" spans="1:8" ht="14.25" x14ac:dyDescent="0.15">
      <c r="A54" s="9"/>
      <c r="B54" s="19"/>
      <c r="C54" s="11"/>
      <c r="D54" s="25"/>
      <c r="G54" t="s">
        <v>108</v>
      </c>
    </row>
    <row r="55" spans="1:8" ht="14.25" x14ac:dyDescent="0.15">
      <c r="A55" s="61" t="s">
        <v>29</v>
      </c>
      <c r="B55" s="10"/>
      <c r="C55" s="37">
        <f>B53</f>
        <v>4680000</v>
      </c>
      <c r="D55" s="23"/>
    </row>
    <row r="56" spans="1:8" ht="6.75" customHeight="1" x14ac:dyDescent="0.15">
      <c r="A56" s="3"/>
      <c r="B56" s="19"/>
      <c r="C56" s="11"/>
      <c r="D56" s="23"/>
    </row>
    <row r="57" spans="1:8" ht="14.25" x14ac:dyDescent="0.15">
      <c r="A57" s="58" t="s">
        <v>24</v>
      </c>
      <c r="B57" s="40"/>
      <c r="C57" s="40"/>
      <c r="D57" s="38">
        <f>C50+C55</f>
        <v>6208023</v>
      </c>
    </row>
    <row r="58" spans="1:8" ht="11.25" customHeight="1" x14ac:dyDescent="0.15">
      <c r="A58" s="3"/>
      <c r="B58" s="19"/>
      <c r="C58" s="11"/>
      <c r="D58" s="23"/>
    </row>
    <row r="59" spans="1:8" ht="14.25" x14ac:dyDescent="0.15">
      <c r="A59" s="55" t="s">
        <v>3</v>
      </c>
      <c r="B59" s="30"/>
      <c r="C59" s="35"/>
      <c r="D59" s="31"/>
    </row>
    <row r="60" spans="1:8" ht="15" customHeight="1" x14ac:dyDescent="0.15">
      <c r="A60" s="55" t="s">
        <v>27</v>
      </c>
      <c r="B60" s="10"/>
      <c r="C60" s="39"/>
      <c r="D60" s="39">
        <v>0</v>
      </c>
      <c r="H60" t="s">
        <v>0</v>
      </c>
    </row>
    <row r="61" spans="1:8" ht="15.75" customHeight="1" x14ac:dyDescent="0.15">
      <c r="A61" s="55" t="s">
        <v>28</v>
      </c>
      <c r="B61" s="47"/>
      <c r="C61" s="9"/>
      <c r="D61" s="43">
        <f>D43-D57</f>
        <v>98082539</v>
      </c>
      <c r="F61" s="90" t="s">
        <v>124</v>
      </c>
    </row>
    <row r="62" spans="1:8" ht="15.75" customHeight="1" x14ac:dyDescent="0.15">
      <c r="A62" s="59" t="s">
        <v>11</v>
      </c>
      <c r="B62" s="9"/>
      <c r="D62" s="70">
        <v>1297660</v>
      </c>
      <c r="F62" s="92">
        <f>D62-[3]令和3年度!$P$73</f>
        <v>1274233</v>
      </c>
    </row>
    <row r="63" spans="1:8" ht="16.5" customHeight="1" x14ac:dyDescent="0.15">
      <c r="A63" s="55" t="s">
        <v>26</v>
      </c>
      <c r="B63" s="22"/>
      <c r="C63" s="48"/>
      <c r="D63" s="44">
        <f>D61</f>
        <v>98082539</v>
      </c>
      <c r="F63" s="91"/>
    </row>
    <row r="64" spans="1:8" ht="14.25" x14ac:dyDescent="0.15">
      <c r="A64" s="55" t="s">
        <v>25</v>
      </c>
      <c r="B64" s="22"/>
      <c r="C64" s="9"/>
      <c r="D64" s="69">
        <f>D57+D63</f>
        <v>104290562</v>
      </c>
      <c r="F64" s="68"/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5B2F4-B525-4775-B924-28F54891B807}">
  <dimension ref="A1:G102"/>
  <sheetViews>
    <sheetView topLeftCell="A37" zoomScaleNormal="100" workbookViewId="0">
      <selection activeCell="A4" sqref="A4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</cols>
  <sheetData>
    <row r="1" spans="1:7" ht="17.25" x14ac:dyDescent="0.2">
      <c r="A1" s="1" t="s">
        <v>63</v>
      </c>
      <c r="B1" s="1"/>
    </row>
    <row r="2" spans="1:7" ht="17.25" customHeight="1" x14ac:dyDescent="0.15">
      <c r="A2" s="111" t="s">
        <v>65</v>
      </c>
      <c r="B2" s="111"/>
      <c r="C2" s="111"/>
      <c r="D2" s="111"/>
    </row>
    <row r="3" spans="1:7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7" ht="15" customHeight="1" x14ac:dyDescent="0.15">
      <c r="C4" s="115" t="s">
        <v>49</v>
      </c>
      <c r="D4" s="115"/>
      <c r="F4" s="46"/>
    </row>
    <row r="5" spans="1:7" ht="17.25" x14ac:dyDescent="0.2">
      <c r="A5" s="56" t="s">
        <v>5</v>
      </c>
      <c r="B5" s="50"/>
      <c r="C5" s="49" t="s">
        <v>4</v>
      </c>
      <c r="D5" s="49"/>
    </row>
    <row r="6" spans="1:7" ht="14.25" x14ac:dyDescent="0.15">
      <c r="A6" s="55" t="s">
        <v>2</v>
      </c>
      <c r="B6" s="24"/>
      <c r="C6" s="4"/>
      <c r="D6" s="28"/>
    </row>
    <row r="7" spans="1:7" ht="14.25" x14ac:dyDescent="0.15">
      <c r="A7" s="55" t="s">
        <v>19</v>
      </c>
      <c r="B7" s="14"/>
      <c r="C7" s="5"/>
      <c r="D7" s="12"/>
    </row>
    <row r="8" spans="1:7" ht="14.25" x14ac:dyDescent="0.15">
      <c r="A8" s="55" t="s">
        <v>34</v>
      </c>
      <c r="B8" s="51">
        <v>2445</v>
      </c>
      <c r="C8" s="5"/>
      <c r="D8" s="12"/>
    </row>
    <row r="9" spans="1:7" ht="14.25" x14ac:dyDescent="0.15">
      <c r="A9" s="55" t="s">
        <v>35</v>
      </c>
      <c r="B9" s="27">
        <f>SUM(B10:B14)</f>
        <v>13104848</v>
      </c>
      <c r="C9" s="5"/>
      <c r="D9" s="12"/>
    </row>
    <row r="10" spans="1:7" ht="14.25" x14ac:dyDescent="0.15">
      <c r="A10" s="53" t="s">
        <v>13</v>
      </c>
      <c r="B10" s="32">
        <f>11776213+4386+6822+332046+389415+127138</f>
        <v>12636020</v>
      </c>
      <c r="C10" s="5"/>
      <c r="D10" s="23"/>
    </row>
    <row r="11" spans="1:7" ht="14.25" x14ac:dyDescent="0.15">
      <c r="A11" s="54" t="s">
        <v>12</v>
      </c>
      <c r="B11" s="67">
        <f>37133+130675+143790</f>
        <v>311598</v>
      </c>
      <c r="C11" s="5"/>
      <c r="D11" s="23"/>
    </row>
    <row r="12" spans="1:7" ht="14.25" x14ac:dyDescent="0.15">
      <c r="A12" s="53" t="s">
        <v>45</v>
      </c>
      <c r="B12" s="32">
        <v>966</v>
      </c>
      <c r="C12" s="5"/>
      <c r="D12" s="23"/>
    </row>
    <row r="13" spans="1:7" ht="14.25" x14ac:dyDescent="0.15">
      <c r="A13" s="53" t="s">
        <v>44</v>
      </c>
      <c r="B13" s="41">
        <v>7226</v>
      </c>
      <c r="C13" s="5"/>
      <c r="D13" s="12"/>
    </row>
    <row r="14" spans="1:7" ht="14.25" x14ac:dyDescent="0.15">
      <c r="A14" s="53" t="s">
        <v>46</v>
      </c>
      <c r="B14" s="41">
        <v>149038</v>
      </c>
      <c r="C14" s="5"/>
      <c r="D14" s="12"/>
    </row>
    <row r="15" spans="1:7" ht="14.25" x14ac:dyDescent="0.15">
      <c r="A15" s="55" t="s">
        <v>36</v>
      </c>
      <c r="B15" s="27">
        <f>SUM(B16:B22)</f>
        <v>32289485</v>
      </c>
      <c r="C15" s="6"/>
      <c r="D15" s="12"/>
    </row>
    <row r="16" spans="1:7" ht="14.25" x14ac:dyDescent="0.15">
      <c r="A16" s="54" t="s">
        <v>14</v>
      </c>
      <c r="B16" s="32">
        <f>152500+5331000</f>
        <v>5483500</v>
      </c>
      <c r="C16" s="11"/>
      <c r="D16" s="12"/>
    </row>
    <row r="17" spans="1:4" ht="14.25" x14ac:dyDescent="0.15">
      <c r="A17" s="54" t="s">
        <v>15</v>
      </c>
      <c r="B17" s="32">
        <f>15938496+1128178+574500</f>
        <v>17641174</v>
      </c>
      <c r="C17" s="5"/>
      <c r="D17" s="12"/>
    </row>
    <row r="18" spans="1:4" ht="14.25" x14ac:dyDescent="0.15">
      <c r="A18" s="53" t="s">
        <v>58</v>
      </c>
      <c r="B18" s="32">
        <f>4731858+822592+112000</f>
        <v>5666450</v>
      </c>
      <c r="C18" s="11"/>
      <c r="D18" s="12"/>
    </row>
    <row r="19" spans="1:4" ht="14.25" x14ac:dyDescent="0.15">
      <c r="A19" s="54" t="s">
        <v>16</v>
      </c>
      <c r="B19" s="67">
        <f>1485288+107879+103500</f>
        <v>1696667</v>
      </c>
      <c r="C19" s="5"/>
      <c r="D19" s="12"/>
    </row>
    <row r="20" spans="1:4" ht="14.25" x14ac:dyDescent="0.15">
      <c r="A20" s="54" t="s">
        <v>64</v>
      </c>
      <c r="B20" s="67">
        <f>467946+43148</f>
        <v>511094</v>
      </c>
      <c r="C20" s="5"/>
      <c r="D20" s="12"/>
    </row>
    <row r="21" spans="1:4" ht="14.25" x14ac:dyDescent="0.15">
      <c r="A21" s="54" t="s">
        <v>17</v>
      </c>
      <c r="B21" s="32">
        <v>1281100</v>
      </c>
      <c r="C21" s="5"/>
      <c r="D21" s="12"/>
    </row>
    <row r="22" spans="1:4" ht="14.25" x14ac:dyDescent="0.15">
      <c r="A22" s="54" t="s">
        <v>60</v>
      </c>
      <c r="B22" s="41">
        <v>9500</v>
      </c>
      <c r="C22" s="5"/>
      <c r="D22" s="12"/>
    </row>
    <row r="23" spans="1:4" ht="14.25" x14ac:dyDescent="0.15">
      <c r="A23" s="55" t="s">
        <v>37</v>
      </c>
      <c r="B23" s="27">
        <v>520652</v>
      </c>
      <c r="C23" s="15" t="s">
        <v>0</v>
      </c>
      <c r="D23" s="12"/>
    </row>
    <row r="24" spans="1:4" ht="14.25" x14ac:dyDescent="0.15">
      <c r="A24" s="61" t="s">
        <v>38</v>
      </c>
      <c r="B24" s="7"/>
      <c r="C24" s="36">
        <f>B8+B9+B15+B23</f>
        <v>45917430</v>
      </c>
      <c r="D24" s="12"/>
    </row>
    <row r="25" spans="1:4" ht="14.25" x14ac:dyDescent="0.15">
      <c r="A25" s="11"/>
      <c r="B25" s="14"/>
      <c r="C25" s="5"/>
      <c r="D25" s="29" t="s">
        <v>0</v>
      </c>
    </row>
    <row r="26" spans="1:4" ht="14.25" x14ac:dyDescent="0.15">
      <c r="A26" s="55" t="s">
        <v>20</v>
      </c>
      <c r="B26" s="26" t="s">
        <v>0</v>
      </c>
      <c r="C26" s="5"/>
      <c r="D26" s="25"/>
    </row>
    <row r="27" spans="1:4" ht="14.25" x14ac:dyDescent="0.15">
      <c r="A27" s="55" t="s">
        <v>39</v>
      </c>
      <c r="B27" s="27">
        <f>3054000+1804250+27413709+30516348</f>
        <v>62788307</v>
      </c>
      <c r="C27" s="5"/>
      <c r="D27" s="12"/>
    </row>
    <row r="28" spans="1:4" ht="14.25" x14ac:dyDescent="0.15">
      <c r="A28" s="55" t="s">
        <v>54</v>
      </c>
      <c r="B28" s="27">
        <f>231819+93006+90949+119020+302132+346471+61347+1989819+2426670+4478512+2307066+1609905</f>
        <v>14056716</v>
      </c>
      <c r="C28" s="5"/>
      <c r="D28" s="12"/>
    </row>
    <row r="29" spans="1:4" ht="14.25" x14ac:dyDescent="0.15">
      <c r="A29" s="55" t="s">
        <v>55</v>
      </c>
      <c r="B29" s="27">
        <f>175350+1756175</f>
        <v>1931525</v>
      </c>
      <c r="C29" s="5"/>
      <c r="D29" s="12"/>
    </row>
    <row r="30" spans="1:4" ht="14.25" x14ac:dyDescent="0.15">
      <c r="A30" s="55" t="s">
        <v>40</v>
      </c>
      <c r="B30" s="27">
        <f>1+36443+109950+4455490+1+1+1</f>
        <v>4601887</v>
      </c>
      <c r="C30" s="5"/>
      <c r="D30" s="12"/>
    </row>
    <row r="31" spans="1:4" ht="14.25" x14ac:dyDescent="0.15">
      <c r="A31" s="55" t="s">
        <v>41</v>
      </c>
      <c r="B31" s="27">
        <v>110600</v>
      </c>
      <c r="C31" s="5"/>
      <c r="D31" s="12"/>
    </row>
    <row r="32" spans="1:4" ht="14.25" x14ac:dyDescent="0.15">
      <c r="A32" s="55" t="s">
        <v>42</v>
      </c>
      <c r="B32" s="27">
        <v>50000</v>
      </c>
      <c r="C32" s="11"/>
      <c r="D32" s="12"/>
    </row>
    <row r="33" spans="1:4" ht="14.25" x14ac:dyDescent="0.15">
      <c r="A33" s="55" t="s">
        <v>66</v>
      </c>
      <c r="B33" s="27">
        <v>10720</v>
      </c>
      <c r="C33" s="6"/>
      <c r="D33" s="12"/>
    </row>
    <row r="34" spans="1:4" ht="14.25" x14ac:dyDescent="0.15">
      <c r="A34" s="61" t="s">
        <v>43</v>
      </c>
      <c r="B34" s="8"/>
      <c r="C34" s="37">
        <f>SUM(B27:B33)</f>
        <v>83549755</v>
      </c>
      <c r="D34" s="12"/>
    </row>
    <row r="35" spans="1:4" ht="14.25" x14ac:dyDescent="0.15">
      <c r="A35" s="11"/>
      <c r="B35" s="19"/>
      <c r="C35" s="5"/>
      <c r="D35" s="12"/>
    </row>
    <row r="36" spans="1:4" ht="14.25" x14ac:dyDescent="0.15">
      <c r="A36" s="58" t="s">
        <v>23</v>
      </c>
      <c r="B36" s="8"/>
      <c r="C36" s="10"/>
      <c r="D36" s="38">
        <f>C24+C34</f>
        <v>129467185</v>
      </c>
    </row>
    <row r="37" spans="1:4" x14ac:dyDescent="0.15">
      <c r="A37" s="9"/>
      <c r="B37" s="62"/>
      <c r="C37" s="62"/>
      <c r="D37" s="62"/>
    </row>
    <row r="38" spans="1:4" ht="14.25" x14ac:dyDescent="0.15">
      <c r="A38" s="60" t="s">
        <v>18</v>
      </c>
      <c r="B38" s="26"/>
      <c r="C38" s="5"/>
      <c r="D38" s="12"/>
    </row>
    <row r="39" spans="1:4" ht="14.25" x14ac:dyDescent="0.15">
      <c r="A39" s="55" t="s">
        <v>21</v>
      </c>
      <c r="B39" s="26"/>
      <c r="C39" s="5"/>
      <c r="D39" s="23"/>
    </row>
    <row r="40" spans="1:4" ht="14.25" x14ac:dyDescent="0.15">
      <c r="A40" s="55" t="s">
        <v>32</v>
      </c>
      <c r="B40" s="27">
        <v>2163977</v>
      </c>
      <c r="C40" s="5"/>
      <c r="D40" s="29"/>
    </row>
    <row r="41" spans="1:4" ht="14.25" x14ac:dyDescent="0.15">
      <c r="A41" s="55" t="s">
        <v>33</v>
      </c>
      <c r="B41" s="27">
        <v>10000000</v>
      </c>
      <c r="C41" s="5"/>
      <c r="D41" s="12"/>
    </row>
    <row r="42" spans="1:4" ht="14.25" x14ac:dyDescent="0.15">
      <c r="A42" s="59"/>
      <c r="B42" s="26"/>
      <c r="C42" s="11"/>
      <c r="D42" s="12"/>
    </row>
    <row r="43" spans="1:4" ht="14.25" x14ac:dyDescent="0.15">
      <c r="A43" s="55" t="s">
        <v>31</v>
      </c>
      <c r="B43" s="8"/>
      <c r="C43" s="37">
        <f>B40+B41</f>
        <v>12163977</v>
      </c>
      <c r="D43" s="23"/>
    </row>
    <row r="44" spans="1:4" ht="14.25" x14ac:dyDescent="0.15">
      <c r="A44" s="3"/>
      <c r="B44" s="14"/>
      <c r="C44" s="34"/>
      <c r="D44" s="25"/>
    </row>
    <row r="45" spans="1:4" ht="14.25" x14ac:dyDescent="0.15">
      <c r="A45" s="55" t="s">
        <v>22</v>
      </c>
      <c r="B45" s="19"/>
      <c r="C45" s="33"/>
      <c r="D45" s="23"/>
    </row>
    <row r="46" spans="1:4" ht="14.25" x14ac:dyDescent="0.15">
      <c r="A46" s="55" t="s">
        <v>30</v>
      </c>
      <c r="B46" s="27">
        <f>18000000+14854000</f>
        <v>32854000</v>
      </c>
      <c r="C46" s="11"/>
      <c r="D46" s="25"/>
    </row>
    <row r="47" spans="1:4" ht="14.25" x14ac:dyDescent="0.15">
      <c r="A47" s="9"/>
      <c r="B47" s="19"/>
      <c r="C47" s="11"/>
      <c r="D47" s="25"/>
    </row>
    <row r="48" spans="1:4" ht="14.25" x14ac:dyDescent="0.15">
      <c r="A48" s="61" t="s">
        <v>29</v>
      </c>
      <c r="B48" s="10"/>
      <c r="C48" s="37">
        <f>B46</f>
        <v>32854000</v>
      </c>
      <c r="D48" s="23"/>
    </row>
    <row r="49" spans="1:4" ht="14.25" x14ac:dyDescent="0.15">
      <c r="A49" s="3"/>
      <c r="B49" s="19"/>
      <c r="C49" s="11"/>
      <c r="D49" s="23"/>
    </row>
    <row r="50" spans="1:4" ht="14.25" x14ac:dyDescent="0.15">
      <c r="A50" s="58" t="s">
        <v>24</v>
      </c>
      <c r="B50" s="40"/>
      <c r="C50" s="40"/>
      <c r="D50" s="38">
        <f>C43+C48</f>
        <v>45017977</v>
      </c>
    </row>
    <row r="51" spans="1:4" ht="14.25" x14ac:dyDescent="0.15">
      <c r="A51" s="3"/>
      <c r="B51" s="19"/>
      <c r="C51" s="11"/>
      <c r="D51" s="23"/>
    </row>
    <row r="52" spans="1:4" ht="14.25" x14ac:dyDescent="0.15">
      <c r="A52" s="55" t="s">
        <v>3</v>
      </c>
      <c r="B52" s="30"/>
      <c r="C52" s="35"/>
      <c r="D52" s="31"/>
    </row>
    <row r="53" spans="1:4" ht="15" customHeight="1" x14ac:dyDescent="0.15">
      <c r="A53" s="55" t="s">
        <v>27</v>
      </c>
      <c r="B53" s="10"/>
      <c r="C53" s="39"/>
      <c r="D53" s="39">
        <v>0</v>
      </c>
    </row>
    <row r="54" spans="1:4" ht="15.75" customHeight="1" x14ac:dyDescent="0.15">
      <c r="A54" s="55" t="s">
        <v>28</v>
      </c>
      <c r="B54" s="47"/>
      <c r="C54" s="9"/>
      <c r="D54" s="43">
        <f>D36-D50</f>
        <v>84449208</v>
      </c>
    </row>
    <row r="55" spans="1:4" ht="15.75" customHeight="1" x14ac:dyDescent="0.15">
      <c r="A55" s="59" t="s">
        <v>11</v>
      </c>
      <c r="B55" s="9"/>
      <c r="D55" s="42">
        <f>D56-'24.3月 '!D53</f>
        <v>6857082</v>
      </c>
    </row>
    <row r="56" spans="1:4" ht="16.5" customHeight="1" x14ac:dyDescent="0.15">
      <c r="A56" s="55" t="s">
        <v>26</v>
      </c>
      <c r="B56" s="22"/>
      <c r="C56" s="48"/>
      <c r="D56" s="44">
        <f>D54</f>
        <v>84449208</v>
      </c>
    </row>
    <row r="57" spans="1:4" ht="14.25" x14ac:dyDescent="0.15">
      <c r="A57" s="55" t="s">
        <v>25</v>
      </c>
      <c r="B57" s="16"/>
      <c r="C57" s="10"/>
      <c r="D57" s="38">
        <f>D50+D56</f>
        <v>129467185</v>
      </c>
    </row>
    <row r="58" spans="1:4" ht="9" customHeight="1" x14ac:dyDescent="0.15"/>
    <row r="59" spans="1:4" x14ac:dyDescent="0.15">
      <c r="B59" s="2"/>
      <c r="D59" s="68"/>
    </row>
    <row r="60" spans="1:4" ht="12.75" customHeight="1" x14ac:dyDescent="0.2">
      <c r="A60" s="1"/>
    </row>
    <row r="61" spans="1:4" x14ac:dyDescent="0.15">
      <c r="A61" s="45"/>
      <c r="B61" s="45"/>
      <c r="D61" s="68"/>
    </row>
    <row r="62" spans="1:4" x14ac:dyDescent="0.15">
      <c r="C62" s="52"/>
      <c r="D62" s="45"/>
    </row>
    <row r="64" spans="1:4" x14ac:dyDescent="0.15">
      <c r="C64" s="52"/>
    </row>
    <row r="66" spans="1:4" ht="17.25" x14ac:dyDescent="0.2">
      <c r="A66" s="21"/>
    </row>
    <row r="67" spans="1:4" ht="14.25" x14ac:dyDescent="0.15">
      <c r="A67" s="17"/>
    </row>
    <row r="68" spans="1:4" ht="14.25" x14ac:dyDescent="0.15">
      <c r="A68" s="17"/>
    </row>
    <row r="69" spans="1:4" ht="14.25" x14ac:dyDescent="0.15">
      <c r="A69" s="17"/>
    </row>
    <row r="70" spans="1:4" ht="14.25" x14ac:dyDescent="0.15">
      <c r="A70" s="17"/>
      <c r="B70" s="13"/>
      <c r="C70" s="17"/>
      <c r="D70" s="17"/>
    </row>
    <row r="71" spans="1:4" ht="14.25" x14ac:dyDescent="0.15">
      <c r="A71" s="17"/>
      <c r="B71" s="13"/>
      <c r="C71" s="17"/>
      <c r="D71" s="17"/>
    </row>
    <row r="72" spans="1:4" ht="14.25" x14ac:dyDescent="0.15">
      <c r="A72" s="17"/>
      <c r="B72" s="20"/>
      <c r="C72" s="17"/>
      <c r="D72" s="17"/>
    </row>
    <row r="73" spans="1:4" ht="14.25" x14ac:dyDescent="0.15">
      <c r="A73" s="17"/>
      <c r="B73" s="13"/>
      <c r="C73" s="17"/>
      <c r="D73" s="17"/>
    </row>
    <row r="74" spans="1:4" ht="14.25" x14ac:dyDescent="0.15">
      <c r="A74" s="17"/>
      <c r="B74" s="13"/>
      <c r="C74" s="13"/>
      <c r="D74" s="17"/>
    </row>
    <row r="75" spans="1:4" ht="14.25" x14ac:dyDescent="0.15">
      <c r="B75" s="17"/>
      <c r="C75" s="18"/>
      <c r="D75" s="17"/>
    </row>
    <row r="76" spans="1:4" ht="14.25" x14ac:dyDescent="0.15">
      <c r="A76" s="17"/>
      <c r="B76" s="17"/>
      <c r="C76" s="18"/>
      <c r="D76" s="17"/>
    </row>
    <row r="77" spans="1:4" ht="14.25" x14ac:dyDescent="0.15">
      <c r="C77" s="17"/>
      <c r="D77" s="17"/>
    </row>
    <row r="78" spans="1:4" ht="14.25" x14ac:dyDescent="0.15">
      <c r="A78" s="17"/>
      <c r="C78" s="17"/>
      <c r="D78" s="17"/>
    </row>
    <row r="79" spans="1:4" ht="14.25" x14ac:dyDescent="0.15">
      <c r="A79" s="17"/>
      <c r="B79" s="20"/>
      <c r="C79" s="18"/>
      <c r="D79" s="17"/>
    </row>
    <row r="80" spans="1:4" ht="14.25" x14ac:dyDescent="0.15">
      <c r="A80" s="17"/>
      <c r="B80" s="13"/>
      <c r="D80" s="17"/>
    </row>
    <row r="81" spans="1:4" ht="14.25" x14ac:dyDescent="0.15">
      <c r="B81" s="17"/>
      <c r="C81" s="17"/>
      <c r="D81" s="13"/>
    </row>
    <row r="82" spans="1:4" ht="14.25" x14ac:dyDescent="0.15">
      <c r="A82" s="17"/>
      <c r="B82" s="13"/>
      <c r="C82" s="13"/>
      <c r="D82" s="18"/>
    </row>
    <row r="83" spans="1:4" ht="14.25" x14ac:dyDescent="0.15">
      <c r="B83" s="13"/>
      <c r="C83" s="17"/>
      <c r="D83" s="17"/>
    </row>
    <row r="84" spans="1:4" ht="14.25" x14ac:dyDescent="0.15">
      <c r="A84" s="17"/>
      <c r="B84" s="13"/>
      <c r="C84" s="17"/>
      <c r="D84" s="18"/>
    </row>
    <row r="85" spans="1:4" ht="14.25" x14ac:dyDescent="0.15">
      <c r="C85" s="17"/>
      <c r="D85" s="17"/>
    </row>
    <row r="86" spans="1:4" ht="14.25" x14ac:dyDescent="0.15">
      <c r="A86" s="17"/>
      <c r="C86" s="17"/>
      <c r="D86" s="17"/>
    </row>
    <row r="87" spans="1:4" ht="14.25" x14ac:dyDescent="0.15">
      <c r="A87" s="17"/>
      <c r="B87" s="13"/>
      <c r="D87" s="17"/>
    </row>
    <row r="88" spans="1:4" ht="14.25" x14ac:dyDescent="0.15">
      <c r="A88" s="17"/>
      <c r="B88" s="13"/>
      <c r="D88" s="17"/>
    </row>
    <row r="89" spans="1:4" ht="14.25" x14ac:dyDescent="0.15">
      <c r="A89" s="17"/>
      <c r="B89" s="13"/>
      <c r="C89" s="17"/>
      <c r="D89" s="17"/>
    </row>
    <row r="90" spans="1:4" ht="14.25" x14ac:dyDescent="0.15">
      <c r="A90" s="17"/>
      <c r="C90" s="13"/>
      <c r="D90" s="17"/>
    </row>
    <row r="91" spans="1:4" ht="14.25" x14ac:dyDescent="0.15">
      <c r="A91" s="17"/>
      <c r="B91" s="13"/>
      <c r="D91" s="17"/>
    </row>
    <row r="92" spans="1:4" ht="14.25" x14ac:dyDescent="0.15">
      <c r="A92" s="17"/>
      <c r="B92" s="13"/>
      <c r="C92" s="17"/>
      <c r="D92" s="17"/>
    </row>
    <row r="93" spans="1:4" ht="14.25" x14ac:dyDescent="0.15">
      <c r="A93" s="17"/>
      <c r="B93" s="13"/>
      <c r="C93" s="17"/>
    </row>
    <row r="94" spans="1:4" ht="14.25" x14ac:dyDescent="0.15">
      <c r="A94" s="17"/>
      <c r="B94" s="13"/>
      <c r="C94" s="17"/>
    </row>
    <row r="95" spans="1:4" ht="14.25" x14ac:dyDescent="0.15">
      <c r="A95" s="17"/>
      <c r="B95" s="13"/>
      <c r="C95" s="17"/>
      <c r="D95" s="17"/>
    </row>
    <row r="96" spans="1:4" ht="14.25" x14ac:dyDescent="0.15">
      <c r="A96" s="17"/>
      <c r="B96" s="13"/>
      <c r="D96" s="13"/>
    </row>
    <row r="97" spans="1:4" ht="14.25" x14ac:dyDescent="0.15">
      <c r="A97" s="17"/>
      <c r="B97" s="13"/>
      <c r="C97" s="17"/>
    </row>
    <row r="98" spans="1:4" ht="14.25" x14ac:dyDescent="0.15">
      <c r="A98" s="17"/>
      <c r="B98" s="17"/>
      <c r="D98" s="18"/>
    </row>
    <row r="99" spans="1:4" ht="14.25" x14ac:dyDescent="0.15">
      <c r="A99" s="17"/>
    </row>
    <row r="100" spans="1:4" ht="14.25" x14ac:dyDescent="0.15">
      <c r="A100" s="17" t="s">
        <v>0</v>
      </c>
      <c r="C100" s="18" t="s">
        <v>0</v>
      </c>
      <c r="D100" s="18" t="s">
        <v>0</v>
      </c>
    </row>
    <row r="101" spans="1:4" x14ac:dyDescent="0.15">
      <c r="A101" t="s">
        <v>0</v>
      </c>
    </row>
    <row r="102" spans="1:4" ht="14.25" x14ac:dyDescent="0.15">
      <c r="A102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78740157480314965" bottom="0.39370078740157483" header="0.51181102362204722" footer="0.51181102362204722"/>
  <pageSetup paperSize="9" orientation="portrait" horizontalDpi="4294967293" verticalDpi="4294967293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24FBC-A49C-4298-8081-8C98CA5A4E71}">
  <dimension ref="A1:L108"/>
  <sheetViews>
    <sheetView topLeftCell="A43" zoomScaleNormal="100" workbookViewId="0">
      <selection activeCell="C14" sqref="C14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2">
      <c r="A1" s="1" t="s">
        <v>152</v>
      </c>
      <c r="B1" s="1"/>
    </row>
    <row r="2" spans="1:11" ht="17.25" customHeight="1" x14ac:dyDescent="0.15">
      <c r="A2" s="111" t="s">
        <v>145</v>
      </c>
      <c r="B2" s="111"/>
      <c r="C2" s="111"/>
      <c r="D2" s="111"/>
    </row>
    <row r="3" spans="1:11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50"/>
      <c r="C5" s="49" t="s">
        <v>4</v>
      </c>
      <c r="D5" s="49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16904274</v>
      </c>
      <c r="C9" s="5"/>
      <c r="D9" s="12"/>
      <c r="F9" s="84">
        <f>'[4]0138359'!$AJ$37</f>
        <v>6087098</v>
      </c>
      <c r="G9" s="84">
        <f>'[4]0138642（居宅）'!$AJ$37</f>
        <v>25125</v>
      </c>
      <c r="H9" s="84">
        <f>'[4]0138655（通所）'!$AJ$37</f>
        <v>8278</v>
      </c>
      <c r="I9" s="84">
        <f>'[4]0156560（新庄）'!$AJ$37</f>
        <v>268965</v>
      </c>
      <c r="J9" s="84">
        <f>'[4]0158313（ゆけむり）'!$AJ$37</f>
        <v>315717</v>
      </c>
      <c r="K9" s="84">
        <f>'[4]0139101（ちゃれんじ）'!$AJ$37</f>
        <v>5525616</v>
      </c>
    </row>
    <row r="10" spans="1:11" ht="14.25" x14ac:dyDescent="0.15">
      <c r="A10" s="53" t="s">
        <v>102</v>
      </c>
      <c r="B10" s="73">
        <v>12672145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1806724</v>
      </c>
      <c r="C11" s="5"/>
      <c r="D11" s="23"/>
      <c r="F11" s="84">
        <f>'[4]2253865（助け合い）'!$AJ$37</f>
        <v>351901</v>
      </c>
      <c r="G11" s="89">
        <f>'[4]2253871（通所）'!$AJ$37</f>
        <v>584567</v>
      </c>
      <c r="H11" s="84">
        <f>'[4]2254321（ミニ）'!$AJ$37</f>
        <v>37523</v>
      </c>
    </row>
    <row r="12" spans="1:11" ht="14.25" x14ac:dyDescent="0.15">
      <c r="A12" s="53" t="s">
        <v>128</v>
      </c>
      <c r="B12" s="74">
        <v>727796</v>
      </c>
      <c r="C12" s="5"/>
      <c r="D12" s="23"/>
    </row>
    <row r="13" spans="1:11" ht="14.25" x14ac:dyDescent="0.15">
      <c r="A13" s="53" t="s">
        <v>129</v>
      </c>
      <c r="B13" s="75">
        <v>1348765</v>
      </c>
      <c r="C13" s="5"/>
      <c r="D13" s="12"/>
      <c r="E13" s="93" t="s">
        <v>142</v>
      </c>
      <c r="F13" s="94">
        <f>[4]JA0034628!$AJ$37</f>
        <v>1724338</v>
      </c>
      <c r="G13" s="93" t="s">
        <v>143</v>
      </c>
      <c r="H13" s="94">
        <f>[4]ゆうちょ6473091!$AJ$37</f>
        <v>512220</v>
      </c>
      <c r="I13" s="93" t="s">
        <v>144</v>
      </c>
      <c r="J13" s="94">
        <f>[4]しま信0116975!$AJ$37</f>
        <v>389923</v>
      </c>
    </row>
    <row r="14" spans="1:11" ht="14.25" x14ac:dyDescent="0.15">
      <c r="A14" s="53" t="s">
        <v>130</v>
      </c>
      <c r="B14" s="75">
        <v>348844</v>
      </c>
      <c r="C14" s="5"/>
      <c r="D14" s="12"/>
    </row>
    <row r="15" spans="1:11" ht="14.25" x14ac:dyDescent="0.15">
      <c r="A15" s="55" t="s">
        <v>36</v>
      </c>
      <c r="B15" s="71">
        <f>SUM(B16:B27)</f>
        <v>30489280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5427460</v>
      </c>
      <c r="C16" s="11"/>
      <c r="D16" s="12"/>
      <c r="E16" t="s">
        <v>112</v>
      </c>
      <c r="F16" s="84">
        <f>'[5]未収金（認定調査委託料）'!$AJ$37</f>
        <v>36960</v>
      </c>
      <c r="G16" s="84">
        <f>'[5]未収金（居宅支援介護報酬）'!$AJ$37</f>
        <v>5175480</v>
      </c>
      <c r="H16" s="83"/>
    </row>
    <row r="17" spans="1:11" ht="14.25" x14ac:dyDescent="0.15">
      <c r="A17" s="54" t="s">
        <v>15</v>
      </c>
      <c r="B17" s="73">
        <v>16336514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4283775</v>
      </c>
      <c r="C18" s="11"/>
      <c r="D18" s="12"/>
      <c r="E18" t="s">
        <v>115</v>
      </c>
      <c r="F18" s="84">
        <f>'[5]未収金（通所保険請求）'!$AJ$37</f>
        <v>11969869</v>
      </c>
      <c r="G18" s="84">
        <f>'[5]未収金（通所利用者負担）'!$AJ$37</f>
        <v>1176056</v>
      </c>
      <c r="H18" s="84">
        <f>'[5]未収金（通所食費）'!$AJ$37</f>
        <v>647800</v>
      </c>
    </row>
    <row r="19" spans="1:11" ht="14.25" x14ac:dyDescent="0.15">
      <c r="A19" s="54" t="s">
        <v>16</v>
      </c>
      <c r="B19" s="73">
        <v>2068196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1452390</v>
      </c>
      <c r="C20" s="5"/>
      <c r="D20" s="12"/>
      <c r="E20" t="s">
        <v>119</v>
      </c>
      <c r="F20" s="84">
        <f>'[5]未収金（ゆけむり保険請求）'!$AJ$37</f>
        <v>4118472</v>
      </c>
      <c r="G20" s="84">
        <f>'[5]未収金（ゆけむり利用者負担）'!$AJ$37</f>
        <v>616547</v>
      </c>
      <c r="H20" s="84">
        <f>'[5]未収金（ゆけむり食費）'!$AJ$37</f>
        <v>121200</v>
      </c>
    </row>
    <row r="21" spans="1:11" ht="14.25" x14ac:dyDescent="0.15">
      <c r="A21" s="54" t="s">
        <v>103</v>
      </c>
      <c r="B21" s="73">
        <v>339288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72</v>
      </c>
      <c r="B22" s="73">
        <v>12200</v>
      </c>
      <c r="C22" s="5"/>
      <c r="D22" s="12"/>
      <c r="E22" t="s">
        <v>120</v>
      </c>
      <c r="F22" s="84">
        <f>'[5]未収金（予防通所保険請求）'!$AJ$37</f>
        <v>1937111</v>
      </c>
      <c r="G22" s="84">
        <f>'[5]未収金（予防通所利用者負担）'!$AJ$37</f>
        <v>118239</v>
      </c>
      <c r="H22" s="84">
        <f>'[5]未収金（予防通所食費）'!$AJ$37</f>
        <v>139200</v>
      </c>
    </row>
    <row r="23" spans="1:11" ht="14.25" x14ac:dyDescent="0.15">
      <c r="A23" s="54" t="s">
        <v>81</v>
      </c>
      <c r="B23" s="73">
        <v>356757</v>
      </c>
      <c r="C23" s="5"/>
      <c r="D23" s="12"/>
      <c r="F23" s="83" t="s">
        <v>131</v>
      </c>
      <c r="G23" s="83" t="s">
        <v>117</v>
      </c>
      <c r="H23" s="83"/>
    </row>
    <row r="24" spans="1:11" ht="14.25" x14ac:dyDescent="0.15">
      <c r="A24" s="54" t="s">
        <v>82</v>
      </c>
      <c r="B24" s="73">
        <v>101400</v>
      </c>
      <c r="C24" s="5"/>
      <c r="D24" s="12"/>
      <c r="E24" t="s">
        <v>121</v>
      </c>
      <c r="F24" s="84">
        <f>'[5]未収金（処遇改善保険請求）'!$AJ$37</f>
        <v>1262836</v>
      </c>
      <c r="G24" s="84">
        <f>'[5]未収金（処遇改善利用者負担）'!$AJ$37</f>
        <v>135461</v>
      </c>
      <c r="H24" s="83"/>
    </row>
    <row r="25" spans="1:11" ht="14.25" x14ac:dyDescent="0.15">
      <c r="A25" s="54" t="s">
        <v>17</v>
      </c>
      <c r="B25" s="74">
        <v>96300</v>
      </c>
      <c r="C25" s="5"/>
      <c r="D25" s="12"/>
      <c r="F25" s="83" t="s">
        <v>116</v>
      </c>
      <c r="G25" s="83" t="s">
        <v>117</v>
      </c>
      <c r="H25" s="83"/>
      <c r="K25" t="s">
        <v>108</v>
      </c>
    </row>
    <row r="26" spans="1:11" ht="14.25" x14ac:dyDescent="0.15">
      <c r="A26" s="54" t="s">
        <v>71</v>
      </c>
      <c r="B26" s="75">
        <v>15000</v>
      </c>
      <c r="C26" s="5"/>
      <c r="D26" s="12"/>
      <c r="E26" t="s">
        <v>122</v>
      </c>
      <c r="F26" s="84">
        <f>'[5]未収金（特定処遇改善保険請求）'!$AJ$37</f>
        <v>295245</v>
      </c>
      <c r="G26" s="84">
        <f>'[5]未収金（特定処遇改善利用者負担）'!$AJ$37</f>
        <v>32794</v>
      </c>
      <c r="H26" s="83"/>
    </row>
    <row r="27" spans="1:11" ht="14.25" x14ac:dyDescent="0.15">
      <c r="A27" s="54" t="s">
        <v>79</v>
      </c>
      <c r="B27" s="85">
        <v>0</v>
      </c>
      <c r="C27" s="5"/>
      <c r="D27" s="12"/>
      <c r="F27" s="83" t="s">
        <v>131</v>
      </c>
      <c r="G27" s="83" t="s">
        <v>135</v>
      </c>
      <c r="H27" s="83" t="s">
        <v>118</v>
      </c>
    </row>
    <row r="28" spans="1:11" ht="14.25" x14ac:dyDescent="0.15">
      <c r="A28" s="55" t="s">
        <v>37</v>
      </c>
      <c r="B28" s="88">
        <v>813376</v>
      </c>
      <c r="C28" s="15" t="s">
        <v>0</v>
      </c>
      <c r="D28" s="12"/>
      <c r="E28" t="s">
        <v>123</v>
      </c>
      <c r="F28" s="84">
        <f>'[5]未収金（サロン保険請求）'!$AJ$37</f>
        <v>345250</v>
      </c>
      <c r="G28" s="84">
        <f>'[5]未収金（サロン利用者負担）'!$AJ$37</f>
        <v>24274</v>
      </c>
      <c r="H28" s="84">
        <f>'[5]未収金（サロン食費）'!$AJ$37</f>
        <v>42000</v>
      </c>
    </row>
    <row r="29" spans="1:11" ht="14.25" x14ac:dyDescent="0.15">
      <c r="A29" s="61" t="s">
        <v>96</v>
      </c>
      <c r="B29" s="88">
        <v>52890</v>
      </c>
      <c r="C29" s="15"/>
      <c r="D29" s="12"/>
    </row>
    <row r="30" spans="1:11" ht="14.25" x14ac:dyDescent="0.15">
      <c r="A30" s="61" t="s">
        <v>38</v>
      </c>
      <c r="B30" s="7"/>
      <c r="C30" s="77">
        <f>B8+B9+B15+B28+B29</f>
        <v>48262205</v>
      </c>
      <c r="D30" s="12"/>
    </row>
    <row r="31" spans="1:11" ht="11.25" customHeight="1" x14ac:dyDescent="0.15">
      <c r="A31" s="11"/>
      <c r="B31" s="14"/>
      <c r="C31" s="5"/>
      <c r="D31" s="78" t="s">
        <v>0</v>
      </c>
    </row>
    <row r="32" spans="1:11" ht="14.25" x14ac:dyDescent="0.15">
      <c r="A32" s="55" t="s">
        <v>20</v>
      </c>
      <c r="B32" s="79" t="s">
        <v>0</v>
      </c>
      <c r="C32" s="5"/>
      <c r="D32" s="25"/>
    </row>
    <row r="33" spans="1:12" ht="14.25" x14ac:dyDescent="0.15">
      <c r="A33" s="55" t="s">
        <v>39</v>
      </c>
      <c r="B33" s="71">
        <v>45659248</v>
      </c>
      <c r="C33" s="5"/>
      <c r="D33" s="12"/>
      <c r="E33" t="s">
        <v>146</v>
      </c>
      <c r="F33" s="95">
        <f>'[6]建物（ほっと本体）'!$AJ$5</f>
        <v>225002</v>
      </c>
      <c r="G33" s="95">
        <f>'[6]建物（ほっと2階）'!$AJ$5</f>
        <v>159976</v>
      </c>
      <c r="H33" s="95">
        <f>'[6]建物（新庄）'!$AJ$5</f>
        <v>16342797</v>
      </c>
      <c r="I33" s="95">
        <f>'[6]建物（ゆけむり）'!$AJ$5</f>
        <v>23447684</v>
      </c>
      <c r="J33" s="95">
        <f>'[6]建物（ほっと浴室）'!$AJ$5</f>
        <v>4038012</v>
      </c>
    </row>
    <row r="34" spans="1:12" ht="14.25" x14ac:dyDescent="0.15">
      <c r="A34" s="55" t="s">
        <v>54</v>
      </c>
      <c r="B34" s="71">
        <v>5044881</v>
      </c>
      <c r="C34" s="5"/>
      <c r="D34" s="12"/>
      <c r="E34" t="s">
        <v>147</v>
      </c>
      <c r="F34" s="96">
        <f>'[6]附属建物（厨房）'!$AJ$5</f>
        <v>1</v>
      </c>
      <c r="G34" s="96">
        <f>'[6]附属建物（浴室）'!$AJ$5</f>
        <v>1</v>
      </c>
      <c r="H34" s="96">
        <f>'[6]附属建物（便所）'!$AJ$5</f>
        <v>1</v>
      </c>
      <c r="I34" s="96">
        <f>'[6]附属建物（廊下）'!$AJ$5</f>
        <v>1</v>
      </c>
      <c r="J34" s="96">
        <f>'[6]附属設備（電気設備その他）'!$AJ$5</f>
        <v>82438</v>
      </c>
      <c r="K34" s="97">
        <f>'[6]附属設備（給排水衛生設備）'!$AJ$5</f>
        <v>94536</v>
      </c>
      <c r="L34" s="96">
        <f>'[6]附属設備（消火排煙設備）'!$AJ$5</f>
        <v>5047</v>
      </c>
    </row>
    <row r="35" spans="1:12" ht="14.25" x14ac:dyDescent="0.15">
      <c r="A35" s="55" t="s">
        <v>55</v>
      </c>
      <c r="B35" s="71">
        <v>1287355</v>
      </c>
      <c r="C35" s="5"/>
      <c r="D35" s="12"/>
      <c r="F35" s="96">
        <f>'[6]附属設備（新庄電気設備）'!$AJ$5</f>
        <v>365715</v>
      </c>
      <c r="G35" s="96">
        <f>'[6]附属設備（新庄給排水設備）'!$AJ$5</f>
        <v>446005</v>
      </c>
      <c r="H35" s="96">
        <f>'[6]附属設備（電気設備）'!$AJ$5</f>
        <v>1028074</v>
      </c>
      <c r="I35" s="96">
        <f>'[6]附属設備（給排水設備）'!$AJ$5</f>
        <v>529605</v>
      </c>
      <c r="J35" s="96">
        <f>'[6]附属設備（新庄浴槽改装ガス給湯設備）'!$AJ$6</f>
        <v>513845</v>
      </c>
      <c r="K35" s="96">
        <f>'[6]附属設備（ほっと浴室移設電気工事）'!$AJ$5</f>
        <v>851136</v>
      </c>
      <c r="L35" s="96">
        <f>'[6]附属設備（ほっと浴室移設給排水設備）'!$AJ$5</f>
        <v>1128476</v>
      </c>
    </row>
    <row r="36" spans="1:12" ht="14.25" x14ac:dyDescent="0.15">
      <c r="A36" s="55" t="s">
        <v>75</v>
      </c>
      <c r="B36" s="71">
        <v>264085</v>
      </c>
      <c r="C36" s="5"/>
      <c r="D36" s="12"/>
      <c r="E36" t="s">
        <v>148</v>
      </c>
      <c r="F36" s="94">
        <f>'[6]構築物（舗装工事）'!$AJ$5</f>
        <v>1</v>
      </c>
      <c r="G36" s="94">
        <f>'[6]構築物（ゆけむり）'!$AJ$5</f>
        <v>358351</v>
      </c>
      <c r="H36" s="94">
        <f>'[6]構築物（新庄駐車場舗装）'!$AJ$5</f>
        <v>821220</v>
      </c>
    </row>
    <row r="37" spans="1:12" ht="14.25" x14ac:dyDescent="0.15">
      <c r="A37" s="55" t="s">
        <v>40</v>
      </c>
      <c r="B37" s="71">
        <v>597523</v>
      </c>
      <c r="C37" s="5"/>
      <c r="D37" s="12"/>
      <c r="E37" t="s">
        <v>149</v>
      </c>
      <c r="F37" s="98">
        <f>'[6]器具備品（新庄玄関エアコン）'!$AJ$5</f>
        <v>31800</v>
      </c>
      <c r="G37" s="98">
        <f>'[6]器具備品（新庄事務室エアコン）'!$AJ$5</f>
        <v>173084</v>
      </c>
    </row>
    <row r="38" spans="1:12" ht="14.25" x14ac:dyDescent="0.15">
      <c r="A38" s="55" t="s">
        <v>41</v>
      </c>
      <c r="B38" s="71">
        <v>110600</v>
      </c>
      <c r="C38" s="5"/>
      <c r="D38" s="12"/>
      <c r="E38" t="s">
        <v>150</v>
      </c>
      <c r="F38" s="94">
        <f>'[6]車両（タウンボックス）'!$AJ$5</f>
        <v>1</v>
      </c>
      <c r="G38" s="94">
        <f>'[6]車両（はとバン）'!$AJ$5</f>
        <v>1</v>
      </c>
      <c r="H38" s="94">
        <f>'[6]車両（ノア）'!$AJ$5</f>
        <v>1</v>
      </c>
      <c r="I38" s="94">
        <f>'[6]車両（セレナ）'!$AJ$5</f>
        <v>1</v>
      </c>
      <c r="J38" s="94">
        <f>'[6]車両（アトレー１）'!$AJ$5</f>
        <v>1</v>
      </c>
      <c r="K38" s="94">
        <f>'[6]車両（キャラ３）'!$AJ$5</f>
        <v>1</v>
      </c>
      <c r="L38" s="94">
        <f>'[6]車両（フリード２）'!$AJ$5</f>
        <v>477725</v>
      </c>
    </row>
    <row r="39" spans="1:12" ht="14.25" x14ac:dyDescent="0.15">
      <c r="A39" s="55" t="s">
        <v>42</v>
      </c>
      <c r="B39" s="71">
        <v>50000</v>
      </c>
      <c r="C39" s="11"/>
      <c r="D39" s="12"/>
      <c r="F39" s="94">
        <f>'[6]車両（セブン２）'!$AJ$5</f>
        <v>1</v>
      </c>
      <c r="G39" s="94">
        <f>'[6]車両（EK３）'!$AJ$5</f>
        <v>1</v>
      </c>
    </row>
    <row r="40" spans="1:12" ht="14.25" x14ac:dyDescent="0.15">
      <c r="A40" s="55" t="s">
        <v>66</v>
      </c>
      <c r="B40" s="71">
        <v>156460</v>
      </c>
      <c r="C40" s="76"/>
      <c r="D40" s="12"/>
    </row>
    <row r="41" spans="1:12" ht="14.25" x14ac:dyDescent="0.15">
      <c r="A41" s="61" t="s">
        <v>43</v>
      </c>
      <c r="B41" s="80"/>
      <c r="C41" s="37">
        <f>SUM(B33:B40)</f>
        <v>53170152</v>
      </c>
      <c r="D41" s="12"/>
    </row>
    <row r="42" spans="1:12" ht="8.25" customHeight="1" x14ac:dyDescent="0.15">
      <c r="A42" s="11"/>
      <c r="B42" s="19"/>
      <c r="C42" s="5"/>
      <c r="D42" s="12"/>
    </row>
    <row r="43" spans="1:12" ht="14.25" x14ac:dyDescent="0.15">
      <c r="A43" s="58" t="s">
        <v>23</v>
      </c>
      <c r="B43" s="80"/>
      <c r="C43" s="10"/>
      <c r="D43" s="38">
        <f>C30+C41</f>
        <v>101432357</v>
      </c>
    </row>
    <row r="44" spans="1:12" ht="11.25" customHeight="1" x14ac:dyDescent="0.15">
      <c r="A44" s="9"/>
      <c r="B44" s="62"/>
      <c r="C44" s="62"/>
      <c r="D44" s="62"/>
    </row>
    <row r="45" spans="1:12" ht="14.25" x14ac:dyDescent="0.15">
      <c r="A45" s="60" t="s">
        <v>18</v>
      </c>
      <c r="B45" s="79"/>
      <c r="C45" s="5"/>
      <c r="D45" s="12"/>
    </row>
    <row r="46" spans="1:12" ht="14.25" x14ac:dyDescent="0.15">
      <c r="A46" s="55" t="s">
        <v>21</v>
      </c>
      <c r="B46" s="79"/>
      <c r="C46" s="5"/>
      <c r="D46" s="23"/>
    </row>
    <row r="47" spans="1:12" ht="14.25" x14ac:dyDescent="0.15">
      <c r="A47" s="55" t="s">
        <v>32</v>
      </c>
      <c r="B47" s="88">
        <v>626069</v>
      </c>
      <c r="C47" s="5"/>
      <c r="D47" s="78"/>
    </row>
    <row r="48" spans="1:12" ht="14.25" x14ac:dyDescent="0.15">
      <c r="A48" s="55" t="s">
        <v>33</v>
      </c>
      <c r="B48" s="71">
        <v>0</v>
      </c>
      <c r="C48" s="5"/>
      <c r="D48" s="12"/>
    </row>
    <row r="49" spans="1:8" ht="6.75" customHeight="1" x14ac:dyDescent="0.15">
      <c r="A49" s="59"/>
      <c r="B49" s="79"/>
      <c r="C49" s="11"/>
      <c r="D49" s="12"/>
    </row>
    <row r="50" spans="1:8" ht="14.25" x14ac:dyDescent="0.15">
      <c r="A50" s="55" t="s">
        <v>31</v>
      </c>
      <c r="B50" s="80"/>
      <c r="C50" s="37">
        <f>B47+B48</f>
        <v>626069</v>
      </c>
      <c r="D50" s="23"/>
      <c r="E50" t="s">
        <v>108</v>
      </c>
    </row>
    <row r="51" spans="1:8" ht="11.25" customHeight="1" x14ac:dyDescent="0.15">
      <c r="A51" s="3"/>
      <c r="B51" s="14"/>
      <c r="C51" s="34"/>
      <c r="D51" s="25"/>
    </row>
    <row r="52" spans="1:8" ht="14.25" x14ac:dyDescent="0.15">
      <c r="A52" s="55" t="s">
        <v>22</v>
      </c>
      <c r="B52" s="19"/>
      <c r="C52" s="81"/>
      <c r="D52" s="23"/>
    </row>
    <row r="53" spans="1:8" ht="14.25" x14ac:dyDescent="0.15">
      <c r="A53" s="55" t="s">
        <v>30</v>
      </c>
      <c r="B53" s="88">
        <v>4400000</v>
      </c>
      <c r="C53" s="11"/>
      <c r="D53" s="25"/>
    </row>
    <row r="54" spans="1:8" ht="14.25" x14ac:dyDescent="0.15">
      <c r="A54" s="9"/>
      <c r="B54" s="19"/>
      <c r="C54" s="11"/>
      <c r="D54" s="25"/>
      <c r="G54" t="s">
        <v>108</v>
      </c>
    </row>
    <row r="55" spans="1:8" ht="14.25" x14ac:dyDescent="0.15">
      <c r="A55" s="61" t="s">
        <v>29</v>
      </c>
      <c r="B55" s="10"/>
      <c r="C55" s="37">
        <f>B53</f>
        <v>4400000</v>
      </c>
      <c r="D55" s="23"/>
    </row>
    <row r="56" spans="1:8" ht="6.75" customHeight="1" x14ac:dyDescent="0.15">
      <c r="A56" s="3"/>
      <c r="B56" s="19"/>
      <c r="C56" s="11"/>
      <c r="D56" s="23"/>
    </row>
    <row r="57" spans="1:8" ht="14.25" x14ac:dyDescent="0.15">
      <c r="A57" s="58" t="s">
        <v>24</v>
      </c>
      <c r="B57" s="40"/>
      <c r="C57" s="40"/>
      <c r="D57" s="38">
        <f>C50+C55</f>
        <v>5026069</v>
      </c>
    </row>
    <row r="58" spans="1:8" ht="11.25" customHeight="1" x14ac:dyDescent="0.15">
      <c r="A58" s="3"/>
      <c r="B58" s="19"/>
      <c r="C58" s="11"/>
      <c r="D58" s="23"/>
    </row>
    <row r="59" spans="1:8" ht="14.25" x14ac:dyDescent="0.15">
      <c r="A59" s="55" t="s">
        <v>3</v>
      </c>
      <c r="B59" s="30"/>
      <c r="C59" s="35"/>
      <c r="D59" s="31"/>
    </row>
    <row r="60" spans="1:8" ht="15" customHeight="1" x14ac:dyDescent="0.15">
      <c r="A60" s="55" t="s">
        <v>27</v>
      </c>
      <c r="B60" s="10"/>
      <c r="C60" s="39"/>
      <c r="D60" s="39">
        <v>0</v>
      </c>
      <c r="H60" t="s">
        <v>0</v>
      </c>
    </row>
    <row r="61" spans="1:8" ht="15.75" customHeight="1" x14ac:dyDescent="0.15">
      <c r="A61" s="55" t="s">
        <v>28</v>
      </c>
      <c r="B61" s="47"/>
      <c r="C61" s="9"/>
      <c r="D61" s="43">
        <f>D43-D57</f>
        <v>96406288</v>
      </c>
      <c r="F61" s="90" t="s">
        <v>124</v>
      </c>
    </row>
    <row r="62" spans="1:8" ht="15.75" customHeight="1" x14ac:dyDescent="0.15">
      <c r="A62" s="59" t="s">
        <v>11</v>
      </c>
      <c r="B62" s="9"/>
      <c r="D62" s="70">
        <f>D63-'3.3月'!D63</f>
        <v>-378591</v>
      </c>
      <c r="F62" s="92">
        <f>D62-[3]令和3年度!$P$73</f>
        <v>-402018</v>
      </c>
    </row>
    <row r="63" spans="1:8" ht="16.5" customHeight="1" x14ac:dyDescent="0.15">
      <c r="A63" s="55" t="s">
        <v>26</v>
      </c>
      <c r="B63" s="22"/>
      <c r="C63" s="48"/>
      <c r="D63" s="44">
        <f>D61</f>
        <v>96406288</v>
      </c>
      <c r="F63" s="91"/>
    </row>
    <row r="64" spans="1:8" ht="14.25" x14ac:dyDescent="0.15">
      <c r="A64" s="55" t="s">
        <v>25</v>
      </c>
      <c r="B64" s="22"/>
      <c r="C64" s="9"/>
      <c r="D64" s="69">
        <f>D57+D63</f>
        <v>101432357</v>
      </c>
      <c r="F64" s="68"/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D88A-245E-4D71-B5AB-A17BD4FD5A11}">
  <dimension ref="A1:L108"/>
  <sheetViews>
    <sheetView topLeftCell="A55" zoomScaleNormal="100" workbookViewId="0">
      <selection activeCell="I59" sqref="I59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2">
      <c r="A1" s="1" t="s">
        <v>152</v>
      </c>
      <c r="B1" s="1"/>
    </row>
    <row r="2" spans="1:11" ht="17.25" customHeight="1" x14ac:dyDescent="0.15">
      <c r="A2" s="111" t="s">
        <v>151</v>
      </c>
      <c r="B2" s="111"/>
      <c r="C2" s="111"/>
      <c r="D2" s="111"/>
    </row>
    <row r="3" spans="1:11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50"/>
      <c r="C5" s="49" t="s">
        <v>4</v>
      </c>
      <c r="D5" s="49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21404525</v>
      </c>
      <c r="C9" s="5"/>
      <c r="D9" s="12"/>
      <c r="F9" s="84">
        <f>'[4]0138359'!$AJ$37</f>
        <v>6087098</v>
      </c>
      <c r="G9" s="84">
        <f>'[4]0138642（居宅）'!$AJ$37</f>
        <v>25125</v>
      </c>
      <c r="H9" s="84">
        <f>'[4]0138655（通所）'!$AJ$37</f>
        <v>8278</v>
      </c>
      <c r="I9" s="84">
        <f>'[4]0156560（新庄）'!$AJ$37</f>
        <v>268965</v>
      </c>
      <c r="J9" s="84">
        <f>'[4]0158313（ゆけむり）'!$AJ$37</f>
        <v>315717</v>
      </c>
      <c r="K9" s="84">
        <f>'[4]0139101（ちゃれんじ）'!$AJ$37</f>
        <v>5525616</v>
      </c>
    </row>
    <row r="10" spans="1:11" ht="14.25" x14ac:dyDescent="0.15">
      <c r="A10" s="53" t="s">
        <v>102</v>
      </c>
      <c r="B10" s="73">
        <v>16259959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1403296</v>
      </c>
      <c r="C11" s="5"/>
      <c r="D11" s="23"/>
      <c r="F11" s="84">
        <f>'[4]2253865（助け合い）'!$AJ$37</f>
        <v>351901</v>
      </c>
      <c r="G11" s="89">
        <f>'[4]2253871（通所）'!$AJ$37</f>
        <v>584567</v>
      </c>
      <c r="H11" s="84">
        <f>'[4]2254321（ミニ）'!$AJ$37</f>
        <v>37523</v>
      </c>
    </row>
    <row r="12" spans="1:11" ht="14.25" x14ac:dyDescent="0.15">
      <c r="A12" s="53" t="s">
        <v>128</v>
      </c>
      <c r="B12" s="74">
        <v>1392665</v>
      </c>
      <c r="C12" s="5"/>
      <c r="D12" s="23"/>
    </row>
    <row r="13" spans="1:11" ht="14.25" x14ac:dyDescent="0.15">
      <c r="A13" s="53" t="s">
        <v>129</v>
      </c>
      <c r="B13" s="75">
        <v>1910788</v>
      </c>
      <c r="C13" s="5"/>
      <c r="D13" s="12"/>
      <c r="E13" s="93" t="s">
        <v>142</v>
      </c>
      <c r="F13" s="94">
        <f>[4]JA0034628!$AJ$37</f>
        <v>1724338</v>
      </c>
      <c r="G13" s="93" t="s">
        <v>143</v>
      </c>
      <c r="H13" s="94">
        <f>[4]ゆうちょ6473091!$AJ$37</f>
        <v>512220</v>
      </c>
      <c r="I13" s="93" t="s">
        <v>144</v>
      </c>
      <c r="J13" s="94">
        <f>[4]しま信0116975!$AJ$37</f>
        <v>389923</v>
      </c>
    </row>
    <row r="14" spans="1:11" ht="14.25" x14ac:dyDescent="0.15">
      <c r="A14" s="53" t="s">
        <v>130</v>
      </c>
      <c r="B14" s="75">
        <v>437817</v>
      </c>
      <c r="C14" s="5"/>
      <c r="D14" s="12"/>
    </row>
    <row r="15" spans="1:11" ht="14.25" x14ac:dyDescent="0.15">
      <c r="A15" s="55" t="s">
        <v>36</v>
      </c>
      <c r="B15" s="71">
        <f>SUM(B16:B27)</f>
        <v>31703404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5455610</v>
      </c>
      <c r="C16" s="11"/>
      <c r="D16" s="12"/>
      <c r="E16" t="s">
        <v>112</v>
      </c>
      <c r="F16" s="84">
        <f>'[5]未収金（認定調査委託料）'!$AJ$37</f>
        <v>36960</v>
      </c>
      <c r="G16" s="84">
        <f>'[5]未収金（居宅支援介護報酬）'!$AJ$37</f>
        <v>5175480</v>
      </c>
      <c r="H16" s="83"/>
    </row>
    <row r="17" spans="1:11" ht="14.25" x14ac:dyDescent="0.15">
      <c r="A17" s="54" t="s">
        <v>15</v>
      </c>
      <c r="B17" s="73">
        <v>17157452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4392462</v>
      </c>
      <c r="C18" s="11"/>
      <c r="D18" s="12"/>
      <c r="E18" t="s">
        <v>115</v>
      </c>
      <c r="F18" s="84">
        <f>'[5]未収金（通所保険請求）'!$AJ$37</f>
        <v>11969869</v>
      </c>
      <c r="G18" s="84">
        <f>'[5]未収金（通所利用者負担）'!$AJ$37</f>
        <v>1176056</v>
      </c>
      <c r="H18" s="84">
        <f>'[5]未収金（通所食費）'!$AJ$37</f>
        <v>647800</v>
      </c>
    </row>
    <row r="19" spans="1:11" ht="14.25" x14ac:dyDescent="0.15">
      <c r="A19" s="54" t="s">
        <v>16</v>
      </c>
      <c r="B19" s="73">
        <v>2225317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1293537</v>
      </c>
      <c r="C20" s="5"/>
      <c r="D20" s="12"/>
      <c r="E20" t="s">
        <v>119</v>
      </c>
      <c r="F20" s="84">
        <f>'[5]未収金（ゆけむり保険請求）'!$AJ$37</f>
        <v>4118472</v>
      </c>
      <c r="G20" s="84">
        <f>'[5]未収金（ゆけむり利用者負担）'!$AJ$37</f>
        <v>616547</v>
      </c>
      <c r="H20" s="84">
        <f>'[5]未収金（ゆけむり食費）'!$AJ$37</f>
        <v>121200</v>
      </c>
    </row>
    <row r="21" spans="1:11" ht="14.25" x14ac:dyDescent="0.15">
      <c r="A21" s="54" t="s">
        <v>103</v>
      </c>
      <c r="B21" s="73">
        <v>556828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72</v>
      </c>
      <c r="B22" s="73">
        <v>9900</v>
      </c>
      <c r="C22" s="5"/>
      <c r="D22" s="12"/>
      <c r="E22" t="s">
        <v>120</v>
      </c>
      <c r="F22" s="84">
        <f>'[5]未収金（予防通所保険請求）'!$AJ$37</f>
        <v>1937111</v>
      </c>
      <c r="G22" s="84">
        <f>'[5]未収金（予防通所利用者負担）'!$AJ$37</f>
        <v>118239</v>
      </c>
      <c r="H22" s="84">
        <f>'[5]未収金（予防通所食費）'!$AJ$37</f>
        <v>139200</v>
      </c>
    </row>
    <row r="23" spans="1:11" ht="14.25" x14ac:dyDescent="0.15">
      <c r="A23" s="54" t="s">
        <v>81</v>
      </c>
      <c r="B23" s="73">
        <v>359698</v>
      </c>
      <c r="C23" s="5"/>
      <c r="D23" s="12"/>
      <c r="F23" s="83" t="s">
        <v>131</v>
      </c>
      <c r="G23" s="83" t="s">
        <v>117</v>
      </c>
      <c r="H23" s="83"/>
    </row>
    <row r="24" spans="1:11" ht="14.25" x14ac:dyDescent="0.15">
      <c r="A24" s="54" t="s">
        <v>82</v>
      </c>
      <c r="B24" s="73">
        <v>126600</v>
      </c>
      <c r="C24" s="5"/>
      <c r="D24" s="12"/>
      <c r="E24" t="s">
        <v>121</v>
      </c>
      <c r="F24" s="84">
        <f>'[5]未収金（処遇改善保険請求）'!$AJ$37</f>
        <v>1262836</v>
      </c>
      <c r="G24" s="84">
        <f>'[5]未収金（処遇改善利用者負担）'!$AJ$37</f>
        <v>135461</v>
      </c>
      <c r="H24" s="83"/>
    </row>
    <row r="25" spans="1:11" ht="14.25" x14ac:dyDescent="0.15">
      <c r="A25" s="54" t="s">
        <v>17</v>
      </c>
      <c r="B25" s="74">
        <v>111000</v>
      </c>
      <c r="C25" s="5"/>
      <c r="D25" s="12"/>
      <c r="F25" s="83" t="s">
        <v>116</v>
      </c>
      <c r="G25" s="83" t="s">
        <v>117</v>
      </c>
      <c r="H25" s="83"/>
      <c r="K25" t="s">
        <v>108</v>
      </c>
    </row>
    <row r="26" spans="1:11" ht="14.25" x14ac:dyDescent="0.15">
      <c r="A26" s="54" t="s">
        <v>71</v>
      </c>
      <c r="B26" s="75">
        <v>15000</v>
      </c>
      <c r="C26" s="5"/>
      <c r="D26" s="12"/>
      <c r="E26" t="s">
        <v>122</v>
      </c>
      <c r="F26" s="84">
        <f>'[5]未収金（特定処遇改善保険請求）'!$AJ$37</f>
        <v>295245</v>
      </c>
      <c r="G26" s="84">
        <f>'[5]未収金（特定処遇改善利用者負担）'!$AJ$37</f>
        <v>32794</v>
      </c>
      <c r="H26" s="83"/>
    </row>
    <row r="27" spans="1:11" ht="14.25" x14ac:dyDescent="0.15">
      <c r="A27" s="54" t="s">
        <v>79</v>
      </c>
      <c r="B27" s="85">
        <v>0</v>
      </c>
      <c r="C27" s="5"/>
      <c r="D27" s="12"/>
      <c r="F27" s="83" t="s">
        <v>131</v>
      </c>
      <c r="G27" s="83" t="s">
        <v>135</v>
      </c>
      <c r="H27" s="83" t="s">
        <v>118</v>
      </c>
    </row>
    <row r="28" spans="1:11" ht="14.25" x14ac:dyDescent="0.15">
      <c r="A28" s="55" t="s">
        <v>37</v>
      </c>
      <c r="B28" s="88">
        <v>743376</v>
      </c>
      <c r="C28" s="15" t="s">
        <v>0</v>
      </c>
      <c r="D28" s="12"/>
      <c r="E28" t="s">
        <v>123</v>
      </c>
      <c r="F28" s="84">
        <f>'[5]未収金（サロン保険請求）'!$AJ$37</f>
        <v>345250</v>
      </c>
      <c r="G28" s="84">
        <f>'[5]未収金（サロン利用者負担）'!$AJ$37</f>
        <v>24274</v>
      </c>
      <c r="H28" s="84">
        <f>'[5]未収金（サロン食費）'!$AJ$37</f>
        <v>42000</v>
      </c>
    </row>
    <row r="29" spans="1:11" ht="14.25" x14ac:dyDescent="0.15">
      <c r="A29" s="61" t="s">
        <v>96</v>
      </c>
      <c r="B29" s="88">
        <v>52890</v>
      </c>
      <c r="C29" s="15"/>
      <c r="D29" s="12"/>
    </row>
    <row r="30" spans="1:11" ht="14.25" x14ac:dyDescent="0.15">
      <c r="A30" s="61" t="s">
        <v>38</v>
      </c>
      <c r="B30" s="7"/>
      <c r="C30" s="77">
        <f>B8+B9+B15+B28+B29</f>
        <v>53906580</v>
      </c>
      <c r="D30" s="12"/>
    </row>
    <row r="31" spans="1:11" ht="11.25" customHeight="1" x14ac:dyDescent="0.15">
      <c r="A31" s="11"/>
      <c r="B31" s="14"/>
      <c r="C31" s="5"/>
      <c r="D31" s="78" t="s">
        <v>0</v>
      </c>
    </row>
    <row r="32" spans="1:11" ht="14.25" x14ac:dyDescent="0.15">
      <c r="A32" s="55" t="s">
        <v>20</v>
      </c>
      <c r="B32" s="79" t="s">
        <v>0</v>
      </c>
      <c r="C32" s="5"/>
      <c r="D32" s="25"/>
    </row>
    <row r="33" spans="1:12" ht="14.25" x14ac:dyDescent="0.15">
      <c r="A33" s="55" t="s">
        <v>39</v>
      </c>
      <c r="B33" s="71">
        <v>45659248</v>
      </c>
      <c r="C33" s="5"/>
      <c r="D33" s="12"/>
      <c r="E33" t="s">
        <v>146</v>
      </c>
      <c r="F33" s="95">
        <f>'[6]建物（ほっと本体）'!$AJ$5</f>
        <v>225002</v>
      </c>
      <c r="G33" s="95">
        <f>'[6]建物（ほっと2階）'!$AJ$5</f>
        <v>159976</v>
      </c>
      <c r="H33" s="95">
        <f>'[6]建物（新庄）'!$AJ$5</f>
        <v>16342797</v>
      </c>
      <c r="I33" s="95">
        <f>'[6]建物（ゆけむり）'!$AJ$5</f>
        <v>23447684</v>
      </c>
      <c r="J33" s="95">
        <f>'[6]建物（ほっと浴室）'!$AJ$5</f>
        <v>4038012</v>
      </c>
    </row>
    <row r="34" spans="1:12" ht="14.25" x14ac:dyDescent="0.15">
      <c r="A34" s="55" t="s">
        <v>54</v>
      </c>
      <c r="B34" s="71">
        <v>5044881</v>
      </c>
      <c r="C34" s="5"/>
      <c r="D34" s="12"/>
      <c r="E34" t="s">
        <v>147</v>
      </c>
      <c r="F34" s="96">
        <f>'[6]附属建物（厨房）'!$AJ$5</f>
        <v>1</v>
      </c>
      <c r="G34" s="96">
        <f>'[6]附属建物（浴室）'!$AJ$5</f>
        <v>1</v>
      </c>
      <c r="H34" s="96">
        <f>'[6]附属建物（便所）'!$AJ$5</f>
        <v>1</v>
      </c>
      <c r="I34" s="96">
        <f>'[6]附属建物（廊下）'!$AJ$5</f>
        <v>1</v>
      </c>
      <c r="J34" s="96">
        <f>'[6]附属設備（電気設備その他）'!$AJ$5</f>
        <v>82438</v>
      </c>
      <c r="K34" s="97">
        <f>'[6]附属設備（給排水衛生設備）'!$AJ$5</f>
        <v>94536</v>
      </c>
      <c r="L34" s="96">
        <f>'[6]附属設備（消火排煙設備）'!$AJ$5</f>
        <v>5047</v>
      </c>
    </row>
    <row r="35" spans="1:12" ht="14.25" x14ac:dyDescent="0.15">
      <c r="A35" s="55" t="s">
        <v>55</v>
      </c>
      <c r="B35" s="71">
        <v>1287355</v>
      </c>
      <c r="C35" s="5"/>
      <c r="D35" s="12"/>
      <c r="F35" s="96">
        <f>'[6]附属設備（新庄電気設備）'!$AJ$5</f>
        <v>365715</v>
      </c>
      <c r="G35" s="96">
        <f>'[6]附属設備（新庄給排水設備）'!$AJ$5</f>
        <v>446005</v>
      </c>
      <c r="H35" s="96">
        <f>'[6]附属設備（電気設備）'!$AJ$5</f>
        <v>1028074</v>
      </c>
      <c r="I35" s="96">
        <f>'[6]附属設備（給排水設備）'!$AJ$5</f>
        <v>529605</v>
      </c>
      <c r="J35" s="96">
        <f>'[6]附属設備（新庄浴槽改装ガス給湯設備）'!$AJ$6</f>
        <v>513845</v>
      </c>
      <c r="K35" s="96">
        <f>'[6]附属設備（ほっと浴室移設電気工事）'!$AJ$5</f>
        <v>851136</v>
      </c>
      <c r="L35" s="96">
        <f>'[6]附属設備（ほっと浴室移設給排水設備）'!$AJ$5</f>
        <v>1128476</v>
      </c>
    </row>
    <row r="36" spans="1:12" ht="14.25" x14ac:dyDescent="0.15">
      <c r="A36" s="55" t="s">
        <v>75</v>
      </c>
      <c r="B36" s="71">
        <v>264085</v>
      </c>
      <c r="C36" s="5"/>
      <c r="D36" s="12"/>
      <c r="E36" t="s">
        <v>148</v>
      </c>
      <c r="F36" s="94">
        <f>'[6]構築物（舗装工事）'!$AJ$5</f>
        <v>1</v>
      </c>
      <c r="G36" s="94">
        <f>'[6]構築物（ゆけむり）'!$AJ$5</f>
        <v>358351</v>
      </c>
      <c r="H36" s="94">
        <f>'[6]構築物（新庄駐車場舗装）'!$AJ$5</f>
        <v>821220</v>
      </c>
    </row>
    <row r="37" spans="1:12" ht="14.25" x14ac:dyDescent="0.15">
      <c r="A37" s="55" t="s">
        <v>40</v>
      </c>
      <c r="B37" s="71">
        <v>597523</v>
      </c>
      <c r="C37" s="5"/>
      <c r="D37" s="12"/>
      <c r="E37" t="s">
        <v>149</v>
      </c>
      <c r="F37" s="98">
        <f>'[6]器具備品（新庄玄関エアコン）'!$AJ$5</f>
        <v>31800</v>
      </c>
      <c r="G37" s="98">
        <f>'[6]器具備品（新庄事務室エアコン）'!$AJ$5</f>
        <v>173084</v>
      </c>
    </row>
    <row r="38" spans="1:12" ht="14.25" x14ac:dyDescent="0.15">
      <c r="A38" s="55" t="s">
        <v>41</v>
      </c>
      <c r="B38" s="71">
        <v>110600</v>
      </c>
      <c r="C38" s="5"/>
      <c r="D38" s="12"/>
      <c r="E38" t="s">
        <v>150</v>
      </c>
      <c r="F38" s="94">
        <f>'[6]車両（タウンボックス）'!$AJ$5</f>
        <v>1</v>
      </c>
      <c r="G38" s="94">
        <f>'[6]車両（はとバン）'!$AJ$5</f>
        <v>1</v>
      </c>
      <c r="H38" s="94">
        <f>'[6]車両（ノア）'!$AJ$5</f>
        <v>1</v>
      </c>
      <c r="I38" s="94">
        <f>'[6]車両（セレナ）'!$AJ$5</f>
        <v>1</v>
      </c>
      <c r="J38" s="94">
        <f>'[6]車両（アトレー１）'!$AJ$5</f>
        <v>1</v>
      </c>
      <c r="K38" s="94">
        <f>'[6]車両（キャラ３）'!$AJ$5</f>
        <v>1</v>
      </c>
      <c r="L38" s="94">
        <f>'[6]車両（フリード２）'!$AJ$5</f>
        <v>477725</v>
      </c>
    </row>
    <row r="39" spans="1:12" ht="14.25" x14ac:dyDescent="0.15">
      <c r="A39" s="55" t="s">
        <v>42</v>
      </c>
      <c r="B39" s="71">
        <v>50000</v>
      </c>
      <c r="C39" s="11"/>
      <c r="D39" s="12"/>
      <c r="F39" s="94">
        <f>'[6]車両（セブン２）'!$AJ$5</f>
        <v>1</v>
      </c>
      <c r="G39" s="94">
        <f>'[6]車両（EK３）'!$AJ$5</f>
        <v>1</v>
      </c>
    </row>
    <row r="40" spans="1:12" ht="14.25" x14ac:dyDescent="0.15">
      <c r="A40" s="55" t="s">
        <v>66</v>
      </c>
      <c r="B40" s="71">
        <v>156460</v>
      </c>
      <c r="C40" s="76"/>
      <c r="D40" s="12"/>
    </row>
    <row r="41" spans="1:12" ht="14.25" x14ac:dyDescent="0.15">
      <c r="A41" s="61" t="s">
        <v>43</v>
      </c>
      <c r="B41" s="80"/>
      <c r="C41" s="37">
        <f>SUM(B33:B40)</f>
        <v>53170152</v>
      </c>
      <c r="D41" s="12"/>
    </row>
    <row r="42" spans="1:12" ht="8.25" customHeight="1" x14ac:dyDescent="0.15">
      <c r="A42" s="11"/>
      <c r="B42" s="19"/>
      <c r="C42" s="5"/>
      <c r="D42" s="12"/>
    </row>
    <row r="43" spans="1:12" ht="14.25" x14ac:dyDescent="0.15">
      <c r="A43" s="58" t="s">
        <v>23</v>
      </c>
      <c r="B43" s="80"/>
      <c r="C43" s="10"/>
      <c r="D43" s="38">
        <f>C30+C41</f>
        <v>107076732</v>
      </c>
    </row>
    <row r="44" spans="1:12" ht="11.25" customHeight="1" x14ac:dyDescent="0.15">
      <c r="A44" s="9"/>
      <c r="B44" s="62"/>
      <c r="C44" s="62"/>
      <c r="D44" s="62"/>
    </row>
    <row r="45" spans="1:12" ht="14.25" x14ac:dyDescent="0.15">
      <c r="A45" s="60" t="s">
        <v>18</v>
      </c>
      <c r="B45" s="79"/>
      <c r="C45" s="5"/>
      <c r="D45" s="12"/>
    </row>
    <row r="46" spans="1:12" ht="14.25" x14ac:dyDescent="0.15">
      <c r="A46" s="55" t="s">
        <v>21</v>
      </c>
      <c r="B46" s="79"/>
      <c r="C46" s="5"/>
      <c r="D46" s="23"/>
    </row>
    <row r="47" spans="1:12" ht="14.25" x14ac:dyDescent="0.15">
      <c r="A47" s="55" t="s">
        <v>32</v>
      </c>
      <c r="B47" s="88">
        <v>2399938</v>
      </c>
      <c r="C47" s="5"/>
      <c r="D47" s="78"/>
    </row>
    <row r="48" spans="1:12" ht="14.25" x14ac:dyDescent="0.15">
      <c r="A48" s="55" t="s">
        <v>33</v>
      </c>
      <c r="B48" s="71">
        <v>0</v>
      </c>
      <c r="C48" s="5"/>
      <c r="D48" s="12"/>
    </row>
    <row r="49" spans="1:8" ht="6.75" customHeight="1" x14ac:dyDescent="0.15">
      <c r="A49" s="59"/>
      <c r="B49" s="79"/>
      <c r="C49" s="11"/>
      <c r="D49" s="12"/>
    </row>
    <row r="50" spans="1:8" ht="14.25" x14ac:dyDescent="0.15">
      <c r="A50" s="55" t="s">
        <v>31</v>
      </c>
      <c r="B50" s="80"/>
      <c r="C50" s="37">
        <f>B47+B48</f>
        <v>2399938</v>
      </c>
      <c r="D50" s="23"/>
      <c r="E50" t="s">
        <v>108</v>
      </c>
    </row>
    <row r="51" spans="1:8" ht="11.25" customHeight="1" x14ac:dyDescent="0.15">
      <c r="A51" s="3"/>
      <c r="B51" s="14"/>
      <c r="C51" s="34"/>
      <c r="D51" s="25"/>
    </row>
    <row r="52" spans="1:8" ht="14.25" x14ac:dyDescent="0.15">
      <c r="A52" s="55" t="s">
        <v>22</v>
      </c>
      <c r="B52" s="19"/>
      <c r="C52" s="81"/>
      <c r="D52" s="23"/>
    </row>
    <row r="53" spans="1:8" ht="14.25" x14ac:dyDescent="0.15">
      <c r="A53" s="55" t="s">
        <v>30</v>
      </c>
      <c r="B53" s="88">
        <v>4120000</v>
      </c>
      <c r="C53" s="11"/>
      <c r="D53" s="25"/>
    </row>
    <row r="54" spans="1:8" ht="14.25" x14ac:dyDescent="0.15">
      <c r="A54" s="9"/>
      <c r="B54" s="19"/>
      <c r="C54" s="11"/>
      <c r="D54" s="25"/>
      <c r="G54" t="s">
        <v>108</v>
      </c>
    </row>
    <row r="55" spans="1:8" ht="14.25" x14ac:dyDescent="0.15">
      <c r="A55" s="61" t="s">
        <v>29</v>
      </c>
      <c r="B55" s="10"/>
      <c r="C55" s="37">
        <f>B53</f>
        <v>4120000</v>
      </c>
      <c r="D55" s="23"/>
    </row>
    <row r="56" spans="1:8" ht="6.75" customHeight="1" x14ac:dyDescent="0.15">
      <c r="A56" s="3"/>
      <c r="B56" s="19"/>
      <c r="C56" s="11"/>
      <c r="D56" s="23"/>
    </row>
    <row r="57" spans="1:8" ht="14.25" x14ac:dyDescent="0.15">
      <c r="A57" s="58" t="s">
        <v>24</v>
      </c>
      <c r="B57" s="40"/>
      <c r="C57" s="40"/>
      <c r="D57" s="38">
        <f>C50+C55</f>
        <v>6519938</v>
      </c>
    </row>
    <row r="58" spans="1:8" ht="11.25" customHeight="1" x14ac:dyDescent="0.15">
      <c r="A58" s="3"/>
      <c r="B58" s="19"/>
      <c r="C58" s="11"/>
      <c r="D58" s="23"/>
    </row>
    <row r="59" spans="1:8" ht="14.25" x14ac:dyDescent="0.15">
      <c r="A59" s="55" t="s">
        <v>3</v>
      </c>
      <c r="B59" s="30"/>
      <c r="C59" s="35"/>
      <c r="D59" s="31"/>
    </row>
    <row r="60" spans="1:8" ht="15" customHeight="1" x14ac:dyDescent="0.15">
      <c r="A60" s="55" t="s">
        <v>27</v>
      </c>
      <c r="B60" s="10"/>
      <c r="C60" s="39"/>
      <c r="D60" s="39">
        <v>0</v>
      </c>
      <c r="H60" t="s">
        <v>0</v>
      </c>
    </row>
    <row r="61" spans="1:8" ht="15.75" customHeight="1" x14ac:dyDescent="0.15">
      <c r="A61" s="55" t="s">
        <v>28</v>
      </c>
      <c r="B61" s="47"/>
      <c r="C61" s="9"/>
      <c r="D61" s="43">
        <f>D43-D57</f>
        <v>100556794</v>
      </c>
      <c r="F61" s="90" t="s">
        <v>124</v>
      </c>
    </row>
    <row r="62" spans="1:8" ht="15.75" customHeight="1" x14ac:dyDescent="0.15">
      <c r="A62" s="59" t="s">
        <v>11</v>
      </c>
      <c r="B62" s="9"/>
      <c r="D62" s="70">
        <v>3771915</v>
      </c>
      <c r="F62" s="92">
        <f>D62-[3]令和3年度!$P$73</f>
        <v>3748488</v>
      </c>
    </row>
    <row r="63" spans="1:8" ht="16.5" customHeight="1" x14ac:dyDescent="0.15">
      <c r="A63" s="55" t="s">
        <v>26</v>
      </c>
      <c r="B63" s="22"/>
      <c r="C63" s="48"/>
      <c r="D63" s="44">
        <f>D61</f>
        <v>100556794</v>
      </c>
      <c r="F63" s="91"/>
    </row>
    <row r="64" spans="1:8" ht="14.25" x14ac:dyDescent="0.15">
      <c r="A64" s="55" t="s">
        <v>25</v>
      </c>
      <c r="B64" s="22"/>
      <c r="C64" s="9"/>
      <c r="D64" s="69">
        <f>D57+D63</f>
        <v>107076732</v>
      </c>
      <c r="F64" s="68"/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C624-95DB-4E13-BD76-5330386D988B}">
  <dimension ref="A1:L108"/>
  <sheetViews>
    <sheetView topLeftCell="A4" zoomScaleNormal="100" workbookViewId="0">
      <selection activeCell="F6" sqref="F6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2">
      <c r="A1" s="1" t="s">
        <v>152</v>
      </c>
      <c r="B1" s="1"/>
    </row>
    <row r="2" spans="1:11" ht="17.25" customHeight="1" x14ac:dyDescent="0.15">
      <c r="A2" s="111" t="s">
        <v>154</v>
      </c>
      <c r="B2" s="111"/>
      <c r="C2" s="111"/>
      <c r="D2" s="111"/>
    </row>
    <row r="3" spans="1:11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50"/>
      <c r="C5" s="49" t="s">
        <v>4</v>
      </c>
      <c r="D5" s="49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10634839</v>
      </c>
      <c r="C9" s="5"/>
      <c r="D9" s="12"/>
      <c r="F9" s="84">
        <f>'[4]0138359'!$AJ$37</f>
        <v>6087098</v>
      </c>
      <c r="G9" s="84">
        <f>'[4]0138642（居宅）'!$AJ$37</f>
        <v>25125</v>
      </c>
      <c r="H9" s="84">
        <f>'[4]0138655（通所）'!$AJ$37</f>
        <v>8278</v>
      </c>
      <c r="I9" s="84">
        <f>'[4]0156560（新庄）'!$AJ$37</f>
        <v>268965</v>
      </c>
      <c r="J9" s="84">
        <f>'[4]0158313（ゆけむり）'!$AJ$37</f>
        <v>315717</v>
      </c>
      <c r="K9" s="84">
        <f>'[4]0139101（ちゃれんじ）'!$AJ$37</f>
        <v>5525616</v>
      </c>
    </row>
    <row r="10" spans="1:11" ht="14.25" x14ac:dyDescent="0.15">
      <c r="A10" s="53" t="s">
        <v>102</v>
      </c>
      <c r="B10" s="73">
        <v>7133056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1664665</v>
      </c>
      <c r="C11" s="5"/>
      <c r="D11" s="23"/>
      <c r="F11" s="84">
        <f>'[4]2253865（助け合い）'!$AJ$37</f>
        <v>351901</v>
      </c>
      <c r="G11" s="89">
        <f>'[4]2253871（通所）'!$AJ$37</f>
        <v>584567</v>
      </c>
      <c r="H11" s="84">
        <f>'[4]2254321（ミニ）'!$AJ$37</f>
        <v>37523</v>
      </c>
    </row>
    <row r="12" spans="1:11" ht="14.25" x14ac:dyDescent="0.15">
      <c r="A12" s="53" t="s">
        <v>128</v>
      </c>
      <c r="B12" s="74">
        <v>897662</v>
      </c>
      <c r="C12" s="5"/>
      <c r="D12" s="23"/>
    </row>
    <row r="13" spans="1:11" ht="14.25" x14ac:dyDescent="0.15">
      <c r="A13" s="53" t="s">
        <v>129</v>
      </c>
      <c r="B13" s="75">
        <v>695207</v>
      </c>
      <c r="C13" s="5"/>
      <c r="D13" s="12"/>
      <c r="E13" s="93" t="s">
        <v>142</v>
      </c>
      <c r="F13" s="94">
        <f>[4]JA0034628!$AJ$37</f>
        <v>1724338</v>
      </c>
      <c r="G13" s="93" t="s">
        <v>143</v>
      </c>
      <c r="H13" s="94">
        <f>[4]ゆうちょ6473091!$AJ$37</f>
        <v>512220</v>
      </c>
      <c r="I13" s="93" t="s">
        <v>144</v>
      </c>
      <c r="J13" s="94">
        <f>[4]しま信0116975!$AJ$37</f>
        <v>389923</v>
      </c>
    </row>
    <row r="14" spans="1:11" ht="14.25" x14ac:dyDescent="0.15">
      <c r="A14" s="53" t="s">
        <v>130</v>
      </c>
      <c r="B14" s="75">
        <v>244249</v>
      </c>
      <c r="C14" s="5"/>
      <c r="D14" s="12"/>
    </row>
    <row r="15" spans="1:11" ht="14.25" x14ac:dyDescent="0.15">
      <c r="A15" s="55" t="s">
        <v>36</v>
      </c>
      <c r="B15" s="71">
        <f>SUM(B16:B27)</f>
        <v>33220944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5307220</v>
      </c>
      <c r="C16" s="11"/>
      <c r="D16" s="12"/>
      <c r="E16" t="s">
        <v>112</v>
      </c>
      <c r="F16" s="84">
        <f>'[5]未収金（認定調査委託料）'!$AJ$37</f>
        <v>36960</v>
      </c>
      <c r="G16" s="84">
        <f>'[5]未収金（居宅支援介護報酬）'!$AJ$37</f>
        <v>5175480</v>
      </c>
      <c r="H16" s="83"/>
    </row>
    <row r="17" spans="1:11" ht="14.25" x14ac:dyDescent="0.15">
      <c r="A17" s="54" t="s">
        <v>15</v>
      </c>
      <c r="B17" s="73">
        <v>16961172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4833692</v>
      </c>
      <c r="C18" s="11"/>
      <c r="D18" s="12"/>
      <c r="E18" t="s">
        <v>115</v>
      </c>
      <c r="F18" s="84">
        <f>'[5]未収金（通所保険請求）'!$AJ$37</f>
        <v>11969869</v>
      </c>
      <c r="G18" s="84">
        <f>'[5]未収金（通所利用者負担）'!$AJ$37</f>
        <v>1176056</v>
      </c>
      <c r="H18" s="84">
        <f>'[5]未収金（通所食費）'!$AJ$37</f>
        <v>647800</v>
      </c>
    </row>
    <row r="19" spans="1:11" ht="14.25" x14ac:dyDescent="0.15">
      <c r="A19" s="54" t="s">
        <v>16</v>
      </c>
      <c r="B19" s="73">
        <v>2368528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1337896</v>
      </c>
      <c r="C20" s="5"/>
      <c r="D20" s="12"/>
      <c r="E20" t="s">
        <v>119</v>
      </c>
      <c r="F20" s="84">
        <f>'[5]未収金（ゆけむり保険請求）'!$AJ$37</f>
        <v>4118472</v>
      </c>
      <c r="G20" s="84">
        <f>'[5]未収金（ゆけむり利用者負担）'!$AJ$37</f>
        <v>616547</v>
      </c>
      <c r="H20" s="84">
        <f>'[5]未収金（ゆけむり食費）'!$AJ$37</f>
        <v>121200</v>
      </c>
    </row>
    <row r="21" spans="1:11" ht="14.25" x14ac:dyDescent="0.15">
      <c r="A21" s="54" t="s">
        <v>103</v>
      </c>
      <c r="B21" s="73">
        <v>570182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72</v>
      </c>
      <c r="B22" s="73">
        <v>13000</v>
      </c>
      <c r="C22" s="5"/>
      <c r="D22" s="12"/>
      <c r="E22" t="s">
        <v>120</v>
      </c>
      <c r="F22" s="84">
        <f>'[5]未収金（予防通所保険請求）'!$AJ$37</f>
        <v>1937111</v>
      </c>
      <c r="G22" s="84">
        <f>'[5]未収金（予防通所利用者負担）'!$AJ$37</f>
        <v>118239</v>
      </c>
      <c r="H22" s="84">
        <f>'[5]未収金（予防通所食費）'!$AJ$37</f>
        <v>139200</v>
      </c>
    </row>
    <row r="23" spans="1:11" ht="14.25" x14ac:dyDescent="0.15">
      <c r="A23" s="54" t="s">
        <v>81</v>
      </c>
      <c r="B23" s="73">
        <v>366354</v>
      </c>
      <c r="C23" s="5"/>
      <c r="D23" s="12"/>
      <c r="F23" s="83" t="s">
        <v>131</v>
      </c>
      <c r="G23" s="83" t="s">
        <v>117</v>
      </c>
      <c r="H23" s="83"/>
    </row>
    <row r="24" spans="1:11" ht="14.25" x14ac:dyDescent="0.15">
      <c r="A24" s="54" t="s">
        <v>82</v>
      </c>
      <c r="B24" s="73">
        <v>103200</v>
      </c>
      <c r="C24" s="5"/>
      <c r="D24" s="12"/>
      <c r="E24" t="s">
        <v>121</v>
      </c>
      <c r="F24" s="84">
        <f>'[5]未収金（処遇改善保険請求）'!$AJ$37</f>
        <v>1262836</v>
      </c>
      <c r="G24" s="84">
        <f>'[5]未収金（処遇改善利用者負担）'!$AJ$37</f>
        <v>135461</v>
      </c>
      <c r="H24" s="83"/>
    </row>
    <row r="25" spans="1:11" ht="14.25" x14ac:dyDescent="0.15">
      <c r="A25" s="54" t="s">
        <v>17</v>
      </c>
      <c r="B25" s="74">
        <v>1345700</v>
      </c>
      <c r="C25" s="5"/>
      <c r="D25" s="12"/>
      <c r="F25" s="83" t="s">
        <v>116</v>
      </c>
      <c r="G25" s="83" t="s">
        <v>117</v>
      </c>
      <c r="H25" s="83"/>
      <c r="K25" t="s">
        <v>108</v>
      </c>
    </row>
    <row r="26" spans="1:11" ht="14.25" x14ac:dyDescent="0.15">
      <c r="A26" s="54" t="s">
        <v>71</v>
      </c>
      <c r="B26" s="75">
        <v>14000</v>
      </c>
      <c r="C26" s="5"/>
      <c r="D26" s="12"/>
      <c r="E26" t="s">
        <v>122</v>
      </c>
      <c r="F26" s="84">
        <f>'[5]未収金（特定処遇改善保険請求）'!$AJ$37</f>
        <v>295245</v>
      </c>
      <c r="G26" s="84">
        <f>'[5]未収金（特定処遇改善利用者負担）'!$AJ$37</f>
        <v>32794</v>
      </c>
      <c r="H26" s="83"/>
    </row>
    <row r="27" spans="1:11" ht="14.25" x14ac:dyDescent="0.15">
      <c r="A27" s="54" t="s">
        <v>79</v>
      </c>
      <c r="B27" s="85">
        <v>0</v>
      </c>
      <c r="C27" s="5"/>
      <c r="D27" s="12"/>
      <c r="F27" s="83" t="s">
        <v>131</v>
      </c>
      <c r="G27" s="83" t="s">
        <v>135</v>
      </c>
      <c r="H27" s="83" t="s">
        <v>118</v>
      </c>
    </row>
    <row r="28" spans="1:11" ht="14.25" x14ac:dyDescent="0.15">
      <c r="A28" s="55" t="s">
        <v>37</v>
      </c>
      <c r="B28" s="88">
        <v>863376</v>
      </c>
      <c r="C28" s="15" t="s">
        <v>0</v>
      </c>
      <c r="D28" s="12"/>
      <c r="E28" t="s">
        <v>123</v>
      </c>
      <c r="F28" s="84">
        <f>'[5]未収金（サロン保険請求）'!$AJ$37</f>
        <v>345250</v>
      </c>
      <c r="G28" s="84">
        <f>'[5]未収金（サロン利用者負担）'!$AJ$37</f>
        <v>24274</v>
      </c>
      <c r="H28" s="84">
        <f>'[5]未収金（サロン食費）'!$AJ$37</f>
        <v>42000</v>
      </c>
    </row>
    <row r="29" spans="1:11" ht="14.25" x14ac:dyDescent="0.15">
      <c r="A29" s="61" t="s">
        <v>96</v>
      </c>
      <c r="B29" s="88">
        <v>52890</v>
      </c>
      <c r="C29" s="15"/>
      <c r="D29" s="12"/>
    </row>
    <row r="30" spans="1:11" ht="14.25" x14ac:dyDescent="0.15">
      <c r="A30" s="61" t="s">
        <v>38</v>
      </c>
      <c r="B30" s="7"/>
      <c r="C30" s="77">
        <f>B8+B9+B15+B28+B29</f>
        <v>44774434</v>
      </c>
      <c r="D30" s="12"/>
    </row>
    <row r="31" spans="1:11" ht="11.25" customHeight="1" x14ac:dyDescent="0.15">
      <c r="A31" s="11"/>
      <c r="B31" s="14"/>
      <c r="C31" s="5"/>
      <c r="D31" s="78" t="s">
        <v>0</v>
      </c>
    </row>
    <row r="32" spans="1:11" ht="14.25" x14ac:dyDescent="0.15">
      <c r="A32" s="55" t="s">
        <v>20</v>
      </c>
      <c r="B32" s="79" t="s">
        <v>0</v>
      </c>
      <c r="C32" s="5"/>
      <c r="D32" s="25"/>
    </row>
    <row r="33" spans="1:12" ht="14.25" x14ac:dyDescent="0.15">
      <c r="A33" s="55" t="s">
        <v>39</v>
      </c>
      <c r="B33" s="71">
        <v>45659248</v>
      </c>
      <c r="C33" s="5"/>
      <c r="D33" s="12"/>
      <c r="E33" t="s">
        <v>146</v>
      </c>
      <c r="F33" s="95">
        <f>'[6]建物（ほっと本体）'!$AJ$5</f>
        <v>225002</v>
      </c>
      <c r="G33" s="95">
        <f>'[6]建物（ほっと2階）'!$AJ$5</f>
        <v>159976</v>
      </c>
      <c r="H33" s="95">
        <f>'[6]建物（新庄）'!$AJ$5</f>
        <v>16342797</v>
      </c>
      <c r="I33" s="95">
        <f>'[6]建物（ゆけむり）'!$AJ$5</f>
        <v>23447684</v>
      </c>
      <c r="J33" s="95">
        <f>'[6]建物（ほっと浴室）'!$AJ$5</f>
        <v>4038012</v>
      </c>
    </row>
    <row r="34" spans="1:12" ht="14.25" x14ac:dyDescent="0.15">
      <c r="A34" s="55" t="s">
        <v>54</v>
      </c>
      <c r="B34" s="71">
        <v>5044881</v>
      </c>
      <c r="C34" s="5"/>
      <c r="D34" s="12"/>
      <c r="E34" t="s">
        <v>147</v>
      </c>
      <c r="F34" s="96">
        <f>'[6]附属建物（厨房）'!$AJ$5</f>
        <v>1</v>
      </c>
      <c r="G34" s="96">
        <f>'[6]附属建物（浴室）'!$AJ$5</f>
        <v>1</v>
      </c>
      <c r="H34" s="96">
        <f>'[6]附属建物（便所）'!$AJ$5</f>
        <v>1</v>
      </c>
      <c r="I34" s="96">
        <f>'[6]附属建物（廊下）'!$AJ$5</f>
        <v>1</v>
      </c>
      <c r="J34" s="96">
        <f>'[6]附属設備（電気設備その他）'!$AJ$5</f>
        <v>82438</v>
      </c>
      <c r="K34" s="97">
        <f>'[6]附属設備（給排水衛生設備）'!$AJ$5</f>
        <v>94536</v>
      </c>
      <c r="L34" s="96">
        <f>'[6]附属設備（消火排煙設備）'!$AJ$5</f>
        <v>5047</v>
      </c>
    </row>
    <row r="35" spans="1:12" ht="14.25" x14ac:dyDescent="0.15">
      <c r="A35" s="55" t="s">
        <v>55</v>
      </c>
      <c r="B35" s="71">
        <v>1287355</v>
      </c>
      <c r="C35" s="5"/>
      <c r="D35" s="12"/>
      <c r="F35" s="96">
        <f>'[6]附属設備（新庄電気設備）'!$AJ$5</f>
        <v>365715</v>
      </c>
      <c r="G35" s="96">
        <f>'[6]附属設備（新庄給排水設備）'!$AJ$5</f>
        <v>446005</v>
      </c>
      <c r="H35" s="96">
        <f>'[6]附属設備（電気設備）'!$AJ$5</f>
        <v>1028074</v>
      </c>
      <c r="I35" s="96">
        <f>'[6]附属設備（給排水設備）'!$AJ$5</f>
        <v>529605</v>
      </c>
      <c r="J35" s="96">
        <f>'[6]附属設備（新庄浴槽改装ガス給湯設備）'!$AJ$6</f>
        <v>513845</v>
      </c>
      <c r="K35" s="96">
        <f>'[6]附属設備（ほっと浴室移設電気工事）'!$AJ$5</f>
        <v>851136</v>
      </c>
      <c r="L35" s="96">
        <f>'[6]附属設備（ほっと浴室移設給排水設備）'!$AJ$5</f>
        <v>1128476</v>
      </c>
    </row>
    <row r="36" spans="1:12" ht="14.25" x14ac:dyDescent="0.15">
      <c r="A36" s="55" t="s">
        <v>75</v>
      </c>
      <c r="B36" s="71">
        <v>264085</v>
      </c>
      <c r="C36" s="5"/>
      <c r="D36" s="12"/>
      <c r="E36" t="s">
        <v>148</v>
      </c>
      <c r="F36" s="94">
        <f>'[6]構築物（舗装工事）'!$AJ$5</f>
        <v>1</v>
      </c>
      <c r="G36" s="94">
        <f>'[6]構築物（ゆけむり）'!$AJ$5</f>
        <v>358351</v>
      </c>
      <c r="H36" s="94">
        <f>'[6]構築物（新庄駐車場舗装）'!$AJ$5</f>
        <v>821220</v>
      </c>
    </row>
    <row r="37" spans="1:12" ht="14.25" x14ac:dyDescent="0.15">
      <c r="A37" s="55" t="s">
        <v>40</v>
      </c>
      <c r="B37" s="71">
        <v>2676383</v>
      </c>
      <c r="C37" s="5"/>
      <c r="D37" s="12"/>
      <c r="E37" t="s">
        <v>149</v>
      </c>
      <c r="F37" s="98">
        <f>'[6]器具備品（新庄玄関エアコン）'!$AJ$5</f>
        <v>31800</v>
      </c>
      <c r="G37" s="98">
        <f>'[6]器具備品（新庄事務室エアコン）'!$AJ$5</f>
        <v>173084</v>
      </c>
    </row>
    <row r="38" spans="1:12" ht="14.25" x14ac:dyDescent="0.15">
      <c r="A38" s="55" t="s">
        <v>41</v>
      </c>
      <c r="B38" s="71">
        <v>110600</v>
      </c>
      <c r="C38" s="5"/>
      <c r="D38" s="12"/>
      <c r="E38" t="s">
        <v>150</v>
      </c>
      <c r="F38" s="94">
        <f>'[6]車両（タウンボックス）'!$AJ$5</f>
        <v>1</v>
      </c>
      <c r="G38" s="94">
        <f>'[6]車両（はとバン）'!$AJ$5</f>
        <v>1</v>
      </c>
      <c r="H38" s="94">
        <f>'[6]車両（ノア）'!$AJ$5</f>
        <v>1</v>
      </c>
      <c r="I38" s="94">
        <f>'[6]車両（セレナ）'!$AJ$5</f>
        <v>1</v>
      </c>
      <c r="J38" s="94">
        <f>'[6]車両（アトレー１）'!$AJ$5</f>
        <v>1</v>
      </c>
      <c r="K38" s="94">
        <f>'[6]車両（キャラ３）'!$AJ$5</f>
        <v>1</v>
      </c>
      <c r="L38" s="94">
        <f>'[6]車両（フリード２）'!$AJ$5</f>
        <v>477725</v>
      </c>
    </row>
    <row r="39" spans="1:12" ht="14.25" x14ac:dyDescent="0.15">
      <c r="A39" s="55" t="s">
        <v>42</v>
      </c>
      <c r="B39" s="71">
        <v>50000</v>
      </c>
      <c r="C39" s="11"/>
      <c r="D39" s="12"/>
      <c r="F39" s="94">
        <f>'[6]車両（セブン２）'!$AJ$5</f>
        <v>1</v>
      </c>
      <c r="G39" s="94">
        <f>'[6]車両（EK３）'!$AJ$5</f>
        <v>1</v>
      </c>
      <c r="H39" s="94">
        <f>'[6]車両（アトレー４）'!$AJ$5</f>
        <v>2078860</v>
      </c>
    </row>
    <row r="40" spans="1:12" ht="14.25" x14ac:dyDescent="0.15">
      <c r="A40" s="55" t="s">
        <v>66</v>
      </c>
      <c r="B40" s="71">
        <v>165580</v>
      </c>
      <c r="C40" s="76"/>
      <c r="D40" s="12"/>
    </row>
    <row r="41" spans="1:12" ht="14.25" x14ac:dyDescent="0.15">
      <c r="A41" s="61" t="s">
        <v>43</v>
      </c>
      <c r="B41" s="80"/>
      <c r="C41" s="37">
        <f>SUM(B33:B40)</f>
        <v>55258132</v>
      </c>
      <c r="D41" s="12"/>
    </row>
    <row r="42" spans="1:12" ht="8.25" customHeight="1" x14ac:dyDescent="0.15">
      <c r="A42" s="11"/>
      <c r="B42" s="19"/>
      <c r="C42" s="5"/>
      <c r="D42" s="12"/>
    </row>
    <row r="43" spans="1:12" ht="14.25" x14ac:dyDescent="0.15">
      <c r="A43" s="58" t="s">
        <v>23</v>
      </c>
      <c r="B43" s="80"/>
      <c r="C43" s="10"/>
      <c r="D43" s="38">
        <f>C30+C41</f>
        <v>100032566</v>
      </c>
    </row>
    <row r="44" spans="1:12" ht="11.25" customHeight="1" x14ac:dyDescent="0.15">
      <c r="A44" s="9"/>
      <c r="B44" s="62"/>
      <c r="C44" s="62"/>
      <c r="D44" s="62"/>
    </row>
    <row r="45" spans="1:12" ht="14.25" x14ac:dyDescent="0.15">
      <c r="A45" s="60" t="s">
        <v>18</v>
      </c>
      <c r="B45" s="79"/>
      <c r="C45" s="5"/>
      <c r="D45" s="12"/>
    </row>
    <row r="46" spans="1:12" ht="14.25" x14ac:dyDescent="0.15">
      <c r="A46" s="55" t="s">
        <v>21</v>
      </c>
      <c r="B46" s="79"/>
      <c r="C46" s="5"/>
      <c r="D46" s="23"/>
    </row>
    <row r="47" spans="1:12" ht="14.25" x14ac:dyDescent="0.15">
      <c r="A47" s="55" t="s">
        <v>32</v>
      </c>
      <c r="B47" s="88">
        <v>1576258</v>
      </c>
      <c r="C47" s="5"/>
      <c r="D47" s="78"/>
    </row>
    <row r="48" spans="1:12" ht="14.25" x14ac:dyDescent="0.15">
      <c r="A48" s="55" t="s">
        <v>33</v>
      </c>
      <c r="B48" s="71">
        <v>0</v>
      </c>
      <c r="C48" s="5"/>
      <c r="D48" s="12"/>
    </row>
    <row r="49" spans="1:8" ht="6.75" customHeight="1" x14ac:dyDescent="0.15">
      <c r="A49" s="59"/>
      <c r="B49" s="79"/>
      <c r="C49" s="11"/>
      <c r="D49" s="12"/>
    </row>
    <row r="50" spans="1:8" ht="14.25" x14ac:dyDescent="0.15">
      <c r="A50" s="55" t="s">
        <v>31</v>
      </c>
      <c r="B50" s="80"/>
      <c r="C50" s="37">
        <f>B47+B48</f>
        <v>1576258</v>
      </c>
      <c r="D50" s="23"/>
      <c r="E50" t="s">
        <v>108</v>
      </c>
    </row>
    <row r="51" spans="1:8" ht="11.25" customHeight="1" x14ac:dyDescent="0.15">
      <c r="A51" s="3"/>
      <c r="B51" s="14"/>
      <c r="C51" s="34"/>
      <c r="D51" s="25"/>
    </row>
    <row r="52" spans="1:8" ht="14.25" x14ac:dyDescent="0.15">
      <c r="A52" s="55" t="s">
        <v>22</v>
      </c>
      <c r="B52" s="19"/>
      <c r="C52" s="81"/>
      <c r="D52" s="23"/>
    </row>
    <row r="53" spans="1:8" ht="14.25" x14ac:dyDescent="0.15">
      <c r="A53" s="55" t="s">
        <v>30</v>
      </c>
      <c r="B53" s="88">
        <v>3840000</v>
      </c>
      <c r="C53" s="11"/>
      <c r="D53" s="25"/>
    </row>
    <row r="54" spans="1:8" ht="14.25" x14ac:dyDescent="0.15">
      <c r="A54" s="9"/>
      <c r="B54" s="19"/>
      <c r="C54" s="11"/>
      <c r="D54" s="25"/>
      <c r="G54" t="s">
        <v>108</v>
      </c>
    </row>
    <row r="55" spans="1:8" ht="14.25" x14ac:dyDescent="0.15">
      <c r="A55" s="61" t="s">
        <v>29</v>
      </c>
      <c r="B55" s="10"/>
      <c r="C55" s="37">
        <f>B53</f>
        <v>3840000</v>
      </c>
      <c r="D55" s="23"/>
    </row>
    <row r="56" spans="1:8" ht="6.75" customHeight="1" x14ac:dyDescent="0.15">
      <c r="A56" s="3"/>
      <c r="B56" s="19"/>
      <c r="C56" s="11"/>
      <c r="D56" s="23"/>
    </row>
    <row r="57" spans="1:8" ht="14.25" x14ac:dyDescent="0.15">
      <c r="A57" s="58" t="s">
        <v>24</v>
      </c>
      <c r="B57" s="40"/>
      <c r="C57" s="40"/>
      <c r="D57" s="38">
        <f>C50+C55</f>
        <v>5416258</v>
      </c>
    </row>
    <row r="58" spans="1:8" ht="11.25" customHeight="1" x14ac:dyDescent="0.15">
      <c r="A58" s="3"/>
      <c r="B58" s="19"/>
      <c r="C58" s="11"/>
      <c r="D58" s="23"/>
    </row>
    <row r="59" spans="1:8" ht="14.25" x14ac:dyDescent="0.15">
      <c r="A59" s="55" t="s">
        <v>3</v>
      </c>
      <c r="B59" s="30"/>
      <c r="C59" s="35"/>
      <c r="D59" s="31"/>
    </row>
    <row r="60" spans="1:8" ht="15" customHeight="1" x14ac:dyDescent="0.15">
      <c r="A60" s="55" t="s">
        <v>27</v>
      </c>
      <c r="B60" s="10"/>
      <c r="C60" s="39"/>
      <c r="D60" s="39">
        <v>0</v>
      </c>
      <c r="H60" t="s">
        <v>0</v>
      </c>
    </row>
    <row r="61" spans="1:8" ht="15.75" customHeight="1" x14ac:dyDescent="0.15">
      <c r="A61" s="55" t="s">
        <v>28</v>
      </c>
      <c r="B61" s="47"/>
      <c r="C61" s="9"/>
      <c r="D61" s="43">
        <f>D43-D57</f>
        <v>94616308</v>
      </c>
      <c r="F61" s="90" t="s">
        <v>124</v>
      </c>
    </row>
    <row r="62" spans="1:8" ht="15.75" customHeight="1" x14ac:dyDescent="0.15">
      <c r="A62" s="59" t="s">
        <v>11</v>
      </c>
      <c r="B62" s="9"/>
      <c r="D62" s="70">
        <f>D63-'3.3月'!D63</f>
        <v>-2168571</v>
      </c>
      <c r="F62" s="92">
        <f>D62-[3]令和3年度!$P$73</f>
        <v>-2191998</v>
      </c>
    </row>
    <row r="63" spans="1:8" ht="16.5" customHeight="1" x14ac:dyDescent="0.15">
      <c r="A63" s="55" t="s">
        <v>26</v>
      </c>
      <c r="B63" s="22"/>
      <c r="C63" s="48"/>
      <c r="D63" s="44">
        <f>D61</f>
        <v>94616308</v>
      </c>
      <c r="F63" s="91"/>
    </row>
    <row r="64" spans="1:8" ht="14.25" x14ac:dyDescent="0.15">
      <c r="A64" s="55" t="s">
        <v>25</v>
      </c>
      <c r="B64" s="22"/>
      <c r="C64" s="9"/>
      <c r="D64" s="69">
        <f>D57+D63</f>
        <v>100032566</v>
      </c>
      <c r="F64" s="68"/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25EFC-5468-4F5F-9C33-0A02E45BCAFB}">
  <dimension ref="A1:L108"/>
  <sheetViews>
    <sheetView topLeftCell="A28" zoomScaleNormal="100" workbookViewId="0">
      <selection activeCell="B23" sqref="B23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2">
      <c r="A1" s="1" t="s">
        <v>152</v>
      </c>
      <c r="B1" s="1"/>
    </row>
    <row r="2" spans="1:11" ht="17.25" customHeight="1" x14ac:dyDescent="0.15">
      <c r="A2" s="111" t="s">
        <v>155</v>
      </c>
      <c r="B2" s="111"/>
      <c r="C2" s="111"/>
      <c r="D2" s="111"/>
    </row>
    <row r="3" spans="1:11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50"/>
      <c r="C5" s="49" t="s">
        <v>4</v>
      </c>
      <c r="D5" s="49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16878633</v>
      </c>
      <c r="C9" s="5"/>
      <c r="D9" s="12"/>
      <c r="F9" s="84">
        <f>'[4]0138359'!$AJ$37</f>
        <v>6087098</v>
      </c>
      <c r="G9" s="84">
        <f>'[4]0138642（居宅）'!$AJ$37</f>
        <v>25125</v>
      </c>
      <c r="H9" s="84">
        <f>'[4]0138655（通所）'!$AJ$37</f>
        <v>8278</v>
      </c>
      <c r="I9" s="84">
        <f>'[4]0156560（新庄）'!$AJ$37</f>
        <v>268965</v>
      </c>
      <c r="J9" s="84">
        <f>'[4]0158313（ゆけむり）'!$AJ$37</f>
        <v>315717</v>
      </c>
      <c r="K9" s="84">
        <f>'[4]0139101（ちゃれんじ）'!$AJ$37</f>
        <v>5525616</v>
      </c>
    </row>
    <row r="10" spans="1:11" ht="14.25" x14ac:dyDescent="0.15">
      <c r="A10" s="53" t="s">
        <v>102</v>
      </c>
      <c r="B10" s="73">
        <v>13726920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1879925</v>
      </c>
      <c r="C11" s="5"/>
      <c r="D11" s="23"/>
      <c r="F11" s="84">
        <f>'[4]2253865（助け合い）'!$AJ$37</f>
        <v>351901</v>
      </c>
      <c r="G11" s="89">
        <f>'[4]2253871（通所）'!$AJ$37</f>
        <v>584567</v>
      </c>
      <c r="H11" s="84">
        <f>'[4]2254321（ミニ）'!$AJ$37</f>
        <v>37523</v>
      </c>
    </row>
    <row r="12" spans="1:11" ht="14.25" x14ac:dyDescent="0.15">
      <c r="A12" s="53" t="s">
        <v>128</v>
      </c>
      <c r="B12" s="74">
        <v>520683</v>
      </c>
      <c r="C12" s="5"/>
      <c r="D12" s="23"/>
    </row>
    <row r="13" spans="1:11" ht="14.25" x14ac:dyDescent="0.15">
      <c r="A13" s="53" t="s">
        <v>129</v>
      </c>
      <c r="B13" s="75">
        <v>320564</v>
      </c>
      <c r="C13" s="5"/>
      <c r="D13" s="12"/>
      <c r="E13" s="93" t="s">
        <v>142</v>
      </c>
      <c r="F13" s="94">
        <f>[4]JA0034628!$AJ$37</f>
        <v>1724338</v>
      </c>
      <c r="G13" s="93" t="s">
        <v>143</v>
      </c>
      <c r="H13" s="94">
        <f>[4]ゆうちょ6473091!$AJ$37</f>
        <v>512220</v>
      </c>
      <c r="I13" s="93" t="s">
        <v>144</v>
      </c>
      <c r="J13" s="94">
        <f>[4]しま信0116975!$AJ$37</f>
        <v>389923</v>
      </c>
    </row>
    <row r="14" spans="1:11" ht="14.25" x14ac:dyDescent="0.15">
      <c r="A14" s="53" t="s">
        <v>130</v>
      </c>
      <c r="B14" s="75">
        <v>430541</v>
      </c>
      <c r="C14" s="5"/>
      <c r="D14" s="12"/>
    </row>
    <row r="15" spans="1:11" ht="14.25" x14ac:dyDescent="0.15">
      <c r="A15" s="55" t="s">
        <v>36</v>
      </c>
      <c r="B15" s="71">
        <f>SUM(B16:B27)</f>
        <v>29562512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5212060</v>
      </c>
      <c r="C16" s="11"/>
      <c r="D16" s="12"/>
      <c r="E16" t="s">
        <v>112</v>
      </c>
      <c r="F16" s="84">
        <f>'[5]未収金（認定調査委託料）'!$AJ$37</f>
        <v>36960</v>
      </c>
      <c r="G16" s="84">
        <f>'[5]未収金（居宅支援介護報酬）'!$AJ$37</f>
        <v>5175480</v>
      </c>
      <c r="H16" s="83"/>
    </row>
    <row r="17" spans="1:11" ht="14.25" x14ac:dyDescent="0.15">
      <c r="A17" s="54" t="s">
        <v>15</v>
      </c>
      <c r="B17" s="73">
        <v>15236954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4352732</v>
      </c>
      <c r="C18" s="11"/>
      <c r="D18" s="12"/>
      <c r="E18" t="s">
        <v>115</v>
      </c>
      <c r="F18" s="84">
        <f>'[5]未収金（通所保険請求）'!$AJ$37</f>
        <v>11969869</v>
      </c>
      <c r="G18" s="84">
        <f>'[5]未収金（通所利用者負担）'!$AJ$37</f>
        <v>1176056</v>
      </c>
      <c r="H18" s="84">
        <f>'[5]未収金（通所食費）'!$AJ$37</f>
        <v>647800</v>
      </c>
    </row>
    <row r="19" spans="1:11" ht="14.25" x14ac:dyDescent="0.15">
      <c r="A19" s="54" t="s">
        <v>16</v>
      </c>
      <c r="B19" s="73">
        <v>2424720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1421343</v>
      </c>
      <c r="C20" s="5"/>
      <c r="D20" s="12"/>
      <c r="E20" t="s">
        <v>119</v>
      </c>
      <c r="F20" s="84">
        <f>'[5]未収金（ゆけむり保険請求）'!$AJ$37</f>
        <v>4118472</v>
      </c>
      <c r="G20" s="84">
        <f>'[5]未収金（ゆけむり利用者負担）'!$AJ$37</f>
        <v>616547</v>
      </c>
      <c r="H20" s="84">
        <f>'[5]未収金（ゆけむり食費）'!$AJ$37</f>
        <v>121200</v>
      </c>
    </row>
    <row r="21" spans="1:11" ht="14.25" x14ac:dyDescent="0.15">
      <c r="A21" s="54" t="s">
        <v>103</v>
      </c>
      <c r="B21" s="73">
        <v>333851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72</v>
      </c>
      <c r="B22" s="73">
        <v>14300</v>
      </c>
      <c r="C22" s="5"/>
      <c r="D22" s="12"/>
      <c r="E22" t="s">
        <v>120</v>
      </c>
      <c r="F22" s="84">
        <f>'[5]未収金（予防通所保険請求）'!$AJ$37</f>
        <v>1937111</v>
      </c>
      <c r="G22" s="84">
        <f>'[5]未収金（予防通所利用者負担）'!$AJ$37</f>
        <v>118239</v>
      </c>
      <c r="H22" s="84">
        <f>'[5]未収金（予防通所食費）'!$AJ$37</f>
        <v>139200</v>
      </c>
    </row>
    <row r="23" spans="1:11" ht="14.25" x14ac:dyDescent="0.15">
      <c r="A23" s="54" t="s">
        <v>81</v>
      </c>
      <c r="B23" s="73">
        <v>343552</v>
      </c>
      <c r="C23" s="5"/>
      <c r="D23" s="12"/>
      <c r="F23" s="83" t="s">
        <v>131</v>
      </c>
      <c r="G23" s="83" t="s">
        <v>117</v>
      </c>
      <c r="H23" s="83"/>
    </row>
    <row r="24" spans="1:11" ht="14.25" x14ac:dyDescent="0.15">
      <c r="A24" s="54" t="s">
        <v>82</v>
      </c>
      <c r="B24" s="73">
        <v>104400</v>
      </c>
      <c r="C24" s="5"/>
      <c r="D24" s="12"/>
      <c r="E24" t="s">
        <v>121</v>
      </c>
      <c r="F24" s="84">
        <f>'[5]未収金（処遇改善保険請求）'!$AJ$37</f>
        <v>1262836</v>
      </c>
      <c r="G24" s="84">
        <f>'[5]未収金（処遇改善利用者負担）'!$AJ$37</f>
        <v>135461</v>
      </c>
      <c r="H24" s="83"/>
    </row>
    <row r="25" spans="1:11" ht="14.25" x14ac:dyDescent="0.15">
      <c r="A25" s="54" t="s">
        <v>17</v>
      </c>
      <c r="B25" s="74">
        <v>106600</v>
      </c>
      <c r="C25" s="5"/>
      <c r="D25" s="12"/>
      <c r="F25" s="83" t="s">
        <v>116</v>
      </c>
      <c r="G25" s="83" t="s">
        <v>117</v>
      </c>
      <c r="H25" s="83"/>
      <c r="K25" t="s">
        <v>108</v>
      </c>
    </row>
    <row r="26" spans="1:11" ht="14.25" x14ac:dyDescent="0.15">
      <c r="A26" s="54" t="s">
        <v>71</v>
      </c>
      <c r="B26" s="75">
        <v>12000</v>
      </c>
      <c r="C26" s="5"/>
      <c r="D26" s="12"/>
      <c r="E26" t="s">
        <v>122</v>
      </c>
      <c r="F26" s="84">
        <f>'[5]未収金（特定処遇改善保険請求）'!$AJ$37</f>
        <v>295245</v>
      </c>
      <c r="G26" s="84">
        <f>'[5]未収金（特定処遇改善利用者負担）'!$AJ$37</f>
        <v>32794</v>
      </c>
      <c r="H26" s="83"/>
    </row>
    <row r="27" spans="1:11" ht="14.25" x14ac:dyDescent="0.15">
      <c r="A27" s="54" t="s">
        <v>79</v>
      </c>
      <c r="B27" s="85">
        <v>0</v>
      </c>
      <c r="C27" s="5"/>
      <c r="D27" s="12"/>
      <c r="F27" s="83" t="s">
        <v>131</v>
      </c>
      <c r="G27" s="83" t="s">
        <v>135</v>
      </c>
      <c r="H27" s="83" t="s">
        <v>118</v>
      </c>
    </row>
    <row r="28" spans="1:11" ht="14.25" x14ac:dyDescent="0.15">
      <c r="A28" s="55" t="s">
        <v>37</v>
      </c>
      <c r="B28" s="88">
        <v>1385064</v>
      </c>
      <c r="C28" s="15" t="s">
        <v>0</v>
      </c>
      <c r="D28" s="12"/>
      <c r="E28" t="s">
        <v>123</v>
      </c>
      <c r="F28" s="84">
        <f>'[5]未収金（サロン保険請求）'!$AJ$37</f>
        <v>345250</v>
      </c>
      <c r="G28" s="84">
        <f>'[5]未収金（サロン利用者負担）'!$AJ$37</f>
        <v>24274</v>
      </c>
      <c r="H28" s="84">
        <f>'[5]未収金（サロン食費）'!$AJ$37</f>
        <v>42000</v>
      </c>
    </row>
    <row r="29" spans="1:11" ht="14.25" x14ac:dyDescent="0.15">
      <c r="A29" s="61" t="s">
        <v>96</v>
      </c>
      <c r="B29" s="88">
        <v>52890</v>
      </c>
      <c r="C29" s="15"/>
      <c r="D29" s="12"/>
    </row>
    <row r="30" spans="1:11" ht="14.25" x14ac:dyDescent="0.15">
      <c r="A30" s="61" t="s">
        <v>38</v>
      </c>
      <c r="B30" s="7"/>
      <c r="C30" s="77">
        <f>B8+B9+B15+B28+B29</f>
        <v>47881484</v>
      </c>
      <c r="D30" s="12"/>
    </row>
    <row r="31" spans="1:11" ht="11.25" customHeight="1" x14ac:dyDescent="0.15">
      <c r="A31" s="11"/>
      <c r="B31" s="14"/>
      <c r="C31" s="5"/>
      <c r="D31" s="78" t="s">
        <v>0</v>
      </c>
    </row>
    <row r="32" spans="1:11" ht="14.25" x14ac:dyDescent="0.15">
      <c r="A32" s="55" t="s">
        <v>20</v>
      </c>
      <c r="B32" s="79" t="s">
        <v>0</v>
      </c>
      <c r="C32" s="5"/>
      <c r="D32" s="25"/>
    </row>
    <row r="33" spans="1:12" ht="14.25" x14ac:dyDescent="0.15">
      <c r="A33" s="55" t="s">
        <v>39</v>
      </c>
      <c r="B33" s="71">
        <v>45659248</v>
      </c>
      <c r="C33" s="5"/>
      <c r="D33" s="12"/>
      <c r="E33" t="s">
        <v>146</v>
      </c>
      <c r="F33" s="95">
        <f>'[6]建物（ほっと本体）'!$AJ$5</f>
        <v>225002</v>
      </c>
      <c r="G33" s="95">
        <f>'[6]建物（ほっと2階）'!$AJ$5</f>
        <v>159976</v>
      </c>
      <c r="H33" s="95">
        <f>'[6]建物（新庄）'!$AJ$5</f>
        <v>16342797</v>
      </c>
      <c r="I33" s="95">
        <f>'[6]建物（ゆけむり）'!$AJ$5</f>
        <v>23447684</v>
      </c>
      <c r="J33" s="95">
        <f>'[6]建物（ほっと浴室）'!$AJ$5</f>
        <v>4038012</v>
      </c>
    </row>
    <row r="34" spans="1:12" ht="14.25" x14ac:dyDescent="0.15">
      <c r="A34" s="55" t="s">
        <v>54</v>
      </c>
      <c r="B34" s="71">
        <v>5044881</v>
      </c>
      <c r="C34" s="5"/>
      <c r="D34" s="12"/>
      <c r="E34" t="s">
        <v>147</v>
      </c>
      <c r="F34" s="96">
        <f>'[6]附属建物（厨房）'!$AJ$5</f>
        <v>1</v>
      </c>
      <c r="G34" s="96">
        <f>'[6]附属建物（浴室）'!$AJ$5</f>
        <v>1</v>
      </c>
      <c r="H34" s="96">
        <f>'[6]附属建物（便所）'!$AJ$5</f>
        <v>1</v>
      </c>
      <c r="I34" s="96">
        <f>'[6]附属建物（廊下）'!$AJ$5</f>
        <v>1</v>
      </c>
      <c r="J34" s="96">
        <f>'[6]附属設備（電気設備その他）'!$AJ$5</f>
        <v>82438</v>
      </c>
      <c r="K34" s="97">
        <f>'[6]附属設備（給排水衛生設備）'!$AJ$5</f>
        <v>94536</v>
      </c>
      <c r="L34" s="96">
        <f>'[6]附属設備（消火排煙設備）'!$AJ$5</f>
        <v>5047</v>
      </c>
    </row>
    <row r="35" spans="1:12" ht="14.25" x14ac:dyDescent="0.15">
      <c r="A35" s="55" t="s">
        <v>55</v>
      </c>
      <c r="B35" s="71">
        <v>1287355</v>
      </c>
      <c r="C35" s="5"/>
      <c r="D35" s="12"/>
      <c r="F35" s="96">
        <f>'[6]附属設備（新庄電気設備）'!$AJ$5</f>
        <v>365715</v>
      </c>
      <c r="G35" s="96">
        <f>'[6]附属設備（新庄給排水設備）'!$AJ$5</f>
        <v>446005</v>
      </c>
      <c r="H35" s="96">
        <f>'[6]附属設備（電気設備）'!$AJ$5</f>
        <v>1028074</v>
      </c>
      <c r="I35" s="96">
        <f>'[6]附属設備（給排水設備）'!$AJ$5</f>
        <v>529605</v>
      </c>
      <c r="J35" s="96">
        <f>'[6]附属設備（新庄浴槽改装ガス給湯設備）'!$AJ$6</f>
        <v>513845</v>
      </c>
      <c r="K35" s="96">
        <f>'[6]附属設備（ほっと浴室移設電気工事）'!$AJ$5</f>
        <v>851136</v>
      </c>
      <c r="L35" s="96">
        <f>'[6]附属設備（ほっと浴室移設給排水設備）'!$AJ$5</f>
        <v>1128476</v>
      </c>
    </row>
    <row r="36" spans="1:12" ht="14.25" x14ac:dyDescent="0.15">
      <c r="A36" s="55" t="s">
        <v>75</v>
      </c>
      <c r="B36" s="71">
        <v>264085</v>
      </c>
      <c r="C36" s="5"/>
      <c r="D36" s="12"/>
      <c r="E36" t="s">
        <v>148</v>
      </c>
      <c r="F36" s="94">
        <f>'[6]構築物（舗装工事）'!$AJ$5</f>
        <v>1</v>
      </c>
      <c r="G36" s="94">
        <f>'[6]構築物（ゆけむり）'!$AJ$5</f>
        <v>358351</v>
      </c>
      <c r="H36" s="94">
        <f>'[6]構築物（新庄駐車場舗装）'!$AJ$5</f>
        <v>821220</v>
      </c>
    </row>
    <row r="37" spans="1:12" ht="14.25" x14ac:dyDescent="0.15">
      <c r="A37" s="55" t="s">
        <v>40</v>
      </c>
      <c r="B37" s="71">
        <v>2676383</v>
      </c>
      <c r="C37" s="5"/>
      <c r="D37" s="12"/>
      <c r="E37" t="s">
        <v>149</v>
      </c>
      <c r="F37" s="98">
        <f>'[6]器具備品（新庄玄関エアコン）'!$AJ$5</f>
        <v>31800</v>
      </c>
      <c r="G37" s="98">
        <f>'[6]器具備品（新庄事務室エアコン）'!$AJ$5</f>
        <v>173084</v>
      </c>
    </row>
    <row r="38" spans="1:12" ht="14.25" x14ac:dyDescent="0.15">
      <c r="A38" s="55" t="s">
        <v>41</v>
      </c>
      <c r="B38" s="71">
        <v>110600</v>
      </c>
      <c r="C38" s="5"/>
      <c r="D38" s="12"/>
      <c r="E38" t="s">
        <v>150</v>
      </c>
      <c r="F38" s="94">
        <f>'[6]車両（タウンボックス）'!$AJ$5</f>
        <v>1</v>
      </c>
      <c r="G38" s="94">
        <f>'[6]車両（はとバン）'!$AJ$5</f>
        <v>1</v>
      </c>
      <c r="H38" s="94">
        <f>'[6]車両（ノア）'!$AJ$5</f>
        <v>1</v>
      </c>
      <c r="I38" s="94">
        <f>'[6]車両（セレナ）'!$AJ$5</f>
        <v>1</v>
      </c>
      <c r="J38" s="94">
        <f>'[6]車両（アトレー１）'!$AJ$5</f>
        <v>1</v>
      </c>
      <c r="K38" s="94">
        <f>'[6]車両（キャラ３）'!$AJ$5</f>
        <v>1</v>
      </c>
      <c r="L38" s="94">
        <f>'[6]車両（フリード２）'!$AJ$5</f>
        <v>477725</v>
      </c>
    </row>
    <row r="39" spans="1:12" ht="14.25" x14ac:dyDescent="0.15">
      <c r="A39" s="55" t="s">
        <v>42</v>
      </c>
      <c r="B39" s="71">
        <v>50000</v>
      </c>
      <c r="C39" s="11"/>
      <c r="D39" s="12"/>
      <c r="F39" s="94">
        <f>'[6]車両（セブン２）'!$AJ$5</f>
        <v>1</v>
      </c>
      <c r="G39" s="94">
        <f>'[6]車両（EK３）'!$AJ$5</f>
        <v>1</v>
      </c>
      <c r="H39" s="94">
        <f>'[6]車両（アトレー４）'!$AJ$5</f>
        <v>2078860</v>
      </c>
    </row>
    <row r="40" spans="1:12" ht="14.25" x14ac:dyDescent="0.15">
      <c r="A40" s="55" t="s">
        <v>66</v>
      </c>
      <c r="B40" s="71">
        <v>165580</v>
      </c>
      <c r="C40" s="76"/>
      <c r="D40" s="12"/>
    </row>
    <row r="41" spans="1:12" ht="14.25" x14ac:dyDescent="0.15">
      <c r="A41" s="61" t="s">
        <v>43</v>
      </c>
      <c r="B41" s="80"/>
      <c r="C41" s="37">
        <f>SUM(B33:B40)</f>
        <v>55258132</v>
      </c>
      <c r="D41" s="12"/>
    </row>
    <row r="42" spans="1:12" ht="8.25" customHeight="1" x14ac:dyDescent="0.15">
      <c r="A42" s="11"/>
      <c r="B42" s="19"/>
      <c r="C42" s="5"/>
      <c r="D42" s="12"/>
    </row>
    <row r="43" spans="1:12" ht="14.25" x14ac:dyDescent="0.15">
      <c r="A43" s="58" t="s">
        <v>23</v>
      </c>
      <c r="B43" s="80"/>
      <c r="C43" s="10"/>
      <c r="D43" s="38">
        <f>C30+C41</f>
        <v>103139616</v>
      </c>
    </row>
    <row r="44" spans="1:12" ht="11.25" customHeight="1" x14ac:dyDescent="0.15">
      <c r="A44" s="9"/>
      <c r="B44" s="62"/>
      <c r="C44" s="62"/>
      <c r="D44" s="62"/>
    </row>
    <row r="45" spans="1:12" ht="14.25" x14ac:dyDescent="0.15">
      <c r="A45" s="60" t="s">
        <v>18</v>
      </c>
      <c r="B45" s="79"/>
      <c r="C45" s="5"/>
      <c r="D45" s="12"/>
    </row>
    <row r="46" spans="1:12" ht="14.25" x14ac:dyDescent="0.15">
      <c r="A46" s="55" t="s">
        <v>21</v>
      </c>
      <c r="B46" s="79"/>
      <c r="C46" s="5"/>
      <c r="D46" s="23"/>
    </row>
    <row r="47" spans="1:12" ht="14.25" x14ac:dyDescent="0.15">
      <c r="A47" s="55" t="s">
        <v>32</v>
      </c>
      <c r="B47" s="88">
        <v>3486426</v>
      </c>
      <c r="C47" s="5"/>
      <c r="D47" s="78"/>
    </row>
    <row r="48" spans="1:12" ht="14.25" x14ac:dyDescent="0.15">
      <c r="A48" s="55" t="s">
        <v>33</v>
      </c>
      <c r="B48" s="71">
        <v>0</v>
      </c>
      <c r="C48" s="5"/>
      <c r="D48" s="12"/>
    </row>
    <row r="49" spans="1:8" ht="6.75" customHeight="1" x14ac:dyDescent="0.15">
      <c r="A49" s="59"/>
      <c r="B49" s="79"/>
      <c r="C49" s="11"/>
      <c r="D49" s="12"/>
    </row>
    <row r="50" spans="1:8" ht="14.25" x14ac:dyDescent="0.15">
      <c r="A50" s="55" t="s">
        <v>31</v>
      </c>
      <c r="B50" s="80"/>
      <c r="C50" s="37">
        <f>B47+B48</f>
        <v>3486426</v>
      </c>
      <c r="D50" s="23"/>
      <c r="E50" t="s">
        <v>108</v>
      </c>
    </row>
    <row r="51" spans="1:8" ht="11.25" customHeight="1" x14ac:dyDescent="0.15">
      <c r="A51" s="3"/>
      <c r="B51" s="14"/>
      <c r="C51" s="34"/>
      <c r="D51" s="25"/>
    </row>
    <row r="52" spans="1:8" ht="14.25" x14ac:dyDescent="0.15">
      <c r="A52" s="55" t="s">
        <v>22</v>
      </c>
      <c r="B52" s="19"/>
      <c r="C52" s="81"/>
      <c r="D52" s="23"/>
    </row>
    <row r="53" spans="1:8" ht="14.25" x14ac:dyDescent="0.15">
      <c r="A53" s="55" t="s">
        <v>30</v>
      </c>
      <c r="B53" s="88">
        <v>3560000</v>
      </c>
      <c r="C53" s="11"/>
      <c r="D53" s="25"/>
    </row>
    <row r="54" spans="1:8" ht="14.25" x14ac:dyDescent="0.15">
      <c r="A54" s="9"/>
      <c r="B54" s="19"/>
      <c r="C54" s="11"/>
      <c r="D54" s="25"/>
      <c r="G54" t="s">
        <v>108</v>
      </c>
    </row>
    <row r="55" spans="1:8" ht="14.25" x14ac:dyDescent="0.15">
      <c r="A55" s="61" t="s">
        <v>29</v>
      </c>
      <c r="B55" s="10"/>
      <c r="C55" s="37">
        <f>B53</f>
        <v>3560000</v>
      </c>
      <c r="D55" s="23"/>
    </row>
    <row r="56" spans="1:8" ht="6.75" customHeight="1" x14ac:dyDescent="0.15">
      <c r="A56" s="3"/>
      <c r="B56" s="19"/>
      <c r="C56" s="11"/>
      <c r="D56" s="23"/>
    </row>
    <row r="57" spans="1:8" ht="14.25" x14ac:dyDescent="0.15">
      <c r="A57" s="58" t="s">
        <v>24</v>
      </c>
      <c r="B57" s="40"/>
      <c r="C57" s="40"/>
      <c r="D57" s="38">
        <f>C50+C55</f>
        <v>7046426</v>
      </c>
    </row>
    <row r="58" spans="1:8" ht="11.25" customHeight="1" x14ac:dyDescent="0.15">
      <c r="A58" s="3"/>
      <c r="B58" s="19"/>
      <c r="C58" s="11"/>
      <c r="D58" s="23"/>
    </row>
    <row r="59" spans="1:8" ht="14.25" x14ac:dyDescent="0.15">
      <c r="A59" s="55" t="s">
        <v>3</v>
      </c>
      <c r="B59" s="30"/>
      <c r="C59" s="35"/>
      <c r="D59" s="31"/>
    </row>
    <row r="60" spans="1:8" ht="15" customHeight="1" x14ac:dyDescent="0.15">
      <c r="A60" s="55" t="s">
        <v>27</v>
      </c>
      <c r="B60" s="10"/>
      <c r="C60" s="39"/>
      <c r="D60" s="39">
        <v>0</v>
      </c>
      <c r="H60" t="s">
        <v>0</v>
      </c>
    </row>
    <row r="61" spans="1:8" ht="15.75" customHeight="1" x14ac:dyDescent="0.15">
      <c r="A61" s="55" t="s">
        <v>28</v>
      </c>
      <c r="B61" s="47"/>
      <c r="C61" s="9"/>
      <c r="D61" s="43">
        <f>D43-D57</f>
        <v>96093190</v>
      </c>
      <c r="F61" s="90" t="s">
        <v>124</v>
      </c>
    </row>
    <row r="62" spans="1:8" ht="15.75" customHeight="1" x14ac:dyDescent="0.15">
      <c r="A62" s="59" t="s">
        <v>11</v>
      </c>
      <c r="B62" s="9"/>
      <c r="D62" s="70">
        <f>D63-'3.3月'!D63</f>
        <v>-691689</v>
      </c>
      <c r="F62" s="92">
        <f>D62-[3]令和3年度!$P$73</f>
        <v>-715116</v>
      </c>
    </row>
    <row r="63" spans="1:8" ht="16.5" customHeight="1" x14ac:dyDescent="0.15">
      <c r="A63" s="55" t="s">
        <v>26</v>
      </c>
      <c r="B63" s="22"/>
      <c r="C63" s="48"/>
      <c r="D63" s="44">
        <f>D61</f>
        <v>96093190</v>
      </c>
      <c r="F63" s="91"/>
    </row>
    <row r="64" spans="1:8" ht="14.25" x14ac:dyDescent="0.15">
      <c r="A64" s="55" t="s">
        <v>25</v>
      </c>
      <c r="B64" s="22"/>
      <c r="C64" s="9"/>
      <c r="D64" s="69">
        <f>D57+D63</f>
        <v>103139616</v>
      </c>
      <c r="F64" s="68"/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77916-35CC-49C4-B660-1CFA9EA9513E}">
  <dimension ref="A1:L108"/>
  <sheetViews>
    <sheetView topLeftCell="A52" zoomScaleNormal="100" workbookViewId="0">
      <selection activeCell="F3" sqref="F3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2">
      <c r="A1" s="1" t="s">
        <v>152</v>
      </c>
      <c r="B1" s="1"/>
    </row>
    <row r="2" spans="1:11" ht="17.25" customHeight="1" x14ac:dyDescent="0.15">
      <c r="A2" s="111" t="s">
        <v>156</v>
      </c>
      <c r="B2" s="111"/>
      <c r="C2" s="111"/>
      <c r="D2" s="111"/>
    </row>
    <row r="3" spans="1:11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50"/>
      <c r="C5" s="49" t="s">
        <v>4</v>
      </c>
      <c r="D5" s="49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14420642</v>
      </c>
      <c r="C9" s="5"/>
      <c r="D9" s="12"/>
      <c r="F9" s="84">
        <f>'[4]0138359'!$AJ$37</f>
        <v>6087098</v>
      </c>
      <c r="G9" s="84">
        <f>'[4]0138642（居宅）'!$AJ$37</f>
        <v>25125</v>
      </c>
      <c r="H9" s="84">
        <f>'[4]0138655（通所）'!$AJ$37</f>
        <v>8278</v>
      </c>
      <c r="I9" s="84">
        <f>'[4]0156560（新庄）'!$AJ$37</f>
        <v>268965</v>
      </c>
      <c r="J9" s="84">
        <f>'[4]0158313（ゆけむり）'!$AJ$37</f>
        <v>315717</v>
      </c>
      <c r="K9" s="84">
        <f>'[4]0139101（ちゃれんじ）'!$AJ$37</f>
        <v>5525616</v>
      </c>
    </row>
    <row r="10" spans="1:11" ht="14.25" x14ac:dyDescent="0.15">
      <c r="A10" s="53" t="s">
        <v>102</v>
      </c>
      <c r="B10" s="73">
        <v>10439314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1457958</v>
      </c>
      <c r="C11" s="5"/>
      <c r="D11" s="23"/>
      <c r="F11" s="84">
        <f>'[4]2253865（助け合い）'!$AJ$37</f>
        <v>351901</v>
      </c>
      <c r="G11" s="89">
        <f>'[4]2253871（通所）'!$AJ$37</f>
        <v>584567</v>
      </c>
      <c r="H11" s="84">
        <f>'[4]2254321（ミニ）'!$AJ$37</f>
        <v>37523</v>
      </c>
    </row>
    <row r="12" spans="1:11" ht="14.25" x14ac:dyDescent="0.15">
      <c r="A12" s="53" t="s">
        <v>128</v>
      </c>
      <c r="B12" s="74">
        <v>1143888</v>
      </c>
      <c r="C12" s="5"/>
      <c r="D12" s="23"/>
    </row>
    <row r="13" spans="1:11" ht="14.25" x14ac:dyDescent="0.15">
      <c r="A13" s="53" t="s">
        <v>129</v>
      </c>
      <c r="B13" s="75">
        <v>787756</v>
      </c>
      <c r="C13" s="5"/>
      <c r="D13" s="12"/>
      <c r="E13" s="93" t="s">
        <v>142</v>
      </c>
      <c r="F13" s="94">
        <f>[4]JA0034628!$AJ$37</f>
        <v>1724338</v>
      </c>
      <c r="G13" s="93" t="s">
        <v>143</v>
      </c>
      <c r="H13" s="94">
        <f>[4]ゆうちょ6473091!$AJ$37</f>
        <v>512220</v>
      </c>
      <c r="I13" s="93" t="s">
        <v>144</v>
      </c>
      <c r="J13" s="94">
        <f>[4]しま信0116975!$AJ$37</f>
        <v>389923</v>
      </c>
    </row>
    <row r="14" spans="1:11" ht="14.25" x14ac:dyDescent="0.15">
      <c r="A14" s="53" t="s">
        <v>130</v>
      </c>
      <c r="B14" s="75">
        <v>591726</v>
      </c>
      <c r="C14" s="5"/>
      <c r="D14" s="12"/>
    </row>
    <row r="15" spans="1:11" ht="14.25" x14ac:dyDescent="0.15">
      <c r="A15" s="55" t="s">
        <v>36</v>
      </c>
      <c r="B15" s="71">
        <f>SUM(B16:B27)</f>
        <v>27644308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5241350</v>
      </c>
      <c r="C16" s="11"/>
      <c r="D16" s="12"/>
      <c r="E16" t="s">
        <v>112</v>
      </c>
      <c r="F16" s="84">
        <f>'[5]未収金（認定調査委託料）'!$AJ$37</f>
        <v>36960</v>
      </c>
      <c r="G16" s="84">
        <f>'[5]未収金（居宅支援介護報酬）'!$AJ$37</f>
        <v>5175480</v>
      </c>
      <c r="H16" s="83"/>
    </row>
    <row r="17" spans="1:11" ht="14.25" x14ac:dyDescent="0.15">
      <c r="A17" s="54" t="s">
        <v>15</v>
      </c>
      <c r="B17" s="73">
        <v>13320271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4409528</v>
      </c>
      <c r="C18" s="11"/>
      <c r="D18" s="12"/>
      <c r="E18" t="s">
        <v>115</v>
      </c>
      <c r="F18" s="84">
        <f>'[5]未収金（通所保険請求）'!$AJ$37</f>
        <v>11969869</v>
      </c>
      <c r="G18" s="84">
        <f>'[5]未収金（通所利用者負担）'!$AJ$37</f>
        <v>1176056</v>
      </c>
      <c r="H18" s="84">
        <f>'[5]未収金（通所食費）'!$AJ$37</f>
        <v>647800</v>
      </c>
    </row>
    <row r="19" spans="1:11" ht="14.25" x14ac:dyDescent="0.15">
      <c r="A19" s="54" t="s">
        <v>16</v>
      </c>
      <c r="B19" s="73">
        <v>2449362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1316182</v>
      </c>
      <c r="C20" s="5"/>
      <c r="D20" s="12"/>
      <c r="E20" t="s">
        <v>119</v>
      </c>
      <c r="F20" s="84">
        <f>'[5]未収金（ゆけむり保険請求）'!$AJ$37</f>
        <v>4118472</v>
      </c>
      <c r="G20" s="84">
        <f>'[5]未収金（ゆけむり利用者負担）'!$AJ$37</f>
        <v>616547</v>
      </c>
      <c r="H20" s="84">
        <f>'[5]未収金（ゆけむり食費）'!$AJ$37</f>
        <v>121200</v>
      </c>
    </row>
    <row r="21" spans="1:11" ht="14.25" x14ac:dyDescent="0.15">
      <c r="A21" s="54" t="s">
        <v>103</v>
      </c>
      <c r="B21" s="73">
        <v>312847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72</v>
      </c>
      <c r="B22" s="73">
        <v>21800</v>
      </c>
      <c r="C22" s="5"/>
      <c r="D22" s="12"/>
      <c r="E22" t="s">
        <v>120</v>
      </c>
      <c r="F22" s="84">
        <f>'[5]未収金（予防通所保険請求）'!$AJ$37</f>
        <v>1937111</v>
      </c>
      <c r="G22" s="84">
        <f>'[5]未収金（予防通所利用者負担）'!$AJ$37</f>
        <v>118239</v>
      </c>
      <c r="H22" s="84">
        <f>'[5]未収金（予防通所食費）'!$AJ$37</f>
        <v>139200</v>
      </c>
    </row>
    <row r="23" spans="1:11" ht="14.25" x14ac:dyDescent="0.15">
      <c r="A23" s="54" t="s">
        <v>81</v>
      </c>
      <c r="B23" s="73">
        <v>354668</v>
      </c>
      <c r="C23" s="5"/>
      <c r="D23" s="12"/>
      <c r="F23" s="83" t="s">
        <v>131</v>
      </c>
      <c r="G23" s="83" t="s">
        <v>117</v>
      </c>
      <c r="H23" s="83"/>
    </row>
    <row r="24" spans="1:11" ht="14.25" x14ac:dyDescent="0.15">
      <c r="A24" s="54" t="s">
        <v>82</v>
      </c>
      <c r="B24" s="73">
        <v>101800</v>
      </c>
      <c r="C24" s="5"/>
      <c r="D24" s="12"/>
      <c r="E24" t="s">
        <v>121</v>
      </c>
      <c r="F24" s="84">
        <f>'[5]未収金（処遇改善保険請求）'!$AJ$37</f>
        <v>1262836</v>
      </c>
      <c r="G24" s="84">
        <f>'[5]未収金（処遇改善利用者負担）'!$AJ$37</f>
        <v>135461</v>
      </c>
      <c r="H24" s="83"/>
    </row>
    <row r="25" spans="1:11" ht="14.25" x14ac:dyDescent="0.15">
      <c r="A25" s="54" t="s">
        <v>17</v>
      </c>
      <c r="B25" s="74">
        <v>97000</v>
      </c>
      <c r="C25" s="5"/>
      <c r="D25" s="12"/>
      <c r="F25" s="83" t="s">
        <v>116</v>
      </c>
      <c r="G25" s="83" t="s">
        <v>117</v>
      </c>
      <c r="H25" s="83"/>
      <c r="K25" t="s">
        <v>108</v>
      </c>
    </row>
    <row r="26" spans="1:11" ht="14.25" x14ac:dyDescent="0.15">
      <c r="A26" s="54" t="s">
        <v>71</v>
      </c>
      <c r="B26" s="75">
        <v>19500</v>
      </c>
      <c r="C26" s="5"/>
      <c r="D26" s="12"/>
      <c r="E26" t="s">
        <v>122</v>
      </c>
      <c r="F26" s="84">
        <f>'[5]未収金（特定処遇改善保険請求）'!$AJ$37</f>
        <v>295245</v>
      </c>
      <c r="G26" s="84">
        <f>'[5]未収金（特定処遇改善利用者負担）'!$AJ$37</f>
        <v>32794</v>
      </c>
      <c r="H26" s="83"/>
    </row>
    <row r="27" spans="1:11" ht="14.25" x14ac:dyDescent="0.15">
      <c r="A27" s="54" t="s">
        <v>79</v>
      </c>
      <c r="B27" s="85">
        <v>0</v>
      </c>
      <c r="C27" s="5"/>
      <c r="D27" s="12"/>
      <c r="F27" s="83" t="s">
        <v>131</v>
      </c>
      <c r="G27" s="83" t="s">
        <v>135</v>
      </c>
      <c r="H27" s="83" t="s">
        <v>118</v>
      </c>
    </row>
    <row r="28" spans="1:11" ht="14.25" x14ac:dyDescent="0.15">
      <c r="A28" s="55" t="s">
        <v>37</v>
      </c>
      <c r="B28" s="88">
        <v>1288765</v>
      </c>
      <c r="C28" s="15" t="s">
        <v>0</v>
      </c>
      <c r="D28" s="12"/>
      <c r="E28" t="s">
        <v>123</v>
      </c>
      <c r="F28" s="84">
        <f>'[5]未収金（サロン保険請求）'!$AJ$37</f>
        <v>345250</v>
      </c>
      <c r="G28" s="84">
        <f>'[5]未収金（サロン利用者負担）'!$AJ$37</f>
        <v>24274</v>
      </c>
      <c r="H28" s="84">
        <f>'[5]未収金（サロン食費）'!$AJ$37</f>
        <v>42000</v>
      </c>
    </row>
    <row r="29" spans="1:11" ht="14.25" x14ac:dyDescent="0.15">
      <c r="A29" s="61" t="s">
        <v>96</v>
      </c>
      <c r="B29" s="88">
        <v>52890</v>
      </c>
      <c r="C29" s="15"/>
      <c r="D29" s="12"/>
    </row>
    <row r="30" spans="1:11" ht="14.25" x14ac:dyDescent="0.15">
      <c r="A30" s="61" t="s">
        <v>38</v>
      </c>
      <c r="B30" s="7"/>
      <c r="C30" s="77">
        <f>B8+B9+B15+B28+B29</f>
        <v>43408990</v>
      </c>
      <c r="D30" s="12"/>
    </row>
    <row r="31" spans="1:11" ht="11.25" customHeight="1" x14ac:dyDescent="0.15">
      <c r="A31" s="11"/>
      <c r="B31" s="14"/>
      <c r="C31" s="5"/>
      <c r="D31" s="78" t="s">
        <v>0</v>
      </c>
    </row>
    <row r="32" spans="1:11" ht="14.25" x14ac:dyDescent="0.15">
      <c r="A32" s="55" t="s">
        <v>20</v>
      </c>
      <c r="B32" s="79" t="s">
        <v>0</v>
      </c>
      <c r="C32" s="5"/>
      <c r="D32" s="25"/>
    </row>
    <row r="33" spans="1:12" ht="14.25" x14ac:dyDescent="0.15">
      <c r="A33" s="55" t="s">
        <v>39</v>
      </c>
      <c r="B33" s="71">
        <v>45659248</v>
      </c>
      <c r="C33" s="5"/>
      <c r="D33" s="12"/>
      <c r="E33" t="s">
        <v>146</v>
      </c>
      <c r="F33" s="95">
        <f>'[6]建物（ほっと本体）'!$AJ$5</f>
        <v>225002</v>
      </c>
      <c r="G33" s="95">
        <f>'[6]建物（ほっと2階）'!$AJ$5</f>
        <v>159976</v>
      </c>
      <c r="H33" s="95">
        <f>'[6]建物（新庄）'!$AJ$5</f>
        <v>16342797</v>
      </c>
      <c r="I33" s="95">
        <f>'[6]建物（ゆけむり）'!$AJ$5</f>
        <v>23447684</v>
      </c>
      <c r="J33" s="95">
        <f>'[6]建物（ほっと浴室）'!$AJ$5</f>
        <v>4038012</v>
      </c>
    </row>
    <row r="34" spans="1:12" ht="14.25" x14ac:dyDescent="0.15">
      <c r="A34" s="55" t="s">
        <v>54</v>
      </c>
      <c r="B34" s="71">
        <v>5044881</v>
      </c>
      <c r="C34" s="5"/>
      <c r="D34" s="12"/>
      <c r="E34" t="s">
        <v>147</v>
      </c>
      <c r="F34" s="96">
        <f>'[6]附属建物（厨房）'!$AJ$5</f>
        <v>1</v>
      </c>
      <c r="G34" s="96">
        <f>'[6]附属建物（浴室）'!$AJ$5</f>
        <v>1</v>
      </c>
      <c r="H34" s="96">
        <f>'[6]附属建物（便所）'!$AJ$5</f>
        <v>1</v>
      </c>
      <c r="I34" s="96">
        <f>'[6]附属建物（廊下）'!$AJ$5</f>
        <v>1</v>
      </c>
      <c r="J34" s="96">
        <f>'[6]附属設備（電気設備その他）'!$AJ$5</f>
        <v>82438</v>
      </c>
      <c r="K34" s="97">
        <f>'[6]附属設備（給排水衛生設備）'!$AJ$5</f>
        <v>94536</v>
      </c>
      <c r="L34" s="96">
        <f>'[6]附属設備（消火排煙設備）'!$AJ$5</f>
        <v>5047</v>
      </c>
    </row>
    <row r="35" spans="1:12" ht="14.25" x14ac:dyDescent="0.15">
      <c r="A35" s="55" t="s">
        <v>55</v>
      </c>
      <c r="B35" s="71">
        <v>1287355</v>
      </c>
      <c r="C35" s="5"/>
      <c r="D35" s="12"/>
      <c r="F35" s="96">
        <f>'[6]附属設備（新庄電気設備）'!$AJ$5</f>
        <v>365715</v>
      </c>
      <c r="G35" s="96">
        <f>'[6]附属設備（新庄給排水設備）'!$AJ$5</f>
        <v>446005</v>
      </c>
      <c r="H35" s="96">
        <f>'[6]附属設備（電気設備）'!$AJ$5</f>
        <v>1028074</v>
      </c>
      <c r="I35" s="96">
        <f>'[6]附属設備（給排水設備）'!$AJ$5</f>
        <v>529605</v>
      </c>
      <c r="J35" s="96">
        <f>'[6]附属設備（新庄浴槽改装ガス給湯設備）'!$AJ$6</f>
        <v>513845</v>
      </c>
      <c r="K35" s="96">
        <f>'[6]附属設備（ほっと浴室移設電気工事）'!$AJ$5</f>
        <v>851136</v>
      </c>
      <c r="L35" s="96">
        <f>'[6]附属設備（ほっと浴室移設給排水設備）'!$AJ$5</f>
        <v>1128476</v>
      </c>
    </row>
    <row r="36" spans="1:12" ht="14.25" x14ac:dyDescent="0.15">
      <c r="A36" s="55" t="s">
        <v>75</v>
      </c>
      <c r="B36" s="71">
        <v>264085</v>
      </c>
      <c r="C36" s="5"/>
      <c r="D36" s="12"/>
      <c r="E36" t="s">
        <v>148</v>
      </c>
      <c r="F36" s="94">
        <f>'[6]構築物（舗装工事）'!$AJ$5</f>
        <v>1</v>
      </c>
      <c r="G36" s="94">
        <f>'[6]構築物（ゆけむり）'!$AJ$5</f>
        <v>358351</v>
      </c>
      <c r="H36" s="94">
        <f>'[6]構築物（新庄駐車場舗装）'!$AJ$5</f>
        <v>821220</v>
      </c>
    </row>
    <row r="37" spans="1:12" ht="14.25" x14ac:dyDescent="0.15">
      <c r="A37" s="55" t="s">
        <v>40</v>
      </c>
      <c r="B37" s="71">
        <v>2676383</v>
      </c>
      <c r="C37" s="5"/>
      <c r="D37" s="12"/>
      <c r="E37" t="s">
        <v>149</v>
      </c>
      <c r="F37" s="98">
        <f>'[6]器具備品（新庄玄関エアコン）'!$AJ$5</f>
        <v>31800</v>
      </c>
      <c r="G37" s="98">
        <f>'[6]器具備品（新庄事務室エアコン）'!$AJ$5</f>
        <v>173084</v>
      </c>
    </row>
    <row r="38" spans="1:12" ht="14.25" x14ac:dyDescent="0.15">
      <c r="A38" s="55" t="s">
        <v>41</v>
      </c>
      <c r="B38" s="71">
        <v>110600</v>
      </c>
      <c r="C38" s="5"/>
      <c r="D38" s="12"/>
      <c r="E38" t="s">
        <v>150</v>
      </c>
      <c r="F38" s="94">
        <f>'[6]車両（タウンボックス）'!$AJ$5</f>
        <v>1</v>
      </c>
      <c r="G38" s="94">
        <f>'[6]車両（はとバン）'!$AJ$5</f>
        <v>1</v>
      </c>
      <c r="H38" s="94">
        <f>'[6]車両（ノア）'!$AJ$5</f>
        <v>1</v>
      </c>
      <c r="I38" s="94">
        <f>'[6]車両（セレナ）'!$AJ$5</f>
        <v>1</v>
      </c>
      <c r="J38" s="94">
        <f>'[6]車両（アトレー１）'!$AJ$5</f>
        <v>1</v>
      </c>
      <c r="K38" s="94">
        <f>'[6]車両（キャラ３）'!$AJ$5</f>
        <v>1</v>
      </c>
      <c r="L38" s="94">
        <f>'[6]車両（フリード２）'!$AJ$5</f>
        <v>477725</v>
      </c>
    </row>
    <row r="39" spans="1:12" ht="14.25" x14ac:dyDescent="0.15">
      <c r="A39" s="55" t="s">
        <v>42</v>
      </c>
      <c r="B39" s="71">
        <v>50000</v>
      </c>
      <c r="C39" s="11"/>
      <c r="D39" s="12"/>
      <c r="F39" s="94">
        <f>'[6]車両（セブン２）'!$AJ$5</f>
        <v>1</v>
      </c>
      <c r="G39" s="94">
        <f>'[6]車両（EK３）'!$AJ$5</f>
        <v>1</v>
      </c>
      <c r="H39" s="94">
        <f>'[6]車両（アトレー４）'!$AJ$5</f>
        <v>2078860</v>
      </c>
    </row>
    <row r="40" spans="1:12" ht="14.25" x14ac:dyDescent="0.15">
      <c r="A40" s="55" t="s">
        <v>66</v>
      </c>
      <c r="B40" s="71">
        <v>165580</v>
      </c>
      <c r="C40" s="76"/>
      <c r="D40" s="12"/>
    </row>
    <row r="41" spans="1:12" ht="14.25" x14ac:dyDescent="0.15">
      <c r="A41" s="61" t="s">
        <v>43</v>
      </c>
      <c r="B41" s="80"/>
      <c r="C41" s="37">
        <f>SUM(B33:B40)</f>
        <v>55258132</v>
      </c>
      <c r="D41" s="12"/>
    </row>
    <row r="42" spans="1:12" ht="8.25" customHeight="1" x14ac:dyDescent="0.15">
      <c r="A42" s="11"/>
      <c r="B42" s="19"/>
      <c r="C42" s="5"/>
      <c r="D42" s="12"/>
    </row>
    <row r="43" spans="1:12" ht="14.25" x14ac:dyDescent="0.15">
      <c r="A43" s="58" t="s">
        <v>23</v>
      </c>
      <c r="B43" s="80"/>
      <c r="C43" s="10"/>
      <c r="D43" s="38">
        <f>C30+C41</f>
        <v>98667122</v>
      </c>
    </row>
    <row r="44" spans="1:12" ht="11.25" customHeight="1" x14ac:dyDescent="0.15">
      <c r="A44" s="9"/>
      <c r="B44" s="62"/>
      <c r="C44" s="62"/>
      <c r="D44" s="62"/>
    </row>
    <row r="45" spans="1:12" ht="14.25" x14ac:dyDescent="0.15">
      <c r="A45" s="60" t="s">
        <v>18</v>
      </c>
      <c r="B45" s="79"/>
      <c r="C45" s="5"/>
      <c r="D45" s="12"/>
    </row>
    <row r="46" spans="1:12" ht="14.25" x14ac:dyDescent="0.15">
      <c r="A46" s="55" t="s">
        <v>21</v>
      </c>
      <c r="B46" s="79"/>
      <c r="C46" s="5"/>
      <c r="D46" s="23"/>
    </row>
    <row r="47" spans="1:12" ht="14.25" x14ac:dyDescent="0.15">
      <c r="A47" s="55" t="s">
        <v>32</v>
      </c>
      <c r="B47" s="88">
        <v>272314</v>
      </c>
      <c r="C47" s="5"/>
      <c r="D47" s="78"/>
    </row>
    <row r="48" spans="1:12" ht="14.25" x14ac:dyDescent="0.15">
      <c r="A48" s="55" t="s">
        <v>33</v>
      </c>
      <c r="B48" s="71">
        <v>0</v>
      </c>
      <c r="C48" s="5"/>
      <c r="D48" s="12"/>
    </row>
    <row r="49" spans="1:8" ht="6.75" customHeight="1" x14ac:dyDescent="0.15">
      <c r="A49" s="59"/>
      <c r="B49" s="79"/>
      <c r="C49" s="11"/>
      <c r="D49" s="12"/>
    </row>
    <row r="50" spans="1:8" ht="14.25" x14ac:dyDescent="0.15">
      <c r="A50" s="55" t="s">
        <v>31</v>
      </c>
      <c r="B50" s="80"/>
      <c r="C50" s="37">
        <f>B47+B48</f>
        <v>272314</v>
      </c>
      <c r="D50" s="23"/>
      <c r="E50" t="s">
        <v>108</v>
      </c>
    </row>
    <row r="51" spans="1:8" ht="11.25" customHeight="1" x14ac:dyDescent="0.15">
      <c r="A51" s="3"/>
      <c r="B51" s="14"/>
      <c r="C51" s="34"/>
      <c r="D51" s="25"/>
    </row>
    <row r="52" spans="1:8" ht="14.25" x14ac:dyDescent="0.15">
      <c r="A52" s="55" t="s">
        <v>22</v>
      </c>
      <c r="B52" s="19"/>
      <c r="C52" s="81"/>
      <c r="D52" s="23"/>
    </row>
    <row r="53" spans="1:8" ht="14.25" x14ac:dyDescent="0.15">
      <c r="A53" s="55" t="s">
        <v>30</v>
      </c>
      <c r="B53" s="88">
        <v>3280000</v>
      </c>
      <c r="C53" s="11"/>
      <c r="D53" s="25"/>
    </row>
    <row r="54" spans="1:8" ht="14.25" x14ac:dyDescent="0.15">
      <c r="A54" s="9"/>
      <c r="B54" s="19"/>
      <c r="C54" s="11"/>
      <c r="D54" s="25"/>
      <c r="G54" t="s">
        <v>108</v>
      </c>
    </row>
    <row r="55" spans="1:8" ht="14.25" x14ac:dyDescent="0.15">
      <c r="A55" s="61" t="s">
        <v>29</v>
      </c>
      <c r="B55" s="10"/>
      <c r="C55" s="37">
        <f>B53</f>
        <v>3280000</v>
      </c>
      <c r="D55" s="23"/>
    </row>
    <row r="56" spans="1:8" ht="6.75" customHeight="1" x14ac:dyDescent="0.15">
      <c r="A56" s="3"/>
      <c r="B56" s="19"/>
      <c r="C56" s="11"/>
      <c r="D56" s="23"/>
    </row>
    <row r="57" spans="1:8" ht="14.25" x14ac:dyDescent="0.15">
      <c r="A57" s="58" t="s">
        <v>24</v>
      </c>
      <c r="B57" s="40"/>
      <c r="C57" s="40"/>
      <c r="D57" s="38">
        <f>C50+C55</f>
        <v>3552314</v>
      </c>
    </row>
    <row r="58" spans="1:8" ht="11.25" customHeight="1" x14ac:dyDescent="0.15">
      <c r="A58" s="3"/>
      <c r="B58" s="19"/>
      <c r="C58" s="11"/>
      <c r="D58" s="23"/>
    </row>
    <row r="59" spans="1:8" ht="14.25" x14ac:dyDescent="0.15">
      <c r="A59" s="55" t="s">
        <v>3</v>
      </c>
      <c r="B59" s="30"/>
      <c r="C59" s="35"/>
      <c r="D59" s="31"/>
    </row>
    <row r="60" spans="1:8" ht="15" customHeight="1" x14ac:dyDescent="0.15">
      <c r="A60" s="55" t="s">
        <v>27</v>
      </c>
      <c r="B60" s="10"/>
      <c r="C60" s="39"/>
      <c r="D60" s="39">
        <v>0</v>
      </c>
      <c r="H60" t="s">
        <v>0</v>
      </c>
    </row>
    <row r="61" spans="1:8" ht="15.75" customHeight="1" x14ac:dyDescent="0.15">
      <c r="A61" s="55" t="s">
        <v>28</v>
      </c>
      <c r="B61" s="47"/>
      <c r="C61" s="9"/>
      <c r="D61" s="43">
        <f>D43-D57</f>
        <v>95114808</v>
      </c>
      <c r="F61" s="90" t="s">
        <v>124</v>
      </c>
    </row>
    <row r="62" spans="1:8" ht="15.75" customHeight="1" x14ac:dyDescent="0.15">
      <c r="A62" s="59" t="s">
        <v>11</v>
      </c>
      <c r="B62" s="9"/>
      <c r="D62" s="70">
        <f>D63-'3.3月'!D63</f>
        <v>-1670071</v>
      </c>
      <c r="F62" s="92">
        <f>D62-[3]令和3年度!$P$73</f>
        <v>-1693498</v>
      </c>
    </row>
    <row r="63" spans="1:8" ht="16.5" customHeight="1" x14ac:dyDescent="0.15">
      <c r="A63" s="55" t="s">
        <v>26</v>
      </c>
      <c r="B63" s="22"/>
      <c r="C63" s="48"/>
      <c r="D63" s="44">
        <f>D61</f>
        <v>95114808</v>
      </c>
      <c r="F63" s="91"/>
    </row>
    <row r="64" spans="1:8" ht="14.25" x14ac:dyDescent="0.15">
      <c r="A64" s="55" t="s">
        <v>25</v>
      </c>
      <c r="B64" s="22"/>
      <c r="C64" s="9"/>
      <c r="D64" s="69">
        <f>D57+D63</f>
        <v>98667122</v>
      </c>
      <c r="F64" s="68"/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748B3-9BAC-4588-B4D0-312E287CB93F}">
  <dimension ref="A1:L108"/>
  <sheetViews>
    <sheetView topLeftCell="A49" zoomScaleNormal="100" workbookViewId="0">
      <selection activeCell="D61" sqref="D61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2">
      <c r="A1" s="1" t="s">
        <v>152</v>
      </c>
      <c r="B1" s="1"/>
    </row>
    <row r="2" spans="1:11" ht="17.25" customHeight="1" x14ac:dyDescent="0.15">
      <c r="A2" s="111" t="s">
        <v>157</v>
      </c>
      <c r="B2" s="111"/>
      <c r="C2" s="111"/>
      <c r="D2" s="111"/>
    </row>
    <row r="3" spans="1:11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50"/>
      <c r="C5" s="49" t="s">
        <v>4</v>
      </c>
      <c r="D5" s="49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16629617</v>
      </c>
      <c r="C9" s="5"/>
      <c r="D9" s="12"/>
      <c r="F9" s="84">
        <f>'[4]0138359'!$AJ$37</f>
        <v>6087098</v>
      </c>
      <c r="G9" s="84">
        <f>'[4]0138642（居宅）'!$AJ$37</f>
        <v>25125</v>
      </c>
      <c r="H9" s="84">
        <f>'[4]0138655（通所）'!$AJ$37</f>
        <v>8278</v>
      </c>
      <c r="I9" s="84">
        <f>'[4]0156560（新庄）'!$AJ$37</f>
        <v>268965</v>
      </c>
      <c r="J9" s="84">
        <f>'[4]0158313（ゆけむり）'!$AJ$37</f>
        <v>315717</v>
      </c>
      <c r="K9" s="84">
        <f>'[4]0139101（ちゃれんじ）'!$AJ$37</f>
        <v>5525616</v>
      </c>
    </row>
    <row r="10" spans="1:11" ht="14.25" x14ac:dyDescent="0.15">
      <c r="A10" s="53" t="s">
        <v>102</v>
      </c>
      <c r="B10" s="73">
        <v>13725201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1320867</v>
      </c>
      <c r="C11" s="5"/>
      <c r="D11" s="23"/>
      <c r="F11" s="84">
        <f>'[4]2253865（助け合い）'!$AJ$37</f>
        <v>351901</v>
      </c>
      <c r="G11" s="89">
        <f>'[4]2253871（通所）'!$AJ$37</f>
        <v>584567</v>
      </c>
      <c r="H11" s="84">
        <f>'[4]2254321（ミニ）'!$AJ$37</f>
        <v>37523</v>
      </c>
    </row>
    <row r="12" spans="1:11" ht="14.25" x14ac:dyDescent="0.15">
      <c r="A12" s="53" t="s">
        <v>128</v>
      </c>
      <c r="B12" s="74">
        <v>1266776</v>
      </c>
      <c r="C12" s="5"/>
      <c r="D12" s="23"/>
    </row>
    <row r="13" spans="1:11" ht="14.25" x14ac:dyDescent="0.15">
      <c r="A13" s="53" t="s">
        <v>129</v>
      </c>
      <c r="B13" s="75">
        <v>72826</v>
      </c>
      <c r="C13" s="5"/>
      <c r="D13" s="12"/>
      <c r="E13" s="93" t="s">
        <v>142</v>
      </c>
      <c r="F13" s="94">
        <f>[4]JA0034628!$AJ$37</f>
        <v>1724338</v>
      </c>
      <c r="G13" s="93" t="s">
        <v>143</v>
      </c>
      <c r="H13" s="94">
        <f>[4]ゆうちょ6473091!$AJ$37</f>
        <v>512220</v>
      </c>
      <c r="I13" s="93" t="s">
        <v>144</v>
      </c>
      <c r="J13" s="94">
        <f>[4]しま信0116975!$AJ$37</f>
        <v>389923</v>
      </c>
    </row>
    <row r="14" spans="1:11" ht="14.25" x14ac:dyDescent="0.15">
      <c r="A14" s="53" t="s">
        <v>130</v>
      </c>
      <c r="B14" s="75">
        <v>243947</v>
      </c>
      <c r="C14" s="5"/>
      <c r="D14" s="12"/>
    </row>
    <row r="15" spans="1:11" ht="14.25" x14ac:dyDescent="0.15">
      <c r="A15" s="55" t="s">
        <v>36</v>
      </c>
      <c r="B15" s="71">
        <f>SUM(B16:B27)</f>
        <v>26853921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5220040</v>
      </c>
      <c r="C16" s="11"/>
      <c r="D16" s="12"/>
      <c r="E16" t="s">
        <v>112</v>
      </c>
      <c r="F16" s="84">
        <f>'[5]未収金（認定調査委託料）'!$AJ$37</f>
        <v>36960</v>
      </c>
      <c r="G16" s="84">
        <f>'[5]未収金（居宅支援介護報酬）'!$AJ$37</f>
        <v>5175480</v>
      </c>
      <c r="H16" s="83"/>
    </row>
    <row r="17" spans="1:11" ht="14.25" x14ac:dyDescent="0.15">
      <c r="A17" s="54" t="s">
        <v>15</v>
      </c>
      <c r="B17" s="73">
        <v>12503609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4706239</v>
      </c>
      <c r="C18" s="11"/>
      <c r="D18" s="12"/>
      <c r="E18" t="s">
        <v>115</v>
      </c>
      <c r="F18" s="84">
        <f>'[5]未収金（通所保険請求）'!$AJ$37</f>
        <v>11969869</v>
      </c>
      <c r="G18" s="84">
        <f>'[5]未収金（通所利用者負担）'!$AJ$37</f>
        <v>1176056</v>
      </c>
      <c r="H18" s="84">
        <f>'[5]未収金（通所食費）'!$AJ$37</f>
        <v>647800</v>
      </c>
    </row>
    <row r="19" spans="1:11" ht="14.25" x14ac:dyDescent="0.15">
      <c r="A19" s="54" t="s">
        <v>16</v>
      </c>
      <c r="B19" s="73">
        <v>2279144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1290159</v>
      </c>
      <c r="C20" s="5"/>
      <c r="D20" s="12"/>
      <c r="E20" t="s">
        <v>119</v>
      </c>
      <c r="F20" s="84">
        <f>'[5]未収金（ゆけむり保険請求）'!$AJ$37</f>
        <v>4118472</v>
      </c>
      <c r="G20" s="84">
        <f>'[5]未収金（ゆけむり利用者負担）'!$AJ$37</f>
        <v>616547</v>
      </c>
      <c r="H20" s="84">
        <f>'[5]未収金（ゆけむり食費）'!$AJ$37</f>
        <v>121200</v>
      </c>
    </row>
    <row r="21" spans="1:11" ht="14.25" x14ac:dyDescent="0.15">
      <c r="A21" s="54" t="s">
        <v>103</v>
      </c>
      <c r="B21" s="73">
        <v>310510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72</v>
      </c>
      <c r="B22" s="73">
        <v>26000</v>
      </c>
      <c r="C22" s="5"/>
      <c r="D22" s="12"/>
      <c r="E22" t="s">
        <v>120</v>
      </c>
      <c r="F22" s="84">
        <f>'[5]未収金（予防通所保険請求）'!$AJ$37</f>
        <v>1937111</v>
      </c>
      <c r="G22" s="84">
        <f>'[5]未収金（予防通所利用者負担）'!$AJ$37</f>
        <v>118239</v>
      </c>
      <c r="H22" s="84">
        <f>'[5]未収金（予防通所食費）'!$AJ$37</f>
        <v>139200</v>
      </c>
    </row>
    <row r="23" spans="1:11" ht="14.25" x14ac:dyDescent="0.15">
      <c r="A23" s="54" t="s">
        <v>81</v>
      </c>
      <c r="B23" s="73">
        <v>375220</v>
      </c>
      <c r="C23" s="5"/>
      <c r="D23" s="12"/>
      <c r="F23" s="83" t="s">
        <v>131</v>
      </c>
      <c r="G23" s="83" t="s">
        <v>117</v>
      </c>
      <c r="H23" s="83"/>
    </row>
    <row r="24" spans="1:11" ht="14.25" x14ac:dyDescent="0.15">
      <c r="A24" s="54" t="s">
        <v>82</v>
      </c>
      <c r="B24" s="73">
        <v>44100</v>
      </c>
      <c r="C24" s="5"/>
      <c r="D24" s="12"/>
      <c r="E24" t="s">
        <v>121</v>
      </c>
      <c r="F24" s="84">
        <f>'[5]未収金（処遇改善保険請求）'!$AJ$37</f>
        <v>1262836</v>
      </c>
      <c r="G24" s="84">
        <f>'[5]未収金（処遇改善利用者負担）'!$AJ$37</f>
        <v>135461</v>
      </c>
      <c r="H24" s="83"/>
    </row>
    <row r="25" spans="1:11" ht="14.25" x14ac:dyDescent="0.15">
      <c r="A25" s="54" t="s">
        <v>17</v>
      </c>
      <c r="B25" s="74">
        <v>87400</v>
      </c>
      <c r="C25" s="5"/>
      <c r="D25" s="12"/>
      <c r="F25" s="83" t="s">
        <v>116</v>
      </c>
      <c r="G25" s="83" t="s">
        <v>117</v>
      </c>
      <c r="H25" s="83"/>
      <c r="K25" t="s">
        <v>108</v>
      </c>
    </row>
    <row r="26" spans="1:11" ht="14.25" x14ac:dyDescent="0.15">
      <c r="A26" s="54" t="s">
        <v>71</v>
      </c>
      <c r="B26" s="75">
        <v>11500</v>
      </c>
      <c r="C26" s="5"/>
      <c r="D26" s="12"/>
      <c r="E26" t="s">
        <v>122</v>
      </c>
      <c r="F26" s="84">
        <f>'[5]未収金（特定処遇改善保険請求）'!$AJ$37</f>
        <v>295245</v>
      </c>
      <c r="G26" s="84">
        <f>'[5]未収金（特定処遇改善利用者負担）'!$AJ$37</f>
        <v>32794</v>
      </c>
      <c r="H26" s="83"/>
    </row>
    <row r="27" spans="1:11" ht="14.25" x14ac:dyDescent="0.15">
      <c r="A27" s="54" t="s">
        <v>79</v>
      </c>
      <c r="B27" s="85">
        <v>0</v>
      </c>
      <c r="C27" s="5"/>
      <c r="D27" s="12"/>
      <c r="F27" s="83" t="s">
        <v>131</v>
      </c>
      <c r="G27" s="83" t="s">
        <v>135</v>
      </c>
      <c r="H27" s="83" t="s">
        <v>118</v>
      </c>
    </row>
    <row r="28" spans="1:11" ht="14.25" x14ac:dyDescent="0.15">
      <c r="A28" s="55" t="s">
        <v>37</v>
      </c>
      <c r="B28" s="88">
        <v>1155274</v>
      </c>
      <c r="C28" s="15" t="s">
        <v>0</v>
      </c>
      <c r="D28" s="12"/>
      <c r="E28" t="s">
        <v>123</v>
      </c>
      <c r="F28" s="84">
        <f>'[5]未収金（サロン保険請求）'!$AJ$37</f>
        <v>345250</v>
      </c>
      <c r="G28" s="84">
        <f>'[5]未収金（サロン利用者負担）'!$AJ$37</f>
        <v>24274</v>
      </c>
      <c r="H28" s="84">
        <f>'[5]未収金（サロン食費）'!$AJ$37</f>
        <v>42000</v>
      </c>
    </row>
    <row r="29" spans="1:11" ht="14.25" x14ac:dyDescent="0.15">
      <c r="A29" s="61" t="s">
        <v>96</v>
      </c>
      <c r="B29" s="88">
        <v>52890</v>
      </c>
      <c r="C29" s="15"/>
      <c r="D29" s="12"/>
    </row>
    <row r="30" spans="1:11" ht="14.25" x14ac:dyDescent="0.15">
      <c r="A30" s="61" t="s">
        <v>38</v>
      </c>
      <c r="B30" s="7"/>
      <c r="C30" s="77">
        <f>B8+B9+B15+B28+B29</f>
        <v>44694087</v>
      </c>
      <c r="D30" s="12"/>
    </row>
    <row r="31" spans="1:11" ht="11.25" customHeight="1" x14ac:dyDescent="0.15">
      <c r="A31" s="11"/>
      <c r="B31" s="14"/>
      <c r="C31" s="5"/>
      <c r="D31" s="78" t="s">
        <v>0</v>
      </c>
    </row>
    <row r="32" spans="1:11" ht="14.25" x14ac:dyDescent="0.15">
      <c r="A32" s="55" t="s">
        <v>20</v>
      </c>
      <c r="B32" s="79" t="s">
        <v>0</v>
      </c>
      <c r="C32" s="5"/>
      <c r="D32" s="25"/>
    </row>
    <row r="33" spans="1:12" ht="14.25" x14ac:dyDescent="0.15">
      <c r="A33" s="55" t="s">
        <v>39</v>
      </c>
      <c r="B33" s="71">
        <v>45659248</v>
      </c>
      <c r="C33" s="5"/>
      <c r="D33" s="12"/>
      <c r="E33" t="s">
        <v>146</v>
      </c>
      <c r="F33" s="95">
        <f>'[6]建物（ほっと本体）'!$AJ$5</f>
        <v>225002</v>
      </c>
      <c r="G33" s="95">
        <f>'[6]建物（ほっと2階）'!$AJ$5</f>
        <v>159976</v>
      </c>
      <c r="H33" s="95">
        <f>'[6]建物（新庄）'!$AJ$5</f>
        <v>16342797</v>
      </c>
      <c r="I33" s="95">
        <f>'[6]建物（ゆけむり）'!$AJ$5</f>
        <v>23447684</v>
      </c>
      <c r="J33" s="95">
        <f>'[6]建物（ほっと浴室）'!$AJ$5</f>
        <v>4038012</v>
      </c>
    </row>
    <row r="34" spans="1:12" ht="14.25" x14ac:dyDescent="0.15">
      <c r="A34" s="55" t="s">
        <v>54</v>
      </c>
      <c r="B34" s="71">
        <v>5044881</v>
      </c>
      <c r="C34" s="5"/>
      <c r="D34" s="12"/>
      <c r="E34" t="s">
        <v>147</v>
      </c>
      <c r="F34" s="96">
        <f>'[6]附属建物（厨房）'!$AJ$5</f>
        <v>1</v>
      </c>
      <c r="G34" s="96">
        <f>'[6]附属建物（浴室）'!$AJ$5</f>
        <v>1</v>
      </c>
      <c r="H34" s="96">
        <f>'[6]附属建物（便所）'!$AJ$5</f>
        <v>1</v>
      </c>
      <c r="I34" s="96">
        <f>'[6]附属建物（廊下）'!$AJ$5</f>
        <v>1</v>
      </c>
      <c r="J34" s="96">
        <f>'[6]附属設備（電気設備その他）'!$AJ$5</f>
        <v>82438</v>
      </c>
      <c r="K34" s="97">
        <f>'[6]附属設備（給排水衛生設備）'!$AJ$5</f>
        <v>94536</v>
      </c>
      <c r="L34" s="96">
        <f>'[6]附属設備（消火排煙設備）'!$AJ$5</f>
        <v>5047</v>
      </c>
    </row>
    <row r="35" spans="1:12" ht="14.25" x14ac:dyDescent="0.15">
      <c r="A35" s="55" t="s">
        <v>55</v>
      </c>
      <c r="B35" s="71">
        <v>1287355</v>
      </c>
      <c r="C35" s="5"/>
      <c r="D35" s="12"/>
      <c r="F35" s="96">
        <f>'[6]附属設備（新庄電気設備）'!$AJ$5</f>
        <v>365715</v>
      </c>
      <c r="G35" s="96">
        <f>'[6]附属設備（新庄給排水設備）'!$AJ$5</f>
        <v>446005</v>
      </c>
      <c r="H35" s="96">
        <f>'[6]附属設備（電気設備）'!$AJ$5</f>
        <v>1028074</v>
      </c>
      <c r="I35" s="96">
        <f>'[6]附属設備（給排水設備）'!$AJ$5</f>
        <v>529605</v>
      </c>
      <c r="J35" s="96">
        <f>'[6]附属設備（新庄浴槽改装ガス給湯設備）'!$AJ$6</f>
        <v>513845</v>
      </c>
      <c r="K35" s="96">
        <f>'[6]附属設備（ほっと浴室移設電気工事）'!$AJ$5</f>
        <v>851136</v>
      </c>
      <c r="L35" s="96">
        <f>'[6]附属設備（ほっと浴室移設給排水設備）'!$AJ$5</f>
        <v>1128476</v>
      </c>
    </row>
    <row r="36" spans="1:12" ht="14.25" x14ac:dyDescent="0.15">
      <c r="A36" s="55" t="s">
        <v>75</v>
      </c>
      <c r="B36" s="71">
        <v>264085</v>
      </c>
      <c r="C36" s="5"/>
      <c r="D36" s="12"/>
      <c r="E36" t="s">
        <v>148</v>
      </c>
      <c r="F36" s="94">
        <f>'[6]構築物（舗装工事）'!$AJ$5</f>
        <v>1</v>
      </c>
      <c r="G36" s="94">
        <f>'[6]構築物（ゆけむり）'!$AJ$5</f>
        <v>358351</v>
      </c>
      <c r="H36" s="94">
        <f>'[6]構築物（新庄駐車場舗装）'!$AJ$5</f>
        <v>821220</v>
      </c>
    </row>
    <row r="37" spans="1:12" ht="14.25" x14ac:dyDescent="0.15">
      <c r="A37" s="55" t="s">
        <v>40</v>
      </c>
      <c r="B37" s="71">
        <v>2676383</v>
      </c>
      <c r="C37" s="5"/>
      <c r="D37" s="12"/>
      <c r="E37" t="s">
        <v>149</v>
      </c>
      <c r="F37" s="98">
        <f>'[6]器具備品（新庄玄関エアコン）'!$AJ$5</f>
        <v>31800</v>
      </c>
      <c r="G37" s="98">
        <f>'[6]器具備品（新庄事務室エアコン）'!$AJ$5</f>
        <v>173084</v>
      </c>
    </row>
    <row r="38" spans="1:12" ht="14.25" x14ac:dyDescent="0.15">
      <c r="A38" s="55" t="s">
        <v>41</v>
      </c>
      <c r="B38" s="71">
        <v>110600</v>
      </c>
      <c r="C38" s="5"/>
      <c r="D38" s="12"/>
      <c r="E38" t="s">
        <v>150</v>
      </c>
      <c r="F38" s="94">
        <f>'[6]車両（タウンボックス）'!$AJ$5</f>
        <v>1</v>
      </c>
      <c r="G38" s="94">
        <f>'[6]車両（はとバン）'!$AJ$5</f>
        <v>1</v>
      </c>
      <c r="H38" s="94">
        <f>'[6]車両（ノア）'!$AJ$5</f>
        <v>1</v>
      </c>
      <c r="I38" s="94">
        <f>'[6]車両（セレナ）'!$AJ$5</f>
        <v>1</v>
      </c>
      <c r="J38" s="94">
        <f>'[6]車両（アトレー１）'!$AJ$5</f>
        <v>1</v>
      </c>
      <c r="K38" s="94">
        <f>'[6]車両（キャラ３）'!$AJ$5</f>
        <v>1</v>
      </c>
      <c r="L38" s="94">
        <f>'[6]車両（フリード２）'!$AJ$5</f>
        <v>477725</v>
      </c>
    </row>
    <row r="39" spans="1:12" ht="14.25" x14ac:dyDescent="0.15">
      <c r="A39" s="55" t="s">
        <v>42</v>
      </c>
      <c r="B39" s="71">
        <v>50000</v>
      </c>
      <c r="C39" s="11"/>
      <c r="D39" s="12"/>
      <c r="F39" s="94">
        <f>'[6]車両（セブン２）'!$AJ$5</f>
        <v>1</v>
      </c>
      <c r="G39" s="94">
        <f>'[6]車両（EK３）'!$AJ$5</f>
        <v>1</v>
      </c>
      <c r="H39" s="94">
        <f>'[6]車両（アトレー４）'!$AJ$5</f>
        <v>2078860</v>
      </c>
    </row>
    <row r="40" spans="1:12" ht="14.25" x14ac:dyDescent="0.15">
      <c r="A40" s="55" t="s">
        <v>66</v>
      </c>
      <c r="B40" s="71">
        <v>165580</v>
      </c>
      <c r="C40" s="76"/>
      <c r="D40" s="12"/>
    </row>
    <row r="41" spans="1:12" ht="14.25" x14ac:dyDescent="0.15">
      <c r="A41" s="61" t="s">
        <v>43</v>
      </c>
      <c r="B41" s="80"/>
      <c r="C41" s="37">
        <f>SUM(B33:B40)</f>
        <v>55258132</v>
      </c>
      <c r="D41" s="12"/>
    </row>
    <row r="42" spans="1:12" ht="8.25" customHeight="1" x14ac:dyDescent="0.15">
      <c r="A42" s="11"/>
      <c r="B42" s="19"/>
      <c r="C42" s="5"/>
      <c r="D42" s="12"/>
    </row>
    <row r="43" spans="1:12" ht="14.25" x14ac:dyDescent="0.15">
      <c r="A43" s="58" t="s">
        <v>23</v>
      </c>
      <c r="B43" s="80"/>
      <c r="C43" s="10"/>
      <c r="D43" s="38">
        <f>C30+C41</f>
        <v>99952219</v>
      </c>
    </row>
    <row r="44" spans="1:12" ht="11.25" customHeight="1" x14ac:dyDescent="0.15">
      <c r="A44" s="9"/>
      <c r="B44" s="62"/>
      <c r="C44" s="62"/>
      <c r="D44" s="62"/>
    </row>
    <row r="45" spans="1:12" ht="14.25" x14ac:dyDescent="0.15">
      <c r="A45" s="60" t="s">
        <v>18</v>
      </c>
      <c r="B45" s="79"/>
      <c r="C45" s="5"/>
      <c r="D45" s="12"/>
    </row>
    <row r="46" spans="1:12" ht="14.25" x14ac:dyDescent="0.15">
      <c r="A46" s="55" t="s">
        <v>21</v>
      </c>
      <c r="B46" s="79"/>
      <c r="C46" s="5"/>
      <c r="D46" s="23"/>
    </row>
    <row r="47" spans="1:12" ht="14.25" x14ac:dyDescent="0.15">
      <c r="A47" s="55" t="s">
        <v>32</v>
      </c>
      <c r="B47" s="88">
        <v>364399</v>
      </c>
      <c r="C47" s="5"/>
      <c r="D47" s="78"/>
    </row>
    <row r="48" spans="1:12" ht="14.25" x14ac:dyDescent="0.15">
      <c r="A48" s="55" t="s">
        <v>33</v>
      </c>
      <c r="B48" s="71">
        <v>0</v>
      </c>
      <c r="C48" s="5"/>
      <c r="D48" s="12"/>
    </row>
    <row r="49" spans="1:8" ht="6.75" customHeight="1" x14ac:dyDescent="0.15">
      <c r="A49" s="59"/>
      <c r="B49" s="79"/>
      <c r="C49" s="11"/>
      <c r="D49" s="12"/>
    </row>
    <row r="50" spans="1:8" ht="14.25" x14ac:dyDescent="0.15">
      <c r="A50" s="55" t="s">
        <v>31</v>
      </c>
      <c r="B50" s="80"/>
      <c r="C50" s="37">
        <f>B47+B48</f>
        <v>364399</v>
      </c>
      <c r="D50" s="23"/>
      <c r="E50" t="s">
        <v>108</v>
      </c>
    </row>
    <row r="51" spans="1:8" ht="11.25" customHeight="1" x14ac:dyDescent="0.15">
      <c r="A51" s="3"/>
      <c r="B51" s="14"/>
      <c r="C51" s="34"/>
      <c r="D51" s="25"/>
    </row>
    <row r="52" spans="1:8" ht="14.25" x14ac:dyDescent="0.15">
      <c r="A52" s="55" t="s">
        <v>22</v>
      </c>
      <c r="B52" s="19"/>
      <c r="C52" s="81"/>
      <c r="D52" s="23"/>
    </row>
    <row r="53" spans="1:8" ht="14.25" x14ac:dyDescent="0.15">
      <c r="A53" s="55" t="s">
        <v>30</v>
      </c>
      <c r="B53" s="88">
        <v>3000000</v>
      </c>
      <c r="C53" s="11"/>
      <c r="D53" s="25"/>
    </row>
    <row r="54" spans="1:8" ht="14.25" x14ac:dyDescent="0.15">
      <c r="A54" s="9"/>
      <c r="B54" s="19"/>
      <c r="C54" s="11"/>
      <c r="D54" s="25"/>
      <c r="G54" t="s">
        <v>108</v>
      </c>
    </row>
    <row r="55" spans="1:8" ht="14.25" x14ac:dyDescent="0.15">
      <c r="A55" s="61" t="s">
        <v>29</v>
      </c>
      <c r="B55" s="10"/>
      <c r="C55" s="37">
        <f>B53</f>
        <v>3000000</v>
      </c>
      <c r="D55" s="23"/>
    </row>
    <row r="56" spans="1:8" ht="6.75" customHeight="1" x14ac:dyDescent="0.15">
      <c r="A56" s="3"/>
      <c r="B56" s="19"/>
      <c r="C56" s="11"/>
      <c r="D56" s="23"/>
    </row>
    <row r="57" spans="1:8" ht="14.25" x14ac:dyDescent="0.15">
      <c r="A57" s="58" t="s">
        <v>24</v>
      </c>
      <c r="B57" s="40"/>
      <c r="C57" s="40"/>
      <c r="D57" s="38">
        <f>C50+C55</f>
        <v>3364399</v>
      </c>
    </row>
    <row r="58" spans="1:8" ht="11.25" customHeight="1" x14ac:dyDescent="0.15">
      <c r="A58" s="3"/>
      <c r="B58" s="19"/>
      <c r="C58" s="11"/>
      <c r="D58" s="23"/>
    </row>
    <row r="59" spans="1:8" ht="14.25" x14ac:dyDescent="0.15">
      <c r="A59" s="55" t="s">
        <v>3</v>
      </c>
      <c r="B59" s="30"/>
      <c r="C59" s="35"/>
      <c r="D59" s="31"/>
    </row>
    <row r="60" spans="1:8" ht="15" customHeight="1" x14ac:dyDescent="0.15">
      <c r="A60" s="55" t="s">
        <v>27</v>
      </c>
      <c r="B60" s="10"/>
      <c r="C60" s="39"/>
      <c r="D60" s="39">
        <v>0</v>
      </c>
      <c r="H60" t="s">
        <v>0</v>
      </c>
    </row>
    <row r="61" spans="1:8" ht="15.75" customHeight="1" x14ac:dyDescent="0.15">
      <c r="A61" s="55" t="s">
        <v>28</v>
      </c>
      <c r="B61" s="47"/>
      <c r="C61" s="9"/>
      <c r="D61" s="43">
        <f>D43-D57</f>
        <v>96587820</v>
      </c>
      <c r="F61" s="90" t="s">
        <v>124</v>
      </c>
    </row>
    <row r="62" spans="1:8" ht="15.75" customHeight="1" x14ac:dyDescent="0.15">
      <c r="A62" s="59" t="s">
        <v>11</v>
      </c>
      <c r="B62" s="9"/>
      <c r="D62" s="70">
        <f>D63-'3.3月'!D63</f>
        <v>-197059</v>
      </c>
      <c r="F62" s="92">
        <f>D62-[3]令和3年度!$P$73</f>
        <v>-220486</v>
      </c>
    </row>
    <row r="63" spans="1:8" ht="16.5" customHeight="1" x14ac:dyDescent="0.15">
      <c r="A63" s="55" t="s">
        <v>26</v>
      </c>
      <c r="B63" s="22"/>
      <c r="C63" s="48"/>
      <c r="D63" s="44">
        <f>D61</f>
        <v>96587820</v>
      </c>
      <c r="F63" s="91"/>
    </row>
    <row r="64" spans="1:8" ht="14.25" x14ac:dyDescent="0.15">
      <c r="A64" s="55" t="s">
        <v>25</v>
      </c>
      <c r="B64" s="22"/>
      <c r="C64" s="9"/>
      <c r="D64" s="69">
        <f>D57+D63</f>
        <v>99952219</v>
      </c>
      <c r="F64" s="68"/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BA198-7CDF-4468-9756-A8666770F1CA}">
  <dimension ref="A1:L108"/>
  <sheetViews>
    <sheetView topLeftCell="A43" zoomScaleNormal="100" workbookViewId="0">
      <selection activeCell="D63" sqref="D63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2">
      <c r="A1" s="1" t="s">
        <v>152</v>
      </c>
      <c r="B1" s="1"/>
    </row>
    <row r="2" spans="1:11" ht="17.25" customHeight="1" x14ac:dyDescent="0.15">
      <c r="A2" s="111" t="s">
        <v>158</v>
      </c>
      <c r="B2" s="111"/>
      <c r="C2" s="111"/>
      <c r="D2" s="111"/>
    </row>
    <row r="3" spans="1:11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50"/>
      <c r="C5" s="49" t="s">
        <v>4</v>
      </c>
      <c r="D5" s="49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15831271</v>
      </c>
      <c r="C9" s="5"/>
      <c r="D9" s="12"/>
      <c r="F9" s="84">
        <f>'[4]0138359'!$AJ$37</f>
        <v>6087098</v>
      </c>
      <c r="G9" s="84">
        <f>'[4]0138642（居宅）'!$AJ$37</f>
        <v>25125</v>
      </c>
      <c r="H9" s="84">
        <f>'[4]0138655（通所）'!$AJ$37</f>
        <v>8278</v>
      </c>
      <c r="I9" s="84">
        <f>'[4]0156560（新庄）'!$AJ$37</f>
        <v>268965</v>
      </c>
      <c r="J9" s="84">
        <f>'[4]0158313（ゆけむり）'!$AJ$37</f>
        <v>315717</v>
      </c>
      <c r="K9" s="84">
        <f>'[4]0139101（ちゃれんじ）'!$AJ$37</f>
        <v>5525616</v>
      </c>
    </row>
    <row r="10" spans="1:11" ht="14.25" x14ac:dyDescent="0.15">
      <c r="A10" s="53" t="s">
        <v>102</v>
      </c>
      <c r="B10" s="73">
        <v>12230799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973991</v>
      </c>
      <c r="C11" s="5"/>
      <c r="D11" s="23"/>
      <c r="F11" s="84">
        <f>'[4]2253865（助け合い）'!$AJ$37</f>
        <v>351901</v>
      </c>
      <c r="G11" s="89">
        <f>'[4]2253871（通所）'!$AJ$37</f>
        <v>584567</v>
      </c>
      <c r="H11" s="84">
        <f>'[4]2254321（ミニ）'!$AJ$37</f>
        <v>37523</v>
      </c>
    </row>
    <row r="12" spans="1:11" ht="14.25" x14ac:dyDescent="0.15">
      <c r="A12" s="53" t="s">
        <v>128</v>
      </c>
      <c r="B12" s="74">
        <v>1724338</v>
      </c>
      <c r="C12" s="5"/>
      <c r="D12" s="23"/>
    </row>
    <row r="13" spans="1:11" ht="14.25" x14ac:dyDescent="0.15">
      <c r="A13" s="53" t="s">
        <v>129</v>
      </c>
      <c r="B13" s="75">
        <v>512220</v>
      </c>
      <c r="C13" s="5"/>
      <c r="D13" s="12"/>
      <c r="E13" s="93" t="s">
        <v>142</v>
      </c>
      <c r="F13" s="94">
        <f>[4]JA0034628!$AJ$37</f>
        <v>1724338</v>
      </c>
      <c r="G13" s="93" t="s">
        <v>143</v>
      </c>
      <c r="H13" s="94">
        <f>[4]ゆうちょ6473091!$AJ$37</f>
        <v>512220</v>
      </c>
      <c r="I13" s="93" t="s">
        <v>144</v>
      </c>
      <c r="J13" s="94">
        <f>[4]しま信0116975!$AJ$37</f>
        <v>389923</v>
      </c>
    </row>
    <row r="14" spans="1:11" ht="14.25" x14ac:dyDescent="0.15">
      <c r="A14" s="53" t="s">
        <v>130</v>
      </c>
      <c r="B14" s="75">
        <v>389923</v>
      </c>
      <c r="C14" s="5"/>
      <c r="D14" s="12"/>
    </row>
    <row r="15" spans="1:11" ht="14.25" x14ac:dyDescent="0.15">
      <c r="A15" s="55" t="s">
        <v>36</v>
      </c>
      <c r="B15" s="71">
        <f>SUM(B16:B27)</f>
        <v>29772294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5212440</v>
      </c>
      <c r="C16" s="11"/>
      <c r="D16" s="12"/>
      <c r="E16" t="s">
        <v>112</v>
      </c>
      <c r="F16" s="84">
        <f>'[5]未収金（認定調査委託料）'!$AJ$37</f>
        <v>36960</v>
      </c>
      <c r="G16" s="84">
        <f>'[5]未収金（居宅支援介護報酬）'!$AJ$37</f>
        <v>5175480</v>
      </c>
      <c r="H16" s="83"/>
    </row>
    <row r="17" spans="1:11" ht="14.25" x14ac:dyDescent="0.15">
      <c r="A17" s="54" t="s">
        <v>15</v>
      </c>
      <c r="B17" s="73">
        <v>13793725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4856219</v>
      </c>
      <c r="C18" s="11"/>
      <c r="D18" s="12"/>
      <c r="E18" t="s">
        <v>115</v>
      </c>
      <c r="F18" s="84">
        <f>'[5]未収金（通所保険請求）'!$AJ$37</f>
        <v>11969869</v>
      </c>
      <c r="G18" s="84">
        <f>'[5]未収金（通所利用者負担）'!$AJ$37</f>
        <v>1176056</v>
      </c>
      <c r="H18" s="84">
        <f>'[5]未収金（通所食費）'!$AJ$37</f>
        <v>647800</v>
      </c>
    </row>
    <row r="19" spans="1:11" ht="14.25" x14ac:dyDescent="0.15">
      <c r="A19" s="54" t="s">
        <v>16</v>
      </c>
      <c r="B19" s="73">
        <v>2194550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1398297</v>
      </c>
      <c r="C20" s="5"/>
      <c r="D20" s="12"/>
      <c r="E20" t="s">
        <v>119</v>
      </c>
      <c r="F20" s="84">
        <f>'[5]未収金（ゆけむり保険請求）'!$AJ$37</f>
        <v>4118472</v>
      </c>
      <c r="G20" s="84">
        <f>'[5]未収金（ゆけむり利用者負担）'!$AJ$37</f>
        <v>616547</v>
      </c>
      <c r="H20" s="84">
        <f>'[5]未収金（ゆけむり食費）'!$AJ$37</f>
        <v>121200</v>
      </c>
    </row>
    <row r="21" spans="1:11" ht="14.25" x14ac:dyDescent="0.15">
      <c r="A21" s="54" t="s">
        <v>103</v>
      </c>
      <c r="B21" s="73">
        <v>328039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72</v>
      </c>
      <c r="B22" s="73">
        <v>15600</v>
      </c>
      <c r="C22" s="5"/>
      <c r="D22" s="12"/>
      <c r="E22" t="s">
        <v>120</v>
      </c>
      <c r="F22" s="84">
        <f>'[5]未収金（予防通所保険請求）'!$AJ$37</f>
        <v>1937111</v>
      </c>
      <c r="G22" s="84">
        <f>'[5]未収金（予防通所利用者負担）'!$AJ$37</f>
        <v>118239</v>
      </c>
      <c r="H22" s="84">
        <f>'[5]未収金（予防通所食費）'!$AJ$37</f>
        <v>139200</v>
      </c>
    </row>
    <row r="23" spans="1:11" ht="14.25" x14ac:dyDescent="0.15">
      <c r="A23" s="54" t="s">
        <v>81</v>
      </c>
      <c r="B23" s="73">
        <v>411524</v>
      </c>
      <c r="C23" s="5"/>
      <c r="D23" s="12"/>
      <c r="F23" s="83" t="s">
        <v>131</v>
      </c>
      <c r="G23" s="83" t="s">
        <v>117</v>
      </c>
      <c r="H23" s="83"/>
    </row>
    <row r="24" spans="1:11" ht="14.25" x14ac:dyDescent="0.15">
      <c r="A24" s="54" t="s">
        <v>82</v>
      </c>
      <c r="B24" s="73">
        <v>98600</v>
      </c>
      <c r="C24" s="5"/>
      <c r="D24" s="12"/>
      <c r="E24" t="s">
        <v>121</v>
      </c>
      <c r="F24" s="84">
        <f>'[5]未収金（処遇改善保険請求）'!$AJ$37</f>
        <v>1262836</v>
      </c>
      <c r="G24" s="84">
        <f>'[5]未収金（処遇改善利用者負担）'!$AJ$37</f>
        <v>135461</v>
      </c>
      <c r="H24" s="83"/>
    </row>
    <row r="25" spans="1:11" ht="14.25" x14ac:dyDescent="0.15">
      <c r="A25" s="54" t="s">
        <v>17</v>
      </c>
      <c r="B25" s="74">
        <v>1437300</v>
      </c>
      <c r="C25" s="5"/>
      <c r="D25" s="12"/>
      <c r="F25" s="83" t="s">
        <v>116</v>
      </c>
      <c r="G25" s="83" t="s">
        <v>117</v>
      </c>
      <c r="H25" s="83"/>
      <c r="K25" t="s">
        <v>108</v>
      </c>
    </row>
    <row r="26" spans="1:11" ht="14.25" x14ac:dyDescent="0.15">
      <c r="A26" s="54" t="s">
        <v>71</v>
      </c>
      <c r="B26" s="75">
        <v>26000</v>
      </c>
      <c r="C26" s="5"/>
      <c r="D26" s="12"/>
      <c r="E26" t="s">
        <v>122</v>
      </c>
      <c r="F26" s="84">
        <f>'[5]未収金（特定処遇改善保険請求）'!$AJ$37</f>
        <v>295245</v>
      </c>
      <c r="G26" s="84">
        <f>'[5]未収金（特定処遇改善利用者負担）'!$AJ$37</f>
        <v>32794</v>
      </c>
      <c r="H26" s="83"/>
    </row>
    <row r="27" spans="1:11" ht="14.25" x14ac:dyDescent="0.15">
      <c r="A27" s="54" t="s">
        <v>79</v>
      </c>
      <c r="B27" s="85">
        <v>0</v>
      </c>
      <c r="C27" s="5"/>
      <c r="D27" s="12"/>
      <c r="F27" s="83" t="s">
        <v>131</v>
      </c>
      <c r="G27" s="83" t="s">
        <v>135</v>
      </c>
      <c r="H27" s="83" t="s">
        <v>118</v>
      </c>
    </row>
    <row r="28" spans="1:11" ht="14.25" x14ac:dyDescent="0.15">
      <c r="A28" s="55" t="s">
        <v>37</v>
      </c>
      <c r="B28" s="88">
        <v>1096393</v>
      </c>
      <c r="C28" s="15" t="s">
        <v>0</v>
      </c>
      <c r="D28" s="12"/>
      <c r="E28" t="s">
        <v>123</v>
      </c>
      <c r="F28" s="84">
        <f>'[5]未収金（サロン保険請求）'!$AJ$37</f>
        <v>345250</v>
      </c>
      <c r="G28" s="84">
        <f>'[5]未収金（サロン利用者負担）'!$AJ$37</f>
        <v>24274</v>
      </c>
      <c r="H28" s="84">
        <f>'[5]未収金（サロン食費）'!$AJ$37</f>
        <v>42000</v>
      </c>
    </row>
    <row r="29" spans="1:11" ht="14.25" x14ac:dyDescent="0.15">
      <c r="A29" s="61" t="s">
        <v>96</v>
      </c>
      <c r="B29" s="88">
        <v>0</v>
      </c>
      <c r="C29" s="15"/>
      <c r="D29" s="12"/>
    </row>
    <row r="30" spans="1:11" ht="14.25" x14ac:dyDescent="0.15">
      <c r="A30" s="61" t="s">
        <v>38</v>
      </c>
      <c r="B30" s="7"/>
      <c r="C30" s="77">
        <f>B8+B9+B15+B28+B29</f>
        <v>46702343</v>
      </c>
      <c r="D30" s="12"/>
    </row>
    <row r="31" spans="1:11" ht="11.25" customHeight="1" x14ac:dyDescent="0.15">
      <c r="A31" s="11"/>
      <c r="B31" s="14"/>
      <c r="C31" s="5"/>
      <c r="D31" s="78" t="s">
        <v>0</v>
      </c>
    </row>
    <row r="32" spans="1:11" ht="14.25" x14ac:dyDescent="0.15">
      <c r="A32" s="55" t="s">
        <v>20</v>
      </c>
      <c r="B32" s="79" t="s">
        <v>0</v>
      </c>
      <c r="C32" s="5"/>
      <c r="D32" s="25"/>
    </row>
    <row r="33" spans="1:12" ht="14.25" x14ac:dyDescent="0.15">
      <c r="A33" s="55" t="s">
        <v>39</v>
      </c>
      <c r="B33" s="71">
        <v>44213471</v>
      </c>
      <c r="C33" s="5"/>
      <c r="D33" s="12"/>
      <c r="E33" t="s">
        <v>146</v>
      </c>
      <c r="F33" s="95">
        <f>'[6]建物（ほっと本体）'!$AJ$5</f>
        <v>225002</v>
      </c>
      <c r="G33" s="95">
        <f>'[6]建物（ほっと2階）'!$AJ$5</f>
        <v>159976</v>
      </c>
      <c r="H33" s="95">
        <f>'[6]建物（新庄）'!$AJ$5</f>
        <v>16342797</v>
      </c>
      <c r="I33" s="95">
        <f>'[6]建物（ゆけむり）'!$AJ$5</f>
        <v>23447684</v>
      </c>
      <c r="J33" s="95">
        <f>'[6]建物（ほっと浴室）'!$AJ$5</f>
        <v>4038012</v>
      </c>
    </row>
    <row r="34" spans="1:12" ht="14.25" x14ac:dyDescent="0.15">
      <c r="A34" s="55" t="s">
        <v>54</v>
      </c>
      <c r="B34" s="71">
        <v>5044881</v>
      </c>
      <c r="C34" s="5"/>
      <c r="D34" s="12"/>
      <c r="E34" t="s">
        <v>147</v>
      </c>
      <c r="F34" s="96">
        <f>'[6]附属建物（厨房）'!$AJ$5</f>
        <v>1</v>
      </c>
      <c r="G34" s="96">
        <f>'[6]附属建物（浴室）'!$AJ$5</f>
        <v>1</v>
      </c>
      <c r="H34" s="96">
        <f>'[6]附属建物（便所）'!$AJ$5</f>
        <v>1</v>
      </c>
      <c r="I34" s="96">
        <f>'[6]附属建物（廊下）'!$AJ$5</f>
        <v>1</v>
      </c>
      <c r="J34" s="96">
        <f>'[6]附属設備（電気設備その他）'!$AJ$5</f>
        <v>82438</v>
      </c>
      <c r="K34" s="97">
        <f>'[6]附属設備（給排水衛生設備）'!$AJ$5</f>
        <v>94536</v>
      </c>
      <c r="L34" s="96">
        <f>'[6]附属設備（消火排煙設備）'!$AJ$5</f>
        <v>5047</v>
      </c>
    </row>
    <row r="35" spans="1:12" ht="14.25" x14ac:dyDescent="0.15">
      <c r="A35" s="55" t="s">
        <v>55</v>
      </c>
      <c r="B35" s="71">
        <v>1179572</v>
      </c>
      <c r="C35" s="5"/>
      <c r="D35" s="12"/>
      <c r="F35" s="96">
        <f>'[6]附属設備（新庄電気設備）'!$AJ$5</f>
        <v>365715</v>
      </c>
      <c r="G35" s="96">
        <f>'[6]附属設備（新庄給排水設備）'!$AJ$5</f>
        <v>446005</v>
      </c>
      <c r="H35" s="96">
        <f>'[6]附属設備（電気設備）'!$AJ$5</f>
        <v>1028074</v>
      </c>
      <c r="I35" s="96">
        <f>'[6]附属設備（給排水設備）'!$AJ$5</f>
        <v>529605</v>
      </c>
      <c r="J35" s="96">
        <f>'[6]附属設備（新庄浴槽改装ガス給湯設備）'!$AJ$6</f>
        <v>513845</v>
      </c>
      <c r="K35" s="96">
        <f>'[6]附属設備（ほっと浴室移設電気工事）'!$AJ$5</f>
        <v>851136</v>
      </c>
      <c r="L35" s="96">
        <f>'[6]附属設備（ほっと浴室移設給排水設備）'!$AJ$5</f>
        <v>1128476</v>
      </c>
    </row>
    <row r="36" spans="1:12" ht="14.25" x14ac:dyDescent="0.15">
      <c r="A36" s="55" t="s">
        <v>75</v>
      </c>
      <c r="B36" s="71">
        <v>204884</v>
      </c>
      <c r="C36" s="5"/>
      <c r="D36" s="12"/>
      <c r="E36" t="s">
        <v>148</v>
      </c>
      <c r="F36" s="94">
        <f>'[6]構築物（舗装工事）'!$AJ$5</f>
        <v>1</v>
      </c>
      <c r="G36" s="94">
        <f>'[6]構築物（ゆけむり）'!$AJ$5</f>
        <v>358351</v>
      </c>
      <c r="H36" s="94">
        <f>'[6]構築物（新庄駐車場舗装）'!$AJ$5</f>
        <v>821220</v>
      </c>
    </row>
    <row r="37" spans="1:12" ht="14.25" x14ac:dyDescent="0.15">
      <c r="A37" s="55" t="s">
        <v>40</v>
      </c>
      <c r="B37" s="71">
        <v>2556593</v>
      </c>
      <c r="C37" s="5"/>
      <c r="D37" s="12"/>
      <c r="E37" t="s">
        <v>149</v>
      </c>
      <c r="F37" s="98">
        <f>'[6]器具備品（新庄玄関エアコン）'!$AJ$5</f>
        <v>31800</v>
      </c>
      <c r="G37" s="98">
        <f>'[6]器具備品（新庄事務室エアコン）'!$AJ$5</f>
        <v>173084</v>
      </c>
    </row>
    <row r="38" spans="1:12" ht="14.25" x14ac:dyDescent="0.15">
      <c r="A38" s="55" t="s">
        <v>41</v>
      </c>
      <c r="B38" s="71">
        <v>110600</v>
      </c>
      <c r="C38" s="5"/>
      <c r="D38" s="12"/>
      <c r="E38" t="s">
        <v>150</v>
      </c>
      <c r="F38" s="94">
        <f>'[6]車両（タウンボックス）'!$AJ$5</f>
        <v>1</v>
      </c>
      <c r="G38" s="94">
        <f>'[6]車両（はとバン）'!$AJ$5</f>
        <v>1</v>
      </c>
      <c r="H38" s="94">
        <f>'[6]車両（ノア）'!$AJ$5</f>
        <v>1</v>
      </c>
      <c r="I38" s="94">
        <f>'[6]車両（セレナ）'!$AJ$5</f>
        <v>1</v>
      </c>
      <c r="J38" s="94">
        <f>'[6]車両（アトレー１）'!$AJ$5</f>
        <v>1</v>
      </c>
      <c r="K38" s="94">
        <f>'[6]車両（キャラ３）'!$AJ$5</f>
        <v>1</v>
      </c>
      <c r="L38" s="94">
        <f>'[6]車両（フリード２）'!$AJ$5</f>
        <v>477725</v>
      </c>
    </row>
    <row r="39" spans="1:12" ht="14.25" x14ac:dyDescent="0.15">
      <c r="A39" s="55" t="s">
        <v>42</v>
      </c>
      <c r="B39" s="71">
        <v>50000</v>
      </c>
      <c r="C39" s="11"/>
      <c r="D39" s="12"/>
      <c r="F39" s="94">
        <f>'[6]車両（セブン２）'!$AJ$5</f>
        <v>1</v>
      </c>
      <c r="G39" s="94">
        <f>'[6]車両（EK３）'!$AJ$5</f>
        <v>1</v>
      </c>
      <c r="H39" s="94">
        <f>'[6]車両（アトレー４）'!$AJ$5</f>
        <v>2078860</v>
      </c>
    </row>
    <row r="40" spans="1:12" ht="14.25" x14ac:dyDescent="0.15">
      <c r="A40" s="55" t="s">
        <v>66</v>
      </c>
      <c r="B40" s="71">
        <v>165580</v>
      </c>
      <c r="C40" s="76"/>
      <c r="D40" s="12"/>
    </row>
    <row r="41" spans="1:12" ht="14.25" x14ac:dyDescent="0.15">
      <c r="A41" s="61" t="s">
        <v>43</v>
      </c>
      <c r="B41" s="80"/>
      <c r="C41" s="37">
        <f>SUM(B33:B40)</f>
        <v>53525581</v>
      </c>
      <c r="D41" s="12"/>
    </row>
    <row r="42" spans="1:12" ht="8.25" customHeight="1" x14ac:dyDescent="0.15">
      <c r="A42" s="11"/>
      <c r="B42" s="19"/>
      <c r="C42" s="5"/>
      <c r="D42" s="12"/>
    </row>
    <row r="43" spans="1:12" ht="14.25" x14ac:dyDescent="0.15">
      <c r="A43" s="58" t="s">
        <v>23</v>
      </c>
      <c r="B43" s="80"/>
      <c r="C43" s="10"/>
      <c r="D43" s="38">
        <f>C30+C41</f>
        <v>100227924</v>
      </c>
    </row>
    <row r="44" spans="1:12" ht="11.25" customHeight="1" x14ac:dyDescent="0.15">
      <c r="A44" s="9"/>
      <c r="B44" s="62"/>
      <c r="C44" s="62"/>
      <c r="D44" s="62"/>
    </row>
    <row r="45" spans="1:12" ht="14.25" x14ac:dyDescent="0.15">
      <c r="A45" s="60" t="s">
        <v>18</v>
      </c>
      <c r="B45" s="79"/>
      <c r="C45" s="5"/>
      <c r="D45" s="12"/>
    </row>
    <row r="46" spans="1:12" ht="14.25" x14ac:dyDescent="0.15">
      <c r="A46" s="55" t="s">
        <v>21</v>
      </c>
      <c r="B46" s="79"/>
      <c r="C46" s="5"/>
      <c r="D46" s="23"/>
    </row>
    <row r="47" spans="1:12" ht="14.25" x14ac:dyDescent="0.15">
      <c r="A47" s="55" t="s">
        <v>32</v>
      </c>
      <c r="B47" s="88">
        <v>699618</v>
      </c>
      <c r="C47" s="5"/>
      <c r="D47" s="78"/>
    </row>
    <row r="48" spans="1:12" ht="14.25" x14ac:dyDescent="0.15">
      <c r="A48" s="55" t="s">
        <v>33</v>
      </c>
      <c r="B48" s="71">
        <v>0</v>
      </c>
      <c r="C48" s="5"/>
      <c r="D48" s="12"/>
    </row>
    <row r="49" spans="1:8" ht="6.75" customHeight="1" x14ac:dyDescent="0.15">
      <c r="A49" s="59"/>
      <c r="B49" s="79"/>
      <c r="C49" s="11"/>
      <c r="D49" s="12"/>
    </row>
    <row r="50" spans="1:8" ht="14.25" x14ac:dyDescent="0.15">
      <c r="A50" s="55" t="s">
        <v>31</v>
      </c>
      <c r="B50" s="80"/>
      <c r="C50" s="37">
        <f>B47+B48</f>
        <v>699618</v>
      </c>
      <c r="D50" s="23"/>
      <c r="E50" t="s">
        <v>108</v>
      </c>
    </row>
    <row r="51" spans="1:8" ht="11.25" customHeight="1" x14ac:dyDescent="0.15">
      <c r="A51" s="3"/>
      <c r="B51" s="14"/>
      <c r="C51" s="34"/>
      <c r="D51" s="25"/>
    </row>
    <row r="52" spans="1:8" ht="14.25" x14ac:dyDescent="0.15">
      <c r="A52" s="55" t="s">
        <v>22</v>
      </c>
      <c r="B52" s="19"/>
      <c r="C52" s="81"/>
      <c r="D52" s="23"/>
    </row>
    <row r="53" spans="1:8" ht="14.25" x14ac:dyDescent="0.15">
      <c r="A53" s="55" t="s">
        <v>30</v>
      </c>
      <c r="B53" s="88">
        <v>2720000</v>
      </c>
      <c r="C53" s="11"/>
      <c r="D53" s="25"/>
    </row>
    <row r="54" spans="1:8" ht="14.25" x14ac:dyDescent="0.15">
      <c r="A54" s="9"/>
      <c r="B54" s="19"/>
      <c r="C54" s="11"/>
      <c r="D54" s="25"/>
      <c r="G54" t="s">
        <v>108</v>
      </c>
    </row>
    <row r="55" spans="1:8" ht="14.25" x14ac:dyDescent="0.15">
      <c r="A55" s="61" t="s">
        <v>29</v>
      </c>
      <c r="B55" s="10"/>
      <c r="C55" s="37">
        <f>B53</f>
        <v>2720000</v>
      </c>
      <c r="D55" s="23"/>
    </row>
    <row r="56" spans="1:8" ht="6.75" customHeight="1" x14ac:dyDescent="0.15">
      <c r="A56" s="3"/>
      <c r="B56" s="19"/>
      <c r="C56" s="11"/>
      <c r="D56" s="23"/>
    </row>
    <row r="57" spans="1:8" ht="14.25" x14ac:dyDescent="0.15">
      <c r="A57" s="58" t="s">
        <v>24</v>
      </c>
      <c r="B57" s="40"/>
      <c r="C57" s="40"/>
      <c r="D57" s="38">
        <f>C50+C55</f>
        <v>3419618</v>
      </c>
    </row>
    <row r="58" spans="1:8" ht="11.25" customHeight="1" x14ac:dyDescent="0.15">
      <c r="A58" s="3"/>
      <c r="B58" s="19"/>
      <c r="C58" s="11"/>
      <c r="D58" s="23"/>
    </row>
    <row r="59" spans="1:8" ht="14.25" x14ac:dyDescent="0.15">
      <c r="A59" s="55" t="s">
        <v>3</v>
      </c>
      <c r="B59" s="30"/>
      <c r="C59" s="35"/>
      <c r="D59" s="31"/>
    </row>
    <row r="60" spans="1:8" ht="15" customHeight="1" x14ac:dyDescent="0.15">
      <c r="A60" s="55" t="s">
        <v>27</v>
      </c>
      <c r="B60" s="10"/>
      <c r="C60" s="39"/>
      <c r="D60" s="39">
        <v>0</v>
      </c>
      <c r="H60" t="s">
        <v>0</v>
      </c>
    </row>
    <row r="61" spans="1:8" ht="15.75" customHeight="1" x14ac:dyDescent="0.15">
      <c r="A61" s="55" t="s">
        <v>28</v>
      </c>
      <c r="B61" s="47"/>
      <c r="C61" s="9"/>
      <c r="D61" s="43">
        <v>96808306</v>
      </c>
      <c r="F61" s="90" t="s">
        <v>124</v>
      </c>
    </row>
    <row r="62" spans="1:8" ht="15.75" customHeight="1" x14ac:dyDescent="0.15">
      <c r="A62" s="59" t="s">
        <v>11</v>
      </c>
      <c r="B62" s="9"/>
      <c r="D62" s="70">
        <f>D63-'3.3月'!D63</f>
        <v>23427</v>
      </c>
      <c r="F62" s="92">
        <f>D62-[3]令和3年度!$P$73</f>
        <v>0</v>
      </c>
    </row>
    <row r="63" spans="1:8" ht="16.5" customHeight="1" x14ac:dyDescent="0.15">
      <c r="A63" s="55" t="s">
        <v>26</v>
      </c>
      <c r="B63" s="22"/>
      <c r="C63" s="48"/>
      <c r="D63" s="44">
        <v>96808306</v>
      </c>
      <c r="F63" s="91"/>
    </row>
    <row r="64" spans="1:8" ht="14.25" x14ac:dyDescent="0.15">
      <c r="A64" s="55" t="s">
        <v>25</v>
      </c>
      <c r="B64" s="22"/>
      <c r="C64" s="9"/>
      <c r="D64" s="69">
        <f>D57+D63</f>
        <v>100227924</v>
      </c>
      <c r="F64" s="68"/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0C5B4-D435-41DE-BF98-83273C54259A}">
  <dimension ref="A1:L108"/>
  <sheetViews>
    <sheetView topLeftCell="A55" zoomScaleNormal="100" workbookViewId="0">
      <selection activeCell="B73" sqref="B72:B73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160</v>
      </c>
      <c r="B1" s="122"/>
      <c r="C1" s="122"/>
      <c r="D1" s="122"/>
    </row>
    <row r="2" spans="1:11" ht="17.25" customHeight="1" x14ac:dyDescent="0.15">
      <c r="A2" s="116" t="s">
        <v>159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17126308</v>
      </c>
      <c r="C9" s="5"/>
      <c r="D9" s="12"/>
      <c r="F9" s="84">
        <f>'[7]0138359'!$AJ$37</f>
        <v>5166363</v>
      </c>
      <c r="G9" s="84">
        <f>'[7]0138642（居宅）'!$AJ$37</f>
        <v>44978</v>
      </c>
      <c r="H9" s="84">
        <f>'[7]0138655（通所）'!$AJ$37</f>
        <v>5783</v>
      </c>
      <c r="I9" s="84">
        <f>'[7]0156560（新庄）'!$AJ$37</f>
        <v>150151</v>
      </c>
      <c r="J9" s="84">
        <f>'[7]0158313（ゆけむり）'!$AJ$37</f>
        <v>266576</v>
      </c>
      <c r="K9" s="84">
        <f>'[7]0139101（ちゃれんじ）'!$AJ$37</f>
        <v>4614071</v>
      </c>
    </row>
    <row r="10" spans="1:11" ht="14.25" x14ac:dyDescent="0.15">
      <c r="A10" s="53" t="s">
        <v>102</v>
      </c>
      <c r="B10" s="73">
        <v>12040634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1111493</v>
      </c>
      <c r="C11" s="5"/>
      <c r="D11" s="23"/>
      <c r="F11" s="84">
        <f>'[7]2253865（助け合い）'!$AJ$37</f>
        <v>30200</v>
      </c>
      <c r="G11" s="89">
        <f>'[7]2253871（通所）'!$AJ$37</f>
        <v>919800</v>
      </c>
      <c r="H11" s="84">
        <f>'[7]2254321（ミニ）'!$AJ$37</f>
        <v>0</v>
      </c>
    </row>
    <row r="12" spans="1:11" ht="14.25" x14ac:dyDescent="0.15">
      <c r="A12" s="53" t="s">
        <v>128</v>
      </c>
      <c r="B12" s="74">
        <v>2336400</v>
      </c>
      <c r="C12" s="5"/>
      <c r="D12" s="23"/>
    </row>
    <row r="13" spans="1:11" ht="14.25" x14ac:dyDescent="0.15">
      <c r="A13" s="53" t="s">
        <v>129</v>
      </c>
      <c r="B13" s="75">
        <v>1074192</v>
      </c>
      <c r="C13" s="5"/>
      <c r="D13" s="12"/>
      <c r="E13" s="93" t="s">
        <v>142</v>
      </c>
      <c r="F13" s="94">
        <f>[7]JA0034628!$AJ$37</f>
        <v>992695</v>
      </c>
      <c r="G13" s="93" t="s">
        <v>143</v>
      </c>
      <c r="H13" s="94">
        <f>[7]ゆうちょ6473091!$AJ$37</f>
        <v>848315</v>
      </c>
      <c r="I13" s="93" t="s">
        <v>144</v>
      </c>
      <c r="J13" s="94">
        <f>[7]しま信0116975!$AJ$37</f>
        <v>592085</v>
      </c>
    </row>
    <row r="14" spans="1:11" ht="14.25" x14ac:dyDescent="0.15">
      <c r="A14" s="53" t="s">
        <v>130</v>
      </c>
      <c r="B14" s="75">
        <v>563589</v>
      </c>
      <c r="C14" s="5"/>
      <c r="D14" s="12"/>
    </row>
    <row r="15" spans="1:11" ht="14.25" x14ac:dyDescent="0.15">
      <c r="A15" s="55" t="s">
        <v>36</v>
      </c>
      <c r="B15" s="71">
        <v>29961560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5291400</v>
      </c>
      <c r="C16" s="11"/>
      <c r="D16" s="12"/>
      <c r="E16" t="s">
        <v>112</v>
      </c>
      <c r="F16" s="84">
        <f>'[8]未収金（認定調査委託料）'!$AJ$37</f>
        <v>15400</v>
      </c>
      <c r="G16" s="84">
        <f>'[8]未収金（居宅支援介護報酬）'!$AJ$37</f>
        <v>5078080</v>
      </c>
      <c r="H16" s="83"/>
    </row>
    <row r="17" spans="1:11" ht="14.25" x14ac:dyDescent="0.15">
      <c r="A17" s="54" t="s">
        <v>15</v>
      </c>
      <c r="B17" s="73">
        <v>14928167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5153851</v>
      </c>
      <c r="C18" s="11"/>
      <c r="D18" s="12"/>
      <c r="E18" t="s">
        <v>115</v>
      </c>
      <c r="F18" s="84">
        <f>'[8]未収金（通所保険請求）'!$AJ$37</f>
        <v>11735816</v>
      </c>
      <c r="G18" s="84">
        <f>'[8]未収金（通所利用者負担）'!$AJ$37</f>
        <v>1365938</v>
      </c>
      <c r="H18" s="84">
        <f>'[8]未収金（通所食費）'!$AJ$37</f>
        <v>648500</v>
      </c>
    </row>
    <row r="19" spans="1:11" ht="14.25" x14ac:dyDescent="0.15">
      <c r="A19" s="54" t="s">
        <v>16</v>
      </c>
      <c r="B19" s="73">
        <v>2130932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1494004</v>
      </c>
      <c r="C20" s="5"/>
      <c r="D20" s="12"/>
      <c r="E20" t="s">
        <v>119</v>
      </c>
      <c r="F20" s="84">
        <f>'[8]未収金（ゆけむり保険請求）'!$AJ$37</f>
        <v>3624471</v>
      </c>
      <c r="G20" s="84">
        <f>'[8]未収金（ゆけむり利用者負担）'!$AJ$37</f>
        <v>527342</v>
      </c>
      <c r="H20" s="84">
        <f>'[8]未収金（ゆけむり食費）'!$AJ$37</f>
        <v>113400</v>
      </c>
    </row>
    <row r="21" spans="1:11" ht="14.25" x14ac:dyDescent="0.15">
      <c r="A21" s="54" t="s">
        <v>103</v>
      </c>
      <c r="B21" s="73">
        <v>350460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72</v>
      </c>
      <c r="B22" s="85">
        <v>14300</v>
      </c>
      <c r="C22" s="5"/>
      <c r="D22" s="12"/>
      <c r="E22" t="s">
        <v>120</v>
      </c>
      <c r="F22" s="84">
        <f>'[8]未収金（予防通所保険請求）'!$AJ$37</f>
        <v>1811990</v>
      </c>
      <c r="G22" s="84">
        <f>'[8]未収金（予防通所利用者負担）'!$AJ$37</f>
        <v>120098</v>
      </c>
      <c r="H22" s="84">
        <f>'[8]未収金（予防通所食費）'!$AJ$37</f>
        <v>126500</v>
      </c>
    </row>
    <row r="23" spans="1:11" ht="14.25" x14ac:dyDescent="0.15">
      <c r="A23" s="54" t="s">
        <v>81</v>
      </c>
      <c r="B23" s="73">
        <v>420246</v>
      </c>
      <c r="C23" s="5"/>
      <c r="D23" s="12"/>
      <c r="F23" s="83" t="s">
        <v>131</v>
      </c>
      <c r="G23" s="83" t="s">
        <v>117</v>
      </c>
      <c r="H23" s="83"/>
    </row>
    <row r="24" spans="1:11" ht="14.25" x14ac:dyDescent="0.15">
      <c r="A24" s="54" t="s">
        <v>82</v>
      </c>
      <c r="B24" s="85">
        <v>92900</v>
      </c>
      <c r="C24" s="5"/>
      <c r="D24" s="12"/>
      <c r="E24" t="s">
        <v>121</v>
      </c>
      <c r="F24" s="84">
        <f>'[8]未収金（処遇改善保険請求）'!$AJ$37</f>
        <v>1190257</v>
      </c>
      <c r="G24" s="84">
        <f>'[8]未収金（処遇改善利用者負担）'!$AJ$37</f>
        <v>137834</v>
      </c>
      <c r="H24" s="83"/>
    </row>
    <row r="25" spans="1:11" ht="14.25" x14ac:dyDescent="0.15">
      <c r="A25" s="54" t="s">
        <v>17</v>
      </c>
      <c r="B25" s="86">
        <v>72300</v>
      </c>
      <c r="C25" s="5"/>
      <c r="D25" s="12"/>
      <c r="F25" s="83" t="s">
        <v>116</v>
      </c>
      <c r="G25" s="83" t="s">
        <v>117</v>
      </c>
      <c r="H25" s="83"/>
      <c r="K25" t="s">
        <v>108</v>
      </c>
    </row>
    <row r="26" spans="1:11" ht="14.25" x14ac:dyDescent="0.15">
      <c r="A26" s="54" t="s">
        <v>71</v>
      </c>
      <c r="B26" s="87">
        <v>13000</v>
      </c>
      <c r="C26" s="5"/>
      <c r="D26" s="12"/>
      <c r="E26" t="s">
        <v>122</v>
      </c>
      <c r="F26" s="84">
        <f>'[8]未収金（特定処遇改善保険請求）'!$AJ$37</f>
        <v>275563</v>
      </c>
      <c r="G26" s="84">
        <f>'[8]未収金（特定処遇改善利用者負担）'!$AJ$37</f>
        <v>32435</v>
      </c>
      <c r="H26" s="83"/>
    </row>
    <row r="27" spans="1:11" ht="14.25" x14ac:dyDescent="0.15">
      <c r="A27" s="54" t="s">
        <v>79</v>
      </c>
      <c r="B27" s="85">
        <v>0</v>
      </c>
      <c r="C27" s="5"/>
      <c r="D27" s="12"/>
      <c r="F27" s="83" t="s">
        <v>131</v>
      </c>
      <c r="G27" s="83" t="s">
        <v>135</v>
      </c>
      <c r="H27" s="83" t="s">
        <v>118</v>
      </c>
    </row>
    <row r="28" spans="1:11" ht="14.25" x14ac:dyDescent="0.15">
      <c r="A28" s="55" t="s">
        <v>37</v>
      </c>
      <c r="B28" s="88">
        <v>867753</v>
      </c>
      <c r="C28" s="15" t="s">
        <v>0</v>
      </c>
      <c r="D28" s="12"/>
      <c r="E28" t="s">
        <v>123</v>
      </c>
      <c r="F28" s="84">
        <f>'[8]未収金（サロン保険請求）'!$AJ$37</f>
        <v>311572</v>
      </c>
      <c r="G28" s="84">
        <f>'[8]未収金（サロン利用者負担）'!$AJ$37</f>
        <v>21320</v>
      </c>
      <c r="H28" s="84">
        <f>'[8]未収金（サロン食費）'!$AJ$37</f>
        <v>22200</v>
      </c>
    </row>
    <row r="29" spans="1:11" ht="14.25" x14ac:dyDescent="0.15">
      <c r="A29" s="61" t="s">
        <v>96</v>
      </c>
      <c r="B29" s="71">
        <v>0</v>
      </c>
      <c r="C29" s="15"/>
      <c r="D29" s="12"/>
    </row>
    <row r="30" spans="1:11" ht="14.25" x14ac:dyDescent="0.15">
      <c r="A30" s="61" t="s">
        <v>38</v>
      </c>
      <c r="B30" s="7"/>
      <c r="C30" s="77">
        <f>B8+B9+B15+B28+B29</f>
        <v>47958006</v>
      </c>
      <c r="D30" s="12"/>
    </row>
    <row r="31" spans="1:11" ht="11.25" customHeight="1" x14ac:dyDescent="0.15">
      <c r="A31" s="11"/>
      <c r="B31" s="14"/>
      <c r="C31" s="5"/>
      <c r="D31" s="78" t="s">
        <v>0</v>
      </c>
    </row>
    <row r="32" spans="1:11" ht="14.25" x14ac:dyDescent="0.15">
      <c r="A32" s="55" t="s">
        <v>20</v>
      </c>
      <c r="B32" s="79" t="s">
        <v>0</v>
      </c>
      <c r="C32" s="5"/>
      <c r="D32" s="25"/>
    </row>
    <row r="33" spans="1:12" ht="14.25" x14ac:dyDescent="0.15">
      <c r="A33" s="55" t="s">
        <v>39</v>
      </c>
      <c r="B33" s="71">
        <v>44213471</v>
      </c>
      <c r="C33" s="5"/>
      <c r="D33" s="12"/>
      <c r="E33" t="s">
        <v>146</v>
      </c>
      <c r="F33" s="95">
        <f>'[9]建物（ほっと本体）'!$AJ$5</f>
        <v>225002</v>
      </c>
      <c r="G33" s="95">
        <f>'[9]建物（ほっと2階）'!$AJ$5</f>
        <v>159976</v>
      </c>
      <c r="H33" s="95">
        <f>'[9]建物（新庄）'!$AJ$5</f>
        <v>16342797</v>
      </c>
      <c r="I33" s="95">
        <f>'[9]建物（ゆけむり）'!$AJ$5</f>
        <v>23447684</v>
      </c>
      <c r="J33" s="95">
        <f>'[9]建物（ほっと浴室）'!$AJ$5</f>
        <v>4038012</v>
      </c>
    </row>
    <row r="34" spans="1:12" ht="14.25" x14ac:dyDescent="0.15">
      <c r="A34" s="55" t="s">
        <v>54</v>
      </c>
      <c r="B34" s="71">
        <v>5044881</v>
      </c>
      <c r="C34" s="5"/>
      <c r="D34" s="12"/>
      <c r="E34" t="s">
        <v>147</v>
      </c>
      <c r="F34" s="96">
        <f>'[9]附属建物（厨房）'!$AJ$5</f>
        <v>1</v>
      </c>
      <c r="G34" s="96">
        <f>'[9]附属建物（浴室）'!$AJ$5</f>
        <v>1</v>
      </c>
      <c r="H34" s="96">
        <f>'[9]附属建物（便所）'!$AJ$5</f>
        <v>1</v>
      </c>
      <c r="I34" s="96">
        <f>'[9]附属建物（廊下）'!$AJ$5</f>
        <v>1</v>
      </c>
      <c r="J34" s="96">
        <f>'[9]附属設備（電気設備その他）'!$AJ$5</f>
        <v>82438</v>
      </c>
      <c r="K34" s="96">
        <f>'[9]附属設備（給排水衛生設備）'!$AJ$5</f>
        <v>94536</v>
      </c>
      <c r="L34" s="96">
        <f>'[9]附属設備（消火排煙設備）'!$AJ$5</f>
        <v>5047</v>
      </c>
    </row>
    <row r="35" spans="1:12" ht="14.25" x14ac:dyDescent="0.15">
      <c r="A35" s="55" t="s">
        <v>55</v>
      </c>
      <c r="B35" s="71">
        <v>1179572</v>
      </c>
      <c r="C35" s="5"/>
      <c r="D35" s="12"/>
      <c r="F35" s="96">
        <f>'[9]附属設備（新庄電気設備）'!$AJ$5</f>
        <v>365715</v>
      </c>
      <c r="G35" s="96">
        <f>'[9]附属設備（新庄給排水設備）'!$AJ$5</f>
        <v>446005</v>
      </c>
      <c r="H35" s="96">
        <f>'[9]附属設備（電気設備）'!$AJ$5</f>
        <v>1028074</v>
      </c>
      <c r="I35" s="96">
        <f>'[9]附属設備（給排水設備）'!$AJ$5</f>
        <v>529605</v>
      </c>
      <c r="J35" s="96">
        <f>'[9]附属設備（新庄浴槽改装ガス給湯設備）'!$AJ$6</f>
        <v>513845</v>
      </c>
      <c r="K35" s="96">
        <f>'[9]附属設備（ほっと浴室移設電気工事）'!$AJ$5</f>
        <v>851136</v>
      </c>
      <c r="L35" s="96">
        <f>'[9]附属設備（ほっと浴室移設給排水設備）'!$AJ$5</f>
        <v>1128476</v>
      </c>
    </row>
    <row r="36" spans="1:12" ht="14.25" x14ac:dyDescent="0.15">
      <c r="A36" s="55" t="s">
        <v>75</v>
      </c>
      <c r="B36" s="71">
        <v>204884</v>
      </c>
      <c r="C36" s="5"/>
      <c r="D36" s="12"/>
      <c r="E36" t="s">
        <v>148</v>
      </c>
      <c r="F36" s="94">
        <f>'[9]構築物（舗装工事）'!$AJ$5</f>
        <v>1</v>
      </c>
      <c r="G36" s="94">
        <f>'[9]構築物（ゆけむり）'!$AJ$5</f>
        <v>358351</v>
      </c>
      <c r="H36" s="94">
        <f>'[9]構築物（新庄駐車場舗装）'!$AJ$5</f>
        <v>821220</v>
      </c>
    </row>
    <row r="37" spans="1:12" ht="14.25" x14ac:dyDescent="0.15">
      <c r="A37" s="55" t="s">
        <v>40</v>
      </c>
      <c r="B37" s="71">
        <v>2556593</v>
      </c>
      <c r="C37" s="5"/>
      <c r="D37" s="12"/>
      <c r="E37" t="s">
        <v>149</v>
      </c>
      <c r="F37" s="98">
        <f>'[9]器具備品（新庄玄関エアコン）'!$AJ$5</f>
        <v>31800</v>
      </c>
      <c r="G37" s="98">
        <f>'[9]器具備品（新庄事務室エアコン）'!$AJ$5</f>
        <v>173084</v>
      </c>
    </row>
    <row r="38" spans="1:12" ht="14.25" x14ac:dyDescent="0.15">
      <c r="A38" s="55" t="s">
        <v>41</v>
      </c>
      <c r="B38" s="88">
        <v>110600</v>
      </c>
      <c r="C38" s="5"/>
      <c r="D38" s="12"/>
      <c r="E38" t="s">
        <v>150</v>
      </c>
      <c r="F38" s="94">
        <f>'[9]車両（タウンボックス）'!$AJ$5</f>
        <v>1</v>
      </c>
      <c r="G38" s="94">
        <f>'[9]車両（はとバン）'!$AJ$5</f>
        <v>1</v>
      </c>
      <c r="H38" s="94">
        <f>'[9]車両（ノア）'!$AJ$5</f>
        <v>1</v>
      </c>
      <c r="I38" s="94">
        <f>'[9]車両（セレナ）'!$AJ$5</f>
        <v>1</v>
      </c>
      <c r="J38" s="94">
        <f>'[9]車両（アトレー１）'!$AJ$5</f>
        <v>1</v>
      </c>
      <c r="K38" s="94">
        <f>'[9]車両（アトレー４）'!$AJ$5</f>
        <v>2078860</v>
      </c>
      <c r="L38" s="94">
        <f>'[9]車両（キャラ３）'!$AJ$5</f>
        <v>0</v>
      </c>
    </row>
    <row r="39" spans="1:12" ht="14.25" x14ac:dyDescent="0.15">
      <c r="A39" s="55" t="s">
        <v>42</v>
      </c>
      <c r="B39" s="88">
        <v>50000</v>
      </c>
      <c r="C39" s="11"/>
      <c r="D39" s="12"/>
      <c r="F39" s="94">
        <f>'[9]車両（フリード２）'!$AJ$5</f>
        <v>477725</v>
      </c>
      <c r="G39" s="94">
        <f>'[9]車両（セブン２）'!$AJ$5</f>
        <v>1</v>
      </c>
      <c r="H39" s="94">
        <f>'[9]車両（EK３）'!$AJ$5</f>
        <v>1</v>
      </c>
    </row>
    <row r="40" spans="1:12" ht="14.25" x14ac:dyDescent="0.15">
      <c r="A40" s="55" t="s">
        <v>66</v>
      </c>
      <c r="B40" s="88">
        <v>165580</v>
      </c>
      <c r="C40" s="76"/>
      <c r="D40" s="12"/>
    </row>
    <row r="41" spans="1:12" ht="14.25" x14ac:dyDescent="0.15">
      <c r="A41" s="61" t="s">
        <v>43</v>
      </c>
      <c r="B41" s="80"/>
      <c r="C41" s="37">
        <f>SUM(B33:B40)</f>
        <v>53525581</v>
      </c>
      <c r="D41" s="12"/>
    </row>
    <row r="42" spans="1:12" ht="8.25" customHeight="1" x14ac:dyDescent="0.15">
      <c r="A42" s="11"/>
      <c r="B42" s="19"/>
      <c r="C42" s="5"/>
      <c r="D42" s="12"/>
    </row>
    <row r="43" spans="1:12" ht="14.25" x14ac:dyDescent="0.15">
      <c r="A43" s="58" t="s">
        <v>23</v>
      </c>
      <c r="B43" s="80"/>
      <c r="C43" s="10"/>
      <c r="D43" s="38">
        <f>C30+C41</f>
        <v>101483587</v>
      </c>
    </row>
    <row r="44" spans="1:12" ht="11.25" customHeight="1" x14ac:dyDescent="0.15">
      <c r="A44" s="9"/>
      <c r="B44" s="62"/>
      <c r="C44" s="62"/>
      <c r="D44" s="62"/>
    </row>
    <row r="45" spans="1:12" ht="14.25" x14ac:dyDescent="0.15">
      <c r="A45" s="60" t="s">
        <v>18</v>
      </c>
      <c r="B45" s="79"/>
      <c r="C45" s="5"/>
      <c r="D45" s="12"/>
    </row>
    <row r="46" spans="1:12" ht="14.25" x14ac:dyDescent="0.15">
      <c r="A46" s="55" t="s">
        <v>21</v>
      </c>
      <c r="B46" s="79"/>
      <c r="C46" s="5"/>
      <c r="D46" s="23"/>
    </row>
    <row r="47" spans="1:12" ht="14.25" x14ac:dyDescent="0.15">
      <c r="A47" s="55" t="s">
        <v>32</v>
      </c>
      <c r="B47" s="88">
        <v>2876595</v>
      </c>
      <c r="C47" s="5"/>
      <c r="D47" s="78"/>
    </row>
    <row r="48" spans="1:12" ht="14.25" x14ac:dyDescent="0.15">
      <c r="A48" s="55" t="s">
        <v>33</v>
      </c>
      <c r="B48" s="71">
        <v>0</v>
      </c>
      <c r="C48" s="5"/>
      <c r="D48" s="12"/>
    </row>
    <row r="49" spans="1:8" ht="6.75" customHeight="1" x14ac:dyDescent="0.15">
      <c r="A49" s="59"/>
      <c r="B49" s="79"/>
      <c r="C49" s="11"/>
      <c r="D49" s="12"/>
    </row>
    <row r="50" spans="1:8" ht="14.25" x14ac:dyDescent="0.15">
      <c r="A50" s="55" t="s">
        <v>31</v>
      </c>
      <c r="B50" s="80"/>
      <c r="C50" s="37">
        <f>B47+B48</f>
        <v>2876595</v>
      </c>
      <c r="D50" s="23"/>
      <c r="E50" t="s">
        <v>108</v>
      </c>
    </row>
    <row r="51" spans="1:8" ht="11.25" customHeight="1" x14ac:dyDescent="0.15">
      <c r="A51" s="3"/>
      <c r="B51" s="14"/>
      <c r="C51" s="34"/>
      <c r="D51" s="25"/>
    </row>
    <row r="52" spans="1:8" ht="14.25" x14ac:dyDescent="0.15">
      <c r="A52" s="55" t="s">
        <v>22</v>
      </c>
      <c r="B52" s="19"/>
      <c r="C52" s="81"/>
      <c r="D52" s="23"/>
    </row>
    <row r="53" spans="1:8" ht="14.25" x14ac:dyDescent="0.15">
      <c r="A53" s="55" t="s">
        <v>30</v>
      </c>
      <c r="B53" s="88">
        <v>2440000</v>
      </c>
      <c r="C53" s="11"/>
      <c r="D53" s="25"/>
    </row>
    <row r="54" spans="1:8" ht="14.25" x14ac:dyDescent="0.15">
      <c r="A54" s="9"/>
      <c r="B54" s="19"/>
      <c r="C54" s="11"/>
      <c r="D54" s="25"/>
      <c r="G54" t="s">
        <v>108</v>
      </c>
    </row>
    <row r="55" spans="1:8" ht="14.25" x14ac:dyDescent="0.15">
      <c r="A55" s="61" t="s">
        <v>29</v>
      </c>
      <c r="B55" s="10"/>
      <c r="C55" s="37">
        <f>B53</f>
        <v>2440000</v>
      </c>
      <c r="D55" s="23"/>
    </row>
    <row r="56" spans="1:8" ht="6.75" customHeight="1" x14ac:dyDescent="0.15">
      <c r="A56" s="3"/>
      <c r="B56" s="19"/>
      <c r="C56" s="11"/>
      <c r="D56" s="23"/>
    </row>
    <row r="57" spans="1:8" ht="14.25" x14ac:dyDescent="0.15">
      <c r="A57" s="58" t="s">
        <v>24</v>
      </c>
      <c r="B57" s="40"/>
      <c r="C57" s="40"/>
      <c r="D57" s="38">
        <f>C50+C55</f>
        <v>5316595</v>
      </c>
    </row>
    <row r="58" spans="1:8" ht="11.25" customHeight="1" x14ac:dyDescent="0.15">
      <c r="A58" s="3"/>
      <c r="B58" s="19"/>
      <c r="C58" s="11"/>
      <c r="D58" s="23"/>
    </row>
    <row r="59" spans="1:8" ht="14.25" x14ac:dyDescent="0.15">
      <c r="A59" s="55" t="s">
        <v>3</v>
      </c>
      <c r="B59" s="30"/>
      <c r="C59" s="35"/>
      <c r="D59" s="31"/>
    </row>
    <row r="60" spans="1:8" ht="15" customHeight="1" x14ac:dyDescent="0.15">
      <c r="A60" s="55" t="s">
        <v>27</v>
      </c>
      <c r="B60" s="10"/>
      <c r="C60" s="39"/>
      <c r="D60" s="39">
        <v>0</v>
      </c>
      <c r="H60" t="s">
        <v>0</v>
      </c>
    </row>
    <row r="61" spans="1:8" ht="15.75" customHeight="1" x14ac:dyDescent="0.15">
      <c r="A61" s="55" t="s">
        <v>28</v>
      </c>
      <c r="B61" s="47"/>
      <c r="C61" s="9"/>
      <c r="D61" s="43">
        <f>D43-D57</f>
        <v>96166992</v>
      </c>
      <c r="F61" s="90" t="s">
        <v>124</v>
      </c>
    </row>
    <row r="62" spans="1:8" ht="15.75" customHeight="1" x14ac:dyDescent="0.15">
      <c r="A62" s="59" t="s">
        <v>11</v>
      </c>
      <c r="B62" s="9"/>
      <c r="D62" s="70">
        <v>-641314</v>
      </c>
      <c r="F62" s="92">
        <f>D62-[3]令和4年度!$P$73</f>
        <v>2705596</v>
      </c>
    </row>
    <row r="63" spans="1:8" ht="16.5" customHeight="1" x14ac:dyDescent="0.15">
      <c r="A63" s="55" t="s">
        <v>26</v>
      </c>
      <c r="B63" s="22"/>
      <c r="C63" s="48"/>
      <c r="D63" s="44">
        <f>D61</f>
        <v>96166992</v>
      </c>
      <c r="F63" s="91"/>
    </row>
    <row r="64" spans="1:8" ht="14.25" x14ac:dyDescent="0.15">
      <c r="A64" s="55" t="s">
        <v>25</v>
      </c>
      <c r="B64" s="22"/>
      <c r="C64" s="9"/>
      <c r="D64" s="69">
        <f>D57+D63</f>
        <v>101483587</v>
      </c>
      <c r="F64" s="68"/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5">
    <mergeCell ref="A2:D2"/>
    <mergeCell ref="C3:D3"/>
    <mergeCell ref="C4:D4"/>
    <mergeCell ref="B5:D5"/>
    <mergeCell ref="A1:D1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38BD4-F0E4-4CA3-A8DE-3F0D0069758E}">
  <dimension ref="A1:L108"/>
  <sheetViews>
    <sheetView topLeftCell="A55" zoomScaleNormal="100" workbookViewId="0">
      <selection activeCell="B39" sqref="B39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160</v>
      </c>
      <c r="B1" s="122"/>
      <c r="C1" s="122"/>
      <c r="D1" s="122"/>
    </row>
    <row r="2" spans="1:11" ht="17.25" customHeight="1" x14ac:dyDescent="0.15">
      <c r="A2" s="116" t="s">
        <v>161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12975535</v>
      </c>
      <c r="C9" s="5"/>
      <c r="D9" s="12"/>
      <c r="F9" s="84">
        <v>2696043</v>
      </c>
      <c r="G9" s="84">
        <v>24727</v>
      </c>
      <c r="H9" s="84">
        <v>6786</v>
      </c>
      <c r="I9" s="84">
        <v>183219</v>
      </c>
      <c r="J9" s="84">
        <v>298726</v>
      </c>
      <c r="K9" s="84">
        <v>6827546</v>
      </c>
    </row>
    <row r="10" spans="1:11" ht="14.25" x14ac:dyDescent="0.15">
      <c r="A10" s="53" t="s">
        <v>102</v>
      </c>
      <c r="B10" s="73">
        <v>10037047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1221969</v>
      </c>
      <c r="C11" s="5"/>
      <c r="D11" s="23"/>
      <c r="F11" s="84">
        <v>371101</v>
      </c>
      <c r="G11" s="89">
        <v>812745</v>
      </c>
      <c r="H11" s="84">
        <v>38123</v>
      </c>
    </row>
    <row r="12" spans="1:11" ht="14.25" x14ac:dyDescent="0.15">
      <c r="A12" s="53" t="s">
        <v>128</v>
      </c>
      <c r="B12" s="74">
        <v>973226</v>
      </c>
      <c r="C12" s="5"/>
      <c r="D12" s="23"/>
    </row>
    <row r="13" spans="1:11" ht="14.25" x14ac:dyDescent="0.15">
      <c r="A13" s="53" t="s">
        <v>129</v>
      </c>
      <c r="B13" s="75">
        <v>144118</v>
      </c>
      <c r="C13" s="5"/>
      <c r="D13" s="12"/>
      <c r="E13" s="93" t="s">
        <v>142</v>
      </c>
      <c r="F13" s="94">
        <v>973226</v>
      </c>
      <c r="G13" s="93" t="s">
        <v>143</v>
      </c>
      <c r="H13" s="94">
        <v>144118</v>
      </c>
      <c r="I13" s="93" t="s">
        <v>144</v>
      </c>
      <c r="J13" s="94">
        <v>599175</v>
      </c>
    </row>
    <row r="14" spans="1:11" ht="14.25" x14ac:dyDescent="0.15">
      <c r="A14" s="53" t="s">
        <v>130</v>
      </c>
      <c r="B14" s="75">
        <v>599175</v>
      </c>
      <c r="C14" s="5"/>
      <c r="D14" s="12"/>
    </row>
    <row r="15" spans="1:11" ht="14.25" x14ac:dyDescent="0.15">
      <c r="A15" s="55" t="s">
        <v>36</v>
      </c>
      <c r="B15" s="71">
        <f>SUM(B16:B27)</f>
        <v>33017946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5403740</v>
      </c>
      <c r="C16" s="11"/>
      <c r="D16" s="12"/>
      <c r="E16" t="s">
        <v>112</v>
      </c>
      <c r="F16" s="84">
        <v>18480</v>
      </c>
      <c r="G16" s="84">
        <v>5385260</v>
      </c>
      <c r="H16" s="83"/>
    </row>
    <row r="17" spans="1:11" ht="14.25" x14ac:dyDescent="0.15">
      <c r="A17" s="54" t="s">
        <v>15</v>
      </c>
      <c r="B17" s="73">
        <v>15591771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5222515</v>
      </c>
      <c r="C18" s="11"/>
      <c r="D18" s="12"/>
      <c r="E18" t="s">
        <v>115</v>
      </c>
      <c r="F18" s="84">
        <v>13603356</v>
      </c>
      <c r="G18" s="84">
        <v>1288315</v>
      </c>
      <c r="H18" s="84">
        <v>700100</v>
      </c>
    </row>
    <row r="19" spans="1:11" ht="14.25" x14ac:dyDescent="0.15">
      <c r="A19" s="54" t="s">
        <v>16</v>
      </c>
      <c r="B19" s="73">
        <v>2022318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1531094</v>
      </c>
      <c r="C20" s="5"/>
      <c r="D20" s="12"/>
      <c r="E20" t="s">
        <v>119</v>
      </c>
      <c r="F20" s="84">
        <v>4289796</v>
      </c>
      <c r="G20" s="84">
        <v>814519</v>
      </c>
      <c r="H20" s="84">
        <v>118200</v>
      </c>
    </row>
    <row r="21" spans="1:11" ht="14.25" x14ac:dyDescent="0.15">
      <c r="A21" s="54" t="s">
        <v>103</v>
      </c>
      <c r="B21" s="73">
        <v>358598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72</v>
      </c>
      <c r="B22" s="85">
        <v>14900</v>
      </c>
      <c r="C22" s="5"/>
      <c r="D22" s="12"/>
      <c r="E22" t="s">
        <v>120</v>
      </c>
      <c r="F22" s="84">
        <v>1797080</v>
      </c>
      <c r="G22" s="84">
        <v>105538</v>
      </c>
      <c r="H22" s="84">
        <v>119700</v>
      </c>
    </row>
    <row r="23" spans="1:11" ht="14.25" x14ac:dyDescent="0.15">
      <c r="A23" s="54" t="s">
        <v>81</v>
      </c>
      <c r="B23" s="73">
        <v>413110</v>
      </c>
      <c r="C23" s="5"/>
      <c r="D23" s="12"/>
      <c r="F23" s="83" t="s">
        <v>131</v>
      </c>
      <c r="G23" s="83" t="s">
        <v>117</v>
      </c>
      <c r="H23" s="83"/>
    </row>
    <row r="24" spans="1:11" ht="14.25" x14ac:dyDescent="0.15">
      <c r="A24" s="54" t="s">
        <v>82</v>
      </c>
      <c r="B24" s="85">
        <v>92300</v>
      </c>
      <c r="C24" s="5"/>
      <c r="D24" s="12"/>
      <c r="E24" t="s">
        <v>121</v>
      </c>
      <c r="F24" s="84">
        <v>1368814</v>
      </c>
      <c r="G24" s="84">
        <v>162280</v>
      </c>
      <c r="H24" s="83"/>
    </row>
    <row r="25" spans="1:11" ht="14.25" x14ac:dyDescent="0.15">
      <c r="A25" s="54" t="s">
        <v>17</v>
      </c>
      <c r="B25" s="86">
        <v>2354600</v>
      </c>
      <c r="C25" s="5"/>
      <c r="D25" s="12"/>
      <c r="F25" s="83" t="s">
        <v>116</v>
      </c>
      <c r="G25" s="83" t="s">
        <v>117</v>
      </c>
      <c r="H25" s="83"/>
      <c r="K25" t="s">
        <v>108</v>
      </c>
    </row>
    <row r="26" spans="1:11" ht="14.25" x14ac:dyDescent="0.15">
      <c r="A26" s="54" t="s">
        <v>71</v>
      </c>
      <c r="B26" s="87">
        <v>13000</v>
      </c>
      <c r="C26" s="5"/>
      <c r="D26" s="12"/>
      <c r="E26" t="s">
        <v>122</v>
      </c>
      <c r="F26" s="84">
        <v>318424</v>
      </c>
      <c r="G26" s="84">
        <v>40174</v>
      </c>
      <c r="H26" s="83"/>
    </row>
    <row r="27" spans="1:11" ht="14.25" x14ac:dyDescent="0.15">
      <c r="A27" s="54" t="s">
        <v>79</v>
      </c>
      <c r="B27" s="85">
        <v>0</v>
      </c>
      <c r="C27" s="5"/>
      <c r="D27" s="12"/>
      <c r="F27" s="83" t="s">
        <v>131</v>
      </c>
      <c r="G27" s="83" t="s">
        <v>135</v>
      </c>
      <c r="H27" s="83" t="s">
        <v>118</v>
      </c>
    </row>
    <row r="28" spans="1:11" ht="14.25" x14ac:dyDescent="0.15">
      <c r="A28" s="55" t="s">
        <v>37</v>
      </c>
      <c r="B28" s="88">
        <v>828376</v>
      </c>
      <c r="C28" s="15" t="s">
        <v>0</v>
      </c>
      <c r="D28" s="12"/>
      <c r="E28" t="s">
        <v>123</v>
      </c>
      <c r="F28" s="84">
        <v>356572</v>
      </c>
      <c r="G28" s="84">
        <v>22938</v>
      </c>
      <c r="H28" s="84">
        <v>33600</v>
      </c>
    </row>
    <row r="29" spans="1:11" ht="14.25" x14ac:dyDescent="0.15">
      <c r="A29" s="61" t="s">
        <v>96</v>
      </c>
      <c r="B29" s="71">
        <v>0</v>
      </c>
      <c r="C29" s="15"/>
      <c r="D29" s="12"/>
    </row>
    <row r="30" spans="1:11" ht="14.25" x14ac:dyDescent="0.15">
      <c r="A30" s="61" t="s">
        <v>38</v>
      </c>
      <c r="B30" s="7"/>
      <c r="C30" s="77">
        <f>B8+B9+B15+B28+B29</f>
        <v>46824242</v>
      </c>
      <c r="D30" s="12"/>
    </row>
    <row r="31" spans="1:11" ht="11.25" customHeight="1" x14ac:dyDescent="0.15">
      <c r="A31" s="11"/>
      <c r="B31" s="14"/>
      <c r="C31" s="5"/>
      <c r="D31" s="78" t="s">
        <v>0</v>
      </c>
    </row>
    <row r="32" spans="1:11" ht="14.25" x14ac:dyDescent="0.15">
      <c r="A32" s="55" t="s">
        <v>20</v>
      </c>
      <c r="B32" s="79" t="s">
        <v>0</v>
      </c>
      <c r="C32" s="5"/>
      <c r="D32" s="25"/>
    </row>
    <row r="33" spans="1:12" ht="14.25" x14ac:dyDescent="0.15">
      <c r="A33" s="55" t="s">
        <v>39</v>
      </c>
      <c r="B33" s="71">
        <v>44213471</v>
      </c>
      <c r="C33" s="5"/>
      <c r="D33" s="12"/>
      <c r="E33" t="s">
        <v>146</v>
      </c>
      <c r="F33" s="95">
        <v>225002</v>
      </c>
      <c r="G33" s="95">
        <v>159976</v>
      </c>
      <c r="H33" s="95">
        <v>16342797</v>
      </c>
      <c r="I33" s="95">
        <v>23447684</v>
      </c>
      <c r="J33" s="95">
        <v>4038012</v>
      </c>
    </row>
    <row r="34" spans="1:12" ht="14.25" x14ac:dyDescent="0.15">
      <c r="A34" s="55" t="s">
        <v>54</v>
      </c>
      <c r="B34" s="71">
        <v>5044881</v>
      </c>
      <c r="C34" s="5"/>
      <c r="D34" s="12"/>
      <c r="E34" t="s">
        <v>147</v>
      </c>
      <c r="F34" s="96">
        <v>1</v>
      </c>
      <c r="G34" s="96">
        <v>1</v>
      </c>
      <c r="H34" s="96">
        <v>1</v>
      </c>
      <c r="I34" s="96">
        <v>1</v>
      </c>
      <c r="J34" s="96">
        <v>82438</v>
      </c>
      <c r="K34" s="96">
        <v>94536</v>
      </c>
      <c r="L34" s="96">
        <v>5047</v>
      </c>
    </row>
    <row r="35" spans="1:12" ht="14.25" x14ac:dyDescent="0.15">
      <c r="A35" s="55" t="s">
        <v>55</v>
      </c>
      <c r="B35" s="71">
        <v>1179572</v>
      </c>
      <c r="C35" s="5"/>
      <c r="D35" s="12"/>
      <c r="F35" s="96">
        <v>365715</v>
      </c>
      <c r="G35" s="96">
        <v>446005</v>
      </c>
      <c r="H35" s="96">
        <v>1028074</v>
      </c>
      <c r="I35" s="96">
        <v>529605</v>
      </c>
      <c r="J35" s="96">
        <v>513845</v>
      </c>
      <c r="K35" s="96">
        <v>851136</v>
      </c>
      <c r="L35" s="96">
        <v>1128476</v>
      </c>
    </row>
    <row r="36" spans="1:12" ht="14.25" x14ac:dyDescent="0.15">
      <c r="A36" s="55" t="s">
        <v>75</v>
      </c>
      <c r="B36" s="71">
        <v>204884</v>
      </c>
      <c r="C36" s="5"/>
      <c r="D36" s="12"/>
      <c r="E36" t="s">
        <v>148</v>
      </c>
      <c r="F36" s="94">
        <v>1</v>
      </c>
      <c r="G36" s="94">
        <v>358351</v>
      </c>
      <c r="H36" s="94">
        <v>821220</v>
      </c>
    </row>
    <row r="37" spans="1:12" ht="14.25" x14ac:dyDescent="0.15">
      <c r="A37" s="55" t="s">
        <v>40</v>
      </c>
      <c r="B37" s="71">
        <v>2556593</v>
      </c>
      <c r="C37" s="5"/>
      <c r="D37" s="12"/>
      <c r="E37" t="s">
        <v>149</v>
      </c>
      <c r="F37" s="98">
        <v>31800</v>
      </c>
      <c r="G37" s="98">
        <v>173084</v>
      </c>
    </row>
    <row r="38" spans="1:12" ht="14.25" x14ac:dyDescent="0.15">
      <c r="A38" s="55" t="s">
        <v>41</v>
      </c>
      <c r="B38" s="88">
        <v>110600</v>
      </c>
      <c r="C38" s="5"/>
      <c r="D38" s="12"/>
      <c r="E38" t="s">
        <v>150</v>
      </c>
      <c r="F38" s="94">
        <v>1</v>
      </c>
      <c r="G38" s="94">
        <v>1</v>
      </c>
      <c r="H38" s="94">
        <v>1</v>
      </c>
      <c r="I38" s="94">
        <v>1</v>
      </c>
      <c r="J38" s="94">
        <v>1</v>
      </c>
      <c r="K38" s="94">
        <v>2078860</v>
      </c>
      <c r="L38" s="94">
        <v>1</v>
      </c>
    </row>
    <row r="39" spans="1:12" ht="14.25" x14ac:dyDescent="0.15">
      <c r="A39" s="55" t="s">
        <v>42</v>
      </c>
      <c r="B39" s="88">
        <v>50000</v>
      </c>
      <c r="C39" s="11"/>
      <c r="D39" s="12"/>
      <c r="F39" s="94">
        <v>477725</v>
      </c>
      <c r="G39" s="94">
        <v>1</v>
      </c>
      <c r="H39" s="94">
        <v>1</v>
      </c>
    </row>
    <row r="40" spans="1:12" ht="14.25" x14ac:dyDescent="0.15">
      <c r="A40" s="55" t="s">
        <v>66</v>
      </c>
      <c r="B40" s="88">
        <v>165580</v>
      </c>
      <c r="C40" s="76"/>
      <c r="D40" s="12"/>
    </row>
    <row r="41" spans="1:12" ht="14.25" x14ac:dyDescent="0.15">
      <c r="A41" s="61" t="s">
        <v>43</v>
      </c>
      <c r="B41" s="80"/>
      <c r="C41" s="37">
        <f>SUM(B33:B40)</f>
        <v>53525581</v>
      </c>
      <c r="D41" s="12"/>
    </row>
    <row r="42" spans="1:12" ht="8.25" customHeight="1" x14ac:dyDescent="0.15">
      <c r="A42" s="11"/>
      <c r="B42" s="19"/>
      <c r="C42" s="5"/>
      <c r="D42" s="12"/>
    </row>
    <row r="43" spans="1:12" ht="14.25" x14ac:dyDescent="0.15">
      <c r="A43" s="58" t="s">
        <v>23</v>
      </c>
      <c r="B43" s="80"/>
      <c r="C43" s="10"/>
      <c r="D43" s="38">
        <f>C30+C41</f>
        <v>100349823</v>
      </c>
    </row>
    <row r="44" spans="1:12" ht="11.25" customHeight="1" x14ac:dyDescent="0.15">
      <c r="A44" s="9"/>
      <c r="B44" s="62"/>
      <c r="C44" s="62"/>
      <c r="D44" s="62"/>
    </row>
    <row r="45" spans="1:12" ht="14.25" x14ac:dyDescent="0.15">
      <c r="A45" s="60" t="s">
        <v>18</v>
      </c>
      <c r="B45" s="79"/>
      <c r="C45" s="5"/>
      <c r="D45" s="12"/>
    </row>
    <row r="46" spans="1:12" ht="14.25" x14ac:dyDescent="0.15">
      <c r="A46" s="55" t="s">
        <v>21</v>
      </c>
      <c r="B46" s="79"/>
      <c r="C46" s="5"/>
      <c r="D46" s="23"/>
    </row>
    <row r="47" spans="1:12" ht="14.25" x14ac:dyDescent="0.15">
      <c r="A47" s="55" t="s">
        <v>32</v>
      </c>
      <c r="B47" s="88">
        <v>634399</v>
      </c>
      <c r="C47" s="5"/>
      <c r="D47" s="78"/>
    </row>
    <row r="48" spans="1:12" ht="14.25" x14ac:dyDescent="0.15">
      <c r="A48" s="55" t="s">
        <v>33</v>
      </c>
      <c r="B48" s="71">
        <v>0</v>
      </c>
      <c r="C48" s="5"/>
      <c r="D48" s="12"/>
    </row>
    <row r="49" spans="1:8" ht="6.75" customHeight="1" x14ac:dyDescent="0.15">
      <c r="A49" s="59"/>
      <c r="B49" s="79"/>
      <c r="C49" s="11"/>
      <c r="D49" s="12"/>
    </row>
    <row r="50" spans="1:8" ht="14.25" x14ac:dyDescent="0.15">
      <c r="A50" s="55" t="s">
        <v>31</v>
      </c>
      <c r="B50" s="80"/>
      <c r="C50" s="37">
        <f>B47+B48</f>
        <v>634399</v>
      </c>
      <c r="D50" s="23"/>
      <c r="E50" t="s">
        <v>108</v>
      </c>
    </row>
    <row r="51" spans="1:8" ht="11.25" customHeight="1" x14ac:dyDescent="0.15">
      <c r="A51" s="3"/>
      <c r="B51" s="14"/>
      <c r="C51" s="34"/>
      <c r="D51" s="25"/>
    </row>
    <row r="52" spans="1:8" ht="14.25" x14ac:dyDescent="0.15">
      <c r="A52" s="55" t="s">
        <v>22</v>
      </c>
      <c r="B52" s="19"/>
      <c r="C52" s="81"/>
      <c r="D52" s="23"/>
    </row>
    <row r="53" spans="1:8" ht="14.25" x14ac:dyDescent="0.15">
      <c r="A53" s="55" t="s">
        <v>30</v>
      </c>
      <c r="B53" s="88">
        <v>2160000</v>
      </c>
      <c r="C53" s="11"/>
      <c r="D53" s="25"/>
    </row>
    <row r="54" spans="1:8" ht="14.25" x14ac:dyDescent="0.15">
      <c r="A54" s="9"/>
      <c r="B54" s="19"/>
      <c r="C54" s="11"/>
      <c r="D54" s="25"/>
      <c r="G54" t="s">
        <v>108</v>
      </c>
    </row>
    <row r="55" spans="1:8" ht="14.25" x14ac:dyDescent="0.15">
      <c r="A55" s="61" t="s">
        <v>29</v>
      </c>
      <c r="B55" s="10"/>
      <c r="C55" s="37">
        <f>B53</f>
        <v>2160000</v>
      </c>
      <c r="D55" s="23"/>
    </row>
    <row r="56" spans="1:8" ht="6.75" customHeight="1" x14ac:dyDescent="0.15">
      <c r="A56" s="3"/>
      <c r="B56" s="19"/>
      <c r="C56" s="11"/>
      <c r="D56" s="23"/>
    </row>
    <row r="57" spans="1:8" ht="14.25" x14ac:dyDescent="0.15">
      <c r="A57" s="58" t="s">
        <v>24</v>
      </c>
      <c r="B57" s="40"/>
      <c r="C57" s="40"/>
      <c r="D57" s="38">
        <f>C50+C55</f>
        <v>2794399</v>
      </c>
    </row>
    <row r="58" spans="1:8" ht="11.25" customHeight="1" x14ac:dyDescent="0.15">
      <c r="A58" s="3"/>
      <c r="B58" s="19"/>
      <c r="C58" s="11"/>
      <c r="D58" s="23"/>
    </row>
    <row r="59" spans="1:8" ht="14.25" x14ac:dyDescent="0.15">
      <c r="A59" s="55" t="s">
        <v>3</v>
      </c>
      <c r="B59" s="30"/>
      <c r="C59" s="35"/>
      <c r="D59" s="31"/>
    </row>
    <row r="60" spans="1:8" ht="15" customHeight="1" x14ac:dyDescent="0.15">
      <c r="A60" s="55" t="s">
        <v>27</v>
      </c>
      <c r="B60" s="10"/>
      <c r="C60" s="39"/>
      <c r="D60" s="39">
        <v>0</v>
      </c>
      <c r="H60" t="s">
        <v>0</v>
      </c>
    </row>
    <row r="61" spans="1:8" ht="15.75" customHeight="1" x14ac:dyDescent="0.15">
      <c r="A61" s="55" t="s">
        <v>28</v>
      </c>
      <c r="B61" s="47"/>
      <c r="C61" s="9"/>
      <c r="D61" s="43">
        <f>D43-D57</f>
        <v>97555424</v>
      </c>
      <c r="F61" s="90" t="s">
        <v>124</v>
      </c>
    </row>
    <row r="62" spans="1:8" ht="15.75" customHeight="1" x14ac:dyDescent="0.15">
      <c r="A62" s="59" t="s">
        <v>11</v>
      </c>
      <c r="B62" s="9"/>
      <c r="D62" s="70">
        <f>D63-'4.3月'!D63</f>
        <v>747118</v>
      </c>
      <c r="F62" s="92">
        <f>D62-[10]令和4年度!$P$74</f>
        <v>5953915</v>
      </c>
    </row>
    <row r="63" spans="1:8" ht="16.5" customHeight="1" x14ac:dyDescent="0.15">
      <c r="A63" s="55" t="s">
        <v>26</v>
      </c>
      <c r="B63" s="22"/>
      <c r="C63" s="48"/>
      <c r="D63" s="44">
        <f>D61</f>
        <v>97555424</v>
      </c>
      <c r="F63" s="91"/>
    </row>
    <row r="64" spans="1:8" ht="14.25" x14ac:dyDescent="0.15">
      <c r="A64" s="55" t="s">
        <v>25</v>
      </c>
      <c r="B64" s="22"/>
      <c r="C64" s="9"/>
      <c r="D64" s="69">
        <f>D57+D63</f>
        <v>100349823</v>
      </c>
      <c r="F64" s="68"/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B6067-0BD2-4DC9-9E9C-46AD75F34836}">
  <dimension ref="A1:L108"/>
  <sheetViews>
    <sheetView topLeftCell="A49" zoomScaleNormal="100" workbookViewId="0">
      <selection activeCell="C9" sqref="C9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160</v>
      </c>
      <c r="B1" s="122"/>
      <c r="C1" s="122"/>
      <c r="D1" s="122"/>
    </row>
    <row r="2" spans="1:11" ht="17.25" customHeight="1" x14ac:dyDescent="0.15">
      <c r="A2" s="116" t="s">
        <v>162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14975618</v>
      </c>
      <c r="C9" s="5"/>
      <c r="D9" s="12"/>
      <c r="F9" s="84">
        <f>'[7]0138359'!$AJ$37</f>
        <v>5166363</v>
      </c>
      <c r="G9" s="84">
        <f>'[7]0138642（居宅）'!$AJ$37</f>
        <v>44978</v>
      </c>
      <c r="H9" s="84">
        <f>'[7]0138655（通所）'!$AJ$37</f>
        <v>5783</v>
      </c>
      <c r="I9" s="84">
        <f>'[7]0156560（新庄）'!$AJ$37</f>
        <v>150151</v>
      </c>
      <c r="J9" s="84">
        <f>'[7]0158313（ゆけむり）'!$AJ$37</f>
        <v>266576</v>
      </c>
      <c r="K9" s="84">
        <f>'[7]0139101（ちゃれんじ）'!$AJ$37</f>
        <v>4614071</v>
      </c>
    </row>
    <row r="10" spans="1:11" ht="14.25" x14ac:dyDescent="0.15">
      <c r="A10" s="53" t="s">
        <v>102</v>
      </c>
      <c r="B10" s="73">
        <v>12373227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777880</v>
      </c>
      <c r="C11" s="5"/>
      <c r="D11" s="23"/>
      <c r="F11" s="84">
        <f>'[7]2253865（助け合い）'!$AJ$37</f>
        <v>30200</v>
      </c>
      <c r="G11" s="89">
        <f>'[7]2253871（通所）'!$AJ$37</f>
        <v>919800</v>
      </c>
      <c r="H11" s="84">
        <f>'[7]2254321（ミニ）'!$AJ$37</f>
        <v>0</v>
      </c>
    </row>
    <row r="12" spans="1:11" ht="14.25" x14ac:dyDescent="0.15">
      <c r="A12" s="53" t="s">
        <v>128</v>
      </c>
      <c r="B12" s="74">
        <v>224324</v>
      </c>
      <c r="C12" s="5"/>
      <c r="D12" s="23"/>
    </row>
    <row r="13" spans="1:11" ht="14.25" x14ac:dyDescent="0.15">
      <c r="A13" s="53" t="s">
        <v>129</v>
      </c>
      <c r="B13" s="75">
        <v>825654</v>
      </c>
      <c r="C13" s="5"/>
      <c r="D13" s="12"/>
      <c r="E13" s="93" t="s">
        <v>142</v>
      </c>
      <c r="F13" s="94">
        <f>[7]JA0034628!$AJ$37</f>
        <v>992695</v>
      </c>
      <c r="G13" s="93" t="s">
        <v>143</v>
      </c>
      <c r="H13" s="94">
        <f>[7]ゆうちょ6473091!$AJ$37</f>
        <v>848315</v>
      </c>
      <c r="I13" s="93" t="s">
        <v>144</v>
      </c>
      <c r="J13" s="94">
        <f>[7]しま信0116975!$AJ$37</f>
        <v>592085</v>
      </c>
    </row>
    <row r="14" spans="1:11" ht="14.25" x14ac:dyDescent="0.15">
      <c r="A14" s="53" t="s">
        <v>130</v>
      </c>
      <c r="B14" s="75">
        <v>774533</v>
      </c>
      <c r="C14" s="5"/>
      <c r="D14" s="12"/>
    </row>
    <row r="15" spans="1:11" ht="14.25" x14ac:dyDescent="0.15">
      <c r="A15" s="55" t="s">
        <v>36</v>
      </c>
      <c r="B15" s="71">
        <v>31899582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5365080</v>
      </c>
      <c r="C16" s="11"/>
      <c r="D16" s="12"/>
      <c r="E16" t="s">
        <v>112</v>
      </c>
      <c r="F16" s="84">
        <f>'[8]未収金（認定調査委託料）'!$AJ$37</f>
        <v>15400</v>
      </c>
      <c r="G16" s="84">
        <f>'[8]未収金（居宅支援介護報酬）'!$AJ$37</f>
        <v>5078080</v>
      </c>
      <c r="H16" s="83"/>
    </row>
    <row r="17" spans="1:11" ht="14.25" x14ac:dyDescent="0.15">
      <c r="A17" s="54" t="s">
        <v>15</v>
      </c>
      <c r="B17" s="73">
        <v>15312064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5216338</v>
      </c>
      <c r="C18" s="11"/>
      <c r="D18" s="12"/>
      <c r="E18" t="s">
        <v>115</v>
      </c>
      <c r="F18" s="84">
        <f>'[8]未収金（通所保険請求）'!$AJ$37</f>
        <v>11735816</v>
      </c>
      <c r="G18" s="84">
        <f>'[8]未収金（通所利用者負担）'!$AJ$37</f>
        <v>1365938</v>
      </c>
      <c r="H18" s="84">
        <f>'[8]未収金（通所食費）'!$AJ$37</f>
        <v>648500</v>
      </c>
    </row>
    <row r="19" spans="1:11" ht="14.25" x14ac:dyDescent="0.15">
      <c r="A19" s="54" t="s">
        <v>16</v>
      </c>
      <c r="B19" s="73">
        <v>2027404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1517190</v>
      </c>
      <c r="C20" s="5"/>
      <c r="D20" s="12"/>
      <c r="E20" t="s">
        <v>119</v>
      </c>
      <c r="F20" s="84">
        <f>'[8]未収金（ゆけむり保険請求）'!$AJ$37</f>
        <v>3624471</v>
      </c>
      <c r="G20" s="84">
        <f>'[8]未収金（ゆけむり利用者負担）'!$AJ$37</f>
        <v>527342</v>
      </c>
      <c r="H20" s="84">
        <f>'[8]未収金（ゆけむり食費）'!$AJ$37</f>
        <v>113400</v>
      </c>
    </row>
    <row r="21" spans="1:11" ht="14.25" x14ac:dyDescent="0.15">
      <c r="A21" s="54" t="s">
        <v>103</v>
      </c>
      <c r="B21" s="73">
        <v>355764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72</v>
      </c>
      <c r="B22" s="85">
        <v>11900</v>
      </c>
      <c r="C22" s="5"/>
      <c r="D22" s="12"/>
      <c r="E22" t="s">
        <v>120</v>
      </c>
      <c r="F22" s="84">
        <f>'[8]未収金（予防通所保険請求）'!$AJ$37</f>
        <v>1811990</v>
      </c>
      <c r="G22" s="84">
        <f>'[8]未収金（予防通所利用者負担）'!$AJ$37</f>
        <v>120098</v>
      </c>
      <c r="H22" s="84">
        <f>'[8]未収金（予防通所食費）'!$AJ$37</f>
        <v>126500</v>
      </c>
    </row>
    <row r="23" spans="1:11" ht="14.25" x14ac:dyDescent="0.15">
      <c r="A23" s="54" t="s">
        <v>81</v>
      </c>
      <c r="B23" s="73">
        <v>418642</v>
      </c>
      <c r="C23" s="5"/>
      <c r="D23" s="12"/>
      <c r="F23" s="83" t="s">
        <v>131</v>
      </c>
      <c r="G23" s="83" t="s">
        <v>117</v>
      </c>
      <c r="H23" s="83"/>
    </row>
    <row r="24" spans="1:11" ht="14.25" x14ac:dyDescent="0.15">
      <c r="A24" s="54" t="s">
        <v>82</v>
      </c>
      <c r="B24" s="85">
        <v>92300</v>
      </c>
      <c r="C24" s="5"/>
      <c r="D24" s="12"/>
      <c r="E24" t="s">
        <v>121</v>
      </c>
      <c r="F24" s="84">
        <f>'[8]未収金（処遇改善保険請求）'!$AJ$37</f>
        <v>1190257</v>
      </c>
      <c r="G24" s="84">
        <f>'[8]未収金（処遇改善利用者負担）'!$AJ$37</f>
        <v>137834</v>
      </c>
      <c r="H24" s="83"/>
    </row>
    <row r="25" spans="1:11" ht="14.25" x14ac:dyDescent="0.15">
      <c r="A25" s="54" t="s">
        <v>17</v>
      </c>
      <c r="B25" s="86">
        <v>1566400</v>
      </c>
      <c r="C25" s="5"/>
      <c r="D25" s="12"/>
      <c r="F25" s="83" t="s">
        <v>116</v>
      </c>
      <c r="G25" s="83" t="s">
        <v>117</v>
      </c>
      <c r="H25" s="83"/>
      <c r="K25" t="s">
        <v>108</v>
      </c>
    </row>
    <row r="26" spans="1:11" ht="14.25" x14ac:dyDescent="0.15">
      <c r="A26" s="54" t="s">
        <v>71</v>
      </c>
      <c r="B26" s="87">
        <v>16500</v>
      </c>
      <c r="C26" s="5"/>
      <c r="D26" s="12"/>
      <c r="E26" t="s">
        <v>122</v>
      </c>
      <c r="F26" s="84">
        <f>'[8]未収金（特定処遇改善保険請求）'!$AJ$37</f>
        <v>275563</v>
      </c>
      <c r="G26" s="84">
        <f>'[8]未収金（特定処遇改善利用者負担）'!$AJ$37</f>
        <v>32435</v>
      </c>
      <c r="H26" s="83"/>
    </row>
    <row r="27" spans="1:11" ht="14.25" x14ac:dyDescent="0.15">
      <c r="A27" s="54" t="s">
        <v>79</v>
      </c>
      <c r="B27" s="85">
        <v>0</v>
      </c>
      <c r="C27" s="5"/>
      <c r="D27" s="12"/>
      <c r="F27" s="83" t="s">
        <v>131</v>
      </c>
      <c r="G27" s="83" t="s">
        <v>135</v>
      </c>
      <c r="H27" s="83" t="s">
        <v>118</v>
      </c>
    </row>
    <row r="28" spans="1:11" ht="14.25" x14ac:dyDescent="0.15">
      <c r="A28" s="55" t="s">
        <v>37</v>
      </c>
      <c r="B28" s="88">
        <v>828376</v>
      </c>
      <c r="C28" s="15" t="s">
        <v>0</v>
      </c>
      <c r="D28" s="12"/>
      <c r="E28" t="s">
        <v>123</v>
      </c>
      <c r="F28" s="84">
        <f>'[8]未収金（サロン保険請求）'!$AJ$37</f>
        <v>311572</v>
      </c>
      <c r="G28" s="84">
        <f>'[8]未収金（サロン利用者負担）'!$AJ$37</f>
        <v>21320</v>
      </c>
      <c r="H28" s="84">
        <f>'[8]未収金（サロン食費）'!$AJ$37</f>
        <v>22200</v>
      </c>
    </row>
    <row r="29" spans="1:11" ht="14.25" x14ac:dyDescent="0.15">
      <c r="A29" s="61" t="s">
        <v>96</v>
      </c>
      <c r="B29" s="71">
        <v>0</v>
      </c>
      <c r="C29" s="15"/>
      <c r="D29" s="12"/>
    </row>
    <row r="30" spans="1:11" ht="14.25" x14ac:dyDescent="0.15">
      <c r="A30" s="61" t="s">
        <v>38</v>
      </c>
      <c r="B30" s="7"/>
      <c r="C30" s="77">
        <v>47705961</v>
      </c>
      <c r="D30" s="12"/>
    </row>
    <row r="31" spans="1:11" ht="11.25" customHeight="1" x14ac:dyDescent="0.15">
      <c r="A31" s="11"/>
      <c r="B31" s="14"/>
      <c r="C31" s="5"/>
      <c r="D31" s="78" t="s">
        <v>0</v>
      </c>
    </row>
    <row r="32" spans="1:11" ht="14.25" x14ac:dyDescent="0.15">
      <c r="A32" s="55" t="s">
        <v>20</v>
      </c>
      <c r="B32" s="79" t="s">
        <v>0</v>
      </c>
      <c r="C32" s="5"/>
      <c r="D32" s="25"/>
    </row>
    <row r="33" spans="1:12" ht="14.25" x14ac:dyDescent="0.15">
      <c r="A33" s="55" t="s">
        <v>39</v>
      </c>
      <c r="B33" s="71">
        <v>44213471</v>
      </c>
      <c r="C33" s="5"/>
      <c r="D33" s="12"/>
      <c r="E33" t="s">
        <v>146</v>
      </c>
      <c r="F33" s="95">
        <f>'[9]建物（ほっと本体）'!$AJ$5</f>
        <v>225002</v>
      </c>
      <c r="G33" s="95">
        <f>'[9]建物（ほっと2階）'!$AJ$5</f>
        <v>159976</v>
      </c>
      <c r="H33" s="95">
        <f>'[9]建物（新庄）'!$AJ$5</f>
        <v>16342797</v>
      </c>
      <c r="I33" s="95">
        <f>'[9]建物（ゆけむり）'!$AJ$5</f>
        <v>23447684</v>
      </c>
      <c r="J33" s="95">
        <f>'[9]建物（ほっと浴室）'!$AJ$5</f>
        <v>4038012</v>
      </c>
    </row>
    <row r="34" spans="1:12" ht="14.25" x14ac:dyDescent="0.15">
      <c r="A34" s="55" t="s">
        <v>54</v>
      </c>
      <c r="B34" s="71">
        <v>5044881</v>
      </c>
      <c r="C34" s="5"/>
      <c r="D34" s="12"/>
      <c r="E34" t="s">
        <v>147</v>
      </c>
      <c r="F34" s="96">
        <f>'[9]附属建物（厨房）'!$AJ$5</f>
        <v>1</v>
      </c>
      <c r="G34" s="96">
        <f>'[9]附属建物（浴室）'!$AJ$5</f>
        <v>1</v>
      </c>
      <c r="H34" s="96">
        <f>'[9]附属建物（便所）'!$AJ$5</f>
        <v>1</v>
      </c>
      <c r="I34" s="96">
        <f>'[9]附属建物（廊下）'!$AJ$5</f>
        <v>1</v>
      </c>
      <c r="J34" s="96">
        <f>'[9]附属設備（電気設備その他）'!$AJ$5</f>
        <v>82438</v>
      </c>
      <c r="K34" s="96">
        <f>'[9]附属設備（給排水衛生設備）'!$AJ$5</f>
        <v>94536</v>
      </c>
      <c r="L34" s="96">
        <f>'[9]附属設備（消火排煙設備）'!$AJ$5</f>
        <v>5047</v>
      </c>
    </row>
    <row r="35" spans="1:12" ht="14.25" x14ac:dyDescent="0.15">
      <c r="A35" s="55" t="s">
        <v>55</v>
      </c>
      <c r="B35" s="71">
        <v>1179572</v>
      </c>
      <c r="C35" s="5"/>
      <c r="D35" s="12"/>
      <c r="F35" s="96">
        <f>'[9]附属設備（新庄電気設備）'!$AJ$5</f>
        <v>365715</v>
      </c>
      <c r="G35" s="96">
        <f>'[9]附属設備（新庄給排水設備）'!$AJ$5</f>
        <v>446005</v>
      </c>
      <c r="H35" s="96">
        <f>'[9]附属設備（電気設備）'!$AJ$5</f>
        <v>1028074</v>
      </c>
      <c r="I35" s="96">
        <f>'[9]附属設備（給排水設備）'!$AJ$5</f>
        <v>529605</v>
      </c>
      <c r="J35" s="96">
        <f>'[9]附属設備（新庄浴槽改装ガス給湯設備）'!$AJ$6</f>
        <v>513845</v>
      </c>
      <c r="K35" s="96">
        <f>'[9]附属設備（ほっと浴室移設電気工事）'!$AJ$5</f>
        <v>851136</v>
      </c>
      <c r="L35" s="96">
        <f>'[9]附属設備（ほっと浴室移設給排水設備）'!$AJ$5</f>
        <v>1128476</v>
      </c>
    </row>
    <row r="36" spans="1:12" ht="14.25" x14ac:dyDescent="0.15">
      <c r="A36" s="55" t="s">
        <v>75</v>
      </c>
      <c r="B36" s="71">
        <v>204884</v>
      </c>
      <c r="C36" s="5"/>
      <c r="D36" s="12"/>
      <c r="E36" t="s">
        <v>148</v>
      </c>
      <c r="F36" s="94">
        <f>'[9]構築物（舗装工事）'!$AJ$5</f>
        <v>1</v>
      </c>
      <c r="G36" s="94">
        <f>'[9]構築物（ゆけむり）'!$AJ$5</f>
        <v>358351</v>
      </c>
      <c r="H36" s="94">
        <f>'[9]構築物（新庄駐車場舗装）'!$AJ$5</f>
        <v>821220</v>
      </c>
    </row>
    <row r="37" spans="1:12" ht="14.25" x14ac:dyDescent="0.15">
      <c r="A37" s="55" t="s">
        <v>40</v>
      </c>
      <c r="B37" s="71">
        <v>2556593</v>
      </c>
      <c r="C37" s="5"/>
      <c r="D37" s="12"/>
      <c r="E37" t="s">
        <v>149</v>
      </c>
      <c r="F37" s="98">
        <f>'[9]器具備品（新庄玄関エアコン）'!$AJ$5</f>
        <v>31800</v>
      </c>
      <c r="G37" s="98">
        <f>'[9]器具備品（新庄事務室エアコン）'!$AJ$5</f>
        <v>173084</v>
      </c>
    </row>
    <row r="38" spans="1:12" ht="14.25" x14ac:dyDescent="0.15">
      <c r="A38" s="55" t="s">
        <v>41</v>
      </c>
      <c r="B38" s="88">
        <v>110600</v>
      </c>
      <c r="C38" s="5"/>
      <c r="D38" s="12"/>
      <c r="E38" t="s">
        <v>150</v>
      </c>
      <c r="F38" s="94">
        <f>'[9]車両（タウンボックス）'!$AJ$5</f>
        <v>1</v>
      </c>
      <c r="G38" s="94">
        <f>'[9]車両（はとバン）'!$AJ$5</f>
        <v>1</v>
      </c>
      <c r="H38" s="94">
        <f>'[9]車両（ノア）'!$AJ$5</f>
        <v>1</v>
      </c>
      <c r="I38" s="94">
        <f>'[9]車両（セレナ）'!$AJ$5</f>
        <v>1</v>
      </c>
      <c r="J38" s="94">
        <f>'[9]車両（アトレー１）'!$AJ$5</f>
        <v>1</v>
      </c>
      <c r="K38" s="94">
        <f>'[9]車両（アトレー４）'!$AJ$5</f>
        <v>2078860</v>
      </c>
      <c r="L38" s="94">
        <f>'[9]車両（キャラ３）'!$AJ$5</f>
        <v>0</v>
      </c>
    </row>
    <row r="39" spans="1:12" ht="14.25" x14ac:dyDescent="0.15">
      <c r="A39" s="55" t="s">
        <v>42</v>
      </c>
      <c r="B39" s="88">
        <v>50000</v>
      </c>
      <c r="C39" s="11"/>
      <c r="D39" s="12"/>
      <c r="F39" s="94">
        <f>'[9]車両（フリード２）'!$AJ$5</f>
        <v>477725</v>
      </c>
      <c r="G39" s="94">
        <f>'[9]車両（セブン２）'!$AJ$5</f>
        <v>1</v>
      </c>
      <c r="H39" s="94">
        <f>'[9]車両（EK３）'!$AJ$5</f>
        <v>1</v>
      </c>
    </row>
    <row r="40" spans="1:12" ht="14.25" x14ac:dyDescent="0.15">
      <c r="A40" s="55" t="s">
        <v>66</v>
      </c>
      <c r="B40" s="88">
        <v>165580</v>
      </c>
      <c r="C40" s="76"/>
      <c r="D40" s="12"/>
    </row>
    <row r="41" spans="1:12" ht="14.25" x14ac:dyDescent="0.15">
      <c r="A41" s="61" t="s">
        <v>43</v>
      </c>
      <c r="B41" s="80"/>
      <c r="C41" s="37">
        <v>53525581</v>
      </c>
      <c r="D41" s="12"/>
    </row>
    <row r="42" spans="1:12" ht="8.25" customHeight="1" x14ac:dyDescent="0.15">
      <c r="A42" s="11"/>
      <c r="B42" s="19"/>
      <c r="C42" s="5"/>
      <c r="D42" s="12"/>
    </row>
    <row r="43" spans="1:12" ht="14.25" x14ac:dyDescent="0.15">
      <c r="A43" s="58" t="s">
        <v>23</v>
      </c>
      <c r="B43" s="80"/>
      <c r="C43" s="10"/>
      <c r="D43" s="38">
        <v>101231542</v>
      </c>
    </row>
    <row r="44" spans="1:12" ht="11.25" customHeight="1" x14ac:dyDescent="0.15">
      <c r="A44" s="9"/>
      <c r="B44" s="62"/>
      <c r="C44" s="62"/>
      <c r="D44" s="62"/>
    </row>
    <row r="45" spans="1:12" ht="14.25" x14ac:dyDescent="0.15">
      <c r="A45" s="60" t="s">
        <v>18</v>
      </c>
      <c r="B45" s="79"/>
      <c r="C45" s="5"/>
      <c r="D45" s="12"/>
    </row>
    <row r="46" spans="1:12" ht="14.25" x14ac:dyDescent="0.15">
      <c r="A46" s="55" t="s">
        <v>21</v>
      </c>
      <c r="B46" s="79"/>
      <c r="C46" s="5"/>
      <c r="D46" s="23"/>
    </row>
    <row r="47" spans="1:12" ht="14.25" x14ac:dyDescent="0.15">
      <c r="A47" s="55" t="s">
        <v>32</v>
      </c>
      <c r="B47" s="88">
        <v>289211</v>
      </c>
      <c r="C47" s="5"/>
      <c r="D47" s="78"/>
    </row>
    <row r="48" spans="1:12" ht="14.25" x14ac:dyDescent="0.15">
      <c r="A48" s="55" t="s">
        <v>33</v>
      </c>
      <c r="B48" s="71">
        <v>0</v>
      </c>
      <c r="C48" s="5"/>
      <c r="D48" s="12"/>
    </row>
    <row r="49" spans="1:8" ht="6.75" customHeight="1" x14ac:dyDescent="0.15">
      <c r="A49" s="59"/>
      <c r="B49" s="79"/>
      <c r="C49" s="11"/>
      <c r="D49" s="12"/>
    </row>
    <row r="50" spans="1:8" ht="14.25" x14ac:dyDescent="0.15">
      <c r="A50" s="55" t="s">
        <v>31</v>
      </c>
      <c r="B50" s="80"/>
      <c r="C50" s="37">
        <v>289211</v>
      </c>
      <c r="D50" s="23"/>
      <c r="E50" t="s">
        <v>108</v>
      </c>
    </row>
    <row r="51" spans="1:8" ht="11.25" customHeight="1" x14ac:dyDescent="0.15">
      <c r="A51" s="3"/>
      <c r="B51" s="14"/>
      <c r="C51" s="34"/>
      <c r="D51" s="25"/>
    </row>
    <row r="52" spans="1:8" ht="14.25" x14ac:dyDescent="0.15">
      <c r="A52" s="55" t="s">
        <v>22</v>
      </c>
      <c r="B52" s="19"/>
      <c r="C52" s="81"/>
      <c r="D52" s="23"/>
    </row>
    <row r="53" spans="1:8" ht="14.25" x14ac:dyDescent="0.15">
      <c r="A53" s="55" t="s">
        <v>30</v>
      </c>
      <c r="B53" s="88">
        <v>1880000</v>
      </c>
      <c r="C53" s="11"/>
      <c r="D53" s="25"/>
    </row>
    <row r="54" spans="1:8" ht="14.25" x14ac:dyDescent="0.15">
      <c r="A54" s="9"/>
      <c r="B54" s="19"/>
      <c r="C54" s="11"/>
      <c r="D54" s="25"/>
      <c r="G54" t="s">
        <v>108</v>
      </c>
    </row>
    <row r="55" spans="1:8" ht="14.25" x14ac:dyDescent="0.15">
      <c r="A55" s="61" t="s">
        <v>29</v>
      </c>
      <c r="B55" s="10"/>
      <c r="C55" s="37">
        <v>1880000</v>
      </c>
      <c r="D55" s="23"/>
    </row>
    <row r="56" spans="1:8" ht="6.75" customHeight="1" x14ac:dyDescent="0.15">
      <c r="A56" s="3"/>
      <c r="B56" s="19"/>
      <c r="C56" s="11"/>
      <c r="D56" s="23"/>
    </row>
    <row r="57" spans="1:8" ht="14.25" x14ac:dyDescent="0.15">
      <c r="A57" s="58" t="s">
        <v>24</v>
      </c>
      <c r="B57" s="40"/>
      <c r="C57" s="40"/>
      <c r="D57" s="38">
        <v>2169211</v>
      </c>
    </row>
    <row r="58" spans="1:8" ht="11.25" customHeight="1" x14ac:dyDescent="0.15">
      <c r="A58" s="3"/>
      <c r="B58" s="19"/>
      <c r="C58" s="11"/>
      <c r="D58" s="23"/>
    </row>
    <row r="59" spans="1:8" ht="14.25" x14ac:dyDescent="0.15">
      <c r="A59" s="55" t="s">
        <v>3</v>
      </c>
      <c r="B59" s="30"/>
      <c r="C59" s="35"/>
      <c r="D59" s="31"/>
    </row>
    <row r="60" spans="1:8" ht="15" customHeight="1" x14ac:dyDescent="0.15">
      <c r="A60" s="55" t="s">
        <v>27</v>
      </c>
      <c r="B60" s="10"/>
      <c r="C60" s="39"/>
      <c r="D60" s="39">
        <v>0</v>
      </c>
      <c r="H60" t="s">
        <v>0</v>
      </c>
    </row>
    <row r="61" spans="1:8" ht="15.75" customHeight="1" x14ac:dyDescent="0.15">
      <c r="A61" s="55" t="s">
        <v>28</v>
      </c>
      <c r="B61" s="47"/>
      <c r="C61" s="9"/>
      <c r="D61" s="43">
        <v>99062331</v>
      </c>
      <c r="F61" s="90" t="s">
        <v>124</v>
      </c>
    </row>
    <row r="62" spans="1:8" ht="15.75" customHeight="1" x14ac:dyDescent="0.15">
      <c r="A62" s="59" t="s">
        <v>11</v>
      </c>
      <c r="B62" s="9"/>
      <c r="D62" s="70">
        <v>2254025</v>
      </c>
      <c r="F62" s="92">
        <f>D62-[10]令和4年度!$P$74</f>
        <v>7460822</v>
      </c>
    </row>
    <row r="63" spans="1:8" ht="16.5" customHeight="1" x14ac:dyDescent="0.15">
      <c r="A63" s="55" t="s">
        <v>26</v>
      </c>
      <c r="B63" s="22"/>
      <c r="C63" s="48"/>
      <c r="D63" s="44">
        <v>99062331</v>
      </c>
      <c r="F63" s="91"/>
    </row>
    <row r="64" spans="1:8" ht="14.25" x14ac:dyDescent="0.15">
      <c r="A64" s="55" t="s">
        <v>25</v>
      </c>
      <c r="B64" s="22"/>
      <c r="C64" s="9"/>
      <c r="D64" s="69">
        <v>101231542</v>
      </c>
      <c r="F64" s="68"/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CC043-3CAA-4028-80E0-8DE4B411F01F}">
  <dimension ref="A1:G102"/>
  <sheetViews>
    <sheetView topLeftCell="A40" zoomScaleNormal="100" workbookViewId="0">
      <selection activeCell="B46" sqref="B46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</cols>
  <sheetData>
    <row r="1" spans="1:7" ht="17.25" x14ac:dyDescent="0.2">
      <c r="A1" s="1" t="s">
        <v>68</v>
      </c>
      <c r="B1" s="1"/>
    </row>
    <row r="2" spans="1:7" ht="17.25" customHeight="1" x14ac:dyDescent="0.15">
      <c r="A2" s="111" t="s">
        <v>69</v>
      </c>
      <c r="B2" s="111"/>
      <c r="C2" s="111"/>
      <c r="D2" s="111"/>
    </row>
    <row r="3" spans="1:7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7" ht="15" customHeight="1" x14ac:dyDescent="0.15">
      <c r="C4" s="115" t="s">
        <v>49</v>
      </c>
      <c r="D4" s="115"/>
      <c r="F4" s="46"/>
    </row>
    <row r="5" spans="1:7" ht="17.25" x14ac:dyDescent="0.2">
      <c r="A5" s="56" t="s">
        <v>5</v>
      </c>
      <c r="B5" s="50"/>
      <c r="C5" s="49" t="s">
        <v>4</v>
      </c>
      <c r="D5" s="49"/>
    </row>
    <row r="6" spans="1:7" ht="14.25" x14ac:dyDescent="0.15">
      <c r="A6" s="55" t="s">
        <v>2</v>
      </c>
      <c r="B6" s="24"/>
      <c r="C6" s="4"/>
      <c r="D6" s="28"/>
    </row>
    <row r="7" spans="1:7" ht="14.25" x14ac:dyDescent="0.15">
      <c r="A7" s="55" t="s">
        <v>19</v>
      </c>
      <c r="B7" s="14"/>
      <c r="C7" s="5"/>
      <c r="D7" s="12"/>
    </row>
    <row r="8" spans="1:7" ht="14.25" x14ac:dyDescent="0.15">
      <c r="A8" s="55" t="s">
        <v>34</v>
      </c>
      <c r="B8" s="51">
        <v>2445</v>
      </c>
      <c r="C8" s="5"/>
      <c r="D8" s="12"/>
    </row>
    <row r="9" spans="1:7" ht="14.25" x14ac:dyDescent="0.15">
      <c r="A9" s="55" t="s">
        <v>35</v>
      </c>
      <c r="B9" s="27">
        <f>SUM(B10:B14)</f>
        <v>18831750</v>
      </c>
      <c r="C9" s="5"/>
      <c r="D9" s="12"/>
    </row>
    <row r="10" spans="1:7" ht="14.25" x14ac:dyDescent="0.15">
      <c r="A10" s="53" t="s">
        <v>13</v>
      </c>
      <c r="B10" s="67">
        <f>13844128+49653+31008+389190+180607+400458</f>
        <v>14895044</v>
      </c>
      <c r="C10" s="5"/>
      <c r="D10" s="23"/>
    </row>
    <row r="11" spans="1:7" ht="14.25" x14ac:dyDescent="0.15">
      <c r="A11" s="54" t="s">
        <v>12</v>
      </c>
      <c r="B11" s="67">
        <f>468087+862508+271209</f>
        <v>1601804</v>
      </c>
      <c r="C11" s="5"/>
      <c r="D11" s="23"/>
    </row>
    <row r="12" spans="1:7" ht="14.25" x14ac:dyDescent="0.15">
      <c r="A12" s="53" t="s">
        <v>45</v>
      </c>
      <c r="B12" s="32">
        <v>1249811</v>
      </c>
      <c r="C12" s="5"/>
      <c r="D12" s="23"/>
    </row>
    <row r="13" spans="1:7" ht="14.25" x14ac:dyDescent="0.15">
      <c r="A13" s="53" t="s">
        <v>44</v>
      </c>
      <c r="B13" s="41">
        <v>1060584</v>
      </c>
      <c r="C13" s="5"/>
      <c r="D13" s="12"/>
    </row>
    <row r="14" spans="1:7" ht="14.25" x14ac:dyDescent="0.15">
      <c r="A14" s="53" t="s">
        <v>46</v>
      </c>
      <c r="B14" s="41">
        <v>24507</v>
      </c>
      <c r="C14" s="5"/>
      <c r="D14" s="12"/>
    </row>
    <row r="15" spans="1:7" ht="14.25" x14ac:dyDescent="0.15">
      <c r="A15" s="55" t="s">
        <v>36</v>
      </c>
      <c r="B15" s="27">
        <f>SUM(B16:B22)</f>
        <v>29263752</v>
      </c>
      <c r="C15" s="6"/>
      <c r="D15" s="12"/>
    </row>
    <row r="16" spans="1:7" ht="14.25" x14ac:dyDescent="0.15">
      <c r="A16" s="54" t="s">
        <v>14</v>
      </c>
      <c r="B16" s="32">
        <f>55000+5115000</f>
        <v>5170000</v>
      </c>
      <c r="C16" s="11"/>
      <c r="D16" s="12"/>
    </row>
    <row r="17" spans="1:4" ht="14.25" x14ac:dyDescent="0.15">
      <c r="A17" s="54" t="s">
        <v>15</v>
      </c>
      <c r="B17" s="32">
        <f>14039136+1027319+511500</f>
        <v>15577955</v>
      </c>
      <c r="C17" s="5"/>
      <c r="D17" s="12"/>
    </row>
    <row r="18" spans="1:4" ht="14.25" x14ac:dyDescent="0.15">
      <c r="A18" s="53" t="s">
        <v>58</v>
      </c>
      <c r="B18" s="32">
        <f>3720807+472606+90000+42570+3784+2000</f>
        <v>4331767</v>
      </c>
      <c r="C18" s="11"/>
      <c r="D18" s="12"/>
    </row>
    <row r="19" spans="1:4" ht="14.25" x14ac:dyDescent="0.15">
      <c r="A19" s="54" t="s">
        <v>16</v>
      </c>
      <c r="B19" s="67">
        <f>2037258+166220+122500</f>
        <v>2325978</v>
      </c>
      <c r="C19" s="5"/>
      <c r="D19" s="12"/>
    </row>
    <row r="20" spans="1:4" ht="14.25" x14ac:dyDescent="0.15">
      <c r="A20" s="54" t="s">
        <v>67</v>
      </c>
      <c r="B20" s="67">
        <f>418203+37249</f>
        <v>455452</v>
      </c>
      <c r="C20" s="5"/>
      <c r="D20" s="12"/>
    </row>
    <row r="21" spans="1:4" ht="14.25" x14ac:dyDescent="0.15">
      <c r="A21" s="54" t="s">
        <v>17</v>
      </c>
      <c r="B21" s="32">
        <v>1385300</v>
      </c>
      <c r="C21" s="5"/>
      <c r="D21" s="12"/>
    </row>
    <row r="22" spans="1:4" ht="14.25" x14ac:dyDescent="0.15">
      <c r="A22" s="54" t="s">
        <v>60</v>
      </c>
      <c r="B22" s="41">
        <v>17300</v>
      </c>
      <c r="C22" s="5"/>
      <c r="D22" s="12"/>
    </row>
    <row r="23" spans="1:4" ht="14.25" x14ac:dyDescent="0.15">
      <c r="A23" s="55" t="s">
        <v>37</v>
      </c>
      <c r="B23" s="27">
        <v>464680</v>
      </c>
      <c r="C23" s="15" t="s">
        <v>0</v>
      </c>
      <c r="D23" s="12"/>
    </row>
    <row r="24" spans="1:4" ht="14.25" x14ac:dyDescent="0.15">
      <c r="A24" s="61" t="s">
        <v>38</v>
      </c>
      <c r="B24" s="7"/>
      <c r="C24" s="36">
        <f>B8+B9+B15+B23</f>
        <v>48562627</v>
      </c>
      <c r="D24" s="12"/>
    </row>
    <row r="25" spans="1:4" ht="14.25" x14ac:dyDescent="0.15">
      <c r="A25" s="11"/>
      <c r="B25" s="14"/>
      <c r="C25" s="5"/>
      <c r="D25" s="29" t="s">
        <v>0</v>
      </c>
    </row>
    <row r="26" spans="1:4" ht="14.25" x14ac:dyDescent="0.15">
      <c r="A26" s="55" t="s">
        <v>20</v>
      </c>
      <c r="B26" s="26" t="s">
        <v>0</v>
      </c>
      <c r="C26" s="5"/>
      <c r="D26" s="25"/>
    </row>
    <row r="27" spans="1:4" ht="14.25" x14ac:dyDescent="0.15">
      <c r="A27" s="55" t="s">
        <v>39</v>
      </c>
      <c r="B27" s="27">
        <f>2541000+1585403+26029845+29632765</f>
        <v>59789013</v>
      </c>
      <c r="C27" s="5"/>
      <c r="D27" s="12"/>
    </row>
    <row r="28" spans="1:4" ht="14.25" x14ac:dyDescent="0.15">
      <c r="A28" s="55" t="s">
        <v>54</v>
      </c>
      <c r="B28" s="27">
        <f>190000+73847+72214+94502+259230+297273+46011+1657520+2021417+3730601+1921786+1395788</f>
        <v>11760189</v>
      </c>
      <c r="C28" s="5"/>
      <c r="D28" s="12"/>
    </row>
    <row r="29" spans="1:4" ht="14.25" x14ac:dyDescent="0.15">
      <c r="A29" s="55" t="s">
        <v>55</v>
      </c>
      <c r="B29" s="27">
        <f>131513+1462894</f>
        <v>1594407</v>
      </c>
      <c r="C29" s="5"/>
      <c r="D29" s="12"/>
    </row>
    <row r="30" spans="1:4" ht="14.25" x14ac:dyDescent="0.15">
      <c r="A30" s="55" t="s">
        <v>40</v>
      </c>
      <c r="B30" s="27">
        <f>1+18224+87961+2971812+1+1+1+1</f>
        <v>3078002</v>
      </c>
      <c r="C30" s="5"/>
      <c r="D30" s="12"/>
    </row>
    <row r="31" spans="1:4" ht="14.25" x14ac:dyDescent="0.15">
      <c r="A31" s="55" t="s">
        <v>41</v>
      </c>
      <c r="B31" s="27">
        <v>110600</v>
      </c>
      <c r="C31" s="5"/>
      <c r="D31" s="12"/>
    </row>
    <row r="32" spans="1:4" ht="14.25" x14ac:dyDescent="0.15">
      <c r="A32" s="55" t="s">
        <v>42</v>
      </c>
      <c r="B32" s="27">
        <v>50000</v>
      </c>
      <c r="C32" s="11"/>
      <c r="D32" s="12"/>
    </row>
    <row r="33" spans="1:4" ht="14.25" x14ac:dyDescent="0.15">
      <c r="A33" s="55" t="s">
        <v>66</v>
      </c>
      <c r="B33" s="27">
        <v>16740</v>
      </c>
      <c r="C33" s="6"/>
      <c r="D33" s="12"/>
    </row>
    <row r="34" spans="1:4" ht="14.25" x14ac:dyDescent="0.15">
      <c r="A34" s="61" t="s">
        <v>43</v>
      </c>
      <c r="B34" s="8"/>
      <c r="C34" s="37">
        <f>SUM(B27:B33)</f>
        <v>76398951</v>
      </c>
      <c r="D34" s="12"/>
    </row>
    <row r="35" spans="1:4" ht="14.25" x14ac:dyDescent="0.15">
      <c r="A35" s="11"/>
      <c r="B35" s="19"/>
      <c r="C35" s="5"/>
      <c r="D35" s="12"/>
    </row>
    <row r="36" spans="1:4" ht="14.25" x14ac:dyDescent="0.15">
      <c r="A36" s="58" t="s">
        <v>23</v>
      </c>
      <c r="B36" s="8"/>
      <c r="C36" s="10"/>
      <c r="D36" s="38">
        <f>C24+C34</f>
        <v>124961578</v>
      </c>
    </row>
    <row r="37" spans="1:4" x14ac:dyDescent="0.15">
      <c r="A37" s="9"/>
      <c r="B37" s="62"/>
      <c r="C37" s="62"/>
      <c r="D37" s="62"/>
    </row>
    <row r="38" spans="1:4" ht="14.25" x14ac:dyDescent="0.15">
      <c r="A38" s="60" t="s">
        <v>18</v>
      </c>
      <c r="B38" s="26"/>
      <c r="C38" s="5"/>
      <c r="D38" s="12"/>
    </row>
    <row r="39" spans="1:4" ht="14.25" x14ac:dyDescent="0.15">
      <c r="A39" s="55" t="s">
        <v>21</v>
      </c>
      <c r="B39" s="26"/>
      <c r="C39" s="5"/>
      <c r="D39" s="23"/>
    </row>
    <row r="40" spans="1:4" ht="14.25" x14ac:dyDescent="0.15">
      <c r="A40" s="55" t="s">
        <v>32</v>
      </c>
      <c r="B40" s="27">
        <v>348386</v>
      </c>
      <c r="C40" s="5"/>
      <c r="D40" s="29"/>
    </row>
    <row r="41" spans="1:4" ht="14.25" x14ac:dyDescent="0.15">
      <c r="A41" s="55" t="s">
        <v>33</v>
      </c>
      <c r="B41" s="27">
        <v>10000000</v>
      </c>
      <c r="C41" s="5"/>
      <c r="D41" s="12"/>
    </row>
    <row r="42" spans="1:4" ht="14.25" x14ac:dyDescent="0.15">
      <c r="A42" s="59"/>
      <c r="B42" s="26"/>
      <c r="C42" s="11"/>
      <c r="D42" s="12"/>
    </row>
    <row r="43" spans="1:4" ht="14.25" x14ac:dyDescent="0.15">
      <c r="A43" s="55" t="s">
        <v>31</v>
      </c>
      <c r="B43" s="8"/>
      <c r="C43" s="37">
        <f>B40+B41</f>
        <v>10348386</v>
      </c>
      <c r="D43" s="23"/>
    </row>
    <row r="44" spans="1:4" ht="14.25" x14ac:dyDescent="0.15">
      <c r="A44" s="3"/>
      <c r="B44" s="14"/>
      <c r="C44" s="34"/>
      <c r="D44" s="25"/>
    </row>
    <row r="45" spans="1:4" ht="14.25" x14ac:dyDescent="0.15">
      <c r="A45" s="55" t="s">
        <v>22</v>
      </c>
      <c r="B45" s="19"/>
      <c r="C45" s="33"/>
      <c r="D45" s="23"/>
    </row>
    <row r="46" spans="1:4" ht="14.25" x14ac:dyDescent="0.15">
      <c r="A46" s="55" t="s">
        <v>30</v>
      </c>
      <c r="B46" s="27">
        <f>15000000+12862000</f>
        <v>27862000</v>
      </c>
      <c r="C46" s="11"/>
      <c r="D46" s="25"/>
    </row>
    <row r="47" spans="1:4" ht="14.25" x14ac:dyDescent="0.15">
      <c r="A47" s="9"/>
      <c r="B47" s="19"/>
      <c r="C47" s="11"/>
      <c r="D47" s="25"/>
    </row>
    <row r="48" spans="1:4" ht="14.25" x14ac:dyDescent="0.15">
      <c r="A48" s="61" t="s">
        <v>29</v>
      </c>
      <c r="B48" s="10"/>
      <c r="C48" s="37">
        <f>B46</f>
        <v>27862000</v>
      </c>
      <c r="D48" s="23"/>
    </row>
    <row r="49" spans="1:4" ht="14.25" x14ac:dyDescent="0.15">
      <c r="A49" s="3"/>
      <c r="B49" s="19"/>
      <c r="C49" s="11"/>
      <c r="D49" s="23"/>
    </row>
    <row r="50" spans="1:4" ht="14.25" x14ac:dyDescent="0.15">
      <c r="A50" s="58" t="s">
        <v>24</v>
      </c>
      <c r="B50" s="40"/>
      <c r="C50" s="40"/>
      <c r="D50" s="38">
        <f>C43+C48</f>
        <v>38210386</v>
      </c>
    </row>
    <row r="51" spans="1:4" ht="14.25" x14ac:dyDescent="0.15">
      <c r="A51" s="3"/>
      <c r="B51" s="19"/>
      <c r="C51" s="11"/>
      <c r="D51" s="23"/>
    </row>
    <row r="52" spans="1:4" ht="14.25" x14ac:dyDescent="0.15">
      <c r="A52" s="55" t="s">
        <v>3</v>
      </c>
      <c r="B52" s="30"/>
      <c r="C52" s="35"/>
      <c r="D52" s="31"/>
    </row>
    <row r="53" spans="1:4" ht="15" customHeight="1" x14ac:dyDescent="0.15">
      <c r="A53" s="55" t="s">
        <v>27</v>
      </c>
      <c r="B53" s="10"/>
      <c r="C53" s="39"/>
      <c r="D53" s="39">
        <v>0</v>
      </c>
    </row>
    <row r="54" spans="1:4" ht="15.75" customHeight="1" x14ac:dyDescent="0.15">
      <c r="A54" s="55" t="s">
        <v>28</v>
      </c>
      <c r="B54" s="47"/>
      <c r="C54" s="9"/>
      <c r="D54" s="43">
        <f>D36-D50</f>
        <v>86751192</v>
      </c>
    </row>
    <row r="55" spans="1:4" ht="15.75" customHeight="1" x14ac:dyDescent="0.15">
      <c r="A55" s="59" t="s">
        <v>11</v>
      </c>
      <c r="B55" s="9"/>
      <c r="D55" s="42">
        <f>D56-'25.3月'!D56</f>
        <v>2301984</v>
      </c>
    </row>
    <row r="56" spans="1:4" ht="16.5" customHeight="1" x14ac:dyDescent="0.15">
      <c r="A56" s="55" t="s">
        <v>26</v>
      </c>
      <c r="B56" s="22"/>
      <c r="C56" s="48"/>
      <c r="D56" s="44">
        <f>D54</f>
        <v>86751192</v>
      </c>
    </row>
    <row r="57" spans="1:4" ht="14.25" x14ac:dyDescent="0.15">
      <c r="A57" s="55" t="s">
        <v>25</v>
      </c>
      <c r="B57" s="16"/>
      <c r="C57" s="10"/>
      <c r="D57" s="38">
        <f>D50+D56</f>
        <v>124961578</v>
      </c>
    </row>
    <row r="58" spans="1:4" ht="13.5" customHeight="1" x14ac:dyDescent="0.15"/>
    <row r="59" spans="1:4" x14ac:dyDescent="0.15">
      <c r="B59" s="2"/>
      <c r="D59" s="68"/>
    </row>
    <row r="60" spans="1:4" ht="12.75" customHeight="1" x14ac:dyDescent="0.2">
      <c r="A60" s="1"/>
    </row>
    <row r="61" spans="1:4" x14ac:dyDescent="0.15">
      <c r="A61" s="45"/>
      <c r="B61" s="45"/>
      <c r="D61" s="68"/>
    </row>
    <row r="62" spans="1:4" x14ac:dyDescent="0.15">
      <c r="C62" s="52"/>
      <c r="D62" s="45"/>
    </row>
    <row r="64" spans="1:4" x14ac:dyDescent="0.15">
      <c r="C64" s="52"/>
    </row>
    <row r="66" spans="1:4" ht="13.5" customHeight="1" x14ac:dyDescent="0.2">
      <c r="A66" s="21"/>
    </row>
    <row r="67" spans="1:4" ht="14.25" x14ac:dyDescent="0.15">
      <c r="A67" s="17"/>
    </row>
    <row r="68" spans="1:4" ht="14.25" x14ac:dyDescent="0.15">
      <c r="A68" s="17"/>
    </row>
    <row r="69" spans="1:4" ht="14.25" x14ac:dyDescent="0.15">
      <c r="A69" s="17"/>
    </row>
    <row r="70" spans="1:4" ht="14.25" x14ac:dyDescent="0.15">
      <c r="A70" s="17"/>
      <c r="B70" s="13"/>
      <c r="C70" s="17"/>
      <c r="D70" s="17"/>
    </row>
    <row r="71" spans="1:4" ht="14.25" x14ac:dyDescent="0.15">
      <c r="A71" s="17"/>
      <c r="B71" s="13"/>
      <c r="C71" s="17"/>
      <c r="D71" s="17"/>
    </row>
    <row r="72" spans="1:4" ht="14.25" x14ac:dyDescent="0.15">
      <c r="A72" s="17"/>
      <c r="B72" s="20"/>
      <c r="C72" s="17"/>
      <c r="D72" s="17"/>
    </row>
    <row r="73" spans="1:4" ht="14.25" x14ac:dyDescent="0.15">
      <c r="A73" s="17"/>
      <c r="B73" s="13"/>
      <c r="C73" s="17"/>
      <c r="D73" s="17"/>
    </row>
    <row r="74" spans="1:4" ht="14.25" x14ac:dyDescent="0.15">
      <c r="A74" s="17"/>
      <c r="B74" s="13"/>
      <c r="C74" s="13"/>
      <c r="D74" s="17"/>
    </row>
    <row r="75" spans="1:4" ht="14.25" x14ac:dyDescent="0.15">
      <c r="B75" s="17"/>
      <c r="C75" s="18"/>
      <c r="D75" s="17"/>
    </row>
    <row r="76" spans="1:4" ht="14.25" x14ac:dyDescent="0.15">
      <c r="A76" s="17"/>
      <c r="B76" s="17"/>
      <c r="C76" s="18"/>
      <c r="D76" s="17"/>
    </row>
    <row r="77" spans="1:4" ht="14.25" x14ac:dyDescent="0.15">
      <c r="C77" s="17"/>
      <c r="D77" s="17"/>
    </row>
    <row r="78" spans="1:4" ht="14.25" x14ac:dyDescent="0.15">
      <c r="A78" s="17"/>
      <c r="C78" s="17"/>
      <c r="D78" s="17"/>
    </row>
    <row r="79" spans="1:4" ht="14.25" x14ac:dyDescent="0.15">
      <c r="A79" s="17"/>
      <c r="B79" s="20"/>
      <c r="C79" s="18"/>
      <c r="D79" s="17"/>
    </row>
    <row r="80" spans="1:4" ht="14.25" x14ac:dyDescent="0.15">
      <c r="A80" s="17"/>
      <c r="B80" s="13"/>
      <c r="D80" s="17"/>
    </row>
    <row r="81" spans="1:4" ht="14.25" x14ac:dyDescent="0.15">
      <c r="B81" s="17"/>
      <c r="C81" s="17"/>
      <c r="D81" s="13"/>
    </row>
    <row r="82" spans="1:4" ht="14.25" x14ac:dyDescent="0.15">
      <c r="A82" s="17"/>
      <c r="B82" s="13"/>
      <c r="C82" s="13"/>
      <c r="D82" s="18"/>
    </row>
    <row r="83" spans="1:4" ht="14.25" x14ac:dyDescent="0.15">
      <c r="B83" s="13"/>
      <c r="C83" s="17"/>
      <c r="D83" s="17"/>
    </row>
    <row r="84" spans="1:4" ht="14.25" x14ac:dyDescent="0.15">
      <c r="A84" s="17"/>
      <c r="B84" s="13"/>
      <c r="C84" s="17"/>
      <c r="D84" s="18"/>
    </row>
    <row r="85" spans="1:4" ht="14.25" x14ac:dyDescent="0.15">
      <c r="C85" s="17"/>
      <c r="D85" s="17"/>
    </row>
    <row r="86" spans="1:4" ht="14.25" x14ac:dyDescent="0.15">
      <c r="A86" s="17"/>
      <c r="C86" s="17"/>
      <c r="D86" s="17"/>
    </row>
    <row r="87" spans="1:4" ht="14.25" x14ac:dyDescent="0.15">
      <c r="A87" s="17"/>
      <c r="B87" s="13"/>
      <c r="D87" s="17"/>
    </row>
    <row r="88" spans="1:4" ht="14.25" x14ac:dyDescent="0.15">
      <c r="A88" s="17"/>
      <c r="B88" s="13"/>
      <c r="D88" s="17"/>
    </row>
    <row r="89" spans="1:4" ht="14.25" x14ac:dyDescent="0.15">
      <c r="A89" s="17"/>
      <c r="B89" s="13"/>
      <c r="C89" s="17"/>
      <c r="D89" s="17"/>
    </row>
    <row r="90" spans="1:4" ht="14.25" x14ac:dyDescent="0.15">
      <c r="A90" s="17"/>
      <c r="C90" s="13"/>
      <c r="D90" s="17"/>
    </row>
    <row r="91" spans="1:4" ht="14.25" x14ac:dyDescent="0.15">
      <c r="A91" s="17"/>
      <c r="B91" s="13"/>
      <c r="D91" s="17"/>
    </row>
    <row r="92" spans="1:4" ht="14.25" x14ac:dyDescent="0.15">
      <c r="A92" s="17"/>
      <c r="B92" s="13"/>
      <c r="C92" s="17"/>
      <c r="D92" s="17"/>
    </row>
    <row r="93" spans="1:4" ht="14.25" x14ac:dyDescent="0.15">
      <c r="A93" s="17"/>
      <c r="B93" s="13"/>
      <c r="C93" s="17"/>
    </row>
    <row r="94" spans="1:4" ht="14.25" x14ac:dyDescent="0.15">
      <c r="A94" s="17"/>
      <c r="B94" s="13"/>
      <c r="C94" s="17"/>
    </row>
    <row r="95" spans="1:4" ht="14.25" x14ac:dyDescent="0.15">
      <c r="A95" s="17"/>
      <c r="B95" s="13"/>
      <c r="C95" s="17"/>
      <c r="D95" s="17"/>
    </row>
    <row r="96" spans="1:4" ht="14.25" x14ac:dyDescent="0.15">
      <c r="A96" s="17"/>
      <c r="B96" s="13"/>
      <c r="D96" s="13"/>
    </row>
    <row r="97" spans="1:4" ht="14.25" x14ac:dyDescent="0.15">
      <c r="A97" s="17"/>
      <c r="B97" s="13"/>
      <c r="C97" s="17"/>
    </row>
    <row r="98" spans="1:4" ht="14.25" x14ac:dyDescent="0.15">
      <c r="A98" s="17"/>
      <c r="B98" s="17"/>
      <c r="D98" s="18"/>
    </row>
    <row r="99" spans="1:4" ht="14.25" x14ac:dyDescent="0.15">
      <c r="A99" s="17"/>
    </row>
    <row r="100" spans="1:4" ht="14.25" x14ac:dyDescent="0.15">
      <c r="A100" s="17" t="s">
        <v>0</v>
      </c>
      <c r="C100" s="18" t="s">
        <v>0</v>
      </c>
      <c r="D100" s="18" t="s">
        <v>0</v>
      </c>
    </row>
    <row r="101" spans="1:4" x14ac:dyDescent="0.15">
      <c r="A101" t="s">
        <v>0</v>
      </c>
    </row>
    <row r="102" spans="1:4" ht="14.25" x14ac:dyDescent="0.15">
      <c r="A102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59055118110236227" bottom="0.39370078740157483" header="0.51181102362204722" footer="0.51181102362204722"/>
  <pageSetup paperSize="9" orientation="portrait" horizontalDpi="4294967293" verticalDpi="4294967293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EB099-2F89-4DD0-A269-89F4F0EC3039}">
  <dimension ref="A1:L108"/>
  <sheetViews>
    <sheetView topLeftCell="A43" zoomScaleNormal="100" workbookViewId="0">
      <selection activeCell="B12" sqref="B12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160</v>
      </c>
      <c r="B1" s="122"/>
      <c r="C1" s="122"/>
      <c r="D1" s="122"/>
    </row>
    <row r="2" spans="1:11" ht="17.25" customHeight="1" x14ac:dyDescent="0.15">
      <c r="A2" s="116" t="s">
        <v>163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11784776</v>
      </c>
      <c r="C9" s="5"/>
      <c r="D9" s="12"/>
      <c r="F9" s="84">
        <f>'[7]0138359'!$AJ$37</f>
        <v>5166363</v>
      </c>
      <c r="G9" s="84">
        <f>'[7]0138642（居宅）'!$AJ$37</f>
        <v>44978</v>
      </c>
      <c r="H9" s="84">
        <f>'[7]0138655（通所）'!$AJ$37</f>
        <v>5783</v>
      </c>
      <c r="I9" s="84">
        <f>'[7]0156560（新庄）'!$AJ$37</f>
        <v>150151</v>
      </c>
      <c r="J9" s="84">
        <f>'[7]0158313（ゆけむり）'!$AJ$37</f>
        <v>266576</v>
      </c>
      <c r="K9" s="84">
        <f>'[7]0139101（ちゃれんじ）'!$AJ$37</f>
        <v>4614071</v>
      </c>
    </row>
    <row r="10" spans="1:11" ht="14.25" x14ac:dyDescent="0.15">
      <c r="A10" s="53" t="s">
        <v>102</v>
      </c>
      <c r="B10" s="73">
        <v>10258466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886883</v>
      </c>
      <c r="C11" s="5"/>
      <c r="D11" s="23"/>
      <c r="F11" s="84">
        <f>'[7]2253865（助け合い）'!$AJ$37</f>
        <v>30200</v>
      </c>
      <c r="G11" s="89">
        <f>'[7]2253871（通所）'!$AJ$37</f>
        <v>919800</v>
      </c>
      <c r="H11" s="84">
        <f>'[7]2254321（ミニ）'!$AJ$37</f>
        <v>0</v>
      </c>
    </row>
    <row r="12" spans="1:11" ht="14.25" x14ac:dyDescent="0.15">
      <c r="A12" s="53" t="s">
        <v>128</v>
      </c>
      <c r="B12" s="74">
        <v>245376</v>
      </c>
      <c r="C12" s="5"/>
      <c r="D12" s="23"/>
    </row>
    <row r="13" spans="1:11" ht="14.25" x14ac:dyDescent="0.15">
      <c r="A13" s="53" t="s">
        <v>129</v>
      </c>
      <c r="B13" s="75">
        <v>239189</v>
      </c>
      <c r="C13" s="5"/>
      <c r="D13" s="12"/>
      <c r="E13" s="93" t="s">
        <v>142</v>
      </c>
      <c r="F13" s="94">
        <f>[7]JA0034628!$AJ$37</f>
        <v>992695</v>
      </c>
      <c r="G13" s="93" t="s">
        <v>143</v>
      </c>
      <c r="H13" s="94">
        <f>[7]ゆうちょ6473091!$AJ$37</f>
        <v>848315</v>
      </c>
      <c r="I13" s="93" t="s">
        <v>144</v>
      </c>
      <c r="J13" s="94">
        <f>[7]しま信0116975!$AJ$37</f>
        <v>592085</v>
      </c>
    </row>
    <row r="14" spans="1:11" ht="14.25" x14ac:dyDescent="0.15">
      <c r="A14" s="53" t="s">
        <v>130</v>
      </c>
      <c r="B14" s="75">
        <v>154862</v>
      </c>
      <c r="C14" s="5"/>
      <c r="D14" s="12"/>
    </row>
    <row r="15" spans="1:11" ht="14.25" x14ac:dyDescent="0.15">
      <c r="A15" s="55" t="s">
        <v>36</v>
      </c>
      <c r="B15" s="71">
        <f>SUM(B16:B27)</f>
        <v>31662259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5287140</v>
      </c>
      <c r="C16" s="11"/>
      <c r="D16" s="12"/>
      <c r="E16" t="s">
        <v>112</v>
      </c>
      <c r="F16" s="84">
        <f>'[8]未収金（認定調査委託料）'!$AJ$37</f>
        <v>15400</v>
      </c>
      <c r="G16" s="84">
        <f>'[8]未収金（居宅支援介護報酬）'!$AJ$37</f>
        <v>5078080</v>
      </c>
      <c r="H16" s="83"/>
    </row>
    <row r="17" spans="1:11" ht="14.25" x14ac:dyDescent="0.15">
      <c r="A17" s="54" t="s">
        <v>15</v>
      </c>
      <c r="B17" s="73">
        <v>15357356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5409441</v>
      </c>
      <c r="C18" s="11"/>
      <c r="D18" s="12"/>
      <c r="E18" t="s">
        <v>115</v>
      </c>
      <c r="F18" s="84">
        <f>'[8]未収金（通所保険請求）'!$AJ$37</f>
        <v>11735816</v>
      </c>
      <c r="G18" s="84">
        <f>'[8]未収金（通所利用者負担）'!$AJ$37</f>
        <v>1365938</v>
      </c>
      <c r="H18" s="84">
        <f>'[8]未収金（通所食費）'!$AJ$37</f>
        <v>648500</v>
      </c>
    </row>
    <row r="19" spans="1:11" ht="14.25" x14ac:dyDescent="0.15">
      <c r="A19" s="54" t="s">
        <v>16</v>
      </c>
      <c r="B19" s="73">
        <v>1978672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1534240</v>
      </c>
      <c r="C20" s="5"/>
      <c r="D20" s="12"/>
      <c r="E20" t="s">
        <v>119</v>
      </c>
      <c r="F20" s="84">
        <f>'[8]未収金（ゆけむり保険請求）'!$AJ$37</f>
        <v>3624471</v>
      </c>
      <c r="G20" s="84">
        <f>'[8]未収金（ゆけむり利用者負担）'!$AJ$37</f>
        <v>527342</v>
      </c>
      <c r="H20" s="84">
        <f>'[8]未収金（ゆけむり食費）'!$AJ$37</f>
        <v>113400</v>
      </c>
    </row>
    <row r="21" spans="1:11" ht="14.25" x14ac:dyDescent="0.15">
      <c r="A21" s="54" t="s">
        <v>103</v>
      </c>
      <c r="B21" s="73">
        <v>361052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72</v>
      </c>
      <c r="B22" s="85">
        <v>13100</v>
      </c>
      <c r="C22" s="5"/>
      <c r="D22" s="12"/>
      <c r="E22" t="s">
        <v>120</v>
      </c>
      <c r="F22" s="84">
        <f>'[8]未収金（予防通所保険請求）'!$AJ$37</f>
        <v>1811990</v>
      </c>
      <c r="G22" s="84">
        <f>'[8]未収金（予防通所利用者負担）'!$AJ$37</f>
        <v>120098</v>
      </c>
      <c r="H22" s="84">
        <f>'[8]未収金（予防通所食費）'!$AJ$37</f>
        <v>126500</v>
      </c>
    </row>
    <row r="23" spans="1:11" ht="14.25" x14ac:dyDescent="0.15">
      <c r="A23" s="54" t="s">
        <v>81</v>
      </c>
      <c r="B23" s="73">
        <v>403508</v>
      </c>
      <c r="C23" s="5"/>
      <c r="D23" s="12"/>
      <c r="F23" s="83" t="s">
        <v>131</v>
      </c>
      <c r="G23" s="83" t="s">
        <v>117</v>
      </c>
      <c r="H23" s="83"/>
    </row>
    <row r="24" spans="1:11" ht="14.25" x14ac:dyDescent="0.15">
      <c r="A24" s="54" t="s">
        <v>82</v>
      </c>
      <c r="B24" s="85">
        <v>70100</v>
      </c>
      <c r="C24" s="5"/>
      <c r="D24" s="12"/>
      <c r="E24" t="s">
        <v>121</v>
      </c>
      <c r="F24" s="84">
        <f>'[8]未収金（処遇改善保険請求）'!$AJ$37</f>
        <v>1190257</v>
      </c>
      <c r="G24" s="84">
        <f>'[8]未収金（処遇改善利用者負担）'!$AJ$37</f>
        <v>137834</v>
      </c>
      <c r="H24" s="83"/>
    </row>
    <row r="25" spans="1:11" ht="14.25" x14ac:dyDescent="0.15">
      <c r="A25" s="54" t="s">
        <v>17</v>
      </c>
      <c r="B25" s="86">
        <v>1231650</v>
      </c>
      <c r="C25" s="5"/>
      <c r="D25" s="12"/>
      <c r="F25" s="83" t="s">
        <v>116</v>
      </c>
      <c r="G25" s="83" t="s">
        <v>117</v>
      </c>
      <c r="H25" s="83"/>
      <c r="K25" t="s">
        <v>108</v>
      </c>
    </row>
    <row r="26" spans="1:11" ht="14.25" x14ac:dyDescent="0.15">
      <c r="A26" s="54" t="s">
        <v>71</v>
      </c>
      <c r="B26" s="87">
        <v>16000</v>
      </c>
      <c r="C26" s="5"/>
      <c r="D26" s="12"/>
      <c r="E26" t="s">
        <v>122</v>
      </c>
      <c r="F26" s="84">
        <f>'[8]未収金（特定処遇改善保険請求）'!$AJ$37</f>
        <v>275563</v>
      </c>
      <c r="G26" s="84">
        <f>'[8]未収金（特定処遇改善利用者負担）'!$AJ$37</f>
        <v>32435</v>
      </c>
      <c r="H26" s="83"/>
    </row>
    <row r="27" spans="1:11" ht="14.25" x14ac:dyDescent="0.15">
      <c r="A27" s="54" t="s">
        <v>79</v>
      </c>
      <c r="B27" s="85">
        <v>0</v>
      </c>
      <c r="C27" s="5"/>
      <c r="D27" s="12"/>
      <c r="F27" s="83" t="s">
        <v>131</v>
      </c>
      <c r="G27" s="83" t="s">
        <v>135</v>
      </c>
      <c r="H27" s="83" t="s">
        <v>118</v>
      </c>
    </row>
    <row r="28" spans="1:11" ht="14.25" x14ac:dyDescent="0.15">
      <c r="A28" s="55" t="s">
        <v>37</v>
      </c>
      <c r="B28" s="88">
        <v>838376</v>
      </c>
      <c r="C28" s="15" t="s">
        <v>0</v>
      </c>
      <c r="D28" s="12"/>
      <c r="E28" t="s">
        <v>123</v>
      </c>
      <c r="F28" s="84">
        <f>'[8]未収金（サロン保険請求）'!$AJ$37</f>
        <v>311572</v>
      </c>
      <c r="G28" s="84">
        <f>'[8]未収金（サロン利用者負担）'!$AJ$37</f>
        <v>21320</v>
      </c>
      <c r="H28" s="84">
        <f>'[8]未収金（サロン食費）'!$AJ$37</f>
        <v>22200</v>
      </c>
    </row>
    <row r="29" spans="1:11" ht="14.25" x14ac:dyDescent="0.15">
      <c r="A29" s="61" t="s">
        <v>96</v>
      </c>
      <c r="B29" s="71">
        <v>0</v>
      </c>
      <c r="C29" s="15"/>
      <c r="D29" s="12"/>
    </row>
    <row r="30" spans="1:11" ht="14.25" x14ac:dyDescent="0.15">
      <c r="A30" s="61" t="s">
        <v>38</v>
      </c>
      <c r="B30" s="7"/>
      <c r="C30" s="77">
        <f>B8+B9+B15+B28+B29</f>
        <v>44287796</v>
      </c>
      <c r="D30" s="12"/>
    </row>
    <row r="31" spans="1:11" ht="11.25" customHeight="1" x14ac:dyDescent="0.15">
      <c r="A31" s="11"/>
      <c r="B31" s="14"/>
      <c r="C31" s="5"/>
      <c r="D31" s="78" t="s">
        <v>0</v>
      </c>
    </row>
    <row r="32" spans="1:11" ht="14.25" x14ac:dyDescent="0.15">
      <c r="A32" s="55" t="s">
        <v>20</v>
      </c>
      <c r="B32" s="79" t="s">
        <v>0</v>
      </c>
      <c r="C32" s="5"/>
      <c r="D32" s="25"/>
    </row>
    <row r="33" spans="1:12" ht="14.25" x14ac:dyDescent="0.15">
      <c r="A33" s="55" t="s">
        <v>39</v>
      </c>
      <c r="B33" s="71">
        <v>44213471</v>
      </c>
      <c r="C33" s="5"/>
      <c r="D33" s="12"/>
      <c r="E33" t="s">
        <v>146</v>
      </c>
      <c r="F33" s="95">
        <f>'[9]建物（ほっと本体）'!$AJ$5</f>
        <v>225002</v>
      </c>
      <c r="G33" s="95">
        <f>'[9]建物（ほっと2階）'!$AJ$5</f>
        <v>159976</v>
      </c>
      <c r="H33" s="95">
        <f>'[9]建物（新庄）'!$AJ$5</f>
        <v>16342797</v>
      </c>
      <c r="I33" s="95">
        <f>'[9]建物（ゆけむり）'!$AJ$5</f>
        <v>23447684</v>
      </c>
      <c r="J33" s="95">
        <f>'[9]建物（ほっと浴室）'!$AJ$5</f>
        <v>4038012</v>
      </c>
    </row>
    <row r="34" spans="1:12" ht="14.25" x14ac:dyDescent="0.15">
      <c r="A34" s="55" t="s">
        <v>54</v>
      </c>
      <c r="B34" s="71">
        <v>5044881</v>
      </c>
      <c r="C34" s="5"/>
      <c r="D34" s="12"/>
      <c r="E34" t="s">
        <v>147</v>
      </c>
      <c r="F34" s="96">
        <f>'[9]附属建物（厨房）'!$AJ$5</f>
        <v>1</v>
      </c>
      <c r="G34" s="96">
        <f>'[9]附属建物（浴室）'!$AJ$5</f>
        <v>1</v>
      </c>
      <c r="H34" s="96">
        <f>'[9]附属建物（便所）'!$AJ$5</f>
        <v>1</v>
      </c>
      <c r="I34" s="96">
        <f>'[9]附属建物（廊下）'!$AJ$5</f>
        <v>1</v>
      </c>
      <c r="J34" s="96">
        <f>'[9]附属設備（電気設備その他）'!$AJ$5</f>
        <v>82438</v>
      </c>
      <c r="K34" s="96">
        <f>'[9]附属設備（給排水衛生設備）'!$AJ$5</f>
        <v>94536</v>
      </c>
      <c r="L34" s="96">
        <f>'[9]附属設備（消火排煙設備）'!$AJ$5</f>
        <v>5047</v>
      </c>
    </row>
    <row r="35" spans="1:12" ht="14.25" x14ac:dyDescent="0.15">
      <c r="A35" s="55" t="s">
        <v>55</v>
      </c>
      <c r="B35" s="71">
        <v>1179572</v>
      </c>
      <c r="C35" s="5"/>
      <c r="D35" s="12"/>
      <c r="F35" s="96">
        <f>'[9]附属設備（新庄電気設備）'!$AJ$5</f>
        <v>365715</v>
      </c>
      <c r="G35" s="96">
        <f>'[9]附属設備（新庄給排水設備）'!$AJ$5</f>
        <v>446005</v>
      </c>
      <c r="H35" s="96">
        <f>'[9]附属設備（電気設備）'!$AJ$5</f>
        <v>1028074</v>
      </c>
      <c r="I35" s="96">
        <f>'[9]附属設備（給排水設備）'!$AJ$5</f>
        <v>529605</v>
      </c>
      <c r="J35" s="96">
        <f>'[9]附属設備（新庄浴槽改装ガス給湯設備）'!$AJ$6</f>
        <v>513845</v>
      </c>
      <c r="K35" s="96">
        <f>'[9]附属設備（ほっと浴室移設電気工事）'!$AJ$5</f>
        <v>851136</v>
      </c>
      <c r="L35" s="96">
        <f>'[9]附属設備（ほっと浴室移設給排水設備）'!$AJ$5</f>
        <v>1128476</v>
      </c>
    </row>
    <row r="36" spans="1:12" ht="14.25" x14ac:dyDescent="0.15">
      <c r="A36" s="55" t="s">
        <v>75</v>
      </c>
      <c r="B36" s="71">
        <v>204884</v>
      </c>
      <c r="C36" s="5"/>
      <c r="D36" s="12"/>
      <c r="E36" t="s">
        <v>148</v>
      </c>
      <c r="F36" s="94">
        <f>'[9]構築物（舗装工事）'!$AJ$5</f>
        <v>1</v>
      </c>
      <c r="G36" s="94">
        <f>'[9]構築物（ゆけむり）'!$AJ$5</f>
        <v>358351</v>
      </c>
      <c r="H36" s="94">
        <f>'[9]構築物（新庄駐車場舗装）'!$AJ$5</f>
        <v>821220</v>
      </c>
    </row>
    <row r="37" spans="1:12" ht="14.25" x14ac:dyDescent="0.15">
      <c r="A37" s="55" t="s">
        <v>40</v>
      </c>
      <c r="B37" s="71">
        <v>2556593</v>
      </c>
      <c r="C37" s="5"/>
      <c r="D37" s="12"/>
      <c r="E37" t="s">
        <v>149</v>
      </c>
      <c r="F37" s="98">
        <f>'[9]器具備品（新庄玄関エアコン）'!$AJ$5</f>
        <v>31800</v>
      </c>
      <c r="G37" s="98">
        <f>'[9]器具備品（新庄事務室エアコン）'!$AJ$5</f>
        <v>173084</v>
      </c>
    </row>
    <row r="38" spans="1:12" ht="14.25" x14ac:dyDescent="0.15">
      <c r="A38" s="55" t="s">
        <v>41</v>
      </c>
      <c r="B38" s="88">
        <v>110600</v>
      </c>
      <c r="C38" s="5"/>
      <c r="D38" s="12"/>
      <c r="E38" t="s">
        <v>150</v>
      </c>
      <c r="F38" s="94">
        <f>'[9]車両（タウンボックス）'!$AJ$5</f>
        <v>1</v>
      </c>
      <c r="G38" s="94">
        <f>'[9]車両（はとバン）'!$AJ$5</f>
        <v>1</v>
      </c>
      <c r="H38" s="94">
        <f>'[9]車両（ノア）'!$AJ$5</f>
        <v>1</v>
      </c>
      <c r="I38" s="94">
        <f>'[9]車両（セレナ）'!$AJ$5</f>
        <v>1</v>
      </c>
      <c r="J38" s="94">
        <f>'[9]車両（アトレー１）'!$AJ$5</f>
        <v>1</v>
      </c>
      <c r="K38" s="94">
        <f>'[9]車両（アトレー４）'!$AJ$5</f>
        <v>2078860</v>
      </c>
      <c r="L38" s="94">
        <f>'[9]車両（キャラ３）'!$AJ$5</f>
        <v>0</v>
      </c>
    </row>
    <row r="39" spans="1:12" ht="14.25" x14ac:dyDescent="0.15">
      <c r="A39" s="55" t="s">
        <v>42</v>
      </c>
      <c r="B39" s="88">
        <v>50000</v>
      </c>
      <c r="C39" s="11"/>
      <c r="D39" s="12"/>
      <c r="F39" s="94">
        <f>'[9]車両（フリード２）'!$AJ$5</f>
        <v>477725</v>
      </c>
      <c r="G39" s="94">
        <f>'[9]車両（セブン２）'!$AJ$5</f>
        <v>1</v>
      </c>
      <c r="H39" s="94">
        <f>'[9]車両（EK３）'!$AJ$5</f>
        <v>1</v>
      </c>
    </row>
    <row r="40" spans="1:12" ht="14.25" x14ac:dyDescent="0.15">
      <c r="A40" s="55" t="s">
        <v>66</v>
      </c>
      <c r="B40" s="88">
        <v>165580</v>
      </c>
      <c r="C40" s="76"/>
      <c r="D40" s="12"/>
    </row>
    <row r="41" spans="1:12" ht="14.25" x14ac:dyDescent="0.15">
      <c r="A41" s="61" t="s">
        <v>43</v>
      </c>
      <c r="B41" s="80"/>
      <c r="C41" s="37">
        <f>SUM(B33:B40)</f>
        <v>53525581</v>
      </c>
      <c r="D41" s="12"/>
    </row>
    <row r="42" spans="1:12" ht="8.25" customHeight="1" x14ac:dyDescent="0.15">
      <c r="A42" s="11"/>
      <c r="B42" s="19"/>
      <c r="C42" s="5"/>
      <c r="D42" s="12"/>
    </row>
    <row r="43" spans="1:12" ht="14.25" x14ac:dyDescent="0.15">
      <c r="A43" s="58" t="s">
        <v>23</v>
      </c>
      <c r="B43" s="80"/>
      <c r="C43" s="10"/>
      <c r="D43" s="38">
        <f>C30+C41</f>
        <v>97813377</v>
      </c>
    </row>
    <row r="44" spans="1:12" ht="11.25" customHeight="1" x14ac:dyDescent="0.15">
      <c r="A44" s="9"/>
      <c r="B44" s="62"/>
      <c r="C44" s="62"/>
      <c r="D44" s="62"/>
    </row>
    <row r="45" spans="1:12" ht="14.25" x14ac:dyDescent="0.15">
      <c r="A45" s="60" t="s">
        <v>18</v>
      </c>
      <c r="B45" s="79"/>
      <c r="C45" s="5"/>
      <c r="D45" s="12"/>
    </row>
    <row r="46" spans="1:12" ht="14.25" x14ac:dyDescent="0.15">
      <c r="A46" s="55" t="s">
        <v>21</v>
      </c>
      <c r="B46" s="79"/>
      <c r="C46" s="5"/>
      <c r="D46" s="23"/>
    </row>
    <row r="47" spans="1:12" ht="14.25" x14ac:dyDescent="0.15">
      <c r="A47" s="55" t="s">
        <v>32</v>
      </c>
      <c r="B47" s="88">
        <v>3928198</v>
      </c>
      <c r="C47" s="5"/>
      <c r="D47" s="78"/>
    </row>
    <row r="48" spans="1:12" ht="14.25" x14ac:dyDescent="0.15">
      <c r="A48" s="55" t="s">
        <v>33</v>
      </c>
      <c r="B48" s="71">
        <v>0</v>
      </c>
      <c r="C48" s="5"/>
      <c r="D48" s="12"/>
    </row>
    <row r="49" spans="1:8" ht="6.75" customHeight="1" x14ac:dyDescent="0.15">
      <c r="A49" s="59"/>
      <c r="B49" s="79"/>
      <c r="C49" s="11"/>
      <c r="D49" s="12"/>
    </row>
    <row r="50" spans="1:8" ht="14.25" x14ac:dyDescent="0.15">
      <c r="A50" s="55" t="s">
        <v>31</v>
      </c>
      <c r="B50" s="80"/>
      <c r="C50" s="37">
        <f>B47+B48</f>
        <v>3928198</v>
      </c>
      <c r="D50" s="23"/>
      <c r="E50" t="s">
        <v>108</v>
      </c>
    </row>
    <row r="51" spans="1:8" ht="11.25" customHeight="1" x14ac:dyDescent="0.15">
      <c r="A51" s="3"/>
      <c r="B51" s="14"/>
      <c r="C51" s="34"/>
      <c r="D51" s="25"/>
    </row>
    <row r="52" spans="1:8" ht="14.25" x14ac:dyDescent="0.15">
      <c r="A52" s="55" t="s">
        <v>22</v>
      </c>
      <c r="B52" s="19"/>
      <c r="C52" s="81"/>
      <c r="D52" s="23"/>
    </row>
    <row r="53" spans="1:8" ht="14.25" x14ac:dyDescent="0.15">
      <c r="A53" s="55" t="s">
        <v>30</v>
      </c>
      <c r="B53" s="88">
        <v>1600000</v>
      </c>
      <c r="C53" s="11"/>
      <c r="D53" s="25"/>
    </row>
    <row r="54" spans="1:8" ht="14.25" x14ac:dyDescent="0.15">
      <c r="A54" s="9"/>
      <c r="B54" s="19"/>
      <c r="C54" s="11"/>
      <c r="D54" s="25"/>
      <c r="G54" t="s">
        <v>108</v>
      </c>
    </row>
    <row r="55" spans="1:8" ht="14.25" x14ac:dyDescent="0.15">
      <c r="A55" s="61" t="s">
        <v>29</v>
      </c>
      <c r="B55" s="10"/>
      <c r="C55" s="37">
        <f>B53</f>
        <v>1600000</v>
      </c>
      <c r="D55" s="23"/>
    </row>
    <row r="56" spans="1:8" ht="6.75" customHeight="1" x14ac:dyDescent="0.15">
      <c r="A56" s="3"/>
      <c r="B56" s="19"/>
      <c r="C56" s="11"/>
      <c r="D56" s="23"/>
    </row>
    <row r="57" spans="1:8" ht="14.25" x14ac:dyDescent="0.15">
      <c r="A57" s="58" t="s">
        <v>24</v>
      </c>
      <c r="B57" s="40"/>
      <c r="C57" s="40"/>
      <c r="D57" s="38">
        <f>C50+C55</f>
        <v>5528198</v>
      </c>
    </row>
    <row r="58" spans="1:8" ht="11.25" customHeight="1" x14ac:dyDescent="0.15">
      <c r="A58" s="3"/>
      <c r="B58" s="19"/>
      <c r="C58" s="11"/>
      <c r="D58" s="23"/>
    </row>
    <row r="59" spans="1:8" ht="14.25" x14ac:dyDescent="0.15">
      <c r="A59" s="55" t="s">
        <v>3</v>
      </c>
      <c r="B59" s="30"/>
      <c r="C59" s="35"/>
      <c r="D59" s="31"/>
    </row>
    <row r="60" spans="1:8" ht="15" customHeight="1" x14ac:dyDescent="0.15">
      <c r="A60" s="55" t="s">
        <v>27</v>
      </c>
      <c r="B60" s="10"/>
      <c r="C60" s="39"/>
      <c r="D60" s="39">
        <v>0</v>
      </c>
      <c r="H60" t="s">
        <v>0</v>
      </c>
    </row>
    <row r="61" spans="1:8" ht="15.75" customHeight="1" x14ac:dyDescent="0.15">
      <c r="A61" s="55" t="s">
        <v>28</v>
      </c>
      <c r="B61" s="47"/>
      <c r="C61" s="9"/>
      <c r="D61" s="43">
        <f>D43-D57</f>
        <v>92285179</v>
      </c>
      <c r="F61" s="90" t="s">
        <v>124</v>
      </c>
    </row>
    <row r="62" spans="1:8" ht="15.75" customHeight="1" x14ac:dyDescent="0.15">
      <c r="A62" s="59" t="s">
        <v>11</v>
      </c>
      <c r="B62" s="9"/>
      <c r="D62" s="70">
        <f>D63-'4.3月'!D63</f>
        <v>-4523127</v>
      </c>
      <c r="F62" s="92">
        <f>D62-[10]令和4年度!$P$74</f>
        <v>683670</v>
      </c>
    </row>
    <row r="63" spans="1:8" ht="16.5" customHeight="1" x14ac:dyDescent="0.15">
      <c r="A63" s="55" t="s">
        <v>26</v>
      </c>
      <c r="B63" s="22"/>
      <c r="C63" s="48"/>
      <c r="D63" s="44">
        <f>D61</f>
        <v>92285179</v>
      </c>
      <c r="F63" s="91"/>
    </row>
    <row r="64" spans="1:8" ht="14.25" x14ac:dyDescent="0.15">
      <c r="A64" s="55" t="s">
        <v>25</v>
      </c>
      <c r="B64" s="22"/>
      <c r="C64" s="9"/>
      <c r="D64" s="69">
        <f>D57+D63</f>
        <v>97813377</v>
      </c>
      <c r="F64" s="68"/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F27C1-8FF7-4DF0-AC60-46685BCC2913}">
  <dimension ref="A1:L108"/>
  <sheetViews>
    <sheetView topLeftCell="A22" zoomScaleNormal="100" workbookViewId="0">
      <selection activeCell="C30" sqref="C30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160</v>
      </c>
      <c r="B1" s="122"/>
      <c r="C1" s="122"/>
      <c r="D1" s="122"/>
    </row>
    <row r="2" spans="1:11" ht="17.25" customHeight="1" x14ac:dyDescent="0.15">
      <c r="A2" s="116" t="s">
        <v>164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8238596</v>
      </c>
      <c r="C9" s="5"/>
      <c r="D9" s="12"/>
      <c r="F9" s="84">
        <f>'[7]0138359'!$AJ$37</f>
        <v>5166363</v>
      </c>
      <c r="G9" s="84">
        <f>'[7]0138642（居宅）'!$AJ$37</f>
        <v>44978</v>
      </c>
      <c r="H9" s="84">
        <f>'[7]0138655（通所）'!$AJ$37</f>
        <v>5783</v>
      </c>
      <c r="I9" s="84">
        <f>'[7]0156560（新庄）'!$AJ$37</f>
        <v>150151</v>
      </c>
      <c r="J9" s="84">
        <f>'[7]0158313（ゆけむり）'!$AJ$37</f>
        <v>266576</v>
      </c>
      <c r="K9" s="84">
        <f>'[7]0139101（ちゃれんじ）'!$AJ$37</f>
        <v>4614071</v>
      </c>
    </row>
    <row r="10" spans="1:11" ht="14.25" x14ac:dyDescent="0.15">
      <c r="A10" s="53" t="s">
        <v>102</v>
      </c>
      <c r="B10" s="73">
        <v>6208212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1040038</v>
      </c>
      <c r="C11" s="5"/>
      <c r="D11" s="23"/>
      <c r="F11" s="84">
        <f>'[7]2253865（助け合い）'!$AJ$37</f>
        <v>30200</v>
      </c>
      <c r="G11" s="89">
        <f>'[7]2253871（通所）'!$AJ$37</f>
        <v>919800</v>
      </c>
      <c r="H11" s="84">
        <f>'[7]2254321（ミニ）'!$AJ$37</f>
        <v>0</v>
      </c>
    </row>
    <row r="12" spans="1:11" ht="14.25" x14ac:dyDescent="0.15">
      <c r="A12" s="53" t="s">
        <v>128</v>
      </c>
      <c r="B12" s="74">
        <v>664051</v>
      </c>
      <c r="C12" s="5"/>
      <c r="D12" s="23"/>
    </row>
    <row r="13" spans="1:11" ht="14.25" x14ac:dyDescent="0.15">
      <c r="A13" s="53" t="s">
        <v>129</v>
      </c>
      <c r="B13" s="75">
        <v>317366</v>
      </c>
      <c r="C13" s="5"/>
      <c r="D13" s="12"/>
      <c r="E13" s="93" t="s">
        <v>142</v>
      </c>
      <c r="F13" s="94">
        <f>[7]JA0034628!$AJ$37</f>
        <v>992695</v>
      </c>
      <c r="G13" s="93" t="s">
        <v>143</v>
      </c>
      <c r="H13" s="94">
        <f>[7]ゆうちょ6473091!$AJ$37</f>
        <v>848315</v>
      </c>
      <c r="I13" s="93" t="s">
        <v>144</v>
      </c>
      <c r="J13" s="94">
        <f>[7]しま信0116975!$AJ$37</f>
        <v>592085</v>
      </c>
    </row>
    <row r="14" spans="1:11" ht="14.25" x14ac:dyDescent="0.15">
      <c r="A14" s="53" t="s">
        <v>130</v>
      </c>
      <c r="B14" s="75">
        <v>8929</v>
      </c>
      <c r="C14" s="5"/>
      <c r="D14" s="12"/>
    </row>
    <row r="15" spans="1:11" ht="14.25" x14ac:dyDescent="0.15">
      <c r="A15" s="55" t="s">
        <v>36</v>
      </c>
      <c r="B15" s="71">
        <v>32053017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5366850</v>
      </c>
      <c r="C16" s="11"/>
      <c r="D16" s="12"/>
      <c r="E16" t="s">
        <v>112</v>
      </c>
      <c r="F16" s="84">
        <f>'[8]未収金（認定調査委託料）'!$AJ$37</f>
        <v>15400</v>
      </c>
      <c r="G16" s="84">
        <f>'[8]未収金（居宅支援介護報酬）'!$AJ$37</f>
        <v>5078080</v>
      </c>
      <c r="H16" s="83"/>
    </row>
    <row r="17" spans="1:11" ht="14.25" x14ac:dyDescent="0.15">
      <c r="A17" s="54" t="s">
        <v>15</v>
      </c>
      <c r="B17" s="73">
        <v>15354177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5717862</v>
      </c>
      <c r="C18" s="11"/>
      <c r="D18" s="12"/>
      <c r="E18" t="s">
        <v>115</v>
      </c>
      <c r="F18" s="84">
        <f>'[8]未収金（通所保険請求）'!$AJ$37</f>
        <v>11735816</v>
      </c>
      <c r="G18" s="84">
        <f>'[8]未収金（通所利用者負担）'!$AJ$37</f>
        <v>1365938</v>
      </c>
      <c r="H18" s="84">
        <f>'[8]未収金（通所食費）'!$AJ$37</f>
        <v>648500</v>
      </c>
    </row>
    <row r="19" spans="1:11" ht="14.25" x14ac:dyDescent="0.15">
      <c r="A19" s="54" t="s">
        <v>16</v>
      </c>
      <c r="B19" s="73">
        <v>1962170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1566354</v>
      </c>
      <c r="C20" s="5"/>
      <c r="D20" s="12"/>
      <c r="E20" t="s">
        <v>119</v>
      </c>
      <c r="F20" s="84">
        <f>'[8]未収金（ゆけむり保険請求）'!$AJ$37</f>
        <v>3624471</v>
      </c>
      <c r="G20" s="84">
        <f>'[8]未収金（ゆけむり利用者負担）'!$AJ$37</f>
        <v>527342</v>
      </c>
      <c r="H20" s="84">
        <f>'[8]未収金（ゆけむり食費）'!$AJ$37</f>
        <v>113400</v>
      </c>
    </row>
    <row r="21" spans="1:11" ht="14.25" x14ac:dyDescent="0.15">
      <c r="A21" s="54" t="s">
        <v>103</v>
      </c>
      <c r="B21" s="73">
        <v>370652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72</v>
      </c>
      <c r="B22" s="85">
        <v>16700</v>
      </c>
      <c r="C22" s="5"/>
      <c r="D22" s="12"/>
      <c r="E22" t="s">
        <v>120</v>
      </c>
      <c r="F22" s="84">
        <f>'[8]未収金（予防通所保険請求）'!$AJ$37</f>
        <v>1811990</v>
      </c>
      <c r="G22" s="84">
        <f>'[8]未収金（予防通所利用者負担）'!$AJ$37</f>
        <v>120098</v>
      </c>
      <c r="H22" s="84">
        <f>'[8]未収金（予防通所食費）'!$AJ$37</f>
        <v>126500</v>
      </c>
    </row>
    <row r="23" spans="1:11" ht="14.25" x14ac:dyDescent="0.15">
      <c r="A23" s="54" t="s">
        <v>81</v>
      </c>
      <c r="B23" s="73">
        <v>390252</v>
      </c>
      <c r="C23" s="5"/>
      <c r="D23" s="12"/>
      <c r="F23" s="83" t="s">
        <v>131</v>
      </c>
      <c r="G23" s="83" t="s">
        <v>117</v>
      </c>
      <c r="H23" s="83"/>
    </row>
    <row r="24" spans="1:11" ht="14.25" x14ac:dyDescent="0.15">
      <c r="A24" s="54" t="s">
        <v>82</v>
      </c>
      <c r="B24" s="85">
        <v>62400</v>
      </c>
      <c r="C24" s="5"/>
      <c r="D24" s="12"/>
      <c r="E24" t="s">
        <v>121</v>
      </c>
      <c r="F24" s="84">
        <f>'[8]未収金（処遇改善保険請求）'!$AJ$37</f>
        <v>1190257</v>
      </c>
      <c r="G24" s="84">
        <f>'[8]未収金（処遇改善利用者負担）'!$AJ$37</f>
        <v>137834</v>
      </c>
      <c r="H24" s="83"/>
    </row>
    <row r="25" spans="1:11" ht="14.25" x14ac:dyDescent="0.15">
      <c r="A25" s="54" t="s">
        <v>17</v>
      </c>
      <c r="B25" s="86">
        <v>1240100</v>
      </c>
      <c r="C25" s="5"/>
      <c r="D25" s="12"/>
      <c r="F25" s="83" t="s">
        <v>116</v>
      </c>
      <c r="G25" s="83" t="s">
        <v>117</v>
      </c>
      <c r="H25" s="83"/>
      <c r="K25" t="s">
        <v>108</v>
      </c>
    </row>
    <row r="26" spans="1:11" ht="14.25" x14ac:dyDescent="0.15">
      <c r="A26" s="54" t="s">
        <v>71</v>
      </c>
      <c r="B26" s="87">
        <v>5500</v>
      </c>
      <c r="C26" s="5"/>
      <c r="D26" s="12"/>
      <c r="E26" t="s">
        <v>122</v>
      </c>
      <c r="F26" s="84">
        <f>'[8]未収金（特定処遇改善保険請求）'!$AJ$37</f>
        <v>275563</v>
      </c>
      <c r="G26" s="84">
        <f>'[8]未収金（特定処遇改善利用者負担）'!$AJ$37</f>
        <v>32435</v>
      </c>
      <c r="H26" s="83"/>
    </row>
    <row r="27" spans="1:11" ht="14.25" x14ac:dyDescent="0.15">
      <c r="A27" s="54" t="s">
        <v>79</v>
      </c>
      <c r="B27" s="85">
        <v>0</v>
      </c>
      <c r="C27" s="5"/>
      <c r="D27" s="12"/>
      <c r="F27" s="83" t="s">
        <v>131</v>
      </c>
      <c r="G27" s="83" t="s">
        <v>135</v>
      </c>
      <c r="H27" s="83" t="s">
        <v>118</v>
      </c>
    </row>
    <row r="28" spans="1:11" ht="14.25" x14ac:dyDescent="0.15">
      <c r="A28" s="55" t="s">
        <v>37</v>
      </c>
      <c r="B28" s="88">
        <v>838376</v>
      </c>
      <c r="C28" s="15" t="s">
        <v>0</v>
      </c>
      <c r="D28" s="12"/>
      <c r="E28" t="s">
        <v>123</v>
      </c>
      <c r="F28" s="84">
        <f>'[8]未収金（サロン保険請求）'!$AJ$37</f>
        <v>311572</v>
      </c>
      <c r="G28" s="84">
        <f>'[8]未収金（サロン利用者負担）'!$AJ$37</f>
        <v>21320</v>
      </c>
      <c r="H28" s="84">
        <f>'[8]未収金（サロン食費）'!$AJ$37</f>
        <v>22200</v>
      </c>
    </row>
    <row r="29" spans="1:11" ht="14.25" x14ac:dyDescent="0.15">
      <c r="A29" s="61" t="s">
        <v>96</v>
      </c>
      <c r="B29" s="71">
        <v>0</v>
      </c>
      <c r="C29" s="15"/>
      <c r="D29" s="12"/>
    </row>
    <row r="30" spans="1:11" ht="14.25" x14ac:dyDescent="0.15">
      <c r="A30" s="61" t="s">
        <v>38</v>
      </c>
      <c r="B30" s="7"/>
      <c r="C30" s="77">
        <f>B8+B9+B15+B28+B29</f>
        <v>41132374</v>
      </c>
      <c r="D30" s="12"/>
    </row>
    <row r="31" spans="1:11" ht="11.25" customHeight="1" x14ac:dyDescent="0.15">
      <c r="A31" s="11"/>
      <c r="B31" s="14"/>
      <c r="C31" s="5"/>
      <c r="D31" s="78" t="s">
        <v>0</v>
      </c>
    </row>
    <row r="32" spans="1:11" ht="14.25" x14ac:dyDescent="0.15">
      <c r="A32" s="55" t="s">
        <v>20</v>
      </c>
      <c r="B32" s="79" t="s">
        <v>0</v>
      </c>
      <c r="C32" s="5"/>
      <c r="D32" s="25"/>
    </row>
    <row r="33" spans="1:12" ht="14.25" x14ac:dyDescent="0.15">
      <c r="A33" s="55" t="s">
        <v>39</v>
      </c>
      <c r="B33" s="71">
        <v>44213471</v>
      </c>
      <c r="C33" s="5"/>
      <c r="D33" s="12"/>
      <c r="E33" t="s">
        <v>146</v>
      </c>
      <c r="F33" s="95">
        <f>'[9]建物（ほっと本体）'!$AJ$5</f>
        <v>225002</v>
      </c>
      <c r="G33" s="95">
        <f>'[9]建物（ほっと2階）'!$AJ$5</f>
        <v>159976</v>
      </c>
      <c r="H33" s="95">
        <f>'[9]建物（新庄）'!$AJ$5</f>
        <v>16342797</v>
      </c>
      <c r="I33" s="95">
        <f>'[9]建物（ゆけむり）'!$AJ$5</f>
        <v>23447684</v>
      </c>
      <c r="J33" s="95">
        <f>'[9]建物（ほっと浴室）'!$AJ$5</f>
        <v>4038012</v>
      </c>
    </row>
    <row r="34" spans="1:12" ht="14.25" x14ac:dyDescent="0.15">
      <c r="A34" s="55" t="s">
        <v>54</v>
      </c>
      <c r="B34" s="71">
        <v>5044881</v>
      </c>
      <c r="C34" s="5"/>
      <c r="D34" s="12"/>
      <c r="E34" t="s">
        <v>147</v>
      </c>
      <c r="F34" s="96">
        <f>'[9]附属建物（厨房）'!$AJ$5</f>
        <v>1</v>
      </c>
      <c r="G34" s="96">
        <f>'[9]附属建物（浴室）'!$AJ$5</f>
        <v>1</v>
      </c>
      <c r="H34" s="96">
        <f>'[9]附属建物（便所）'!$AJ$5</f>
        <v>1</v>
      </c>
      <c r="I34" s="96">
        <f>'[9]附属建物（廊下）'!$AJ$5</f>
        <v>1</v>
      </c>
      <c r="J34" s="96">
        <f>'[9]附属設備（電気設備その他）'!$AJ$5</f>
        <v>82438</v>
      </c>
      <c r="K34" s="96">
        <f>'[9]附属設備（給排水衛生設備）'!$AJ$5</f>
        <v>94536</v>
      </c>
      <c r="L34" s="96">
        <f>'[9]附属設備（消火排煙設備）'!$AJ$5</f>
        <v>5047</v>
      </c>
    </row>
    <row r="35" spans="1:12" ht="14.25" x14ac:dyDescent="0.15">
      <c r="A35" s="55" t="s">
        <v>55</v>
      </c>
      <c r="B35" s="71">
        <v>1179572</v>
      </c>
      <c r="C35" s="5"/>
      <c r="D35" s="12"/>
      <c r="F35" s="96">
        <f>'[9]附属設備（新庄電気設備）'!$AJ$5</f>
        <v>365715</v>
      </c>
      <c r="G35" s="96">
        <f>'[9]附属設備（新庄給排水設備）'!$AJ$5</f>
        <v>446005</v>
      </c>
      <c r="H35" s="96">
        <f>'[9]附属設備（電気設備）'!$AJ$5</f>
        <v>1028074</v>
      </c>
      <c r="I35" s="96">
        <f>'[9]附属設備（給排水設備）'!$AJ$5</f>
        <v>529605</v>
      </c>
      <c r="J35" s="96">
        <f>'[9]附属設備（新庄浴槽改装ガス給湯設備）'!$AJ$6</f>
        <v>513845</v>
      </c>
      <c r="K35" s="96">
        <f>'[9]附属設備（ほっと浴室移設電気工事）'!$AJ$5</f>
        <v>851136</v>
      </c>
      <c r="L35" s="96">
        <f>'[9]附属設備（ほっと浴室移設給排水設備）'!$AJ$5</f>
        <v>1128476</v>
      </c>
    </row>
    <row r="36" spans="1:12" ht="14.25" x14ac:dyDescent="0.15">
      <c r="A36" s="55" t="s">
        <v>75</v>
      </c>
      <c r="B36" s="71">
        <v>204884</v>
      </c>
      <c r="C36" s="5"/>
      <c r="D36" s="12"/>
      <c r="E36" t="s">
        <v>148</v>
      </c>
      <c r="F36" s="94">
        <f>'[9]構築物（舗装工事）'!$AJ$5</f>
        <v>1</v>
      </c>
      <c r="G36" s="94">
        <f>'[9]構築物（ゆけむり）'!$AJ$5</f>
        <v>358351</v>
      </c>
      <c r="H36" s="94">
        <f>'[9]構築物（新庄駐車場舗装）'!$AJ$5</f>
        <v>821220</v>
      </c>
    </row>
    <row r="37" spans="1:12" ht="14.25" x14ac:dyDescent="0.15">
      <c r="A37" s="55" t="s">
        <v>40</v>
      </c>
      <c r="B37" s="71">
        <v>2556593</v>
      </c>
      <c r="C37" s="5"/>
      <c r="D37" s="12"/>
      <c r="E37" t="s">
        <v>149</v>
      </c>
      <c r="F37" s="98">
        <f>'[9]器具備品（新庄玄関エアコン）'!$AJ$5</f>
        <v>31800</v>
      </c>
      <c r="G37" s="98">
        <f>'[9]器具備品（新庄事務室エアコン）'!$AJ$5</f>
        <v>173084</v>
      </c>
    </row>
    <row r="38" spans="1:12" ht="14.25" x14ac:dyDescent="0.15">
      <c r="A38" s="55" t="s">
        <v>41</v>
      </c>
      <c r="B38" s="88">
        <v>110600</v>
      </c>
      <c r="C38" s="5"/>
      <c r="D38" s="12"/>
      <c r="E38" t="s">
        <v>150</v>
      </c>
      <c r="F38" s="94">
        <f>'[9]車両（タウンボックス）'!$AJ$5</f>
        <v>1</v>
      </c>
      <c r="G38" s="94">
        <f>'[9]車両（はとバン）'!$AJ$5</f>
        <v>1</v>
      </c>
      <c r="H38" s="94">
        <f>'[9]車両（ノア）'!$AJ$5</f>
        <v>1</v>
      </c>
      <c r="I38" s="94">
        <f>'[9]車両（セレナ）'!$AJ$5</f>
        <v>1</v>
      </c>
      <c r="J38" s="94">
        <f>'[9]車両（アトレー１）'!$AJ$5</f>
        <v>1</v>
      </c>
      <c r="K38" s="94">
        <f>'[9]車両（アトレー４）'!$AJ$5</f>
        <v>2078860</v>
      </c>
      <c r="L38" s="94">
        <f>'[9]車両（キャラ３）'!$AJ$5</f>
        <v>0</v>
      </c>
    </row>
    <row r="39" spans="1:12" ht="14.25" x14ac:dyDescent="0.15">
      <c r="A39" s="55" t="s">
        <v>42</v>
      </c>
      <c r="B39" s="88">
        <v>50000</v>
      </c>
      <c r="C39" s="11"/>
      <c r="D39" s="12"/>
      <c r="F39" s="94">
        <f>'[9]車両（フリード２）'!$AJ$5</f>
        <v>477725</v>
      </c>
      <c r="G39" s="94">
        <f>'[9]車両（セブン２）'!$AJ$5</f>
        <v>1</v>
      </c>
      <c r="H39" s="94">
        <f>'[9]車両（EK３）'!$AJ$5</f>
        <v>1</v>
      </c>
    </row>
    <row r="40" spans="1:12" ht="14.25" x14ac:dyDescent="0.15">
      <c r="A40" s="55" t="s">
        <v>66</v>
      </c>
      <c r="B40" s="88">
        <v>165580</v>
      </c>
      <c r="C40" s="76"/>
      <c r="D40" s="12"/>
    </row>
    <row r="41" spans="1:12" ht="14.25" x14ac:dyDescent="0.15">
      <c r="A41" s="61" t="s">
        <v>43</v>
      </c>
      <c r="B41" s="80"/>
      <c r="C41" s="37">
        <f>SUM(B33:B40)</f>
        <v>53525581</v>
      </c>
      <c r="D41" s="12"/>
    </row>
    <row r="42" spans="1:12" ht="8.25" customHeight="1" x14ac:dyDescent="0.15">
      <c r="A42" s="11"/>
      <c r="B42" s="19"/>
      <c r="C42" s="5"/>
      <c r="D42" s="12"/>
    </row>
    <row r="43" spans="1:12" ht="14.25" x14ac:dyDescent="0.15">
      <c r="A43" s="58" t="s">
        <v>23</v>
      </c>
      <c r="B43" s="80"/>
      <c r="C43" s="10"/>
      <c r="D43" s="38">
        <f>C30+C41</f>
        <v>94657955</v>
      </c>
    </row>
    <row r="44" spans="1:12" ht="11.25" customHeight="1" x14ac:dyDescent="0.15">
      <c r="A44" s="9"/>
      <c r="B44" s="62"/>
      <c r="C44" s="62"/>
      <c r="D44" s="62"/>
    </row>
    <row r="45" spans="1:12" ht="14.25" x14ac:dyDescent="0.15">
      <c r="A45" s="60" t="s">
        <v>18</v>
      </c>
      <c r="B45" s="79"/>
      <c r="C45" s="5"/>
      <c r="D45" s="12"/>
    </row>
    <row r="46" spans="1:12" ht="14.25" x14ac:dyDescent="0.15">
      <c r="A46" s="55" t="s">
        <v>21</v>
      </c>
      <c r="B46" s="79"/>
      <c r="C46" s="5"/>
      <c r="D46" s="23"/>
    </row>
    <row r="47" spans="1:12" ht="14.25" x14ac:dyDescent="0.15">
      <c r="A47" s="55" t="s">
        <v>32</v>
      </c>
      <c r="B47" s="88">
        <v>568824</v>
      </c>
      <c r="C47" s="5"/>
      <c r="D47" s="78"/>
    </row>
    <row r="48" spans="1:12" ht="14.25" x14ac:dyDescent="0.15">
      <c r="A48" s="55" t="s">
        <v>33</v>
      </c>
      <c r="B48" s="71">
        <v>0</v>
      </c>
      <c r="C48" s="5"/>
      <c r="D48" s="12"/>
    </row>
    <row r="49" spans="1:8" ht="6.75" customHeight="1" x14ac:dyDescent="0.15">
      <c r="A49" s="59"/>
      <c r="B49" s="79"/>
      <c r="C49" s="11"/>
      <c r="D49" s="12"/>
    </row>
    <row r="50" spans="1:8" ht="14.25" x14ac:dyDescent="0.15">
      <c r="A50" s="55" t="s">
        <v>31</v>
      </c>
      <c r="B50" s="80"/>
      <c r="C50" s="37">
        <f>B47+B48</f>
        <v>568824</v>
      </c>
      <c r="D50" s="23"/>
      <c r="E50" t="s">
        <v>108</v>
      </c>
    </row>
    <row r="51" spans="1:8" ht="11.25" customHeight="1" x14ac:dyDescent="0.15">
      <c r="A51" s="3"/>
      <c r="B51" s="14"/>
      <c r="C51" s="34"/>
      <c r="D51" s="25"/>
    </row>
    <row r="52" spans="1:8" ht="14.25" x14ac:dyDescent="0.15">
      <c r="A52" s="55" t="s">
        <v>22</v>
      </c>
      <c r="B52" s="19"/>
      <c r="C52" s="81"/>
      <c r="D52" s="23"/>
    </row>
    <row r="53" spans="1:8" ht="14.25" x14ac:dyDescent="0.15">
      <c r="A53" s="55" t="s">
        <v>30</v>
      </c>
      <c r="B53" s="88">
        <v>1320000</v>
      </c>
      <c r="C53" s="11"/>
      <c r="D53" s="25"/>
    </row>
    <row r="54" spans="1:8" ht="14.25" x14ac:dyDescent="0.15">
      <c r="A54" s="9"/>
      <c r="B54" s="19"/>
      <c r="C54" s="11"/>
      <c r="D54" s="25"/>
      <c r="G54" t="s">
        <v>108</v>
      </c>
    </row>
    <row r="55" spans="1:8" ht="14.25" x14ac:dyDescent="0.15">
      <c r="A55" s="61" t="s">
        <v>29</v>
      </c>
      <c r="B55" s="10"/>
      <c r="C55" s="37">
        <f>B53</f>
        <v>1320000</v>
      </c>
      <c r="D55" s="23"/>
    </row>
    <row r="56" spans="1:8" ht="6.75" customHeight="1" x14ac:dyDescent="0.15">
      <c r="A56" s="3"/>
      <c r="B56" s="19"/>
      <c r="C56" s="11"/>
      <c r="D56" s="23"/>
    </row>
    <row r="57" spans="1:8" ht="14.25" x14ac:dyDescent="0.15">
      <c r="A57" s="58" t="s">
        <v>24</v>
      </c>
      <c r="B57" s="40"/>
      <c r="C57" s="40"/>
      <c r="D57" s="38">
        <f>C50+C55</f>
        <v>1888824</v>
      </c>
    </row>
    <row r="58" spans="1:8" ht="11.25" customHeight="1" x14ac:dyDescent="0.15">
      <c r="A58" s="3"/>
      <c r="B58" s="19"/>
      <c r="C58" s="11"/>
      <c r="D58" s="23"/>
    </row>
    <row r="59" spans="1:8" ht="14.25" x14ac:dyDescent="0.15">
      <c r="A59" s="55" t="s">
        <v>3</v>
      </c>
      <c r="B59" s="30"/>
      <c r="C59" s="35"/>
      <c r="D59" s="31"/>
    </row>
    <row r="60" spans="1:8" ht="15" customHeight="1" x14ac:dyDescent="0.15">
      <c r="A60" s="55" t="s">
        <v>27</v>
      </c>
      <c r="B60" s="10"/>
      <c r="C60" s="39"/>
      <c r="D60" s="39">
        <v>0</v>
      </c>
      <c r="H60" t="s">
        <v>0</v>
      </c>
    </row>
    <row r="61" spans="1:8" ht="15.75" customHeight="1" x14ac:dyDescent="0.15">
      <c r="A61" s="55" t="s">
        <v>28</v>
      </c>
      <c r="B61" s="47"/>
      <c r="C61" s="9"/>
      <c r="D61" s="43">
        <f>D43-D57</f>
        <v>92769131</v>
      </c>
      <c r="F61" s="90" t="s">
        <v>124</v>
      </c>
    </row>
    <row r="62" spans="1:8" ht="15.75" customHeight="1" x14ac:dyDescent="0.15">
      <c r="A62" s="59" t="s">
        <v>11</v>
      </c>
      <c r="B62" s="9"/>
      <c r="D62" s="70">
        <f>D63-'4.3月'!D63</f>
        <v>-4039175</v>
      </c>
      <c r="F62" s="92">
        <f>D62-[10]令和4年度!$P$74</f>
        <v>1167622</v>
      </c>
    </row>
    <row r="63" spans="1:8" ht="16.5" customHeight="1" x14ac:dyDescent="0.15">
      <c r="A63" s="55" t="s">
        <v>26</v>
      </c>
      <c r="B63" s="22"/>
      <c r="C63" s="48"/>
      <c r="D63" s="44">
        <f>D61</f>
        <v>92769131</v>
      </c>
      <c r="F63" s="91"/>
    </row>
    <row r="64" spans="1:8" ht="14.25" x14ac:dyDescent="0.15">
      <c r="A64" s="55" t="s">
        <v>25</v>
      </c>
      <c r="B64" s="22"/>
      <c r="C64" s="9"/>
      <c r="D64" s="69">
        <f>D57+D63</f>
        <v>94657955</v>
      </c>
      <c r="F64" s="68"/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29577-8C50-4034-ABAB-CDAEF75CB7B7}">
  <dimension ref="A1:L108"/>
  <sheetViews>
    <sheetView topLeftCell="A46" zoomScaleNormal="100" workbookViewId="0">
      <selection activeCell="F58" sqref="F58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160</v>
      </c>
      <c r="B1" s="122"/>
      <c r="C1" s="122"/>
      <c r="D1" s="122"/>
    </row>
    <row r="2" spans="1:11" ht="17.25" customHeight="1" x14ac:dyDescent="0.15">
      <c r="A2" s="116" t="s">
        <v>165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8584879</v>
      </c>
      <c r="C9" s="5"/>
      <c r="D9" s="12"/>
      <c r="F9" s="84">
        <f>'[7]0138359'!$AJ$37</f>
        <v>5166363</v>
      </c>
      <c r="G9" s="84">
        <f>'[7]0138642（居宅）'!$AJ$37</f>
        <v>44978</v>
      </c>
      <c r="H9" s="84">
        <f>'[7]0138655（通所）'!$AJ$37</f>
        <v>5783</v>
      </c>
      <c r="I9" s="84">
        <f>'[7]0156560（新庄）'!$AJ$37</f>
        <v>150151</v>
      </c>
      <c r="J9" s="84">
        <f>'[7]0158313（ゆけむり）'!$AJ$37</f>
        <v>266576</v>
      </c>
      <c r="K9" s="84">
        <f>'[7]0139101（ちゃれんじ）'!$AJ$37</f>
        <v>4614071</v>
      </c>
    </row>
    <row r="10" spans="1:11" ht="14.25" x14ac:dyDescent="0.15">
      <c r="A10" s="53" t="s">
        <v>102</v>
      </c>
      <c r="B10" s="73">
        <v>5732787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731278</v>
      </c>
      <c r="C11" s="5"/>
      <c r="D11" s="23"/>
      <c r="F11" s="84">
        <f>'[7]2253865（助け合い）'!$AJ$37</f>
        <v>30200</v>
      </c>
      <c r="G11" s="89">
        <f>'[7]2253871（通所）'!$AJ$37</f>
        <v>919800</v>
      </c>
      <c r="H11" s="84">
        <f>'[7]2254321（ミニ）'!$AJ$37</f>
        <v>0</v>
      </c>
    </row>
    <row r="12" spans="1:11" ht="14.25" x14ac:dyDescent="0.15">
      <c r="A12" s="53" t="s">
        <v>128</v>
      </c>
      <c r="B12" s="74">
        <v>965016</v>
      </c>
      <c r="C12" s="5"/>
      <c r="D12" s="23"/>
    </row>
    <row r="13" spans="1:11" ht="14.25" x14ac:dyDescent="0.15">
      <c r="A13" s="53" t="s">
        <v>129</v>
      </c>
      <c r="B13" s="75">
        <v>962596</v>
      </c>
      <c r="C13" s="5"/>
      <c r="D13" s="12"/>
      <c r="E13" s="93" t="s">
        <v>142</v>
      </c>
      <c r="F13" s="94">
        <f>[7]JA0034628!$AJ$37</f>
        <v>992695</v>
      </c>
      <c r="G13" s="93" t="s">
        <v>143</v>
      </c>
      <c r="H13" s="94">
        <f>[7]ゆうちょ6473091!$AJ$37</f>
        <v>848315</v>
      </c>
      <c r="I13" s="93" t="s">
        <v>144</v>
      </c>
      <c r="J13" s="94">
        <f>[7]しま信0116975!$AJ$37</f>
        <v>592085</v>
      </c>
    </row>
    <row r="14" spans="1:11" ht="14.25" x14ac:dyDescent="0.15">
      <c r="A14" s="53" t="s">
        <v>130</v>
      </c>
      <c r="B14" s="75">
        <v>193202</v>
      </c>
      <c r="C14" s="5"/>
      <c r="D14" s="12"/>
    </row>
    <row r="15" spans="1:11" ht="14.25" x14ac:dyDescent="0.15">
      <c r="A15" s="55" t="s">
        <v>36</v>
      </c>
      <c r="B15" s="71">
        <v>32337527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5467940</v>
      </c>
      <c r="C16" s="11"/>
      <c r="D16" s="12"/>
      <c r="E16" t="s">
        <v>112</v>
      </c>
      <c r="F16" s="84">
        <f>'[8]未収金（認定調査委託料）'!$AJ$37</f>
        <v>15400</v>
      </c>
      <c r="G16" s="84">
        <f>'[8]未収金（居宅支援介護報酬）'!$AJ$37</f>
        <v>5078080</v>
      </c>
      <c r="H16" s="83"/>
    </row>
    <row r="17" spans="1:11" ht="14.25" x14ac:dyDescent="0.15">
      <c r="A17" s="54" t="s">
        <v>15</v>
      </c>
      <c r="B17" s="73">
        <v>15451997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5723105</v>
      </c>
      <c r="C18" s="11"/>
      <c r="D18" s="12"/>
      <c r="E18" t="s">
        <v>115</v>
      </c>
      <c r="F18" s="84">
        <f>'[8]未収金（通所保険請求）'!$AJ$37</f>
        <v>11735816</v>
      </c>
      <c r="G18" s="84">
        <f>'[8]未収金（通所利用者負担）'!$AJ$37</f>
        <v>1365938</v>
      </c>
      <c r="H18" s="84">
        <f>'[8]未収金（通所食費）'!$AJ$37</f>
        <v>648500</v>
      </c>
    </row>
    <row r="19" spans="1:11" ht="14.25" x14ac:dyDescent="0.15">
      <c r="A19" s="54" t="s">
        <v>16</v>
      </c>
      <c r="B19" s="73">
        <v>1945565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1569682</v>
      </c>
      <c r="C20" s="5"/>
      <c r="D20" s="12"/>
      <c r="E20" t="s">
        <v>119</v>
      </c>
      <c r="F20" s="84">
        <f>'[8]未収金（ゆけむり保険請求）'!$AJ$37</f>
        <v>3624471</v>
      </c>
      <c r="G20" s="84">
        <f>'[8]未収金（ゆけむり利用者負担）'!$AJ$37</f>
        <v>527342</v>
      </c>
      <c r="H20" s="84">
        <f>'[8]未収金（ゆけむり食費）'!$AJ$37</f>
        <v>113400</v>
      </c>
    </row>
    <row r="21" spans="1:11" ht="14.25" x14ac:dyDescent="0.15">
      <c r="A21" s="54" t="s">
        <v>103</v>
      </c>
      <c r="B21" s="73">
        <v>371258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72</v>
      </c>
      <c r="B22" s="85">
        <v>23900</v>
      </c>
      <c r="C22" s="5"/>
      <c r="D22" s="12"/>
      <c r="E22" t="s">
        <v>120</v>
      </c>
      <c r="F22" s="84">
        <f>'[8]未収金（予防通所保険請求）'!$AJ$37</f>
        <v>1811990</v>
      </c>
      <c r="G22" s="84">
        <f>'[8]未収金（予防通所利用者負担）'!$AJ$37</f>
        <v>120098</v>
      </c>
      <c r="H22" s="84">
        <f>'[8]未収金（予防通所食費）'!$AJ$37</f>
        <v>126500</v>
      </c>
    </row>
    <row r="23" spans="1:11" ht="14.25" x14ac:dyDescent="0.15">
      <c r="A23" s="54" t="s">
        <v>81</v>
      </c>
      <c r="B23" s="73">
        <v>380380</v>
      </c>
      <c r="C23" s="5"/>
      <c r="D23" s="12"/>
      <c r="F23" s="83" t="s">
        <v>131</v>
      </c>
      <c r="G23" s="83" t="s">
        <v>117</v>
      </c>
      <c r="H23" s="83"/>
    </row>
    <row r="24" spans="1:11" ht="14.25" x14ac:dyDescent="0.15">
      <c r="A24" s="54" t="s">
        <v>82</v>
      </c>
      <c r="B24" s="85">
        <v>83800</v>
      </c>
      <c r="C24" s="5"/>
      <c r="D24" s="12"/>
      <c r="E24" t="s">
        <v>121</v>
      </c>
      <c r="F24" s="84">
        <f>'[8]未収金（処遇改善保険請求）'!$AJ$37</f>
        <v>1190257</v>
      </c>
      <c r="G24" s="84">
        <f>'[8]未収金（処遇改善利用者負担）'!$AJ$37</f>
        <v>137834</v>
      </c>
      <c r="H24" s="83"/>
    </row>
    <row r="25" spans="1:11" ht="14.25" x14ac:dyDescent="0.15">
      <c r="A25" s="54" t="s">
        <v>17</v>
      </c>
      <c r="B25" s="86">
        <v>1305400</v>
      </c>
      <c r="C25" s="5"/>
      <c r="D25" s="12"/>
      <c r="F25" s="83" t="s">
        <v>116</v>
      </c>
      <c r="G25" s="83" t="s">
        <v>117</v>
      </c>
      <c r="H25" s="83"/>
      <c r="K25" t="s">
        <v>108</v>
      </c>
    </row>
    <row r="26" spans="1:11" ht="14.25" x14ac:dyDescent="0.15">
      <c r="A26" s="54" t="s">
        <v>71</v>
      </c>
      <c r="B26" s="87">
        <v>14500</v>
      </c>
      <c r="C26" s="5"/>
      <c r="D26" s="12"/>
      <c r="E26" t="s">
        <v>122</v>
      </c>
      <c r="F26" s="84">
        <f>'[8]未収金（特定処遇改善保険請求）'!$AJ$37</f>
        <v>275563</v>
      </c>
      <c r="G26" s="84">
        <f>'[8]未収金（特定処遇改善利用者負担）'!$AJ$37</f>
        <v>32435</v>
      </c>
      <c r="H26" s="83"/>
    </row>
    <row r="27" spans="1:11" ht="14.25" x14ac:dyDescent="0.15">
      <c r="A27" s="54" t="s">
        <v>79</v>
      </c>
      <c r="B27" s="85">
        <v>0</v>
      </c>
      <c r="C27" s="5"/>
      <c r="D27" s="12"/>
      <c r="F27" s="83" t="s">
        <v>131</v>
      </c>
      <c r="G27" s="83" t="s">
        <v>135</v>
      </c>
      <c r="H27" s="83" t="s">
        <v>118</v>
      </c>
    </row>
    <row r="28" spans="1:11" ht="14.25" x14ac:dyDescent="0.15">
      <c r="A28" s="55" t="s">
        <v>37</v>
      </c>
      <c r="B28" s="88">
        <v>818376</v>
      </c>
      <c r="C28" s="15" t="s">
        <v>0</v>
      </c>
      <c r="D28" s="12"/>
      <c r="E28" t="s">
        <v>123</v>
      </c>
      <c r="F28" s="84">
        <f>'[8]未収金（サロン保険請求）'!$AJ$37</f>
        <v>311572</v>
      </c>
      <c r="G28" s="84">
        <f>'[8]未収金（サロン利用者負担）'!$AJ$37</f>
        <v>21320</v>
      </c>
      <c r="H28" s="84">
        <f>'[8]未収金（サロン食費）'!$AJ$37</f>
        <v>22200</v>
      </c>
    </row>
    <row r="29" spans="1:11" ht="14.25" x14ac:dyDescent="0.15">
      <c r="A29" s="61" t="s">
        <v>96</v>
      </c>
      <c r="B29" s="71">
        <v>0</v>
      </c>
      <c r="C29" s="15"/>
      <c r="D29" s="12"/>
    </row>
    <row r="30" spans="1:11" ht="14.25" x14ac:dyDescent="0.15">
      <c r="A30" s="61" t="s">
        <v>38</v>
      </c>
      <c r="B30" s="7"/>
      <c r="C30" s="77">
        <v>41743167</v>
      </c>
      <c r="D30" s="12"/>
    </row>
    <row r="31" spans="1:11" ht="11.25" customHeight="1" x14ac:dyDescent="0.15">
      <c r="A31" s="11"/>
      <c r="B31" s="14"/>
      <c r="C31" s="5"/>
      <c r="D31" s="78" t="s">
        <v>0</v>
      </c>
    </row>
    <row r="32" spans="1:11" ht="14.25" x14ac:dyDescent="0.15">
      <c r="A32" s="55" t="s">
        <v>20</v>
      </c>
      <c r="B32" s="79" t="s">
        <v>0</v>
      </c>
      <c r="C32" s="5"/>
      <c r="D32" s="25"/>
    </row>
    <row r="33" spans="1:12" ht="14.25" x14ac:dyDescent="0.15">
      <c r="A33" s="55" t="s">
        <v>39</v>
      </c>
      <c r="B33" s="71">
        <v>44213471</v>
      </c>
      <c r="C33" s="5"/>
      <c r="D33" s="12"/>
      <c r="E33" t="s">
        <v>146</v>
      </c>
      <c r="F33" s="95">
        <f>'[9]建物（ほっと本体）'!$AJ$5</f>
        <v>225002</v>
      </c>
      <c r="G33" s="95">
        <f>'[9]建物（ほっと2階）'!$AJ$5</f>
        <v>159976</v>
      </c>
      <c r="H33" s="95">
        <f>'[9]建物（新庄）'!$AJ$5</f>
        <v>16342797</v>
      </c>
      <c r="I33" s="95">
        <f>'[9]建物（ゆけむり）'!$AJ$5</f>
        <v>23447684</v>
      </c>
      <c r="J33" s="95">
        <f>'[9]建物（ほっと浴室）'!$AJ$5</f>
        <v>4038012</v>
      </c>
    </row>
    <row r="34" spans="1:12" ht="14.25" x14ac:dyDescent="0.15">
      <c r="A34" s="55" t="s">
        <v>54</v>
      </c>
      <c r="B34" s="71">
        <v>5044881</v>
      </c>
      <c r="C34" s="5"/>
      <c r="D34" s="12"/>
      <c r="E34" t="s">
        <v>147</v>
      </c>
      <c r="F34" s="96">
        <f>'[9]附属建物（厨房）'!$AJ$5</f>
        <v>1</v>
      </c>
      <c r="G34" s="96">
        <f>'[9]附属建物（浴室）'!$AJ$5</f>
        <v>1</v>
      </c>
      <c r="H34" s="96">
        <f>'[9]附属建物（便所）'!$AJ$5</f>
        <v>1</v>
      </c>
      <c r="I34" s="96">
        <f>'[9]附属建物（廊下）'!$AJ$5</f>
        <v>1</v>
      </c>
      <c r="J34" s="96">
        <f>'[9]附属設備（電気設備その他）'!$AJ$5</f>
        <v>82438</v>
      </c>
      <c r="K34" s="96">
        <f>'[9]附属設備（給排水衛生設備）'!$AJ$5</f>
        <v>94536</v>
      </c>
      <c r="L34" s="96">
        <f>'[9]附属設備（消火排煙設備）'!$AJ$5</f>
        <v>5047</v>
      </c>
    </row>
    <row r="35" spans="1:12" ht="14.25" x14ac:dyDescent="0.15">
      <c r="A35" s="55" t="s">
        <v>55</v>
      </c>
      <c r="B35" s="71">
        <v>1179572</v>
      </c>
      <c r="C35" s="5"/>
      <c r="D35" s="12"/>
      <c r="F35" s="96">
        <f>'[9]附属設備（新庄電気設備）'!$AJ$5</f>
        <v>365715</v>
      </c>
      <c r="G35" s="96">
        <f>'[9]附属設備（新庄給排水設備）'!$AJ$5</f>
        <v>446005</v>
      </c>
      <c r="H35" s="96">
        <f>'[9]附属設備（電気設備）'!$AJ$5</f>
        <v>1028074</v>
      </c>
      <c r="I35" s="96">
        <f>'[9]附属設備（給排水設備）'!$AJ$5</f>
        <v>529605</v>
      </c>
      <c r="J35" s="96">
        <f>'[9]附属設備（新庄浴槽改装ガス給湯設備）'!$AJ$6</f>
        <v>513845</v>
      </c>
      <c r="K35" s="96">
        <f>'[9]附属設備（ほっと浴室移設電気工事）'!$AJ$5</f>
        <v>851136</v>
      </c>
      <c r="L35" s="96">
        <f>'[9]附属設備（ほっと浴室移設給排水設備）'!$AJ$5</f>
        <v>1128476</v>
      </c>
    </row>
    <row r="36" spans="1:12" ht="14.25" x14ac:dyDescent="0.15">
      <c r="A36" s="55" t="s">
        <v>75</v>
      </c>
      <c r="B36" s="71">
        <v>204884</v>
      </c>
      <c r="C36" s="5"/>
      <c r="D36" s="12"/>
      <c r="E36" t="s">
        <v>148</v>
      </c>
      <c r="F36" s="94">
        <f>'[9]構築物（舗装工事）'!$AJ$5</f>
        <v>1</v>
      </c>
      <c r="G36" s="94">
        <f>'[9]構築物（ゆけむり）'!$AJ$5</f>
        <v>358351</v>
      </c>
      <c r="H36" s="94">
        <f>'[9]構築物（新庄駐車場舗装）'!$AJ$5</f>
        <v>821220</v>
      </c>
    </row>
    <row r="37" spans="1:12" ht="14.25" x14ac:dyDescent="0.15">
      <c r="A37" s="55" t="s">
        <v>40</v>
      </c>
      <c r="B37" s="71">
        <v>2556593</v>
      </c>
      <c r="C37" s="5"/>
      <c r="D37" s="12"/>
      <c r="E37" t="s">
        <v>149</v>
      </c>
      <c r="F37" s="98">
        <f>'[9]器具備品（新庄玄関エアコン）'!$AJ$5</f>
        <v>31800</v>
      </c>
      <c r="G37" s="98">
        <f>'[9]器具備品（新庄事務室エアコン）'!$AJ$5</f>
        <v>173084</v>
      </c>
    </row>
    <row r="38" spans="1:12" ht="14.25" x14ac:dyDescent="0.15">
      <c r="A38" s="55" t="s">
        <v>41</v>
      </c>
      <c r="B38" s="88">
        <v>110600</v>
      </c>
      <c r="C38" s="5"/>
      <c r="D38" s="12"/>
      <c r="E38" t="s">
        <v>150</v>
      </c>
      <c r="F38" s="94">
        <f>'[9]車両（タウンボックス）'!$AJ$5</f>
        <v>1</v>
      </c>
      <c r="G38" s="94">
        <f>'[9]車両（はとバン）'!$AJ$5</f>
        <v>1</v>
      </c>
      <c r="H38" s="94">
        <f>'[9]車両（ノア）'!$AJ$5</f>
        <v>1</v>
      </c>
      <c r="I38" s="94">
        <f>'[9]車両（セレナ）'!$AJ$5</f>
        <v>1</v>
      </c>
      <c r="J38" s="94">
        <f>'[9]車両（アトレー１）'!$AJ$5</f>
        <v>1</v>
      </c>
      <c r="K38" s="94">
        <f>'[9]車両（アトレー４）'!$AJ$5</f>
        <v>2078860</v>
      </c>
      <c r="L38" s="94">
        <f>'[9]車両（キャラ３）'!$AJ$5</f>
        <v>0</v>
      </c>
    </row>
    <row r="39" spans="1:12" ht="14.25" x14ac:dyDescent="0.15">
      <c r="A39" s="55" t="s">
        <v>42</v>
      </c>
      <c r="B39" s="88">
        <v>50000</v>
      </c>
      <c r="C39" s="11"/>
      <c r="D39" s="12"/>
      <c r="F39" s="94">
        <f>'[9]車両（フリード２）'!$AJ$5</f>
        <v>477725</v>
      </c>
      <c r="G39" s="94">
        <f>'[9]車両（セブン２）'!$AJ$5</f>
        <v>1</v>
      </c>
      <c r="H39" s="94">
        <f>'[9]車両（EK３）'!$AJ$5</f>
        <v>1</v>
      </c>
    </row>
    <row r="40" spans="1:12" ht="14.25" x14ac:dyDescent="0.15">
      <c r="A40" s="55" t="s">
        <v>66</v>
      </c>
      <c r="B40" s="88">
        <v>165580</v>
      </c>
      <c r="C40" s="76"/>
      <c r="D40" s="12"/>
    </row>
    <row r="41" spans="1:12" ht="14.25" x14ac:dyDescent="0.15">
      <c r="A41" s="61" t="s">
        <v>43</v>
      </c>
      <c r="B41" s="80"/>
      <c r="C41" s="37">
        <v>53525581</v>
      </c>
      <c r="D41" s="12"/>
    </row>
    <row r="42" spans="1:12" ht="8.25" customHeight="1" x14ac:dyDescent="0.15">
      <c r="A42" s="11"/>
      <c r="B42" s="19"/>
      <c r="C42" s="5"/>
      <c r="D42" s="12"/>
    </row>
    <row r="43" spans="1:12" ht="14.25" x14ac:dyDescent="0.15">
      <c r="A43" s="58" t="s">
        <v>23</v>
      </c>
      <c r="B43" s="80"/>
      <c r="C43" s="10"/>
      <c r="D43" s="38">
        <f>C30+C41</f>
        <v>95268748</v>
      </c>
    </row>
    <row r="44" spans="1:12" ht="11.25" customHeight="1" x14ac:dyDescent="0.15">
      <c r="A44" s="9"/>
      <c r="B44" s="62"/>
      <c r="C44" s="62"/>
      <c r="D44" s="62"/>
    </row>
    <row r="45" spans="1:12" ht="14.25" x14ac:dyDescent="0.15">
      <c r="A45" s="60" t="s">
        <v>18</v>
      </c>
      <c r="B45" s="79"/>
      <c r="C45" s="5"/>
      <c r="D45" s="12"/>
    </row>
    <row r="46" spans="1:12" ht="14.25" x14ac:dyDescent="0.15">
      <c r="A46" s="55" t="s">
        <v>21</v>
      </c>
      <c r="B46" s="79"/>
      <c r="C46" s="5"/>
      <c r="D46" s="23"/>
    </row>
    <row r="47" spans="1:12" ht="14.25" x14ac:dyDescent="0.15">
      <c r="A47" s="55" t="s">
        <v>32</v>
      </c>
      <c r="B47" s="88">
        <v>643482</v>
      </c>
      <c r="C47" s="5"/>
      <c r="D47" s="78"/>
    </row>
    <row r="48" spans="1:12" ht="14.25" x14ac:dyDescent="0.15">
      <c r="A48" s="55" t="s">
        <v>33</v>
      </c>
      <c r="B48" s="71">
        <v>0</v>
      </c>
      <c r="C48" s="5"/>
      <c r="D48" s="12"/>
    </row>
    <row r="49" spans="1:8" ht="6.75" customHeight="1" x14ac:dyDescent="0.15">
      <c r="A49" s="59"/>
      <c r="B49" s="79"/>
      <c r="C49" s="11"/>
      <c r="D49" s="12"/>
    </row>
    <row r="50" spans="1:8" ht="14.25" x14ac:dyDescent="0.15">
      <c r="A50" s="55" t="s">
        <v>31</v>
      </c>
      <c r="B50" s="80"/>
      <c r="C50" s="37">
        <v>643482</v>
      </c>
      <c r="D50" s="23"/>
      <c r="E50" t="s">
        <v>108</v>
      </c>
    </row>
    <row r="51" spans="1:8" ht="11.25" customHeight="1" x14ac:dyDescent="0.15">
      <c r="A51" s="3"/>
      <c r="B51" s="14"/>
      <c r="C51" s="34"/>
      <c r="D51" s="25"/>
    </row>
    <row r="52" spans="1:8" ht="14.25" x14ac:dyDescent="0.15">
      <c r="A52" s="55" t="s">
        <v>22</v>
      </c>
      <c r="B52" s="19"/>
      <c r="C52" s="81"/>
      <c r="D52" s="23"/>
    </row>
    <row r="53" spans="1:8" ht="14.25" x14ac:dyDescent="0.15">
      <c r="A53" s="55" t="s">
        <v>30</v>
      </c>
      <c r="B53" s="88">
        <v>1040000</v>
      </c>
      <c r="C53" s="11"/>
      <c r="D53" s="25"/>
    </row>
    <row r="54" spans="1:8" ht="14.25" x14ac:dyDescent="0.15">
      <c r="A54" s="9"/>
      <c r="B54" s="19"/>
      <c r="C54" s="11"/>
      <c r="D54" s="25"/>
      <c r="G54" t="s">
        <v>108</v>
      </c>
    </row>
    <row r="55" spans="1:8" ht="14.25" x14ac:dyDescent="0.15">
      <c r="A55" s="61" t="s">
        <v>29</v>
      </c>
      <c r="B55" s="10"/>
      <c r="C55" s="37">
        <f>B53</f>
        <v>1040000</v>
      </c>
      <c r="D55" s="23"/>
    </row>
    <row r="56" spans="1:8" ht="6.75" customHeight="1" x14ac:dyDescent="0.15">
      <c r="A56" s="3"/>
      <c r="B56" s="19"/>
      <c r="C56" s="11"/>
      <c r="D56" s="23"/>
    </row>
    <row r="57" spans="1:8" ht="14.25" x14ac:dyDescent="0.15">
      <c r="A57" s="58" t="s">
        <v>24</v>
      </c>
      <c r="B57" s="40"/>
      <c r="C57" s="40"/>
      <c r="D57" s="38">
        <v>1683482</v>
      </c>
    </row>
    <row r="58" spans="1:8" ht="11.25" customHeight="1" x14ac:dyDescent="0.15">
      <c r="A58" s="3"/>
      <c r="B58" s="19"/>
      <c r="C58" s="11"/>
      <c r="D58" s="23"/>
    </row>
    <row r="59" spans="1:8" ht="14.25" x14ac:dyDescent="0.15">
      <c r="A59" s="55" t="s">
        <v>3</v>
      </c>
      <c r="B59" s="30"/>
      <c r="C59" s="35"/>
      <c r="D59" s="31"/>
    </row>
    <row r="60" spans="1:8" ht="15" customHeight="1" x14ac:dyDescent="0.15">
      <c r="A60" s="55" t="s">
        <v>27</v>
      </c>
      <c r="B60" s="10"/>
      <c r="C60" s="39"/>
      <c r="D60" s="39">
        <v>0</v>
      </c>
      <c r="H60" t="s">
        <v>0</v>
      </c>
    </row>
    <row r="61" spans="1:8" ht="15.75" customHeight="1" x14ac:dyDescent="0.15">
      <c r="A61" s="55" t="s">
        <v>28</v>
      </c>
      <c r="B61" s="47"/>
      <c r="C61" s="9"/>
      <c r="D61" s="43">
        <f>D43-D57</f>
        <v>93585266</v>
      </c>
      <c r="F61" s="90" t="s">
        <v>124</v>
      </c>
    </row>
    <row r="62" spans="1:8" ht="15.75" customHeight="1" x14ac:dyDescent="0.15">
      <c r="A62" s="59" t="s">
        <v>11</v>
      </c>
      <c r="B62" s="9"/>
      <c r="D62" s="70">
        <f>D63-'4.3月'!D63</f>
        <v>-3223040</v>
      </c>
      <c r="F62" s="92">
        <f>D62-[10]令和4年度!$P$74</f>
        <v>1983757</v>
      </c>
    </row>
    <row r="63" spans="1:8" ht="16.5" customHeight="1" x14ac:dyDescent="0.15">
      <c r="A63" s="55" t="s">
        <v>26</v>
      </c>
      <c r="B63" s="22"/>
      <c r="C63" s="48"/>
      <c r="D63" s="44">
        <f>D61</f>
        <v>93585266</v>
      </c>
      <c r="F63" s="91"/>
    </row>
    <row r="64" spans="1:8" ht="14.25" x14ac:dyDescent="0.15">
      <c r="A64" s="55" t="s">
        <v>25</v>
      </c>
      <c r="B64" s="22"/>
      <c r="C64" s="9"/>
      <c r="D64" s="69">
        <f>D57+D63</f>
        <v>95268748</v>
      </c>
      <c r="F64" s="68"/>
    </row>
    <row r="65" spans="1:4" x14ac:dyDescent="0.15">
      <c r="B65" s="2"/>
      <c r="D65" s="68"/>
    </row>
    <row r="66" spans="1:4" ht="12.75" customHeight="1" x14ac:dyDescent="0.2">
      <c r="A66" s="1"/>
    </row>
    <row r="67" spans="1:4" x14ac:dyDescent="0.15">
      <c r="A67" s="45"/>
      <c r="B67" s="45"/>
      <c r="D67" s="68"/>
    </row>
    <row r="68" spans="1:4" x14ac:dyDescent="0.15">
      <c r="C68" s="52"/>
      <c r="D68" s="45"/>
    </row>
    <row r="70" spans="1:4" x14ac:dyDescent="0.15">
      <c r="C70" s="52"/>
    </row>
    <row r="72" spans="1:4" ht="13.5" customHeight="1" x14ac:dyDescent="0.2">
      <c r="A72" s="21"/>
    </row>
    <row r="73" spans="1:4" ht="14.25" x14ac:dyDescent="0.15">
      <c r="A73" s="17"/>
    </row>
    <row r="74" spans="1:4" ht="14.25" x14ac:dyDescent="0.15">
      <c r="A74" s="17"/>
    </row>
    <row r="75" spans="1:4" ht="14.25" x14ac:dyDescent="0.15">
      <c r="A75" s="17"/>
    </row>
    <row r="76" spans="1:4" ht="14.25" x14ac:dyDescent="0.15">
      <c r="A76" s="17"/>
      <c r="B76" s="82"/>
      <c r="C76" s="17"/>
      <c r="D76" s="17"/>
    </row>
    <row r="77" spans="1:4" ht="14.25" x14ac:dyDescent="0.15">
      <c r="A77" s="17"/>
      <c r="B77" s="82"/>
      <c r="C77" s="17"/>
      <c r="D77" s="17"/>
    </row>
    <row r="78" spans="1:4" ht="14.25" x14ac:dyDescent="0.15">
      <c r="A78" s="17"/>
      <c r="B78" s="83"/>
      <c r="C78" s="17"/>
      <c r="D78" s="17"/>
    </row>
    <row r="79" spans="1:4" ht="14.25" x14ac:dyDescent="0.15">
      <c r="A79" s="17"/>
      <c r="B79" s="82"/>
      <c r="C79" s="17"/>
      <c r="D79" s="17"/>
    </row>
    <row r="80" spans="1:4" ht="14.25" x14ac:dyDescent="0.15">
      <c r="A80" s="17"/>
      <c r="B80" s="82"/>
      <c r="C80" s="82"/>
      <c r="D80" s="17"/>
    </row>
    <row r="81" spans="1:4" ht="14.25" x14ac:dyDescent="0.15">
      <c r="B81" s="17"/>
      <c r="C81" s="18"/>
      <c r="D81" s="17"/>
    </row>
    <row r="82" spans="1:4" ht="14.25" x14ac:dyDescent="0.15">
      <c r="A82" s="17"/>
      <c r="B82" s="17"/>
      <c r="C82" s="18"/>
      <c r="D82" s="17"/>
    </row>
    <row r="83" spans="1:4" ht="14.25" x14ac:dyDescent="0.15">
      <c r="C83" s="17"/>
      <c r="D83" s="17"/>
    </row>
    <row r="84" spans="1:4" ht="14.25" x14ac:dyDescent="0.15">
      <c r="A84" s="17"/>
      <c r="C84" s="17"/>
      <c r="D84" s="17"/>
    </row>
    <row r="85" spans="1:4" ht="14.25" x14ac:dyDescent="0.15">
      <c r="A85" s="17"/>
      <c r="B85" s="83"/>
      <c r="C85" s="18"/>
      <c r="D85" s="17"/>
    </row>
    <row r="86" spans="1:4" ht="14.25" x14ac:dyDescent="0.15">
      <c r="A86" s="17"/>
      <c r="B86" s="82"/>
      <c r="D86" s="17"/>
    </row>
    <row r="87" spans="1:4" ht="14.25" x14ac:dyDescent="0.15">
      <c r="B87" s="17"/>
      <c r="C87" s="17"/>
      <c r="D87" s="82"/>
    </row>
    <row r="88" spans="1:4" ht="14.25" x14ac:dyDescent="0.15">
      <c r="A88" s="17"/>
      <c r="B88" s="82"/>
      <c r="C88" s="82"/>
      <c r="D88" s="18"/>
    </row>
    <row r="89" spans="1:4" ht="14.25" x14ac:dyDescent="0.15">
      <c r="B89" s="82"/>
      <c r="C89" s="17"/>
      <c r="D89" s="17"/>
    </row>
    <row r="90" spans="1:4" ht="14.25" x14ac:dyDescent="0.15">
      <c r="A90" s="17"/>
      <c r="B90" s="82"/>
      <c r="C90" s="17"/>
      <c r="D90" s="18"/>
    </row>
    <row r="91" spans="1:4" ht="14.25" x14ac:dyDescent="0.15">
      <c r="C91" s="17"/>
      <c r="D91" s="17"/>
    </row>
    <row r="92" spans="1:4" ht="14.25" x14ac:dyDescent="0.15">
      <c r="A92" s="17"/>
      <c r="C92" s="17"/>
      <c r="D92" s="17"/>
    </row>
    <row r="93" spans="1:4" ht="14.25" x14ac:dyDescent="0.15">
      <c r="A93" s="17"/>
      <c r="B93" s="82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C95" s="17"/>
      <c r="D95" s="17"/>
    </row>
    <row r="96" spans="1:4" ht="14.25" x14ac:dyDescent="0.15">
      <c r="A96" s="17"/>
      <c r="C96" s="82"/>
      <c r="D96" s="17"/>
    </row>
    <row r="97" spans="1:4" ht="14.25" x14ac:dyDescent="0.15">
      <c r="A97" s="17"/>
      <c r="B97" s="82"/>
      <c r="D97" s="17"/>
    </row>
    <row r="98" spans="1:4" ht="14.25" x14ac:dyDescent="0.15">
      <c r="A98" s="17"/>
      <c r="B98" s="82"/>
      <c r="C98" s="17"/>
      <c r="D98" s="17"/>
    </row>
    <row r="99" spans="1:4" ht="14.25" x14ac:dyDescent="0.15">
      <c r="A99" s="17"/>
      <c r="B99" s="82"/>
      <c r="C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  <c r="D101" s="17"/>
    </row>
    <row r="102" spans="1:4" ht="14.25" x14ac:dyDescent="0.15">
      <c r="A102" s="17"/>
      <c r="B102" s="82"/>
      <c r="D102" s="82"/>
    </row>
    <row r="103" spans="1:4" ht="14.25" x14ac:dyDescent="0.15">
      <c r="A103" s="17"/>
      <c r="B103" s="82"/>
      <c r="C103" s="17"/>
    </row>
    <row r="104" spans="1:4" ht="14.25" x14ac:dyDescent="0.15">
      <c r="A104" s="17"/>
      <c r="B104" s="17"/>
      <c r="D104" s="18"/>
    </row>
    <row r="105" spans="1:4" ht="14.25" x14ac:dyDescent="0.15">
      <c r="A105" s="17"/>
    </row>
    <row r="106" spans="1:4" ht="14.25" x14ac:dyDescent="0.15">
      <c r="A106" s="17" t="s">
        <v>0</v>
      </c>
      <c r="C106" s="18" t="s">
        <v>0</v>
      </c>
      <c r="D106" s="18" t="s">
        <v>0</v>
      </c>
    </row>
    <row r="107" spans="1:4" x14ac:dyDescent="0.15">
      <c r="A107" t="s">
        <v>0</v>
      </c>
    </row>
    <row r="108" spans="1:4" ht="14.25" x14ac:dyDescent="0.15">
      <c r="A108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7DDCA-11D0-45C3-B8C9-95C28101A7B2}">
  <sheetPr>
    <pageSetUpPr fitToPage="1"/>
  </sheetPr>
  <dimension ref="A1:L109"/>
  <sheetViews>
    <sheetView topLeftCell="A52" zoomScaleNormal="100" workbookViewId="0">
      <selection activeCell="E68" sqref="E68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171</v>
      </c>
      <c r="B1" s="122"/>
      <c r="C1" s="122"/>
      <c r="D1" s="122"/>
    </row>
    <row r="2" spans="1:11" ht="17.25" customHeight="1" x14ac:dyDescent="0.15">
      <c r="A2" s="116" t="s">
        <v>166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9729570</v>
      </c>
      <c r="C9" s="5"/>
      <c r="D9" s="12"/>
      <c r="F9" s="84">
        <f>'[7]0138359'!$AJ$37</f>
        <v>5166363</v>
      </c>
      <c r="G9" s="84">
        <f>'[7]0138642（居宅）'!$AJ$37</f>
        <v>44978</v>
      </c>
      <c r="H9" s="84">
        <f>'[7]0138655（通所）'!$AJ$37</f>
        <v>5783</v>
      </c>
      <c r="I9" s="84">
        <f>'[7]0156560（新庄）'!$AJ$37</f>
        <v>150151</v>
      </c>
      <c r="J9" s="84">
        <f>'[7]0158313（ゆけむり）'!$AJ$37</f>
        <v>266576</v>
      </c>
      <c r="K9" s="84">
        <f>'[7]0139101（ちゃれんじ）'!$AJ$37</f>
        <v>4614071</v>
      </c>
    </row>
    <row r="10" spans="1:11" ht="14.25" x14ac:dyDescent="0.15">
      <c r="A10" s="53" t="s">
        <v>102</v>
      </c>
      <c r="B10" s="73">
        <v>7690311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66124</v>
      </c>
      <c r="C11" s="5"/>
      <c r="D11" s="23"/>
      <c r="F11" s="84">
        <f>'[7]2253865（助け合い）'!$AJ$37</f>
        <v>30200</v>
      </c>
      <c r="G11" s="89">
        <f>'[7]2253871（通所）'!$AJ$37</f>
        <v>919800</v>
      </c>
      <c r="H11" s="84">
        <f>'[7]2254321（ミニ）'!$AJ$37</f>
        <v>0</v>
      </c>
    </row>
    <row r="12" spans="1:11" ht="14.25" x14ac:dyDescent="0.15">
      <c r="A12" s="53" t="s">
        <v>128</v>
      </c>
      <c r="B12" s="74">
        <v>866945</v>
      </c>
      <c r="C12" s="5"/>
      <c r="D12" s="23"/>
    </row>
    <row r="13" spans="1:11" ht="14.25" x14ac:dyDescent="0.15">
      <c r="A13" s="53" t="s">
        <v>129</v>
      </c>
      <c r="B13" s="75">
        <v>731333</v>
      </c>
      <c r="C13" s="5"/>
      <c r="D13" s="12"/>
      <c r="E13" s="93" t="s">
        <v>142</v>
      </c>
      <c r="F13" s="94">
        <f>[7]JA0034628!$AJ$37</f>
        <v>992695</v>
      </c>
      <c r="G13" s="93" t="s">
        <v>143</v>
      </c>
      <c r="H13" s="94">
        <f>[7]ゆうちょ6473091!$AJ$37</f>
        <v>848315</v>
      </c>
      <c r="I13" s="93" t="s">
        <v>144</v>
      </c>
      <c r="J13" s="94">
        <f>[7]しま信0116975!$AJ$37</f>
        <v>592085</v>
      </c>
    </row>
    <row r="14" spans="1:11" ht="14.25" x14ac:dyDescent="0.15">
      <c r="A14" s="53" t="s">
        <v>130</v>
      </c>
      <c r="B14" s="75">
        <v>374857</v>
      </c>
      <c r="C14" s="5"/>
      <c r="D14" s="12"/>
    </row>
    <row r="15" spans="1:11" ht="14.25" x14ac:dyDescent="0.15">
      <c r="A15" s="55" t="s">
        <v>36</v>
      </c>
      <c r="B15" s="71">
        <v>33221288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5570570</v>
      </c>
      <c r="C16" s="11"/>
      <c r="D16" s="12"/>
      <c r="E16" t="s">
        <v>112</v>
      </c>
      <c r="F16" s="84">
        <f>'[8]未収金（認定調査委託料）'!$AJ$37</f>
        <v>15400</v>
      </c>
      <c r="G16" s="84">
        <f>'[8]未収金（居宅支援介護報酬）'!$AJ$37</f>
        <v>5078080</v>
      </c>
      <c r="H16" s="83"/>
    </row>
    <row r="17" spans="1:11" ht="14.25" x14ac:dyDescent="0.15">
      <c r="A17" s="54" t="s">
        <v>15</v>
      </c>
      <c r="B17" s="73">
        <v>16337390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5581505</v>
      </c>
      <c r="C18" s="11"/>
      <c r="D18" s="12"/>
      <c r="E18" t="s">
        <v>115</v>
      </c>
      <c r="F18" s="84">
        <f>'[8]未収金（通所保険請求）'!$AJ$37</f>
        <v>11735816</v>
      </c>
      <c r="G18" s="84">
        <f>'[8]未収金（通所利用者負担）'!$AJ$37</f>
        <v>1365938</v>
      </c>
      <c r="H18" s="84">
        <f>'[8]未収金（通所食費）'!$AJ$37</f>
        <v>648500</v>
      </c>
    </row>
    <row r="19" spans="1:11" ht="14.25" x14ac:dyDescent="0.15">
      <c r="A19" s="54" t="s">
        <v>16</v>
      </c>
      <c r="B19" s="73">
        <v>1894031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1602495</v>
      </c>
      <c r="C20" s="5"/>
      <c r="D20" s="12"/>
      <c r="E20" t="s">
        <v>119</v>
      </c>
      <c r="F20" s="84">
        <f>'[8]未収金（ゆけむり保険請求）'!$AJ$37</f>
        <v>3624471</v>
      </c>
      <c r="G20" s="84">
        <f>'[8]未収金（ゆけむり利用者負担）'!$AJ$37</f>
        <v>527342</v>
      </c>
      <c r="H20" s="84">
        <f>'[8]未収金（ゆけむり食費）'!$AJ$37</f>
        <v>113400</v>
      </c>
    </row>
    <row r="21" spans="1:11" ht="14.25" x14ac:dyDescent="0.15">
      <c r="A21" s="54" t="s">
        <v>167</v>
      </c>
      <c r="B21" s="73">
        <v>376639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168</v>
      </c>
      <c r="B22" s="73">
        <v>165400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85">
        <v>17900</v>
      </c>
      <c r="C23" s="5"/>
      <c r="D23" s="12"/>
      <c r="E23" t="s">
        <v>120</v>
      </c>
      <c r="F23" s="84">
        <f>'[8]未収金（予防通所保険請求）'!$AJ$37</f>
        <v>1811990</v>
      </c>
      <c r="G23" s="84">
        <f>'[8]未収金（予防通所利用者負担）'!$AJ$37</f>
        <v>120098</v>
      </c>
      <c r="H23" s="84">
        <f>'[8]未収金（予防通所食費）'!$AJ$37</f>
        <v>126500</v>
      </c>
    </row>
    <row r="24" spans="1:11" ht="14.25" x14ac:dyDescent="0.15">
      <c r="A24" s="54" t="s">
        <v>81</v>
      </c>
      <c r="B24" s="73">
        <v>363358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85">
        <v>76700</v>
      </c>
      <c r="C25" s="5"/>
      <c r="D25" s="12"/>
      <c r="E25" t="s">
        <v>121</v>
      </c>
      <c r="F25" s="84">
        <f>'[8]未収金（処遇改善保険請求）'!$AJ$37</f>
        <v>1190257</v>
      </c>
      <c r="G25" s="84">
        <f>'[8]未収金（処遇改善利用者負担）'!$AJ$37</f>
        <v>137834</v>
      </c>
      <c r="H25" s="83"/>
      <c r="I25" s="99" t="s">
        <v>169</v>
      </c>
      <c r="J25" s="94">
        <f>'[8]未収金（ベースアップ加算保険請求）'!$AJ$37</f>
        <v>233668</v>
      </c>
      <c r="K25" s="94">
        <f>'[8]未収金（ベースアップ加算利用者負担）'!$AJ$37</f>
        <v>24625</v>
      </c>
    </row>
    <row r="26" spans="1:11" ht="14.25" x14ac:dyDescent="0.15">
      <c r="A26" s="54" t="s">
        <v>17</v>
      </c>
      <c r="B26" s="86">
        <v>1225800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87">
        <v>9500</v>
      </c>
      <c r="C27" s="5"/>
      <c r="D27" s="12"/>
      <c r="E27" t="s">
        <v>122</v>
      </c>
      <c r="F27" s="84">
        <f>'[8]未収金（特定処遇改善保険請求）'!$AJ$37</f>
        <v>275563</v>
      </c>
      <c r="G27" s="84">
        <f>'[8]未収金（特定処遇改善利用者負担）'!$AJ$37</f>
        <v>32435</v>
      </c>
      <c r="H27" s="83"/>
    </row>
    <row r="28" spans="1:11" ht="14.25" x14ac:dyDescent="0.15">
      <c r="A28" s="54" t="s">
        <v>79</v>
      </c>
      <c r="B28" s="85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88">
        <v>813256</v>
      </c>
      <c r="C29" s="15" t="s">
        <v>0</v>
      </c>
      <c r="D29" s="12"/>
      <c r="E29" t="s">
        <v>123</v>
      </c>
      <c r="F29" s="84">
        <f>'[8]未収金（サロン保険請求）'!$AJ$37</f>
        <v>311572</v>
      </c>
      <c r="G29" s="84">
        <f>'[8]未収金（サロン利用者負担）'!$AJ$37</f>
        <v>21320</v>
      </c>
      <c r="H29" s="84">
        <f>'[8]未収金（サロン食費）'!$AJ$37</f>
        <v>22200</v>
      </c>
    </row>
    <row r="30" spans="1:11" ht="14.25" x14ac:dyDescent="0.15">
      <c r="A30" s="61" t="s">
        <v>96</v>
      </c>
      <c r="B30" s="71">
        <v>0</v>
      </c>
      <c r="C30" s="15"/>
      <c r="D30" s="12"/>
    </row>
    <row r="31" spans="1:11" ht="14.25" x14ac:dyDescent="0.15">
      <c r="A31" s="61" t="s">
        <v>38</v>
      </c>
      <c r="B31" s="7"/>
      <c r="C31" s="77">
        <f>B8+B9+B15+B29+B30</f>
        <v>43766499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44213471</v>
      </c>
      <c r="C34" s="5"/>
      <c r="D34" s="12"/>
      <c r="E34" t="s">
        <v>146</v>
      </c>
      <c r="F34" s="95">
        <f>'[9]建物（ほっと本体）'!$AJ$5</f>
        <v>225002</v>
      </c>
      <c r="G34" s="95">
        <f>'[9]建物（ほっと2階）'!$AJ$5</f>
        <v>159976</v>
      </c>
      <c r="H34" s="95">
        <f>'[9]建物（新庄）'!$AJ$5</f>
        <v>16342797</v>
      </c>
      <c r="I34" s="95">
        <f>'[9]建物（ゆけむり）'!$AJ$5</f>
        <v>23447684</v>
      </c>
      <c r="J34" s="95">
        <f>'[9]建物（ほっと浴室）'!$AJ$5</f>
        <v>4038012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96">
        <f>'[9]附属建物（厨房）'!$AJ$5</f>
        <v>1</v>
      </c>
      <c r="G35" s="96">
        <f>'[9]附属建物（浴室）'!$AJ$5</f>
        <v>1</v>
      </c>
      <c r="H35" s="96">
        <f>'[9]附属建物（便所）'!$AJ$5</f>
        <v>1</v>
      </c>
      <c r="I35" s="96">
        <f>'[9]附属建物（廊下）'!$AJ$5</f>
        <v>1</v>
      </c>
      <c r="J35" s="96">
        <f>'[9]附属設備（電気設備その他）'!$AJ$5</f>
        <v>82438</v>
      </c>
      <c r="K35" s="96">
        <f>'[9]附属設備（給排水衛生設備）'!$AJ$5</f>
        <v>94536</v>
      </c>
      <c r="L35" s="96">
        <f>'[9]附属設備（消火排煙設備）'!$AJ$5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96">
        <f>'[9]附属設備（新庄電気設備）'!$AJ$5</f>
        <v>365715</v>
      </c>
      <c r="G36" s="96">
        <f>'[9]附属設備（新庄給排水設備）'!$AJ$5</f>
        <v>446005</v>
      </c>
      <c r="H36" s="96">
        <f>'[9]附属設備（電気設備）'!$AJ$5</f>
        <v>1028074</v>
      </c>
      <c r="I36" s="96">
        <f>'[9]附属設備（給排水設備）'!$AJ$5</f>
        <v>529605</v>
      </c>
      <c r="J36" s="96">
        <f>'[9]附属設備（新庄浴槽改装ガス給湯設備）'!$AJ$6</f>
        <v>513845</v>
      </c>
      <c r="K36" s="96">
        <f>'[9]附属設備（ほっと浴室移設電気工事）'!$AJ$5</f>
        <v>851136</v>
      </c>
      <c r="L36" s="96">
        <f>'[9]附属設備（ほっと浴室移設給排水設備）'!$AJ$5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94">
        <f>'[9]構築物（舗装工事）'!$AJ$5</f>
        <v>1</v>
      </c>
      <c r="G37" s="94">
        <f>'[9]構築物（ゆけむり）'!$AJ$5</f>
        <v>358351</v>
      </c>
      <c r="H37" s="94">
        <f>'[9]構築物（新庄駐車場舗装）'!$AJ$5</f>
        <v>821220</v>
      </c>
    </row>
    <row r="38" spans="1:12" ht="14.25" x14ac:dyDescent="0.15">
      <c r="A38" s="55" t="s">
        <v>40</v>
      </c>
      <c r="B38" s="71">
        <v>2556593</v>
      </c>
      <c r="C38" s="5"/>
      <c r="D38" s="12"/>
      <c r="E38" t="s">
        <v>149</v>
      </c>
      <c r="F38" s="98">
        <f>'[9]器具備品（新庄玄関エアコン）'!$AJ$5</f>
        <v>31800</v>
      </c>
      <c r="G38" s="98">
        <f>'[9]器具備品（新庄事務室エアコン）'!$AJ$5</f>
        <v>173084</v>
      </c>
    </row>
    <row r="39" spans="1:12" ht="14.25" x14ac:dyDescent="0.15">
      <c r="A39" s="55" t="s">
        <v>41</v>
      </c>
      <c r="B39" s="88">
        <v>110600</v>
      </c>
      <c r="C39" s="5"/>
      <c r="D39" s="12"/>
      <c r="E39" t="s">
        <v>150</v>
      </c>
      <c r="F39" s="94">
        <f>'[9]車両（タウンボックス）'!$AJ$5</f>
        <v>1</v>
      </c>
      <c r="G39" s="94">
        <f>'[9]車両（はとバン）'!$AJ$5</f>
        <v>1</v>
      </c>
      <c r="H39" s="94">
        <f>'[9]車両（ノア）'!$AJ$5</f>
        <v>1</v>
      </c>
      <c r="I39" s="94">
        <f>'[9]車両（セレナ）'!$AJ$5</f>
        <v>1</v>
      </c>
      <c r="J39" s="94">
        <f>'[9]車両（アトレー１）'!$AJ$5</f>
        <v>1</v>
      </c>
      <c r="K39" s="94">
        <f>'[9]車両（アトレー４）'!$AJ$5</f>
        <v>2078860</v>
      </c>
      <c r="L39" s="94">
        <f>'[9]車両（キャラ３）'!$AJ$5</f>
        <v>0</v>
      </c>
    </row>
    <row r="40" spans="1:12" ht="14.25" x14ac:dyDescent="0.15">
      <c r="A40" s="55" t="s">
        <v>42</v>
      </c>
      <c r="B40" s="88">
        <v>50000</v>
      </c>
      <c r="C40" s="11"/>
      <c r="D40" s="12"/>
      <c r="F40" s="94">
        <f>'[9]車両（フリード２）'!$AJ$5</f>
        <v>477725</v>
      </c>
      <c r="G40" s="94">
        <f>'[9]車両（セブン２）'!$AJ$5</f>
        <v>1</v>
      </c>
      <c r="H40" s="94">
        <f>'[9]車両（EK３）'!$AJ$5</f>
        <v>1</v>
      </c>
    </row>
    <row r="41" spans="1:12" ht="14.25" x14ac:dyDescent="0.15">
      <c r="A41" s="55" t="s">
        <v>66</v>
      </c>
      <c r="B41" s="88">
        <v>165580</v>
      </c>
      <c r="C41" s="76"/>
      <c r="D41" s="12"/>
    </row>
    <row r="42" spans="1:12" ht="14.25" x14ac:dyDescent="0.15">
      <c r="A42" s="61" t="s">
        <v>43</v>
      </c>
      <c r="B42" s="80"/>
      <c r="C42" s="37">
        <f>SUM(B34:B41)</f>
        <v>53525581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f>C31+C42</f>
        <v>97292080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88">
        <v>322136</v>
      </c>
      <c r="C48" s="5"/>
      <c r="D48" s="78"/>
    </row>
    <row r="49" spans="1:8" ht="14.25" x14ac:dyDescent="0.15">
      <c r="A49" s="55" t="s">
        <v>33</v>
      </c>
      <c r="B49" s="71">
        <v>0</v>
      </c>
      <c r="C49" s="5"/>
      <c r="D49" s="12"/>
    </row>
    <row r="50" spans="1:8" ht="6.75" customHeight="1" x14ac:dyDescent="0.15">
      <c r="A50" s="59"/>
      <c r="B50" s="79"/>
      <c r="C50" s="11"/>
      <c r="D50" s="12"/>
    </row>
    <row r="51" spans="1:8" ht="14.25" x14ac:dyDescent="0.15">
      <c r="A51" s="55" t="s">
        <v>31</v>
      </c>
      <c r="B51" s="80"/>
      <c r="C51" s="37">
        <f>B48+B49</f>
        <v>322136</v>
      </c>
      <c r="D51" s="23"/>
      <c r="E51" t="s">
        <v>108</v>
      </c>
    </row>
    <row r="52" spans="1:8" ht="11.25" customHeight="1" x14ac:dyDescent="0.15">
      <c r="A52" s="3"/>
      <c r="B52" s="14"/>
      <c r="C52" s="34"/>
      <c r="D52" s="25"/>
    </row>
    <row r="53" spans="1:8" ht="14.25" x14ac:dyDescent="0.15">
      <c r="A53" s="55" t="s">
        <v>22</v>
      </c>
      <c r="B53" s="19"/>
      <c r="C53" s="81"/>
      <c r="D53" s="23"/>
    </row>
    <row r="54" spans="1:8" ht="14.25" x14ac:dyDescent="0.15">
      <c r="A54" s="55" t="s">
        <v>30</v>
      </c>
      <c r="B54" s="88">
        <v>760000</v>
      </c>
      <c r="C54" s="11"/>
      <c r="D54" s="25"/>
    </row>
    <row r="55" spans="1:8" ht="14.25" x14ac:dyDescent="0.15">
      <c r="A55" s="9"/>
      <c r="B55" s="19"/>
      <c r="C55" s="11"/>
      <c r="D55" s="25"/>
      <c r="G55" t="s">
        <v>108</v>
      </c>
    </row>
    <row r="56" spans="1:8" ht="14.25" x14ac:dyDescent="0.15">
      <c r="A56" s="61" t="s">
        <v>29</v>
      </c>
      <c r="B56" s="10"/>
      <c r="C56" s="37">
        <f>B54</f>
        <v>760000</v>
      </c>
      <c r="D56" s="23"/>
    </row>
    <row r="57" spans="1:8" ht="6.75" customHeight="1" x14ac:dyDescent="0.15">
      <c r="A57" s="3"/>
      <c r="B57" s="19"/>
      <c r="C57" s="11"/>
      <c r="D57" s="23"/>
    </row>
    <row r="58" spans="1:8" ht="14.25" x14ac:dyDescent="0.15">
      <c r="A58" s="58" t="s">
        <v>24</v>
      </c>
      <c r="B58" s="40"/>
      <c r="C58" s="40"/>
      <c r="D58" s="38">
        <f>C51+C56</f>
        <v>1082136</v>
      </c>
    </row>
    <row r="59" spans="1:8" ht="11.25" customHeight="1" x14ac:dyDescent="0.15">
      <c r="A59" s="3"/>
      <c r="B59" s="19"/>
      <c r="C59" s="11"/>
      <c r="D59" s="23"/>
    </row>
    <row r="60" spans="1:8" ht="14.25" x14ac:dyDescent="0.15">
      <c r="A60" s="55" t="s">
        <v>3</v>
      </c>
      <c r="B60" s="30"/>
      <c r="C60" s="35"/>
      <c r="D60" s="31"/>
    </row>
    <row r="61" spans="1:8" ht="15" customHeight="1" x14ac:dyDescent="0.15">
      <c r="A61" s="55" t="s">
        <v>27</v>
      </c>
      <c r="B61" s="10"/>
      <c r="C61" s="39"/>
      <c r="D61" s="39">
        <v>0</v>
      </c>
      <c r="H61" t="s">
        <v>0</v>
      </c>
    </row>
    <row r="62" spans="1:8" ht="15.75" customHeight="1" x14ac:dyDescent="0.15">
      <c r="A62" s="55" t="s">
        <v>28</v>
      </c>
      <c r="B62" s="47"/>
      <c r="C62" s="9"/>
      <c r="D62" s="43">
        <f>D44-D58</f>
        <v>96209944</v>
      </c>
      <c r="F62" s="90" t="s">
        <v>124</v>
      </c>
    </row>
    <row r="63" spans="1:8" ht="15.75" customHeight="1" x14ac:dyDescent="0.15">
      <c r="A63" s="59" t="s">
        <v>11</v>
      </c>
      <c r="B63" s="9"/>
      <c r="D63" s="70">
        <f>D64-'4.3月'!D63</f>
        <v>-598362</v>
      </c>
      <c r="F63" s="92">
        <f>D63-[10]令和4年度!$P$74</f>
        <v>4608435</v>
      </c>
    </row>
    <row r="64" spans="1:8" ht="16.5" customHeight="1" x14ac:dyDescent="0.15">
      <c r="A64" s="55" t="s">
        <v>26</v>
      </c>
      <c r="B64" s="22"/>
      <c r="C64" s="48"/>
      <c r="D64" s="44">
        <f>D62</f>
        <v>96209944</v>
      </c>
      <c r="F64" s="91"/>
    </row>
    <row r="65" spans="1:6" ht="14.25" x14ac:dyDescent="0.15">
      <c r="A65" s="55" t="s">
        <v>25</v>
      </c>
      <c r="B65" s="22"/>
      <c r="C65" s="9"/>
      <c r="D65" s="69">
        <f>D58+D64</f>
        <v>97292080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EF207-D067-4B23-A74B-95C4FA7BE1FC}">
  <sheetPr>
    <pageSetUpPr fitToPage="1"/>
  </sheetPr>
  <dimension ref="A1:L109"/>
  <sheetViews>
    <sheetView topLeftCell="A53" zoomScaleNormal="100" workbookViewId="0">
      <selection activeCell="F63" sqref="F63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171</v>
      </c>
      <c r="B1" s="122"/>
      <c r="C1" s="122"/>
      <c r="D1" s="122"/>
    </row>
    <row r="2" spans="1:11" ht="17.25" customHeight="1" x14ac:dyDescent="0.15">
      <c r="A2" s="116" t="s">
        <v>170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7459026</v>
      </c>
      <c r="C9" s="5"/>
      <c r="D9" s="12"/>
      <c r="F9" s="84">
        <f>'[7]0138359'!$AJ$37</f>
        <v>5166363</v>
      </c>
      <c r="G9" s="84">
        <f>'[7]0138642（居宅）'!$AJ$37</f>
        <v>44978</v>
      </c>
      <c r="H9" s="84">
        <f>'[7]0138655（通所）'!$AJ$37</f>
        <v>5783</v>
      </c>
      <c r="I9" s="84">
        <f>'[7]0156560（新庄）'!$AJ$37</f>
        <v>150151</v>
      </c>
      <c r="J9" s="84">
        <f>'[7]0158313（ゆけむり）'!$AJ$37</f>
        <v>266576</v>
      </c>
      <c r="K9" s="84">
        <f>'[7]0139101（ちゃれんじ）'!$AJ$37</f>
        <v>4614071</v>
      </c>
    </row>
    <row r="10" spans="1:11" ht="14.25" x14ac:dyDescent="0.15">
      <c r="A10" s="53" t="s">
        <v>102</v>
      </c>
      <c r="B10" s="73">
        <v>6315889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691355</v>
      </c>
      <c r="C11" s="5"/>
      <c r="D11" s="23"/>
      <c r="F11" s="84">
        <f>'[7]2253865（助け合い）'!$AJ$37</f>
        <v>30200</v>
      </c>
      <c r="G11" s="89">
        <f>'[7]2253871（通所）'!$AJ$37</f>
        <v>919800</v>
      </c>
      <c r="H11" s="84">
        <f>'[7]2254321（ミニ）'!$AJ$37</f>
        <v>0</v>
      </c>
    </row>
    <row r="12" spans="1:11" ht="14.25" x14ac:dyDescent="0.15">
      <c r="A12" s="53" t="s">
        <v>128</v>
      </c>
      <c r="B12" s="74">
        <v>246716</v>
      </c>
      <c r="C12" s="5"/>
      <c r="D12" s="23"/>
    </row>
    <row r="13" spans="1:11" ht="14.25" x14ac:dyDescent="0.15">
      <c r="A13" s="53" t="s">
        <v>129</v>
      </c>
      <c r="B13" s="75">
        <v>202376</v>
      </c>
      <c r="C13" s="5"/>
      <c r="D13" s="12"/>
      <c r="E13" s="93" t="s">
        <v>142</v>
      </c>
      <c r="F13" s="94">
        <f>[7]JA0034628!$AJ$37</f>
        <v>992695</v>
      </c>
      <c r="G13" s="93" t="s">
        <v>143</v>
      </c>
      <c r="H13" s="94">
        <f>[7]ゆうちょ6473091!$AJ$37</f>
        <v>848315</v>
      </c>
      <c r="I13" s="93" t="s">
        <v>144</v>
      </c>
      <c r="J13" s="94">
        <f>[7]しま信0116975!$AJ$37</f>
        <v>592085</v>
      </c>
    </row>
    <row r="14" spans="1:11" ht="14.25" x14ac:dyDescent="0.15">
      <c r="A14" s="53" t="s">
        <v>130</v>
      </c>
      <c r="B14" s="75">
        <v>2690</v>
      </c>
      <c r="C14" s="5"/>
      <c r="D14" s="12"/>
    </row>
    <row r="15" spans="1:11" ht="14.25" x14ac:dyDescent="0.15">
      <c r="A15" s="55" t="s">
        <v>36</v>
      </c>
      <c r="B15" s="71">
        <f>SUM(B16:B28)</f>
        <v>32713340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5671730</v>
      </c>
      <c r="C16" s="11"/>
      <c r="D16" s="12"/>
      <c r="E16" t="s">
        <v>112</v>
      </c>
      <c r="F16" s="84">
        <f>'[8]未収金（認定調査委託料）'!$AJ$37</f>
        <v>15400</v>
      </c>
      <c r="G16" s="84">
        <f>'[8]未収金（居宅支援介護報酬）'!$AJ$37</f>
        <v>5078080</v>
      </c>
      <c r="H16" s="83"/>
    </row>
    <row r="17" spans="1:11" ht="14.25" x14ac:dyDescent="0.15">
      <c r="A17" s="54" t="s">
        <v>15</v>
      </c>
      <c r="B17" s="73">
        <v>15769427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5506468</v>
      </c>
      <c r="C18" s="11"/>
      <c r="D18" s="12"/>
      <c r="E18" t="s">
        <v>115</v>
      </c>
      <c r="F18" s="84">
        <f>'[8]未収金（通所保険請求）'!$AJ$37</f>
        <v>11735816</v>
      </c>
      <c r="G18" s="84">
        <f>'[8]未収金（通所利用者負担）'!$AJ$37</f>
        <v>1365938</v>
      </c>
      <c r="H18" s="84">
        <f>'[8]未収金（通所食費）'!$AJ$37</f>
        <v>648500</v>
      </c>
    </row>
    <row r="19" spans="1:11" ht="14.25" x14ac:dyDescent="0.15">
      <c r="A19" s="54" t="s">
        <v>16</v>
      </c>
      <c r="B19" s="73">
        <v>1872906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1563890</v>
      </c>
      <c r="C20" s="5"/>
      <c r="D20" s="12"/>
      <c r="E20" t="s">
        <v>119</v>
      </c>
      <c r="F20" s="84">
        <f>'[8]未収金（ゆけむり保険請求）'!$AJ$37</f>
        <v>3624471</v>
      </c>
      <c r="G20" s="84">
        <f>'[8]未収金（ゆけむり利用者負担）'!$AJ$37</f>
        <v>527342</v>
      </c>
      <c r="H20" s="84">
        <f>'[8]未収金（ゆけむり食費）'!$AJ$37</f>
        <v>113400</v>
      </c>
    </row>
    <row r="21" spans="1:11" ht="14.25" x14ac:dyDescent="0.15">
      <c r="A21" s="54" t="s">
        <v>167</v>
      </c>
      <c r="B21" s="73">
        <v>368061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168</v>
      </c>
      <c r="B22" s="73">
        <v>302592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85">
        <v>19100</v>
      </c>
      <c r="C23" s="5"/>
      <c r="D23" s="12"/>
      <c r="E23" t="s">
        <v>120</v>
      </c>
      <c r="F23" s="84">
        <f>'[8]未収金（予防通所保険請求）'!$AJ$37</f>
        <v>1811990</v>
      </c>
      <c r="G23" s="84">
        <f>'[8]未収金（予防通所利用者負担）'!$AJ$37</f>
        <v>120098</v>
      </c>
      <c r="H23" s="84">
        <f>'[8]未収金（予防通所食費）'!$AJ$37</f>
        <v>126500</v>
      </c>
    </row>
    <row r="24" spans="1:11" ht="14.25" x14ac:dyDescent="0.15">
      <c r="A24" s="54" t="s">
        <v>81</v>
      </c>
      <c r="B24" s="73">
        <v>349916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85">
        <v>54600</v>
      </c>
      <c r="C25" s="5"/>
      <c r="D25" s="12"/>
      <c r="E25" t="s">
        <v>121</v>
      </c>
      <c r="F25" s="84">
        <f>'[8]未収金（処遇改善保険請求）'!$AJ$37</f>
        <v>1190257</v>
      </c>
      <c r="G25" s="84">
        <f>'[8]未収金（処遇改善利用者負担）'!$AJ$37</f>
        <v>137834</v>
      </c>
      <c r="H25" s="83"/>
      <c r="I25" s="99" t="s">
        <v>169</v>
      </c>
      <c r="J25" s="94">
        <f>'[8]未収金（ベースアップ加算保険請求）'!$AJ$37</f>
        <v>233668</v>
      </c>
      <c r="K25" s="94">
        <f>'[8]未収金（ベースアップ加算利用者負担）'!$AJ$37</f>
        <v>24625</v>
      </c>
    </row>
    <row r="26" spans="1:11" ht="14.25" x14ac:dyDescent="0.15">
      <c r="A26" s="54" t="s">
        <v>17</v>
      </c>
      <c r="B26" s="86">
        <v>1226650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87">
        <v>8000</v>
      </c>
      <c r="C27" s="5"/>
      <c r="D27" s="12"/>
      <c r="E27" t="s">
        <v>122</v>
      </c>
      <c r="F27" s="84">
        <f>'[8]未収金（特定処遇改善保険請求）'!$AJ$37</f>
        <v>275563</v>
      </c>
      <c r="G27" s="84">
        <f>'[8]未収金（特定処遇改善利用者負担）'!$AJ$37</f>
        <v>32435</v>
      </c>
      <c r="H27" s="83"/>
    </row>
    <row r="28" spans="1:11" ht="14.25" x14ac:dyDescent="0.15">
      <c r="A28" s="54" t="s">
        <v>79</v>
      </c>
      <c r="B28" s="85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88">
        <v>813256</v>
      </c>
      <c r="C29" s="15" t="s">
        <v>0</v>
      </c>
      <c r="D29" s="12"/>
      <c r="E29" t="s">
        <v>123</v>
      </c>
      <c r="F29" s="84">
        <f>'[8]未収金（サロン保険請求）'!$AJ$37</f>
        <v>311572</v>
      </c>
      <c r="G29" s="84">
        <f>'[8]未収金（サロン利用者負担）'!$AJ$37</f>
        <v>21320</v>
      </c>
      <c r="H29" s="84">
        <f>'[8]未収金（サロン食費）'!$AJ$37</f>
        <v>22200</v>
      </c>
    </row>
    <row r="30" spans="1:11" ht="14.25" x14ac:dyDescent="0.15">
      <c r="A30" s="61" t="s">
        <v>96</v>
      </c>
      <c r="B30" s="71">
        <v>0</v>
      </c>
      <c r="C30" s="15"/>
      <c r="D30" s="12"/>
    </row>
    <row r="31" spans="1:11" ht="14.25" x14ac:dyDescent="0.15">
      <c r="A31" s="61" t="s">
        <v>38</v>
      </c>
      <c r="B31" s="7"/>
      <c r="C31" s="77">
        <f>B8+B9+B15+B29+B30</f>
        <v>40988007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44213471</v>
      </c>
      <c r="C34" s="5"/>
      <c r="D34" s="12"/>
      <c r="E34" t="s">
        <v>146</v>
      </c>
      <c r="F34" s="95">
        <f>'[9]建物（ほっと本体）'!$AJ$5</f>
        <v>225002</v>
      </c>
      <c r="G34" s="95">
        <f>'[9]建物（ほっと2階）'!$AJ$5</f>
        <v>159976</v>
      </c>
      <c r="H34" s="95">
        <f>'[9]建物（新庄）'!$AJ$5</f>
        <v>16342797</v>
      </c>
      <c r="I34" s="95">
        <f>'[9]建物（ゆけむり）'!$AJ$5</f>
        <v>23447684</v>
      </c>
      <c r="J34" s="95">
        <f>'[9]建物（ほっと浴室）'!$AJ$5</f>
        <v>4038012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96">
        <f>'[9]附属建物（厨房）'!$AJ$5</f>
        <v>1</v>
      </c>
      <c r="G35" s="96">
        <f>'[9]附属建物（浴室）'!$AJ$5</f>
        <v>1</v>
      </c>
      <c r="H35" s="96">
        <f>'[9]附属建物（便所）'!$AJ$5</f>
        <v>1</v>
      </c>
      <c r="I35" s="96">
        <f>'[9]附属建物（廊下）'!$AJ$5</f>
        <v>1</v>
      </c>
      <c r="J35" s="96">
        <f>'[9]附属設備（電気設備その他）'!$AJ$5</f>
        <v>82438</v>
      </c>
      <c r="K35" s="96">
        <f>'[9]附属設備（給排水衛生設備）'!$AJ$5</f>
        <v>94536</v>
      </c>
      <c r="L35" s="96">
        <f>'[9]附属設備（消火排煙設備）'!$AJ$5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96">
        <f>'[9]附属設備（新庄電気設備）'!$AJ$5</f>
        <v>365715</v>
      </c>
      <c r="G36" s="96">
        <f>'[9]附属設備（新庄給排水設備）'!$AJ$5</f>
        <v>446005</v>
      </c>
      <c r="H36" s="96">
        <f>'[9]附属設備（電気設備）'!$AJ$5</f>
        <v>1028074</v>
      </c>
      <c r="I36" s="96">
        <f>'[9]附属設備（給排水設備）'!$AJ$5</f>
        <v>529605</v>
      </c>
      <c r="J36" s="96">
        <f>'[9]附属設備（新庄浴槽改装ガス給湯設備）'!$AJ$6</f>
        <v>513845</v>
      </c>
      <c r="K36" s="96">
        <f>'[9]附属設備（ほっと浴室移設電気工事）'!$AJ$5</f>
        <v>851136</v>
      </c>
      <c r="L36" s="96">
        <f>'[9]附属設備（ほっと浴室移設給排水設備）'!$AJ$5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94">
        <f>'[9]構築物（舗装工事）'!$AJ$5</f>
        <v>1</v>
      </c>
      <c r="G37" s="94">
        <f>'[9]構築物（ゆけむり）'!$AJ$5</f>
        <v>358351</v>
      </c>
      <c r="H37" s="94">
        <f>'[9]構築物（新庄駐車場舗装）'!$AJ$5</f>
        <v>821220</v>
      </c>
    </row>
    <row r="38" spans="1:12" ht="14.25" x14ac:dyDescent="0.15">
      <c r="A38" s="55" t="s">
        <v>40</v>
      </c>
      <c r="B38" s="71">
        <v>2556593</v>
      </c>
      <c r="C38" s="5"/>
      <c r="D38" s="12"/>
      <c r="E38" t="s">
        <v>149</v>
      </c>
      <c r="F38" s="98">
        <f>'[9]器具備品（新庄玄関エアコン）'!$AJ$5</f>
        <v>31800</v>
      </c>
      <c r="G38" s="98">
        <f>'[9]器具備品（新庄事務室エアコン）'!$AJ$5</f>
        <v>173084</v>
      </c>
    </row>
    <row r="39" spans="1:12" ht="14.25" x14ac:dyDescent="0.15">
      <c r="A39" s="55" t="s">
        <v>41</v>
      </c>
      <c r="B39" s="88">
        <v>110600</v>
      </c>
      <c r="C39" s="5"/>
      <c r="D39" s="12"/>
      <c r="E39" t="s">
        <v>150</v>
      </c>
      <c r="F39" s="94">
        <f>'[9]車両（タウンボックス）'!$AJ$5</f>
        <v>1</v>
      </c>
      <c r="G39" s="94">
        <f>'[9]車両（はとバン）'!$AJ$5</f>
        <v>1</v>
      </c>
      <c r="H39" s="94">
        <f>'[9]車両（ノア）'!$AJ$5</f>
        <v>1</v>
      </c>
      <c r="I39" s="94">
        <f>'[9]車両（セレナ）'!$AJ$5</f>
        <v>1</v>
      </c>
      <c r="J39" s="94">
        <f>'[9]車両（アトレー１）'!$AJ$5</f>
        <v>1</v>
      </c>
      <c r="K39" s="94">
        <f>'[9]車両（アトレー４）'!$AJ$5</f>
        <v>2078860</v>
      </c>
      <c r="L39" s="94">
        <f>'[9]車両（キャラ３）'!$AJ$5</f>
        <v>0</v>
      </c>
    </row>
    <row r="40" spans="1:12" ht="14.25" x14ac:dyDescent="0.15">
      <c r="A40" s="55" t="s">
        <v>42</v>
      </c>
      <c r="B40" s="88">
        <v>50000</v>
      </c>
      <c r="C40" s="11"/>
      <c r="D40" s="12"/>
      <c r="F40" s="94">
        <f>'[9]車両（フリード２）'!$AJ$5</f>
        <v>477725</v>
      </c>
      <c r="G40" s="94">
        <f>'[9]車両（セブン２）'!$AJ$5</f>
        <v>1</v>
      </c>
      <c r="H40" s="94">
        <f>'[9]車両（EK３）'!$AJ$5</f>
        <v>1</v>
      </c>
    </row>
    <row r="41" spans="1:12" ht="14.25" x14ac:dyDescent="0.15">
      <c r="A41" s="55" t="s">
        <v>66</v>
      </c>
      <c r="B41" s="88">
        <v>165580</v>
      </c>
      <c r="C41" s="76"/>
      <c r="D41" s="12"/>
    </row>
    <row r="42" spans="1:12" ht="14.25" x14ac:dyDescent="0.15">
      <c r="A42" s="61" t="s">
        <v>43</v>
      </c>
      <c r="B42" s="80"/>
      <c r="C42" s="37">
        <f>SUM(B34:B41)</f>
        <v>53525581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f>C31+C42</f>
        <v>94513588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88">
        <v>1314433</v>
      </c>
      <c r="C48" s="5"/>
      <c r="D48" s="78"/>
    </row>
    <row r="49" spans="1:8" ht="14.25" x14ac:dyDescent="0.15">
      <c r="A49" s="55" t="s">
        <v>33</v>
      </c>
      <c r="B49" s="71">
        <v>0</v>
      </c>
      <c r="C49" s="5"/>
      <c r="D49" s="12"/>
    </row>
    <row r="50" spans="1:8" ht="6.75" customHeight="1" x14ac:dyDescent="0.15">
      <c r="A50" s="59"/>
      <c r="B50" s="79"/>
      <c r="C50" s="11"/>
      <c r="D50" s="12"/>
    </row>
    <row r="51" spans="1:8" ht="14.25" x14ac:dyDescent="0.15">
      <c r="A51" s="55" t="s">
        <v>31</v>
      </c>
      <c r="B51" s="80"/>
      <c r="C51" s="37">
        <f>B48+B49</f>
        <v>1314433</v>
      </c>
      <c r="D51" s="23"/>
      <c r="E51" t="s">
        <v>108</v>
      </c>
    </row>
    <row r="52" spans="1:8" ht="11.25" customHeight="1" x14ac:dyDescent="0.15">
      <c r="A52" s="3"/>
      <c r="B52" s="14"/>
      <c r="C52" s="34"/>
      <c r="D52" s="25"/>
    </row>
    <row r="53" spans="1:8" ht="14.25" x14ac:dyDescent="0.15">
      <c r="A53" s="55" t="s">
        <v>22</v>
      </c>
      <c r="B53" s="19"/>
      <c r="C53" s="81"/>
      <c r="D53" s="23"/>
    </row>
    <row r="54" spans="1:8" ht="14.25" x14ac:dyDescent="0.15">
      <c r="A54" s="55" t="s">
        <v>30</v>
      </c>
      <c r="B54" s="88">
        <v>480000</v>
      </c>
      <c r="C54" s="11"/>
      <c r="D54" s="25"/>
    </row>
    <row r="55" spans="1:8" ht="14.25" x14ac:dyDescent="0.15">
      <c r="A55" s="9"/>
      <c r="B55" s="19"/>
      <c r="C55" s="11"/>
      <c r="D55" s="25"/>
      <c r="G55" t="s">
        <v>108</v>
      </c>
    </row>
    <row r="56" spans="1:8" ht="14.25" x14ac:dyDescent="0.15">
      <c r="A56" s="61" t="s">
        <v>29</v>
      </c>
      <c r="B56" s="10"/>
      <c r="C56" s="37">
        <f>B54</f>
        <v>480000</v>
      </c>
      <c r="D56" s="23"/>
    </row>
    <row r="57" spans="1:8" ht="6.75" customHeight="1" x14ac:dyDescent="0.15">
      <c r="A57" s="3"/>
      <c r="B57" s="19"/>
      <c r="C57" s="11"/>
      <c r="D57" s="23"/>
    </row>
    <row r="58" spans="1:8" ht="14.25" x14ac:dyDescent="0.15">
      <c r="A58" s="58" t="s">
        <v>24</v>
      </c>
      <c r="B58" s="40"/>
      <c r="C58" s="40"/>
      <c r="D58" s="38">
        <f>C51+C56</f>
        <v>1794433</v>
      </c>
    </row>
    <row r="59" spans="1:8" ht="11.25" customHeight="1" x14ac:dyDescent="0.15">
      <c r="A59" s="3"/>
      <c r="B59" s="19"/>
      <c r="C59" s="11"/>
      <c r="D59" s="23"/>
    </row>
    <row r="60" spans="1:8" ht="14.25" x14ac:dyDescent="0.15">
      <c r="A60" s="55" t="s">
        <v>3</v>
      </c>
      <c r="B60" s="30"/>
      <c r="C60" s="35"/>
      <c r="D60" s="31"/>
    </row>
    <row r="61" spans="1:8" ht="15" customHeight="1" x14ac:dyDescent="0.15">
      <c r="A61" s="55" t="s">
        <v>27</v>
      </c>
      <c r="B61" s="10"/>
      <c r="C61" s="39"/>
      <c r="D61" s="39">
        <v>0</v>
      </c>
      <c r="H61" t="s">
        <v>0</v>
      </c>
    </row>
    <row r="62" spans="1:8" ht="15.75" customHeight="1" x14ac:dyDescent="0.15">
      <c r="A62" s="55" t="s">
        <v>28</v>
      </c>
      <c r="B62" s="47"/>
      <c r="C62" s="9"/>
      <c r="D62" s="43">
        <f>D44-D58</f>
        <v>92719155</v>
      </c>
      <c r="F62" s="90" t="s">
        <v>124</v>
      </c>
    </row>
    <row r="63" spans="1:8" ht="15.75" customHeight="1" x14ac:dyDescent="0.15">
      <c r="A63" s="59" t="s">
        <v>11</v>
      </c>
      <c r="B63" s="9"/>
      <c r="D63" s="70">
        <v>-4089151</v>
      </c>
      <c r="F63" s="92">
        <f>D63-[10]令和4年度!$P$74</f>
        <v>1117646</v>
      </c>
    </row>
    <row r="64" spans="1:8" ht="16.5" customHeight="1" x14ac:dyDescent="0.15">
      <c r="A64" s="55" t="s">
        <v>26</v>
      </c>
      <c r="B64" s="22"/>
      <c r="C64" s="48"/>
      <c r="D64" s="44">
        <f>D62</f>
        <v>92719155</v>
      </c>
      <c r="F64" s="91"/>
    </row>
    <row r="65" spans="1:6" ht="14.25" x14ac:dyDescent="0.15">
      <c r="A65" s="55" t="s">
        <v>25</v>
      </c>
      <c r="B65" s="22"/>
      <c r="C65" s="9"/>
      <c r="D65" s="69">
        <f>D58+D64</f>
        <v>94513588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E35F8-19A2-40F8-9996-9A5BEF173CDD}">
  <sheetPr>
    <pageSetUpPr fitToPage="1"/>
  </sheetPr>
  <dimension ref="A1:L109"/>
  <sheetViews>
    <sheetView topLeftCell="A49" zoomScaleNormal="100" workbookViewId="0">
      <selection activeCell="H5" sqref="H5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171</v>
      </c>
      <c r="B1" s="122"/>
      <c r="C1" s="122"/>
      <c r="D1" s="122"/>
    </row>
    <row r="2" spans="1:11" ht="17.25" customHeight="1" x14ac:dyDescent="0.15">
      <c r="A2" s="116" t="s">
        <v>172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11778642</v>
      </c>
      <c r="C9" s="5"/>
      <c r="D9" s="12"/>
      <c r="F9" s="84">
        <f>'[7]0138359'!$AJ$37</f>
        <v>5166363</v>
      </c>
      <c r="G9" s="84">
        <f>'[7]0138642（居宅）'!$AJ$37</f>
        <v>44978</v>
      </c>
      <c r="H9" s="84">
        <f>'[7]0138655（通所）'!$AJ$37</f>
        <v>5783</v>
      </c>
      <c r="I9" s="84">
        <f>'[7]0156560（新庄）'!$AJ$37</f>
        <v>150151</v>
      </c>
      <c r="J9" s="84">
        <f>'[7]0158313（ゆけむり）'!$AJ$37</f>
        <v>266576</v>
      </c>
      <c r="K9" s="84">
        <f>'[7]0139101（ちゃれんじ）'!$AJ$37</f>
        <v>4614071</v>
      </c>
    </row>
    <row r="10" spans="1:11" ht="14.25" x14ac:dyDescent="0.15">
      <c r="A10" s="53" t="s">
        <v>102</v>
      </c>
      <c r="B10" s="73">
        <v>10101633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968514</v>
      </c>
      <c r="C11" s="5"/>
      <c r="D11" s="23"/>
      <c r="F11" s="84">
        <f>'[7]2253865（助け合い）'!$AJ$37</f>
        <v>30200</v>
      </c>
      <c r="G11" s="89">
        <f>'[7]2253871（通所）'!$AJ$37</f>
        <v>919800</v>
      </c>
      <c r="H11" s="84">
        <f>'[7]2254321（ミニ）'!$AJ$37</f>
        <v>0</v>
      </c>
    </row>
    <row r="12" spans="1:11" ht="14.25" x14ac:dyDescent="0.15">
      <c r="A12" s="53" t="s">
        <v>128</v>
      </c>
      <c r="B12" s="74">
        <v>340237</v>
      </c>
      <c r="C12" s="5"/>
      <c r="D12" s="23"/>
    </row>
    <row r="13" spans="1:11" ht="14.25" x14ac:dyDescent="0.15">
      <c r="A13" s="53" t="s">
        <v>129</v>
      </c>
      <c r="B13" s="75">
        <v>187061</v>
      </c>
      <c r="C13" s="5"/>
      <c r="D13" s="12"/>
      <c r="E13" s="93" t="s">
        <v>142</v>
      </c>
      <c r="F13" s="94">
        <f>[7]JA0034628!$AJ$37</f>
        <v>992695</v>
      </c>
      <c r="G13" s="93" t="s">
        <v>143</v>
      </c>
      <c r="H13" s="94">
        <f>[7]ゆうちょ6473091!$AJ$37</f>
        <v>848315</v>
      </c>
      <c r="I13" s="93" t="s">
        <v>144</v>
      </c>
      <c r="J13" s="94">
        <f>[7]しま信0116975!$AJ$37</f>
        <v>592085</v>
      </c>
    </row>
    <row r="14" spans="1:11" ht="14.25" x14ac:dyDescent="0.15">
      <c r="A14" s="53" t="s">
        <v>130</v>
      </c>
      <c r="B14" s="75">
        <v>181197</v>
      </c>
      <c r="C14" s="5"/>
      <c r="D14" s="12"/>
    </row>
    <row r="15" spans="1:11" ht="14.25" x14ac:dyDescent="0.15">
      <c r="A15" s="55" t="s">
        <v>36</v>
      </c>
      <c r="B15" s="71">
        <v>30009102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5493030</v>
      </c>
      <c r="C16" s="11"/>
      <c r="D16" s="12"/>
      <c r="E16" t="s">
        <v>112</v>
      </c>
      <c r="F16" s="84">
        <f>'[8]未収金（認定調査委託料）'!$AJ$37</f>
        <v>15400</v>
      </c>
      <c r="G16" s="84">
        <f>'[8]未収金（居宅支援介護報酬）'!$AJ$37</f>
        <v>5078080</v>
      </c>
      <c r="H16" s="83"/>
    </row>
    <row r="17" spans="1:11" ht="14.25" x14ac:dyDescent="0.15">
      <c r="A17" s="54" t="s">
        <v>15</v>
      </c>
      <c r="B17" s="73">
        <v>13245799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5446232</v>
      </c>
      <c r="C18" s="11"/>
      <c r="D18" s="12"/>
      <c r="E18" t="s">
        <v>115</v>
      </c>
      <c r="F18" s="84">
        <f>'[8]未収金（通所保険請求）'!$AJ$37</f>
        <v>11735816</v>
      </c>
      <c r="G18" s="84">
        <f>'[8]未収金（通所利用者負担）'!$AJ$37</f>
        <v>1365938</v>
      </c>
      <c r="H18" s="84">
        <f>'[8]未収金（通所食費）'!$AJ$37</f>
        <v>648500</v>
      </c>
    </row>
    <row r="19" spans="1:11" ht="14.25" x14ac:dyDescent="0.15">
      <c r="A19" s="54" t="s">
        <v>16</v>
      </c>
      <c r="B19" s="73">
        <v>1820005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1413782</v>
      </c>
      <c r="C20" s="5"/>
      <c r="D20" s="12"/>
      <c r="E20" t="s">
        <v>119</v>
      </c>
      <c r="F20" s="84">
        <f>'[8]未収金（ゆけむり保険請求）'!$AJ$37</f>
        <v>3624471</v>
      </c>
      <c r="G20" s="84">
        <f>'[8]未収金（ゆけむり利用者負担）'!$AJ$37</f>
        <v>527342</v>
      </c>
      <c r="H20" s="84">
        <f>'[8]未収金（ゆけむり食費）'!$AJ$37</f>
        <v>113400</v>
      </c>
    </row>
    <row r="21" spans="1:11" ht="14.25" x14ac:dyDescent="0.15">
      <c r="A21" s="54" t="s">
        <v>167</v>
      </c>
      <c r="B21" s="73">
        <v>336931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168</v>
      </c>
      <c r="B22" s="73">
        <v>278369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85">
        <v>18500</v>
      </c>
      <c r="C23" s="5"/>
      <c r="D23" s="12"/>
      <c r="E23" t="s">
        <v>120</v>
      </c>
      <c r="F23" s="84">
        <f>'[8]未収金（予防通所保険請求）'!$AJ$37</f>
        <v>1811990</v>
      </c>
      <c r="G23" s="84">
        <f>'[8]未収金（予防通所利用者負担）'!$AJ$37</f>
        <v>120098</v>
      </c>
      <c r="H23" s="84">
        <f>'[8]未収金（予防通所食費）'!$AJ$37</f>
        <v>126500</v>
      </c>
    </row>
    <row r="24" spans="1:11" ht="14.25" x14ac:dyDescent="0.15">
      <c r="A24" s="54" t="s">
        <v>81</v>
      </c>
      <c r="B24" s="73">
        <v>349054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85">
        <v>53900</v>
      </c>
      <c r="C25" s="5"/>
      <c r="D25" s="12"/>
      <c r="E25" t="s">
        <v>121</v>
      </c>
      <c r="F25" s="84">
        <f>'[8]未収金（処遇改善保険請求）'!$AJ$37</f>
        <v>1190257</v>
      </c>
      <c r="G25" s="84">
        <f>'[8]未収金（処遇改善利用者負担）'!$AJ$37</f>
        <v>137834</v>
      </c>
      <c r="H25" s="83"/>
      <c r="I25" s="99" t="s">
        <v>169</v>
      </c>
      <c r="J25" s="94">
        <f>'[8]未収金（ベースアップ加算保険請求）'!$AJ$37</f>
        <v>233668</v>
      </c>
      <c r="K25" s="94">
        <f>'[8]未収金（ベースアップ加算利用者負担）'!$AJ$37</f>
        <v>24625</v>
      </c>
    </row>
    <row r="26" spans="1:11" ht="14.25" x14ac:dyDescent="0.15">
      <c r="A26" s="54" t="s">
        <v>17</v>
      </c>
      <c r="B26" s="86">
        <v>1545000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87">
        <v>8500</v>
      </c>
      <c r="C27" s="5"/>
      <c r="D27" s="12"/>
      <c r="E27" t="s">
        <v>122</v>
      </c>
      <c r="F27" s="84">
        <f>'[8]未収金（特定処遇改善保険請求）'!$AJ$37</f>
        <v>275563</v>
      </c>
      <c r="G27" s="84">
        <f>'[8]未収金（特定処遇改善利用者負担）'!$AJ$37</f>
        <v>32435</v>
      </c>
      <c r="H27" s="83"/>
    </row>
    <row r="28" spans="1:11" ht="14.25" x14ac:dyDescent="0.15">
      <c r="A28" s="54" t="s">
        <v>79</v>
      </c>
      <c r="B28" s="85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88">
        <v>1417894</v>
      </c>
      <c r="C29" s="15" t="s">
        <v>0</v>
      </c>
      <c r="D29" s="12"/>
      <c r="E29" t="s">
        <v>123</v>
      </c>
      <c r="F29" s="84">
        <f>'[8]未収金（サロン保険請求）'!$AJ$37</f>
        <v>311572</v>
      </c>
      <c r="G29" s="84">
        <f>'[8]未収金（サロン利用者負担）'!$AJ$37</f>
        <v>21320</v>
      </c>
      <c r="H29" s="84">
        <f>'[8]未収金（サロン食費）'!$AJ$37</f>
        <v>22200</v>
      </c>
    </row>
    <row r="30" spans="1:11" ht="14.25" x14ac:dyDescent="0.15">
      <c r="A30" s="61" t="s">
        <v>96</v>
      </c>
      <c r="B30" s="71">
        <v>0</v>
      </c>
      <c r="C30" s="15"/>
      <c r="D30" s="12"/>
    </row>
    <row r="31" spans="1:11" ht="14.25" x14ac:dyDescent="0.15">
      <c r="A31" s="61" t="s">
        <v>38</v>
      </c>
      <c r="B31" s="7"/>
      <c r="C31" s="77">
        <f>B8+B9+B15+B29+B30</f>
        <v>43208023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44213471</v>
      </c>
      <c r="C34" s="5"/>
      <c r="D34" s="12"/>
      <c r="E34" t="s">
        <v>146</v>
      </c>
      <c r="F34" s="95">
        <f>'[9]建物（ほっと本体）'!$AJ$5</f>
        <v>225002</v>
      </c>
      <c r="G34" s="95">
        <f>'[9]建物（ほっと2階）'!$AJ$5</f>
        <v>159976</v>
      </c>
      <c r="H34" s="95">
        <f>'[9]建物（新庄）'!$AJ$5</f>
        <v>16342797</v>
      </c>
      <c r="I34" s="95">
        <f>'[9]建物（ゆけむり）'!$AJ$5</f>
        <v>23447684</v>
      </c>
      <c r="J34" s="95">
        <f>'[9]建物（ほっと浴室）'!$AJ$5</f>
        <v>4038012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96">
        <f>'[9]附属建物（厨房）'!$AJ$5</f>
        <v>1</v>
      </c>
      <c r="G35" s="96">
        <f>'[9]附属建物（浴室）'!$AJ$5</f>
        <v>1</v>
      </c>
      <c r="H35" s="96">
        <f>'[9]附属建物（便所）'!$AJ$5</f>
        <v>1</v>
      </c>
      <c r="I35" s="96">
        <f>'[9]附属建物（廊下）'!$AJ$5</f>
        <v>1</v>
      </c>
      <c r="J35" s="96">
        <f>'[9]附属設備（電気設備その他）'!$AJ$5</f>
        <v>82438</v>
      </c>
      <c r="K35" s="96">
        <f>'[9]附属設備（給排水衛生設備）'!$AJ$5</f>
        <v>94536</v>
      </c>
      <c r="L35" s="96">
        <f>'[9]附属設備（消火排煙設備）'!$AJ$5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96">
        <f>'[9]附属設備（新庄電気設備）'!$AJ$5</f>
        <v>365715</v>
      </c>
      <c r="G36" s="96">
        <f>'[9]附属設備（新庄給排水設備）'!$AJ$5</f>
        <v>446005</v>
      </c>
      <c r="H36" s="96">
        <f>'[9]附属設備（電気設備）'!$AJ$5</f>
        <v>1028074</v>
      </c>
      <c r="I36" s="96">
        <f>'[9]附属設備（給排水設備）'!$AJ$5</f>
        <v>529605</v>
      </c>
      <c r="J36" s="96">
        <f>'[9]附属設備（新庄浴槽改装ガス給湯設備）'!$AJ$6</f>
        <v>513845</v>
      </c>
      <c r="K36" s="96">
        <f>'[9]附属設備（ほっと浴室移設電気工事）'!$AJ$5</f>
        <v>851136</v>
      </c>
      <c r="L36" s="96">
        <f>'[9]附属設備（ほっと浴室移設給排水設備）'!$AJ$5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94">
        <f>'[9]構築物（舗装工事）'!$AJ$5</f>
        <v>1</v>
      </c>
      <c r="G37" s="94">
        <f>'[9]構築物（ゆけむり）'!$AJ$5</f>
        <v>358351</v>
      </c>
      <c r="H37" s="94">
        <f>'[9]構築物（新庄駐車場舗装）'!$AJ$5</f>
        <v>821220</v>
      </c>
    </row>
    <row r="38" spans="1:12" ht="14.25" x14ac:dyDescent="0.15">
      <c r="A38" s="55" t="s">
        <v>40</v>
      </c>
      <c r="B38" s="71">
        <v>2556593</v>
      </c>
      <c r="C38" s="5"/>
      <c r="D38" s="12"/>
      <c r="E38" t="s">
        <v>149</v>
      </c>
      <c r="F38" s="98">
        <f>'[9]器具備品（新庄玄関エアコン）'!$AJ$5</f>
        <v>31800</v>
      </c>
      <c r="G38" s="98">
        <f>'[9]器具備品（新庄事務室エアコン）'!$AJ$5</f>
        <v>173084</v>
      </c>
    </row>
    <row r="39" spans="1:12" ht="14.25" x14ac:dyDescent="0.15">
      <c r="A39" s="55" t="s">
        <v>41</v>
      </c>
      <c r="B39" s="88">
        <v>110600</v>
      </c>
      <c r="C39" s="5"/>
      <c r="D39" s="12"/>
      <c r="E39" t="s">
        <v>150</v>
      </c>
      <c r="F39" s="94">
        <f>'[9]車両（タウンボックス）'!$AJ$5</f>
        <v>1</v>
      </c>
      <c r="G39" s="94">
        <f>'[9]車両（はとバン）'!$AJ$5</f>
        <v>1</v>
      </c>
      <c r="H39" s="94">
        <f>'[9]車両（ノア）'!$AJ$5</f>
        <v>1</v>
      </c>
      <c r="I39" s="94">
        <f>'[9]車両（セレナ）'!$AJ$5</f>
        <v>1</v>
      </c>
      <c r="J39" s="94">
        <f>'[9]車両（アトレー１）'!$AJ$5</f>
        <v>1</v>
      </c>
      <c r="K39" s="94">
        <f>'[9]車両（アトレー４）'!$AJ$5</f>
        <v>2078860</v>
      </c>
      <c r="L39" s="94">
        <f>'[9]車両（キャラ３）'!$AJ$5</f>
        <v>0</v>
      </c>
    </row>
    <row r="40" spans="1:12" ht="14.25" x14ac:dyDescent="0.15">
      <c r="A40" s="55" t="s">
        <v>42</v>
      </c>
      <c r="B40" s="88">
        <v>50000</v>
      </c>
      <c r="C40" s="11"/>
      <c r="D40" s="12"/>
      <c r="F40" s="94">
        <f>'[9]車両（フリード２）'!$AJ$5</f>
        <v>477725</v>
      </c>
      <c r="G40" s="94">
        <f>'[9]車両（セブン２）'!$AJ$5</f>
        <v>1</v>
      </c>
      <c r="H40" s="94">
        <f>'[9]車両（EK３）'!$AJ$5</f>
        <v>1</v>
      </c>
    </row>
    <row r="41" spans="1:12" ht="14.25" x14ac:dyDescent="0.15">
      <c r="A41" s="55" t="s">
        <v>66</v>
      </c>
      <c r="B41" s="88">
        <v>165580</v>
      </c>
      <c r="C41" s="76"/>
      <c r="D41" s="12"/>
    </row>
    <row r="42" spans="1:12" ht="14.25" x14ac:dyDescent="0.15">
      <c r="A42" s="61" t="s">
        <v>43</v>
      </c>
      <c r="B42" s="80"/>
      <c r="C42" s="37">
        <f>SUM(B34:B41)</f>
        <v>53525581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f>C31+C42</f>
        <v>96733604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88">
        <v>3717501</v>
      </c>
      <c r="C48" s="5"/>
      <c r="D48" s="78"/>
    </row>
    <row r="49" spans="1:8" ht="14.25" x14ac:dyDescent="0.15">
      <c r="A49" s="55" t="s">
        <v>33</v>
      </c>
      <c r="B49" s="71">
        <v>0</v>
      </c>
      <c r="C49" s="5"/>
      <c r="D49" s="12"/>
    </row>
    <row r="50" spans="1:8" ht="6.75" customHeight="1" x14ac:dyDescent="0.15">
      <c r="A50" s="59"/>
      <c r="B50" s="79"/>
      <c r="C50" s="11"/>
      <c r="D50" s="12"/>
    </row>
    <row r="51" spans="1:8" ht="14.25" x14ac:dyDescent="0.15">
      <c r="A51" s="55" t="s">
        <v>31</v>
      </c>
      <c r="B51" s="80"/>
      <c r="C51" s="37">
        <f>B48+B49</f>
        <v>3717501</v>
      </c>
      <c r="D51" s="23"/>
      <c r="E51" t="s">
        <v>108</v>
      </c>
    </row>
    <row r="52" spans="1:8" ht="11.25" customHeight="1" x14ac:dyDescent="0.15">
      <c r="A52" s="3"/>
      <c r="B52" s="14"/>
      <c r="C52" s="34"/>
      <c r="D52" s="25"/>
    </row>
    <row r="53" spans="1:8" ht="14.25" x14ac:dyDescent="0.15">
      <c r="A53" s="55" t="s">
        <v>22</v>
      </c>
      <c r="B53" s="19"/>
      <c r="C53" s="81"/>
      <c r="D53" s="23"/>
    </row>
    <row r="54" spans="1:8" ht="14.25" x14ac:dyDescent="0.15">
      <c r="A54" s="55" t="s">
        <v>30</v>
      </c>
      <c r="B54" s="88">
        <v>0</v>
      </c>
      <c r="C54" s="11"/>
      <c r="D54" s="25"/>
    </row>
    <row r="55" spans="1:8" ht="14.25" x14ac:dyDescent="0.15">
      <c r="A55" s="9"/>
      <c r="B55" s="19"/>
      <c r="C55" s="11"/>
      <c r="D55" s="25"/>
      <c r="G55" t="s">
        <v>108</v>
      </c>
    </row>
    <row r="56" spans="1:8" ht="14.25" x14ac:dyDescent="0.15">
      <c r="A56" s="61" t="s">
        <v>29</v>
      </c>
      <c r="B56" s="10"/>
      <c r="C56" s="37">
        <f>B54</f>
        <v>0</v>
      </c>
      <c r="D56" s="23"/>
    </row>
    <row r="57" spans="1:8" ht="6.75" customHeight="1" x14ac:dyDescent="0.15">
      <c r="A57" s="3"/>
      <c r="B57" s="19"/>
      <c r="C57" s="11"/>
      <c r="D57" s="23"/>
    </row>
    <row r="58" spans="1:8" ht="14.25" x14ac:dyDescent="0.15">
      <c r="A58" s="58" t="s">
        <v>24</v>
      </c>
      <c r="B58" s="40"/>
      <c r="C58" s="40"/>
      <c r="D58" s="38">
        <f>C51+C56</f>
        <v>3717501</v>
      </c>
    </row>
    <row r="59" spans="1:8" ht="11.25" customHeight="1" x14ac:dyDescent="0.15">
      <c r="A59" s="3"/>
      <c r="B59" s="19"/>
      <c r="C59" s="11"/>
      <c r="D59" s="23"/>
    </row>
    <row r="60" spans="1:8" ht="14.25" x14ac:dyDescent="0.15">
      <c r="A60" s="55" t="s">
        <v>3</v>
      </c>
      <c r="B60" s="30"/>
      <c r="C60" s="35"/>
      <c r="D60" s="31"/>
    </row>
    <row r="61" spans="1:8" ht="15" customHeight="1" x14ac:dyDescent="0.15">
      <c r="A61" s="55" t="s">
        <v>27</v>
      </c>
      <c r="B61" s="10"/>
      <c r="C61" s="39"/>
      <c r="D61" s="39">
        <v>0</v>
      </c>
      <c r="H61" t="s">
        <v>0</v>
      </c>
    </row>
    <row r="62" spans="1:8" ht="15.75" customHeight="1" x14ac:dyDescent="0.15">
      <c r="A62" s="55" t="s">
        <v>28</v>
      </c>
      <c r="B62" s="47"/>
      <c r="C62" s="9"/>
      <c r="D62" s="43">
        <f>D44-D58</f>
        <v>93016103</v>
      </c>
      <c r="F62" s="90" t="s">
        <v>124</v>
      </c>
    </row>
    <row r="63" spans="1:8" ht="15.75" customHeight="1" x14ac:dyDescent="0.15">
      <c r="A63" s="59" t="s">
        <v>11</v>
      </c>
      <c r="B63" s="9"/>
      <c r="D63" s="70">
        <f>D64-'4.3月'!D63</f>
        <v>-3792203</v>
      </c>
      <c r="F63" s="92">
        <f>D63-[10]令和4年度!$P$74</f>
        <v>1414594</v>
      </c>
    </row>
    <row r="64" spans="1:8" ht="16.5" customHeight="1" x14ac:dyDescent="0.15">
      <c r="A64" s="55" t="s">
        <v>26</v>
      </c>
      <c r="B64" s="22"/>
      <c r="C64" s="48"/>
      <c r="D64" s="44">
        <f>D62</f>
        <v>93016103</v>
      </c>
      <c r="F64" s="91"/>
    </row>
    <row r="65" spans="1:6" ht="14.25" x14ac:dyDescent="0.15">
      <c r="A65" s="55" t="s">
        <v>25</v>
      </c>
      <c r="B65" s="22"/>
      <c r="C65" s="9"/>
      <c r="D65" s="69">
        <f>D58+D64</f>
        <v>96733604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B54D3-EBA3-402A-A647-E016E04DED5F}">
  <sheetPr>
    <pageSetUpPr fitToPage="1"/>
  </sheetPr>
  <dimension ref="A1:L109"/>
  <sheetViews>
    <sheetView topLeftCell="A52" zoomScaleNormal="100" workbookViewId="0">
      <selection activeCell="D65" sqref="D65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171</v>
      </c>
      <c r="B1" s="122"/>
      <c r="C1" s="122"/>
      <c r="D1" s="122"/>
    </row>
    <row r="2" spans="1:11" ht="17.25" customHeight="1" x14ac:dyDescent="0.15">
      <c r="A2" s="116" t="s">
        <v>173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9166495</v>
      </c>
      <c r="C9" s="5"/>
      <c r="D9" s="12"/>
      <c r="F9" s="84">
        <f>'[7]0138359'!$AJ$37</f>
        <v>5166363</v>
      </c>
      <c r="G9" s="84">
        <f>'[7]0138642（居宅）'!$AJ$37</f>
        <v>44978</v>
      </c>
      <c r="H9" s="84">
        <f>'[7]0138655（通所）'!$AJ$37</f>
        <v>5783</v>
      </c>
      <c r="I9" s="84">
        <f>'[7]0156560（新庄）'!$AJ$37</f>
        <v>150151</v>
      </c>
      <c r="J9" s="84">
        <f>'[7]0158313（ゆけむり）'!$AJ$37</f>
        <v>266576</v>
      </c>
      <c r="K9" s="84">
        <f>'[7]0139101（ちゃれんじ）'!$AJ$37</f>
        <v>4614071</v>
      </c>
    </row>
    <row r="10" spans="1:11" ht="14.25" x14ac:dyDescent="0.15">
      <c r="A10" s="53" t="s">
        <v>102</v>
      </c>
      <c r="B10" s="73">
        <v>7659972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639169</v>
      </c>
      <c r="C11" s="5"/>
      <c r="D11" s="23"/>
      <c r="F11" s="84">
        <f>'[7]2253865（助け合い）'!$AJ$37</f>
        <v>30200</v>
      </c>
      <c r="G11" s="89">
        <f>'[7]2253871（通所）'!$AJ$37</f>
        <v>919800</v>
      </c>
      <c r="H11" s="84">
        <f>'[7]2254321（ミニ）'!$AJ$37</f>
        <v>0</v>
      </c>
    </row>
    <row r="12" spans="1:11" ht="14.25" x14ac:dyDescent="0.15">
      <c r="A12" s="53" t="s">
        <v>128</v>
      </c>
      <c r="B12" s="74">
        <v>469822</v>
      </c>
      <c r="C12" s="5"/>
      <c r="D12" s="23"/>
    </row>
    <row r="13" spans="1:11" ht="14.25" x14ac:dyDescent="0.15">
      <c r="A13" s="53" t="s">
        <v>129</v>
      </c>
      <c r="B13" s="75">
        <v>72534</v>
      </c>
      <c r="C13" s="5"/>
      <c r="D13" s="12"/>
      <c r="E13" s="93" t="s">
        <v>142</v>
      </c>
      <c r="F13" s="94">
        <f>[7]JA0034628!$AJ$37</f>
        <v>992695</v>
      </c>
      <c r="G13" s="93" t="s">
        <v>143</v>
      </c>
      <c r="H13" s="94">
        <f>[7]ゆうちょ6473091!$AJ$37</f>
        <v>848315</v>
      </c>
      <c r="I13" s="93" t="s">
        <v>144</v>
      </c>
      <c r="J13" s="94">
        <f>[7]しま信0116975!$AJ$37</f>
        <v>592085</v>
      </c>
    </row>
    <row r="14" spans="1:11" ht="14.25" x14ac:dyDescent="0.15">
      <c r="A14" s="53" t="s">
        <v>130</v>
      </c>
      <c r="B14" s="75">
        <v>324998</v>
      </c>
      <c r="C14" s="5"/>
      <c r="D14" s="12"/>
    </row>
    <row r="15" spans="1:11" ht="14.25" x14ac:dyDescent="0.15">
      <c r="A15" s="55" t="s">
        <v>36</v>
      </c>
      <c r="B15" s="71">
        <v>28148889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5330340</v>
      </c>
      <c r="C16" s="11"/>
      <c r="D16" s="12"/>
      <c r="E16" t="s">
        <v>112</v>
      </c>
      <c r="F16" s="84">
        <f>'[8]未収金（認定調査委託料）'!$AJ$37</f>
        <v>15400</v>
      </c>
      <c r="G16" s="84">
        <f>'[8]未収金（居宅支援介護報酬）'!$AJ$37</f>
        <v>5078080</v>
      </c>
      <c r="H16" s="83"/>
    </row>
    <row r="17" spans="1:11" ht="14.25" x14ac:dyDescent="0.15">
      <c r="A17" s="54" t="s">
        <v>15</v>
      </c>
      <c r="B17" s="73">
        <v>12417711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4845374</v>
      </c>
      <c r="C18" s="11"/>
      <c r="D18" s="12"/>
      <c r="E18" t="s">
        <v>115</v>
      </c>
      <c r="F18" s="84">
        <f>'[8]未収金（通所保険請求）'!$AJ$37</f>
        <v>11735816</v>
      </c>
      <c r="G18" s="84">
        <f>'[8]未収金（通所利用者負担）'!$AJ$37</f>
        <v>1365938</v>
      </c>
      <c r="H18" s="84">
        <f>'[8]未収金（通所食費）'!$AJ$37</f>
        <v>648500</v>
      </c>
    </row>
    <row r="19" spans="1:11" ht="14.25" x14ac:dyDescent="0.15">
      <c r="A19" s="54" t="s">
        <v>16</v>
      </c>
      <c r="B19" s="73">
        <v>1987935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1312247</v>
      </c>
      <c r="C20" s="5"/>
      <c r="D20" s="12"/>
      <c r="E20" t="s">
        <v>119</v>
      </c>
      <c r="F20" s="84">
        <f>'[8]未収金（ゆけむり保険請求）'!$AJ$37</f>
        <v>3624471</v>
      </c>
      <c r="G20" s="84">
        <f>'[8]未収金（ゆけむり利用者負担）'!$AJ$37</f>
        <v>527342</v>
      </c>
      <c r="H20" s="84">
        <f>'[8]未収金（ゆけむり食費）'!$AJ$37</f>
        <v>113400</v>
      </c>
    </row>
    <row r="21" spans="1:11" ht="14.25" x14ac:dyDescent="0.15">
      <c r="A21" s="54" t="s">
        <v>167</v>
      </c>
      <c r="B21" s="73">
        <v>310619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168</v>
      </c>
      <c r="B22" s="73">
        <v>257323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85">
        <v>18500</v>
      </c>
      <c r="C23" s="5"/>
      <c r="D23" s="12"/>
      <c r="E23" t="s">
        <v>120</v>
      </c>
      <c r="F23" s="84">
        <f>'[8]未収金（予防通所保険請求）'!$AJ$37</f>
        <v>1811990</v>
      </c>
      <c r="G23" s="84">
        <f>'[8]未収金（予防通所利用者負担）'!$AJ$37</f>
        <v>120098</v>
      </c>
      <c r="H23" s="84">
        <f>'[8]未収金（予防通所食費）'!$AJ$37</f>
        <v>126500</v>
      </c>
    </row>
    <row r="24" spans="1:11" ht="14.25" x14ac:dyDescent="0.15">
      <c r="A24" s="54" t="s">
        <v>81</v>
      </c>
      <c r="B24" s="73">
        <v>347440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85">
        <v>63500</v>
      </c>
      <c r="C25" s="5"/>
      <c r="D25" s="12"/>
      <c r="E25" t="s">
        <v>121</v>
      </c>
      <c r="F25" s="84">
        <f>'[8]未収金（処遇改善保険請求）'!$AJ$37</f>
        <v>1190257</v>
      </c>
      <c r="G25" s="84">
        <f>'[8]未収金（処遇改善利用者負担）'!$AJ$37</f>
        <v>137834</v>
      </c>
      <c r="H25" s="83"/>
      <c r="I25" s="99" t="s">
        <v>169</v>
      </c>
      <c r="J25" s="94">
        <f>'[8]未収金（ベースアップ加算保険請求）'!$AJ$37</f>
        <v>233668</v>
      </c>
      <c r="K25" s="94">
        <f>'[8]未収金（ベースアップ加算利用者負担）'!$AJ$37</f>
        <v>24625</v>
      </c>
    </row>
    <row r="26" spans="1:11" ht="14.25" x14ac:dyDescent="0.15">
      <c r="A26" s="54" t="s">
        <v>17</v>
      </c>
      <c r="B26" s="86">
        <v>1252400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87">
        <v>5500</v>
      </c>
      <c r="C27" s="5"/>
      <c r="D27" s="12"/>
      <c r="E27" t="s">
        <v>122</v>
      </c>
      <c r="F27" s="84">
        <f>'[8]未収金（特定処遇改善保険請求）'!$AJ$37</f>
        <v>275563</v>
      </c>
      <c r="G27" s="84">
        <f>'[8]未収金（特定処遇改善利用者負担）'!$AJ$37</f>
        <v>32435</v>
      </c>
      <c r="H27" s="83"/>
    </row>
    <row r="28" spans="1:11" ht="14.25" x14ac:dyDescent="0.15">
      <c r="A28" s="54" t="s">
        <v>79</v>
      </c>
      <c r="B28" s="85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88">
        <v>1342309</v>
      </c>
      <c r="C29" s="15" t="s">
        <v>0</v>
      </c>
      <c r="D29" s="12"/>
      <c r="E29" t="s">
        <v>123</v>
      </c>
      <c r="F29" s="84">
        <f>'[8]未収金（サロン保険請求）'!$AJ$37</f>
        <v>311572</v>
      </c>
      <c r="G29" s="84">
        <f>'[8]未収金（サロン利用者負担）'!$AJ$37</f>
        <v>21320</v>
      </c>
      <c r="H29" s="84">
        <f>'[8]未収金（サロン食費）'!$AJ$37</f>
        <v>22200</v>
      </c>
    </row>
    <row r="30" spans="1:11" ht="14.25" x14ac:dyDescent="0.15">
      <c r="A30" s="61" t="s">
        <v>96</v>
      </c>
      <c r="B30" s="71">
        <v>0</v>
      </c>
      <c r="C30" s="15"/>
      <c r="D30" s="12"/>
    </row>
    <row r="31" spans="1:11" ht="14.25" x14ac:dyDescent="0.15">
      <c r="A31" s="61" t="s">
        <v>38</v>
      </c>
      <c r="B31" s="7"/>
      <c r="C31" s="77">
        <f>B8+B9+B15+B29+B30</f>
        <v>38660078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44213471</v>
      </c>
      <c r="C34" s="5"/>
      <c r="D34" s="12"/>
      <c r="E34" t="s">
        <v>146</v>
      </c>
      <c r="F34" s="95">
        <f>'[9]建物（ほっと本体）'!$AJ$5</f>
        <v>225002</v>
      </c>
      <c r="G34" s="95">
        <f>'[9]建物（ほっと2階）'!$AJ$5</f>
        <v>159976</v>
      </c>
      <c r="H34" s="95">
        <f>'[9]建物（新庄）'!$AJ$5</f>
        <v>16342797</v>
      </c>
      <c r="I34" s="95">
        <f>'[9]建物（ゆけむり）'!$AJ$5</f>
        <v>23447684</v>
      </c>
      <c r="J34" s="95">
        <f>'[9]建物（ほっと浴室）'!$AJ$5</f>
        <v>4038012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96">
        <f>'[9]附属建物（厨房）'!$AJ$5</f>
        <v>1</v>
      </c>
      <c r="G35" s="96">
        <f>'[9]附属建物（浴室）'!$AJ$5</f>
        <v>1</v>
      </c>
      <c r="H35" s="96">
        <f>'[9]附属建物（便所）'!$AJ$5</f>
        <v>1</v>
      </c>
      <c r="I35" s="96">
        <f>'[9]附属建物（廊下）'!$AJ$5</f>
        <v>1</v>
      </c>
      <c r="J35" s="96">
        <f>'[9]附属設備（電気設備その他）'!$AJ$5</f>
        <v>82438</v>
      </c>
      <c r="K35" s="96">
        <f>'[9]附属設備（給排水衛生設備）'!$AJ$5</f>
        <v>94536</v>
      </c>
      <c r="L35" s="96">
        <f>'[9]附属設備（消火排煙設備）'!$AJ$5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96">
        <f>'[9]附属設備（新庄電気設備）'!$AJ$5</f>
        <v>365715</v>
      </c>
      <c r="G36" s="96">
        <f>'[9]附属設備（新庄給排水設備）'!$AJ$5</f>
        <v>446005</v>
      </c>
      <c r="H36" s="96">
        <f>'[9]附属設備（電気設備）'!$AJ$5</f>
        <v>1028074</v>
      </c>
      <c r="I36" s="96">
        <f>'[9]附属設備（給排水設備）'!$AJ$5</f>
        <v>529605</v>
      </c>
      <c r="J36" s="96">
        <f>'[9]附属設備（新庄浴槽改装ガス給湯設備）'!$AJ$6</f>
        <v>513845</v>
      </c>
      <c r="K36" s="96">
        <f>'[9]附属設備（ほっと浴室移設電気工事）'!$AJ$5</f>
        <v>851136</v>
      </c>
      <c r="L36" s="96">
        <f>'[9]附属設備（ほっと浴室移設給排水設備）'!$AJ$5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94">
        <f>'[9]構築物（舗装工事）'!$AJ$5</f>
        <v>1</v>
      </c>
      <c r="G37" s="94">
        <f>'[9]構築物（ゆけむり）'!$AJ$5</f>
        <v>358351</v>
      </c>
      <c r="H37" s="94">
        <f>'[9]構築物（新庄駐車場舗装）'!$AJ$5</f>
        <v>821220</v>
      </c>
    </row>
    <row r="38" spans="1:12" ht="14.25" x14ac:dyDescent="0.15">
      <c r="A38" s="55" t="s">
        <v>40</v>
      </c>
      <c r="B38" s="71">
        <v>2556593</v>
      </c>
      <c r="C38" s="5"/>
      <c r="D38" s="12"/>
      <c r="E38" t="s">
        <v>149</v>
      </c>
      <c r="F38" s="98">
        <f>'[9]器具備品（新庄玄関エアコン）'!$AJ$5</f>
        <v>31800</v>
      </c>
      <c r="G38" s="98">
        <f>'[9]器具備品（新庄事務室エアコン）'!$AJ$5</f>
        <v>173084</v>
      </c>
    </row>
    <row r="39" spans="1:12" ht="14.25" x14ac:dyDescent="0.15">
      <c r="A39" s="55" t="s">
        <v>41</v>
      </c>
      <c r="B39" s="88">
        <v>110600</v>
      </c>
      <c r="C39" s="5"/>
      <c r="D39" s="12"/>
      <c r="E39" t="s">
        <v>150</v>
      </c>
      <c r="F39" s="94">
        <f>'[9]車両（タウンボックス）'!$AJ$5</f>
        <v>1</v>
      </c>
      <c r="G39" s="94">
        <f>'[9]車両（はとバン）'!$AJ$5</f>
        <v>1</v>
      </c>
      <c r="H39" s="94">
        <f>'[9]車両（ノア）'!$AJ$5</f>
        <v>1</v>
      </c>
      <c r="I39" s="94">
        <f>'[9]車両（セレナ）'!$AJ$5</f>
        <v>1</v>
      </c>
      <c r="J39" s="94">
        <f>'[9]車両（アトレー１）'!$AJ$5</f>
        <v>1</v>
      </c>
      <c r="K39" s="94">
        <f>'[9]車両（アトレー４）'!$AJ$5</f>
        <v>2078860</v>
      </c>
      <c r="L39" s="94">
        <f>'[9]車両（キャラ３）'!$AJ$5</f>
        <v>0</v>
      </c>
    </row>
    <row r="40" spans="1:12" ht="14.25" x14ac:dyDescent="0.15">
      <c r="A40" s="55" t="s">
        <v>42</v>
      </c>
      <c r="B40" s="88">
        <v>50000</v>
      </c>
      <c r="C40" s="11"/>
      <c r="D40" s="12"/>
      <c r="F40" s="94">
        <f>'[9]車両（フリード２）'!$AJ$5</f>
        <v>477725</v>
      </c>
      <c r="G40" s="94">
        <f>'[9]車両（セブン２）'!$AJ$5</f>
        <v>1</v>
      </c>
      <c r="H40" s="94">
        <f>'[9]車両（EK３）'!$AJ$5</f>
        <v>1</v>
      </c>
    </row>
    <row r="41" spans="1:12" ht="14.25" x14ac:dyDescent="0.15">
      <c r="A41" s="55" t="s">
        <v>66</v>
      </c>
      <c r="B41" s="88">
        <v>165580</v>
      </c>
      <c r="C41" s="76"/>
      <c r="D41" s="12"/>
    </row>
    <row r="42" spans="1:12" ht="14.25" x14ac:dyDescent="0.15">
      <c r="A42" s="61" t="s">
        <v>43</v>
      </c>
      <c r="B42" s="80"/>
      <c r="C42" s="37">
        <f>SUM(B34:B41)</f>
        <v>53525581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f>C31+C42</f>
        <v>92185659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88">
        <v>403531</v>
      </c>
      <c r="C48" s="5"/>
      <c r="D48" s="78"/>
    </row>
    <row r="49" spans="1:8" ht="14.25" x14ac:dyDescent="0.15">
      <c r="A49" s="55" t="s">
        <v>33</v>
      </c>
      <c r="B49" s="71">
        <v>0</v>
      </c>
      <c r="C49" s="5"/>
      <c r="D49" s="12"/>
    </row>
    <row r="50" spans="1:8" ht="6.75" customHeight="1" x14ac:dyDescent="0.15">
      <c r="A50" s="59"/>
      <c r="B50" s="79"/>
      <c r="C50" s="11"/>
      <c r="D50" s="12"/>
    </row>
    <row r="51" spans="1:8" ht="14.25" x14ac:dyDescent="0.15">
      <c r="A51" s="55" t="s">
        <v>31</v>
      </c>
      <c r="B51" s="80"/>
      <c r="C51" s="37">
        <f>B48+B49</f>
        <v>403531</v>
      </c>
      <c r="D51" s="23"/>
      <c r="E51" t="s">
        <v>108</v>
      </c>
    </row>
    <row r="52" spans="1:8" ht="11.25" customHeight="1" x14ac:dyDescent="0.15">
      <c r="A52" s="3"/>
      <c r="B52" s="14"/>
      <c r="C52" s="34"/>
      <c r="D52" s="25"/>
    </row>
    <row r="53" spans="1:8" ht="14.25" x14ac:dyDescent="0.15">
      <c r="A53" s="55" t="s">
        <v>22</v>
      </c>
      <c r="B53" s="19"/>
      <c r="C53" s="81"/>
      <c r="D53" s="23"/>
    </row>
    <row r="54" spans="1:8" ht="14.25" x14ac:dyDescent="0.15">
      <c r="A54" s="55" t="s">
        <v>30</v>
      </c>
      <c r="B54" s="88">
        <f>[9]長期借入金!$AA$37</f>
        <v>4917000</v>
      </c>
      <c r="C54" s="11"/>
      <c r="D54" s="25"/>
    </row>
    <row r="55" spans="1:8" ht="14.25" x14ac:dyDescent="0.15">
      <c r="A55" s="9"/>
      <c r="B55" s="19"/>
      <c r="C55" s="11"/>
      <c r="D55" s="25"/>
      <c r="G55" t="s">
        <v>108</v>
      </c>
    </row>
    <row r="56" spans="1:8" ht="14.25" x14ac:dyDescent="0.15">
      <c r="A56" s="61" t="s">
        <v>29</v>
      </c>
      <c r="B56" s="10"/>
      <c r="C56" s="37">
        <f>B54</f>
        <v>4917000</v>
      </c>
      <c r="D56" s="23"/>
    </row>
    <row r="57" spans="1:8" ht="6.75" customHeight="1" x14ac:dyDescent="0.15">
      <c r="A57" s="3"/>
      <c r="B57" s="19"/>
      <c r="C57" s="11"/>
      <c r="D57" s="23"/>
    </row>
    <row r="58" spans="1:8" ht="14.25" x14ac:dyDescent="0.15">
      <c r="A58" s="58" t="s">
        <v>24</v>
      </c>
      <c r="B58" s="40"/>
      <c r="C58" s="40"/>
      <c r="D58" s="38">
        <f>C51+C56</f>
        <v>5320531</v>
      </c>
    </row>
    <row r="59" spans="1:8" ht="11.25" customHeight="1" x14ac:dyDescent="0.15">
      <c r="A59" s="3"/>
      <c r="B59" s="19"/>
      <c r="C59" s="11"/>
      <c r="D59" s="23"/>
    </row>
    <row r="60" spans="1:8" ht="14.25" x14ac:dyDescent="0.15">
      <c r="A60" s="55" t="s">
        <v>3</v>
      </c>
      <c r="B60" s="30"/>
      <c r="C60" s="35"/>
      <c r="D60" s="31"/>
    </row>
    <row r="61" spans="1:8" ht="15" customHeight="1" x14ac:dyDescent="0.15">
      <c r="A61" s="55" t="s">
        <v>27</v>
      </c>
      <c r="B61" s="10"/>
      <c r="C61" s="39"/>
      <c r="D61" s="39">
        <v>0</v>
      </c>
      <c r="H61" t="s">
        <v>0</v>
      </c>
    </row>
    <row r="62" spans="1:8" ht="15.75" customHeight="1" x14ac:dyDescent="0.15">
      <c r="A62" s="55" t="s">
        <v>28</v>
      </c>
      <c r="B62" s="47"/>
      <c r="C62" s="9"/>
      <c r="D62" s="43">
        <f>D44-D58</f>
        <v>86865128</v>
      </c>
      <c r="F62" s="90" t="s">
        <v>124</v>
      </c>
    </row>
    <row r="63" spans="1:8" ht="15.75" customHeight="1" x14ac:dyDescent="0.15">
      <c r="A63" s="59" t="s">
        <v>11</v>
      </c>
      <c r="B63" s="9"/>
      <c r="D63" s="70">
        <v>-5026178</v>
      </c>
      <c r="F63" s="92">
        <f>D63-[10]令和4年度!$P$74</f>
        <v>180619</v>
      </c>
    </row>
    <row r="64" spans="1:8" ht="16.5" customHeight="1" x14ac:dyDescent="0.15">
      <c r="A64" s="55" t="s">
        <v>26</v>
      </c>
      <c r="B64" s="22"/>
      <c r="C64" s="48"/>
      <c r="D64" s="44">
        <f>D62</f>
        <v>86865128</v>
      </c>
      <c r="F64" s="91"/>
    </row>
    <row r="65" spans="1:6" ht="14.25" x14ac:dyDescent="0.15">
      <c r="A65" s="55" t="s">
        <v>25</v>
      </c>
      <c r="B65" s="22"/>
      <c r="C65" s="9"/>
      <c r="D65" s="69">
        <f>D58+D64</f>
        <v>92185659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38DD9-B3E9-4384-B7F4-6270568D0FCB}">
  <sheetPr>
    <pageSetUpPr fitToPage="1"/>
  </sheetPr>
  <dimension ref="A1:L109"/>
  <sheetViews>
    <sheetView zoomScaleNormal="100" workbookViewId="0">
      <selection activeCell="D65" sqref="D65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171</v>
      </c>
      <c r="B1" s="122"/>
      <c r="C1" s="122"/>
      <c r="D1" s="122"/>
    </row>
    <row r="2" spans="1:11" ht="17.25" customHeight="1" x14ac:dyDescent="0.15">
      <c r="A2" s="116" t="s">
        <v>174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14348036</v>
      </c>
      <c r="C9" s="5"/>
      <c r="D9" s="12"/>
      <c r="F9" s="84">
        <f>'[7]0138359'!$AJ$37</f>
        <v>5166363</v>
      </c>
      <c r="G9" s="84">
        <f>'[7]0138642（居宅）'!$AJ$37</f>
        <v>44978</v>
      </c>
      <c r="H9" s="84">
        <f>'[7]0138655（通所）'!$AJ$37</f>
        <v>5783</v>
      </c>
      <c r="I9" s="84">
        <f>'[7]0156560（新庄）'!$AJ$37</f>
        <v>150151</v>
      </c>
      <c r="J9" s="84">
        <f>'[7]0158313（ゆけむり）'!$AJ$37</f>
        <v>266576</v>
      </c>
      <c r="K9" s="84">
        <f>'[7]0139101（ちゃれんじ）'!$AJ$37</f>
        <v>4614071</v>
      </c>
    </row>
    <row r="10" spans="1:11" ht="14.25" x14ac:dyDescent="0.15">
      <c r="A10" s="53" t="s">
        <v>102</v>
      </c>
      <c r="B10" s="73">
        <v>11676433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691525</v>
      </c>
      <c r="C11" s="5"/>
      <c r="D11" s="23"/>
      <c r="F11" s="84">
        <f>'[7]2253865（助け合い）'!$AJ$37</f>
        <v>30200</v>
      </c>
      <c r="G11" s="89">
        <f>'[7]2253871（通所）'!$AJ$37</f>
        <v>919800</v>
      </c>
      <c r="H11" s="84">
        <f>'[7]2254321（ミニ）'!$AJ$37</f>
        <v>0</v>
      </c>
    </row>
    <row r="12" spans="1:11" ht="14.25" x14ac:dyDescent="0.15">
      <c r="A12" s="53" t="s">
        <v>128</v>
      </c>
      <c r="B12" s="74">
        <v>1016867</v>
      </c>
      <c r="C12" s="5"/>
      <c r="D12" s="23"/>
    </row>
    <row r="13" spans="1:11" ht="14.25" x14ac:dyDescent="0.15">
      <c r="A13" s="53" t="s">
        <v>129</v>
      </c>
      <c r="B13" s="75">
        <v>503150</v>
      </c>
      <c r="C13" s="5"/>
      <c r="D13" s="12"/>
      <c r="E13" s="93" t="s">
        <v>142</v>
      </c>
      <c r="F13" s="94">
        <f>[7]JA0034628!$AJ$37</f>
        <v>992695</v>
      </c>
      <c r="G13" s="93" t="s">
        <v>143</v>
      </c>
      <c r="H13" s="94">
        <f>[7]ゆうちょ6473091!$AJ$37</f>
        <v>848315</v>
      </c>
      <c r="I13" s="93" t="s">
        <v>144</v>
      </c>
      <c r="J13" s="94">
        <f>[7]しま信0116975!$AJ$37</f>
        <v>592085</v>
      </c>
    </row>
    <row r="14" spans="1:11" ht="14.25" x14ac:dyDescent="0.15">
      <c r="A14" s="53" t="s">
        <v>130</v>
      </c>
      <c r="B14" s="75">
        <v>460061</v>
      </c>
      <c r="C14" s="5"/>
      <c r="D14" s="12"/>
    </row>
    <row r="15" spans="1:11" ht="14.25" x14ac:dyDescent="0.15">
      <c r="A15" s="55" t="s">
        <v>36</v>
      </c>
      <c r="B15" s="71">
        <f>SUM(B16:B28)</f>
        <v>27561814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5251170</v>
      </c>
      <c r="C16" s="11"/>
      <c r="D16" s="12"/>
      <c r="E16" t="s">
        <v>112</v>
      </c>
      <c r="F16" s="84">
        <f>'[8]未収金（認定調査委託料）'!$AJ$37</f>
        <v>15400</v>
      </c>
      <c r="G16" s="84">
        <f>'[8]未収金（居宅支援介護報酬）'!$AJ$37</f>
        <v>5078080</v>
      </c>
      <c r="H16" s="83"/>
    </row>
    <row r="17" spans="1:11" ht="14.25" x14ac:dyDescent="0.15">
      <c r="A17" s="54" t="s">
        <v>15</v>
      </c>
      <c r="B17" s="73">
        <v>12799059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4016324</v>
      </c>
      <c r="C18" s="11"/>
      <c r="D18" s="12"/>
      <c r="E18" t="s">
        <v>115</v>
      </c>
      <c r="F18" s="84">
        <f>'[8]未収金（通所保険請求）'!$AJ$37</f>
        <v>11735816</v>
      </c>
      <c r="G18" s="84">
        <f>'[8]未収金（通所利用者負担）'!$AJ$37</f>
        <v>1365938</v>
      </c>
      <c r="H18" s="84">
        <f>'[8]未収金（通所食費）'!$AJ$37</f>
        <v>648500</v>
      </c>
    </row>
    <row r="19" spans="1:11" ht="14.25" x14ac:dyDescent="0.15">
      <c r="A19" s="54" t="s">
        <v>16</v>
      </c>
      <c r="B19" s="73">
        <v>2001938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1251191</v>
      </c>
      <c r="C20" s="5"/>
      <c r="D20" s="12"/>
      <c r="E20" t="s">
        <v>119</v>
      </c>
      <c r="F20" s="84">
        <f>'[8]未収金（ゆけむり保険請求）'!$AJ$37</f>
        <v>3624471</v>
      </c>
      <c r="G20" s="84">
        <f>'[8]未収金（ゆけむり利用者負担）'!$AJ$37</f>
        <v>527342</v>
      </c>
      <c r="H20" s="84">
        <f>'[8]未収金（ゆけむり食費）'!$AJ$37</f>
        <v>113400</v>
      </c>
    </row>
    <row r="21" spans="1:11" ht="14.25" x14ac:dyDescent="0.15">
      <c r="A21" s="54" t="s">
        <v>167</v>
      </c>
      <c r="B21" s="73">
        <v>290173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168</v>
      </c>
      <c r="B22" s="73">
        <v>243111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85">
        <v>15500</v>
      </c>
      <c r="C23" s="5"/>
      <c r="D23" s="12"/>
      <c r="E23" t="s">
        <v>120</v>
      </c>
      <c r="F23" s="84">
        <f>'[8]未収金（予防通所保険請求）'!$AJ$37</f>
        <v>1811990</v>
      </c>
      <c r="G23" s="84">
        <f>'[8]未収金（予防通所利用者負担）'!$AJ$37</f>
        <v>120098</v>
      </c>
      <c r="H23" s="84">
        <f>'[8]未収金（予防通所食費）'!$AJ$37</f>
        <v>126500</v>
      </c>
    </row>
    <row r="24" spans="1:11" ht="14.25" x14ac:dyDescent="0.15">
      <c r="A24" s="54" t="s">
        <v>81</v>
      </c>
      <c r="B24" s="73">
        <v>349748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85">
        <v>61600</v>
      </c>
      <c r="C25" s="5"/>
      <c r="D25" s="12"/>
      <c r="E25" t="s">
        <v>121</v>
      </c>
      <c r="F25" s="84">
        <f>'[8]未収金（処遇改善保険請求）'!$AJ$37</f>
        <v>1190257</v>
      </c>
      <c r="G25" s="84">
        <f>'[8]未収金（処遇改善利用者負担）'!$AJ$37</f>
        <v>137834</v>
      </c>
      <c r="H25" s="83"/>
      <c r="I25" s="99" t="s">
        <v>169</v>
      </c>
      <c r="J25" s="94">
        <f>'[8]未収金（ベースアップ加算保険請求）'!$AJ$37</f>
        <v>233668</v>
      </c>
      <c r="K25" s="94">
        <f>'[8]未収金（ベースアップ加算利用者負担）'!$AJ$37</f>
        <v>24625</v>
      </c>
    </row>
    <row r="26" spans="1:11" ht="14.25" x14ac:dyDescent="0.15">
      <c r="A26" s="54" t="s">
        <v>17</v>
      </c>
      <c r="B26" s="86">
        <v>1262000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87">
        <v>20000</v>
      </c>
      <c r="C27" s="5"/>
      <c r="D27" s="12"/>
      <c r="E27" t="s">
        <v>122</v>
      </c>
      <c r="F27" s="84">
        <f>'[8]未収金（特定処遇改善保険請求）'!$AJ$37</f>
        <v>275563</v>
      </c>
      <c r="G27" s="84">
        <f>'[8]未収金（特定処遇改善利用者負担）'!$AJ$37</f>
        <v>32435</v>
      </c>
      <c r="H27" s="83"/>
    </row>
    <row r="28" spans="1:11" ht="14.25" x14ac:dyDescent="0.15">
      <c r="A28" s="54" t="s">
        <v>79</v>
      </c>
      <c r="B28" s="85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88">
        <v>1011633</v>
      </c>
      <c r="C29" s="15" t="s">
        <v>0</v>
      </c>
      <c r="D29" s="12"/>
      <c r="E29" t="s">
        <v>123</v>
      </c>
      <c r="F29" s="84">
        <f>'[8]未収金（サロン保険請求）'!$AJ$37</f>
        <v>311572</v>
      </c>
      <c r="G29" s="84">
        <f>'[8]未収金（サロン利用者負担）'!$AJ$37</f>
        <v>21320</v>
      </c>
      <c r="H29" s="84">
        <f>'[8]未収金（サロン食費）'!$AJ$37</f>
        <v>22200</v>
      </c>
    </row>
    <row r="30" spans="1:11" ht="14.25" x14ac:dyDescent="0.15">
      <c r="A30" s="61" t="s">
        <v>96</v>
      </c>
      <c r="B30" s="71">
        <v>0</v>
      </c>
      <c r="C30" s="15"/>
      <c r="D30" s="12"/>
    </row>
    <row r="31" spans="1:11" ht="14.25" x14ac:dyDescent="0.15">
      <c r="A31" s="61" t="s">
        <v>38</v>
      </c>
      <c r="B31" s="7"/>
      <c r="C31" s="77">
        <f>B8+B9+B15+B29+B30</f>
        <v>42923868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44213471</v>
      </c>
      <c r="C34" s="5"/>
      <c r="D34" s="12"/>
      <c r="E34" t="s">
        <v>146</v>
      </c>
      <c r="F34" s="95">
        <f>'[9]建物（ほっと本体）'!$AJ$5</f>
        <v>225002</v>
      </c>
      <c r="G34" s="95">
        <f>'[9]建物（ほっと2階）'!$AJ$5</f>
        <v>159976</v>
      </c>
      <c r="H34" s="95">
        <f>'[9]建物（新庄）'!$AJ$5</f>
        <v>16342797</v>
      </c>
      <c r="I34" s="95">
        <f>'[9]建物（ゆけむり）'!$AJ$5</f>
        <v>23447684</v>
      </c>
      <c r="J34" s="95">
        <f>'[9]建物（ほっと浴室）'!$AJ$5</f>
        <v>4038012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96">
        <f>'[9]附属建物（厨房）'!$AJ$5</f>
        <v>1</v>
      </c>
      <c r="G35" s="96">
        <f>'[9]附属建物（浴室）'!$AJ$5</f>
        <v>1</v>
      </c>
      <c r="H35" s="96">
        <f>'[9]附属建物（便所）'!$AJ$5</f>
        <v>1</v>
      </c>
      <c r="I35" s="96">
        <f>'[9]附属建物（廊下）'!$AJ$5</f>
        <v>1</v>
      </c>
      <c r="J35" s="96">
        <f>'[9]附属設備（電気設備その他）'!$AJ$5</f>
        <v>82438</v>
      </c>
      <c r="K35" s="96">
        <f>'[9]附属設備（給排水衛生設備）'!$AJ$5</f>
        <v>94536</v>
      </c>
      <c r="L35" s="96">
        <f>'[9]附属設備（消火排煙設備）'!$AJ$5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96">
        <f>'[9]附属設備（新庄電気設備）'!$AJ$5</f>
        <v>365715</v>
      </c>
      <c r="G36" s="96">
        <f>'[9]附属設備（新庄給排水設備）'!$AJ$5</f>
        <v>446005</v>
      </c>
      <c r="H36" s="96">
        <f>'[9]附属設備（電気設備）'!$AJ$5</f>
        <v>1028074</v>
      </c>
      <c r="I36" s="96">
        <f>'[9]附属設備（給排水設備）'!$AJ$5</f>
        <v>529605</v>
      </c>
      <c r="J36" s="96">
        <f>'[9]附属設備（新庄浴槽改装ガス給湯設備）'!$AJ$6</f>
        <v>513845</v>
      </c>
      <c r="K36" s="96">
        <f>'[9]附属設備（ほっと浴室移設電気工事）'!$AJ$5</f>
        <v>851136</v>
      </c>
      <c r="L36" s="96">
        <f>'[9]附属設備（ほっと浴室移設給排水設備）'!$AJ$5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94">
        <f>'[9]構築物（舗装工事）'!$AJ$5</f>
        <v>1</v>
      </c>
      <c r="G37" s="94">
        <f>'[9]構築物（ゆけむり）'!$AJ$5</f>
        <v>358351</v>
      </c>
      <c r="H37" s="94">
        <f>'[9]構築物（新庄駐車場舗装）'!$AJ$5</f>
        <v>821220</v>
      </c>
    </row>
    <row r="38" spans="1:12" ht="14.25" x14ac:dyDescent="0.15">
      <c r="A38" s="55" t="s">
        <v>40</v>
      </c>
      <c r="B38" s="71">
        <v>2556593</v>
      </c>
      <c r="C38" s="5"/>
      <c r="D38" s="12"/>
      <c r="E38" t="s">
        <v>149</v>
      </c>
      <c r="F38" s="98">
        <f>'[9]器具備品（新庄玄関エアコン）'!$AJ$5</f>
        <v>31800</v>
      </c>
      <c r="G38" s="98">
        <f>'[9]器具備品（新庄事務室エアコン）'!$AJ$5</f>
        <v>173084</v>
      </c>
    </row>
    <row r="39" spans="1:12" ht="14.25" x14ac:dyDescent="0.15">
      <c r="A39" s="55" t="s">
        <v>41</v>
      </c>
      <c r="B39" s="88">
        <v>110600</v>
      </c>
      <c r="C39" s="5"/>
      <c r="D39" s="12"/>
      <c r="E39" t="s">
        <v>150</v>
      </c>
      <c r="F39" s="94">
        <f>'[9]車両（タウンボックス）'!$AJ$5</f>
        <v>1</v>
      </c>
      <c r="G39" s="94">
        <f>'[9]車両（はとバン）'!$AJ$5</f>
        <v>1</v>
      </c>
      <c r="H39" s="94">
        <f>'[9]車両（ノア）'!$AJ$5</f>
        <v>1</v>
      </c>
      <c r="I39" s="94">
        <f>'[9]車両（セレナ）'!$AJ$5</f>
        <v>1</v>
      </c>
      <c r="J39" s="94">
        <f>'[9]車両（アトレー１）'!$AJ$5</f>
        <v>1</v>
      </c>
      <c r="K39" s="94">
        <f>'[9]車両（アトレー４）'!$AJ$5</f>
        <v>2078860</v>
      </c>
      <c r="L39" s="94">
        <f>'[9]車両（キャラ３）'!$AJ$5</f>
        <v>0</v>
      </c>
    </row>
    <row r="40" spans="1:12" ht="14.25" x14ac:dyDescent="0.15">
      <c r="A40" s="55" t="s">
        <v>42</v>
      </c>
      <c r="B40" s="88">
        <v>50000</v>
      </c>
      <c r="C40" s="11"/>
      <c r="D40" s="12"/>
      <c r="F40" s="94">
        <f>'[9]車両（フリード２）'!$AJ$5</f>
        <v>477725</v>
      </c>
      <c r="G40" s="94">
        <f>'[9]車両（セブン２）'!$AJ$5</f>
        <v>1</v>
      </c>
      <c r="H40" s="94">
        <f>'[9]車両（EK３）'!$AJ$5</f>
        <v>1</v>
      </c>
    </row>
    <row r="41" spans="1:12" ht="14.25" x14ac:dyDescent="0.15">
      <c r="A41" s="55" t="s">
        <v>66</v>
      </c>
      <c r="B41" s="88">
        <v>165580</v>
      </c>
      <c r="C41" s="76"/>
      <c r="D41" s="12"/>
    </row>
    <row r="42" spans="1:12" ht="14.25" x14ac:dyDescent="0.15">
      <c r="A42" s="61" t="s">
        <v>43</v>
      </c>
      <c r="B42" s="80"/>
      <c r="C42" s="37">
        <f>SUM(B34:B41)</f>
        <v>53525581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f>C31+C42</f>
        <v>96449449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88">
        <v>422614</v>
      </c>
      <c r="C48" s="5"/>
      <c r="D48" s="78"/>
    </row>
    <row r="49" spans="1:8" ht="14.25" x14ac:dyDescent="0.15">
      <c r="A49" s="55" t="s">
        <v>33</v>
      </c>
      <c r="B49" s="71">
        <v>0</v>
      </c>
      <c r="C49" s="5"/>
      <c r="D49" s="12"/>
    </row>
    <row r="50" spans="1:8" ht="6.75" customHeight="1" x14ac:dyDescent="0.15">
      <c r="A50" s="59"/>
      <c r="B50" s="79"/>
      <c r="C50" s="11"/>
      <c r="D50" s="12"/>
    </row>
    <row r="51" spans="1:8" ht="14.25" x14ac:dyDescent="0.15">
      <c r="A51" s="55" t="s">
        <v>31</v>
      </c>
      <c r="B51" s="80"/>
      <c r="C51" s="37">
        <f>B48+B49</f>
        <v>422614</v>
      </c>
      <c r="D51" s="23"/>
      <c r="E51" t="s">
        <v>108</v>
      </c>
    </row>
    <row r="52" spans="1:8" ht="11.25" customHeight="1" x14ac:dyDescent="0.15">
      <c r="A52" s="3"/>
      <c r="B52" s="14"/>
      <c r="C52" s="34"/>
      <c r="D52" s="25"/>
    </row>
    <row r="53" spans="1:8" ht="14.25" x14ac:dyDescent="0.15">
      <c r="A53" s="55" t="s">
        <v>22</v>
      </c>
      <c r="B53" s="19"/>
      <c r="C53" s="81"/>
      <c r="D53" s="23"/>
    </row>
    <row r="54" spans="1:8" ht="14.25" x14ac:dyDescent="0.15">
      <c r="A54" s="55" t="s">
        <v>30</v>
      </c>
      <c r="B54" s="88">
        <v>5000000</v>
      </c>
      <c r="C54" s="11"/>
      <c r="D54" s="25"/>
    </row>
    <row r="55" spans="1:8" ht="14.25" x14ac:dyDescent="0.15">
      <c r="A55" s="9"/>
      <c r="B55" s="19"/>
      <c r="C55" s="11"/>
      <c r="D55" s="25"/>
      <c r="G55" t="s">
        <v>108</v>
      </c>
    </row>
    <row r="56" spans="1:8" ht="14.25" x14ac:dyDescent="0.15">
      <c r="A56" s="61" t="s">
        <v>29</v>
      </c>
      <c r="B56" s="10"/>
      <c r="C56" s="37">
        <f>B54</f>
        <v>5000000</v>
      </c>
      <c r="D56" s="23"/>
    </row>
    <row r="57" spans="1:8" ht="6.75" customHeight="1" x14ac:dyDescent="0.15">
      <c r="A57" s="3"/>
      <c r="B57" s="19"/>
      <c r="C57" s="11"/>
      <c r="D57" s="23"/>
    </row>
    <row r="58" spans="1:8" ht="14.25" x14ac:dyDescent="0.15">
      <c r="A58" s="58" t="s">
        <v>24</v>
      </c>
      <c r="B58" s="40"/>
      <c r="C58" s="40"/>
      <c r="D58" s="38">
        <f>C51+C56</f>
        <v>5422614</v>
      </c>
    </row>
    <row r="59" spans="1:8" ht="11.25" customHeight="1" x14ac:dyDescent="0.15">
      <c r="A59" s="3"/>
      <c r="B59" s="19"/>
      <c r="C59" s="11"/>
      <c r="D59" s="23"/>
    </row>
    <row r="60" spans="1:8" ht="14.25" x14ac:dyDescent="0.15">
      <c r="A60" s="55" t="s">
        <v>3</v>
      </c>
      <c r="B60" s="30"/>
      <c r="C60" s="35"/>
      <c r="D60" s="31"/>
    </row>
    <row r="61" spans="1:8" ht="15" customHeight="1" x14ac:dyDescent="0.15">
      <c r="A61" s="55" t="s">
        <v>27</v>
      </c>
      <c r="B61" s="10"/>
      <c r="C61" s="39"/>
      <c r="D61" s="39">
        <v>0</v>
      </c>
      <c r="H61" t="s">
        <v>0</v>
      </c>
    </row>
    <row r="62" spans="1:8" ht="15.75" customHeight="1" x14ac:dyDescent="0.15">
      <c r="A62" s="55" t="s">
        <v>28</v>
      </c>
      <c r="B62" s="47"/>
      <c r="C62" s="9"/>
      <c r="D62" s="43">
        <f>D44-D58</f>
        <v>91026835</v>
      </c>
      <c r="F62" s="90" t="s">
        <v>124</v>
      </c>
    </row>
    <row r="63" spans="1:8" ht="15.75" customHeight="1" x14ac:dyDescent="0.15">
      <c r="A63" s="59" t="s">
        <v>11</v>
      </c>
      <c r="B63" s="9"/>
      <c r="D63" s="70">
        <v>-5781471</v>
      </c>
      <c r="F63" s="92">
        <f>D63-[10]令和4年度!$P$74</f>
        <v>-574674</v>
      </c>
    </row>
    <row r="64" spans="1:8" ht="16.5" customHeight="1" x14ac:dyDescent="0.15">
      <c r="A64" s="55" t="s">
        <v>26</v>
      </c>
      <c r="B64" s="22"/>
      <c r="C64" s="48"/>
      <c r="D64" s="44">
        <f>D62</f>
        <v>91026835</v>
      </c>
      <c r="F64" s="91"/>
    </row>
    <row r="65" spans="1:6" ht="14.25" x14ac:dyDescent="0.15">
      <c r="A65" s="55" t="s">
        <v>25</v>
      </c>
      <c r="B65" s="22"/>
      <c r="C65" s="9"/>
      <c r="D65" s="69">
        <f>D58+D64</f>
        <v>96449449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B16B2-93B9-4D4E-9195-A96FBBCE6A10}">
  <sheetPr>
    <pageSetUpPr fitToPage="1"/>
  </sheetPr>
  <dimension ref="A1:L109"/>
  <sheetViews>
    <sheetView zoomScaleNormal="100" workbookViewId="0">
      <selection activeCell="D63" sqref="D63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171</v>
      </c>
      <c r="B1" s="122"/>
      <c r="C1" s="122"/>
      <c r="D1" s="122"/>
    </row>
    <row r="2" spans="1:11" ht="17.25" customHeight="1" x14ac:dyDescent="0.15">
      <c r="A2" s="116" t="s">
        <v>175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13631017</v>
      </c>
      <c r="C9" s="5"/>
      <c r="D9" s="12"/>
      <c r="F9" s="84">
        <f>'[7]0138359'!$AJ$37</f>
        <v>5166363</v>
      </c>
      <c r="G9" s="84">
        <f>'[7]0138642（居宅）'!$AJ$37</f>
        <v>44978</v>
      </c>
      <c r="H9" s="84">
        <f>'[7]0138655（通所）'!$AJ$37</f>
        <v>5783</v>
      </c>
      <c r="I9" s="84">
        <f>'[7]0156560（新庄）'!$AJ$37</f>
        <v>150151</v>
      </c>
      <c r="J9" s="84">
        <f>'[7]0158313（ゆけむり）'!$AJ$37</f>
        <v>266576</v>
      </c>
      <c r="K9" s="84">
        <f>'[7]0139101（ちゃれんじ）'!$AJ$37</f>
        <v>4614071</v>
      </c>
    </row>
    <row r="10" spans="1:11" ht="14.25" x14ac:dyDescent="0.15">
      <c r="A10" s="53" t="s">
        <v>102</v>
      </c>
      <c r="B10" s="73">
        <v>10247922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950000</v>
      </c>
      <c r="C11" s="5"/>
      <c r="D11" s="23"/>
      <c r="F11" s="84">
        <f>'[7]2253865（助け合い）'!$AJ$37</f>
        <v>30200</v>
      </c>
      <c r="G11" s="89">
        <f>'[7]2253871（通所）'!$AJ$37</f>
        <v>919800</v>
      </c>
      <c r="H11" s="84">
        <f>'[7]2254321（ミニ）'!$AJ$37</f>
        <v>0</v>
      </c>
    </row>
    <row r="12" spans="1:11" ht="14.25" x14ac:dyDescent="0.15">
      <c r="A12" s="53" t="s">
        <v>128</v>
      </c>
      <c r="B12" s="74">
        <v>992695</v>
      </c>
      <c r="C12" s="5"/>
      <c r="D12" s="23"/>
    </row>
    <row r="13" spans="1:11" ht="14.25" x14ac:dyDescent="0.15">
      <c r="A13" s="53" t="s">
        <v>129</v>
      </c>
      <c r="B13" s="75">
        <v>848315</v>
      </c>
      <c r="C13" s="5"/>
      <c r="D13" s="12"/>
      <c r="E13" s="93" t="s">
        <v>142</v>
      </c>
      <c r="F13" s="94">
        <f>[7]JA0034628!$AJ$37</f>
        <v>992695</v>
      </c>
      <c r="G13" s="93" t="s">
        <v>143</v>
      </c>
      <c r="H13" s="94">
        <f>[7]ゆうちょ6473091!$AJ$37</f>
        <v>848315</v>
      </c>
      <c r="I13" s="93" t="s">
        <v>144</v>
      </c>
      <c r="J13" s="94">
        <f>[7]しま信0116975!$AJ$37</f>
        <v>592085</v>
      </c>
    </row>
    <row r="14" spans="1:11" ht="14.25" x14ac:dyDescent="0.15">
      <c r="A14" s="53" t="s">
        <v>130</v>
      </c>
      <c r="B14" s="75">
        <v>592085</v>
      </c>
      <c r="C14" s="5"/>
      <c r="D14" s="12"/>
    </row>
    <row r="15" spans="1:11" ht="14.25" x14ac:dyDescent="0.15">
      <c r="A15" s="55" t="s">
        <v>36</v>
      </c>
      <c r="B15" s="71">
        <f>SUM(B16:B28)</f>
        <v>28906409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5093480</v>
      </c>
      <c r="C16" s="11"/>
      <c r="D16" s="12"/>
      <c r="E16" t="s">
        <v>112</v>
      </c>
      <c r="F16" s="84">
        <f>'[8]未収金（認定調査委託料）'!$AJ$37</f>
        <v>15400</v>
      </c>
      <c r="G16" s="84">
        <f>'[8]未収金（居宅支援介護報酬）'!$AJ$37</f>
        <v>5078080</v>
      </c>
      <c r="H16" s="83"/>
    </row>
    <row r="17" spans="1:11" ht="14.25" x14ac:dyDescent="0.15">
      <c r="A17" s="54" t="s">
        <v>15</v>
      </c>
      <c r="B17" s="73">
        <v>13750254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4265213</v>
      </c>
      <c r="C18" s="11"/>
      <c r="D18" s="12"/>
      <c r="E18" t="s">
        <v>115</v>
      </c>
      <c r="F18" s="84">
        <f>'[8]未収金（通所保険請求）'!$AJ$37</f>
        <v>11735816</v>
      </c>
      <c r="G18" s="84">
        <f>'[8]未収金（通所利用者負担）'!$AJ$37</f>
        <v>1365938</v>
      </c>
      <c r="H18" s="84">
        <f>'[8]未収金（通所食費）'!$AJ$37</f>
        <v>648500</v>
      </c>
    </row>
    <row r="19" spans="1:11" ht="14.25" x14ac:dyDescent="0.15">
      <c r="A19" s="54" t="s">
        <v>16</v>
      </c>
      <c r="B19" s="73">
        <v>2058588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1328091</v>
      </c>
      <c r="C20" s="5"/>
      <c r="D20" s="12"/>
      <c r="E20" t="s">
        <v>119</v>
      </c>
      <c r="F20" s="84">
        <f>'[8]未収金（ゆけむり保険請求）'!$AJ$37</f>
        <v>3624471</v>
      </c>
      <c r="G20" s="84">
        <f>'[8]未収金（ゆけむり利用者負担）'!$AJ$37</f>
        <v>527342</v>
      </c>
      <c r="H20" s="84">
        <f>'[8]未収金（ゆけむり食費）'!$AJ$37</f>
        <v>113400</v>
      </c>
    </row>
    <row r="21" spans="1:11" ht="14.25" x14ac:dyDescent="0.15">
      <c r="A21" s="54" t="s">
        <v>167</v>
      </c>
      <c r="B21" s="73">
        <v>307998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168</v>
      </c>
      <c r="B22" s="73">
        <v>258293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85">
        <v>12500</v>
      </c>
      <c r="C23" s="5"/>
      <c r="D23" s="12"/>
      <c r="E23" t="s">
        <v>120</v>
      </c>
      <c r="F23" s="84">
        <f>'[8]未収金（予防通所保険請求）'!$AJ$37</f>
        <v>1811990</v>
      </c>
      <c r="G23" s="84">
        <f>'[8]未収金（予防通所利用者負担）'!$AJ$37</f>
        <v>120098</v>
      </c>
      <c r="H23" s="84">
        <f>'[8]未収金（予防通所食費）'!$AJ$37</f>
        <v>126500</v>
      </c>
    </row>
    <row r="24" spans="1:11" ht="14.25" x14ac:dyDescent="0.15">
      <c r="A24" s="54" t="s">
        <v>81</v>
      </c>
      <c r="B24" s="73">
        <v>355092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85">
        <v>83800</v>
      </c>
      <c r="C25" s="5"/>
      <c r="D25" s="12"/>
      <c r="E25" t="s">
        <v>121</v>
      </c>
      <c r="F25" s="84">
        <f>'[8]未収金（処遇改善保険請求）'!$AJ$37</f>
        <v>1190257</v>
      </c>
      <c r="G25" s="84">
        <f>'[8]未収金（処遇改善利用者負担）'!$AJ$37</f>
        <v>137834</v>
      </c>
      <c r="H25" s="83"/>
      <c r="I25" s="99" t="s">
        <v>169</v>
      </c>
      <c r="J25" s="94">
        <f>'[8]未収金（ベースアップ加算保険請求）'!$AJ$37</f>
        <v>233668</v>
      </c>
      <c r="K25" s="94">
        <f>'[8]未収金（ベースアップ加算利用者負担）'!$AJ$37</f>
        <v>24625</v>
      </c>
    </row>
    <row r="26" spans="1:11" ht="14.25" x14ac:dyDescent="0.15">
      <c r="A26" s="54" t="s">
        <v>17</v>
      </c>
      <c r="B26" s="86">
        <v>1382100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87">
        <v>11000</v>
      </c>
      <c r="C27" s="5"/>
      <c r="D27" s="12"/>
      <c r="E27" t="s">
        <v>122</v>
      </c>
      <c r="F27" s="84">
        <f>'[8]未収金（特定処遇改善保険請求）'!$AJ$37</f>
        <v>275563</v>
      </c>
      <c r="G27" s="84">
        <f>'[8]未収金（特定処遇改善利用者負担）'!$AJ$37</f>
        <v>32435</v>
      </c>
      <c r="H27" s="83"/>
    </row>
    <row r="28" spans="1:11" ht="14.25" x14ac:dyDescent="0.15">
      <c r="A28" s="54" t="s">
        <v>79</v>
      </c>
      <c r="B28" s="85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88">
        <v>1005910</v>
      </c>
      <c r="C29" s="15" t="s">
        <v>0</v>
      </c>
      <c r="D29" s="12"/>
      <c r="E29" t="s">
        <v>123</v>
      </c>
      <c r="F29" s="84">
        <f>'[8]未収金（サロン保険請求）'!$AJ$37</f>
        <v>311572</v>
      </c>
      <c r="G29" s="84">
        <f>'[8]未収金（サロン利用者負担）'!$AJ$37</f>
        <v>21320</v>
      </c>
      <c r="H29" s="84">
        <f>'[8]未収金（サロン食費）'!$AJ$37</f>
        <v>22200</v>
      </c>
    </row>
    <row r="30" spans="1:11" ht="14.25" x14ac:dyDescent="0.15">
      <c r="A30" s="61" t="s">
        <v>96</v>
      </c>
      <c r="B30" s="71">
        <v>0</v>
      </c>
      <c r="C30" s="15"/>
      <c r="D30" s="12"/>
    </row>
    <row r="31" spans="1:11" ht="14.25" x14ac:dyDescent="0.15">
      <c r="A31" s="61" t="s">
        <v>38</v>
      </c>
      <c r="B31" s="7"/>
      <c r="C31" s="77">
        <f>B8+B9+B15+B29+B30</f>
        <v>43545721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44213471</v>
      </c>
      <c r="C34" s="5"/>
      <c r="D34" s="12"/>
      <c r="E34" t="s">
        <v>146</v>
      </c>
      <c r="F34" s="95">
        <f>'[9]建物（ほっと本体）'!$AJ$5</f>
        <v>225002</v>
      </c>
      <c r="G34" s="95">
        <f>'[9]建物（ほっと2階）'!$AJ$5</f>
        <v>159976</v>
      </c>
      <c r="H34" s="95">
        <f>'[9]建物（新庄）'!$AJ$5</f>
        <v>16342797</v>
      </c>
      <c r="I34" s="95">
        <f>'[9]建物（ゆけむり）'!$AJ$5</f>
        <v>23447684</v>
      </c>
      <c r="J34" s="95">
        <f>'[9]建物（ほっと浴室）'!$AJ$5</f>
        <v>4038012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96">
        <f>'[9]附属建物（厨房）'!$AJ$5</f>
        <v>1</v>
      </c>
      <c r="G35" s="96">
        <f>'[9]附属建物（浴室）'!$AJ$5</f>
        <v>1</v>
      </c>
      <c r="H35" s="96">
        <f>'[9]附属建物（便所）'!$AJ$5</f>
        <v>1</v>
      </c>
      <c r="I35" s="96">
        <f>'[9]附属建物（廊下）'!$AJ$5</f>
        <v>1</v>
      </c>
      <c r="J35" s="96">
        <f>'[9]附属設備（電気設備その他）'!$AJ$5</f>
        <v>82438</v>
      </c>
      <c r="K35" s="96">
        <f>'[9]附属設備（給排水衛生設備）'!$AJ$5</f>
        <v>94536</v>
      </c>
      <c r="L35" s="96">
        <f>'[9]附属設備（消火排煙設備）'!$AJ$5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96">
        <f>'[9]附属設備（新庄電気設備）'!$AJ$5</f>
        <v>365715</v>
      </c>
      <c r="G36" s="96">
        <f>'[9]附属設備（新庄給排水設備）'!$AJ$5</f>
        <v>446005</v>
      </c>
      <c r="H36" s="96">
        <f>'[9]附属設備（電気設備）'!$AJ$5</f>
        <v>1028074</v>
      </c>
      <c r="I36" s="96">
        <f>'[9]附属設備（給排水設備）'!$AJ$5</f>
        <v>529605</v>
      </c>
      <c r="J36" s="96">
        <f>'[9]附属設備（新庄浴槽改装ガス給湯設備）'!$AJ$6</f>
        <v>513845</v>
      </c>
      <c r="K36" s="96">
        <f>'[9]附属設備（ほっと浴室移設電気工事）'!$AJ$5</f>
        <v>851136</v>
      </c>
      <c r="L36" s="96">
        <f>'[9]附属設備（ほっと浴室移設給排水設備）'!$AJ$5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94">
        <f>'[9]構築物（舗装工事）'!$AJ$5</f>
        <v>1</v>
      </c>
      <c r="G37" s="94">
        <f>'[9]構築物（ゆけむり）'!$AJ$5</f>
        <v>358351</v>
      </c>
      <c r="H37" s="94">
        <f>'[9]構築物（新庄駐車場舗装）'!$AJ$5</f>
        <v>821220</v>
      </c>
    </row>
    <row r="38" spans="1:12" ht="14.25" x14ac:dyDescent="0.15">
      <c r="A38" s="55" t="s">
        <v>40</v>
      </c>
      <c r="B38" s="71">
        <v>2556592</v>
      </c>
      <c r="C38" s="5"/>
      <c r="D38" s="12"/>
      <c r="E38" t="s">
        <v>149</v>
      </c>
      <c r="F38" s="98">
        <f>'[9]器具備品（新庄玄関エアコン）'!$AJ$5</f>
        <v>31800</v>
      </c>
      <c r="G38" s="98">
        <f>'[9]器具備品（新庄事務室エアコン）'!$AJ$5</f>
        <v>173084</v>
      </c>
    </row>
    <row r="39" spans="1:12" ht="14.25" x14ac:dyDescent="0.15">
      <c r="A39" s="55" t="s">
        <v>41</v>
      </c>
      <c r="B39" s="88">
        <v>110600</v>
      </c>
      <c r="C39" s="5"/>
      <c r="D39" s="12"/>
      <c r="E39" t="s">
        <v>150</v>
      </c>
      <c r="F39" s="94">
        <f>'[9]車両（タウンボックス）'!$AJ$5</f>
        <v>1</v>
      </c>
      <c r="G39" s="94">
        <f>'[9]車両（はとバン）'!$AJ$5</f>
        <v>1</v>
      </c>
      <c r="H39" s="94">
        <f>'[9]車両（ノア）'!$AJ$5</f>
        <v>1</v>
      </c>
      <c r="I39" s="94">
        <f>'[9]車両（セレナ）'!$AJ$5</f>
        <v>1</v>
      </c>
      <c r="J39" s="94">
        <f>'[9]車両（アトレー１）'!$AJ$5</f>
        <v>1</v>
      </c>
      <c r="K39" s="94">
        <f>'[9]車両（アトレー４）'!$AJ$5</f>
        <v>2078860</v>
      </c>
      <c r="L39" s="94">
        <f>'[9]車両（キャラ３）'!$AJ$5</f>
        <v>0</v>
      </c>
    </row>
    <row r="40" spans="1:12" ht="14.25" x14ac:dyDescent="0.15">
      <c r="A40" s="55" t="s">
        <v>42</v>
      </c>
      <c r="B40" s="88">
        <v>50000</v>
      </c>
      <c r="C40" s="11"/>
      <c r="D40" s="12"/>
      <c r="F40" s="94">
        <f>'[9]車両（フリード２）'!$AJ$5</f>
        <v>477725</v>
      </c>
      <c r="G40" s="94">
        <f>'[9]車両（セブン２）'!$AJ$5</f>
        <v>1</v>
      </c>
      <c r="H40" s="94">
        <f>'[9]車両（EK３）'!$AJ$5</f>
        <v>1</v>
      </c>
    </row>
    <row r="41" spans="1:12" ht="14.25" x14ac:dyDescent="0.15">
      <c r="A41" s="55" t="s">
        <v>66</v>
      </c>
      <c r="B41" s="88"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f>SUM(B34:B41)</f>
        <v>53508120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f>C31+C42</f>
        <v>97053841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88">
        <v>535332</v>
      </c>
      <c r="C48" s="5"/>
      <c r="D48" s="78"/>
    </row>
    <row r="49" spans="1:8" ht="14.25" x14ac:dyDescent="0.15">
      <c r="A49" s="55" t="s">
        <v>33</v>
      </c>
      <c r="B49" s="71">
        <v>0</v>
      </c>
      <c r="C49" s="5"/>
      <c r="D49" s="12"/>
    </row>
    <row r="50" spans="1:8" ht="6.75" customHeight="1" x14ac:dyDescent="0.15">
      <c r="A50" s="59"/>
      <c r="B50" s="79"/>
      <c r="C50" s="11"/>
      <c r="D50" s="12"/>
    </row>
    <row r="51" spans="1:8" ht="14.25" x14ac:dyDescent="0.15">
      <c r="A51" s="55" t="s">
        <v>31</v>
      </c>
      <c r="B51" s="80"/>
      <c r="C51" s="37">
        <f>B48+B49</f>
        <v>535332</v>
      </c>
      <c r="D51" s="23"/>
      <c r="E51" t="s">
        <v>108</v>
      </c>
    </row>
    <row r="52" spans="1:8" ht="11.25" customHeight="1" x14ac:dyDescent="0.15">
      <c r="A52" s="3"/>
      <c r="B52" s="14"/>
      <c r="C52" s="34"/>
      <c r="D52" s="25"/>
    </row>
    <row r="53" spans="1:8" ht="14.25" x14ac:dyDescent="0.15">
      <c r="A53" s="55" t="s">
        <v>22</v>
      </c>
      <c r="B53" s="19"/>
      <c r="C53" s="81"/>
      <c r="D53" s="23"/>
    </row>
    <row r="54" spans="1:8" ht="14.25" x14ac:dyDescent="0.15">
      <c r="A54" s="55" t="s">
        <v>30</v>
      </c>
      <c r="B54" s="88">
        <v>4917000</v>
      </c>
      <c r="C54" s="11"/>
      <c r="D54" s="25"/>
    </row>
    <row r="55" spans="1:8" ht="14.25" x14ac:dyDescent="0.15">
      <c r="A55" s="9"/>
      <c r="B55" s="19"/>
      <c r="C55" s="11"/>
      <c r="D55" s="25"/>
      <c r="G55" t="s">
        <v>108</v>
      </c>
    </row>
    <row r="56" spans="1:8" ht="14.25" x14ac:dyDescent="0.15">
      <c r="A56" s="61" t="s">
        <v>29</v>
      </c>
      <c r="B56" s="10"/>
      <c r="C56" s="37">
        <f>B54</f>
        <v>4917000</v>
      </c>
      <c r="D56" s="23"/>
    </row>
    <row r="57" spans="1:8" ht="6.75" customHeight="1" x14ac:dyDescent="0.15">
      <c r="A57" s="3"/>
      <c r="B57" s="19"/>
      <c r="C57" s="11"/>
      <c r="D57" s="23"/>
    </row>
    <row r="58" spans="1:8" ht="14.25" x14ac:dyDescent="0.15">
      <c r="A58" s="58" t="s">
        <v>24</v>
      </c>
      <c r="B58" s="40"/>
      <c r="C58" s="40"/>
      <c r="D58" s="38">
        <f>C51+C56</f>
        <v>5452332</v>
      </c>
    </row>
    <row r="59" spans="1:8" ht="11.25" customHeight="1" x14ac:dyDescent="0.15">
      <c r="A59" s="3"/>
      <c r="B59" s="19"/>
      <c r="C59" s="11"/>
      <c r="D59" s="23"/>
    </row>
    <row r="60" spans="1:8" ht="14.25" x14ac:dyDescent="0.15">
      <c r="A60" s="55" t="s">
        <v>3</v>
      </c>
      <c r="B60" s="30"/>
      <c r="C60" s="35"/>
      <c r="D60" s="31"/>
    </row>
    <row r="61" spans="1:8" ht="15" customHeight="1" x14ac:dyDescent="0.15">
      <c r="A61" s="55" t="s">
        <v>27</v>
      </c>
      <c r="B61" s="10"/>
      <c r="C61" s="39"/>
      <c r="D61" s="39">
        <v>0</v>
      </c>
      <c r="H61" t="s">
        <v>0</v>
      </c>
    </row>
    <row r="62" spans="1:8" ht="15.75" customHeight="1" x14ac:dyDescent="0.15">
      <c r="A62" s="55" t="s">
        <v>28</v>
      </c>
      <c r="B62" s="47"/>
      <c r="C62" s="9"/>
      <c r="D62" s="43">
        <f>D44-D58</f>
        <v>91601509</v>
      </c>
      <c r="F62" s="100" t="s">
        <v>124</v>
      </c>
    </row>
    <row r="63" spans="1:8" ht="15.75" customHeight="1" x14ac:dyDescent="0.15">
      <c r="A63" s="59" t="s">
        <v>11</v>
      </c>
      <c r="B63" s="9"/>
      <c r="D63" s="70">
        <v>-5206797</v>
      </c>
      <c r="F63" s="92">
        <f>D63-[10]令和4年度!$P$74</f>
        <v>0</v>
      </c>
    </row>
    <row r="64" spans="1:8" ht="16.5" customHeight="1" x14ac:dyDescent="0.15">
      <c r="A64" s="55" t="s">
        <v>26</v>
      </c>
      <c r="B64" s="22"/>
      <c r="C64" s="48"/>
      <c r="D64" s="44">
        <f>D62</f>
        <v>91601509</v>
      </c>
      <c r="F64" s="91"/>
    </row>
    <row r="65" spans="1:6" ht="14.25" x14ac:dyDescent="0.15">
      <c r="A65" s="55" t="s">
        <v>25</v>
      </c>
      <c r="B65" s="22"/>
      <c r="C65" s="9"/>
      <c r="D65" s="69">
        <f>D58+D64</f>
        <v>97053841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5E286-DE63-494E-8378-E33E7354B3B1}">
  <sheetPr>
    <pageSetUpPr fitToPage="1"/>
  </sheetPr>
  <dimension ref="A1:L109"/>
  <sheetViews>
    <sheetView zoomScaleNormal="100" workbookViewId="0">
      <selection activeCell="B10" sqref="B10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177</v>
      </c>
      <c r="B1" s="122"/>
      <c r="C1" s="122"/>
      <c r="D1" s="122"/>
    </row>
    <row r="2" spans="1:11" ht="17.25" customHeight="1" x14ac:dyDescent="0.15">
      <c r="A2" s="116" t="s">
        <v>176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14499105</v>
      </c>
      <c r="C9" s="5"/>
      <c r="D9" s="12"/>
      <c r="F9" s="84">
        <f>'[11]0138359'!$AJ$37</f>
        <v>4981376</v>
      </c>
      <c r="G9" s="84">
        <f>'[11]0138642（居宅）'!$AJ$37</f>
        <v>154091</v>
      </c>
      <c r="H9" s="84">
        <f>'[11]0138655（通所）'!$AJ$37</f>
        <v>5711</v>
      </c>
      <c r="I9" s="84">
        <f>'[11]0156560（新庄）'!$AJ$37</f>
        <v>99191</v>
      </c>
      <c r="J9" s="84">
        <f>'[11]0158313（ゆけむり）'!$AJ$37</f>
        <v>50444</v>
      </c>
      <c r="K9" s="84">
        <f>'[11]0139101（ちゃれんじ）'!$AJ$37</f>
        <v>583296</v>
      </c>
    </row>
    <row r="10" spans="1:11" ht="14.25" x14ac:dyDescent="0.15">
      <c r="A10" s="53" t="s">
        <v>102</v>
      </c>
      <c r="B10" s="73">
        <f>F9+G9+H9+I9+J9+K9</f>
        <v>5874109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f>F11+G11+H11</f>
        <v>7593204</v>
      </c>
      <c r="C11" s="5"/>
      <c r="D11" s="23"/>
      <c r="F11" s="84">
        <f>'[11]2253865（助け合い）'!$AJ$37</f>
        <v>222641</v>
      </c>
      <c r="G11" s="89">
        <f>'[11]2253871（通所）'!$AJ$37</f>
        <v>484375</v>
      </c>
      <c r="H11" s="84">
        <f>'[11]2254321（ミニ）'!$AJ$37</f>
        <v>6886188</v>
      </c>
    </row>
    <row r="12" spans="1:11" ht="14.25" x14ac:dyDescent="0.15">
      <c r="A12" s="53" t="s">
        <v>128</v>
      </c>
      <c r="B12" s="74">
        <f>F13</f>
        <v>568938</v>
      </c>
      <c r="C12" s="5"/>
      <c r="D12" s="23"/>
    </row>
    <row r="13" spans="1:11" ht="14.25" x14ac:dyDescent="0.15">
      <c r="A13" s="53" t="s">
        <v>129</v>
      </c>
      <c r="B13" s="75">
        <f>H13</f>
        <v>173053</v>
      </c>
      <c r="C13" s="5"/>
      <c r="D13" s="12"/>
      <c r="E13" s="93" t="s">
        <v>142</v>
      </c>
      <c r="F13" s="94">
        <f>[11]JA0034628!$AJ$37</f>
        <v>568938</v>
      </c>
      <c r="G13" s="93" t="s">
        <v>143</v>
      </c>
      <c r="H13" s="94">
        <f>[11]ゆうちょ6473091!$AJ$37</f>
        <v>173053</v>
      </c>
      <c r="I13" s="93" t="s">
        <v>144</v>
      </c>
      <c r="J13" s="94">
        <f>[11]しま信0116975!$AJ$37</f>
        <v>289801</v>
      </c>
    </row>
    <row r="14" spans="1:11" ht="14.25" x14ac:dyDescent="0.15">
      <c r="A14" s="53" t="s">
        <v>130</v>
      </c>
      <c r="B14" s="75">
        <f>J13</f>
        <v>289801</v>
      </c>
      <c r="C14" s="5"/>
      <c r="D14" s="12"/>
    </row>
    <row r="15" spans="1:11" ht="14.25" x14ac:dyDescent="0.15">
      <c r="A15" s="55" t="s">
        <v>36</v>
      </c>
      <c r="B15" s="71">
        <f>SUM(B16:B28)</f>
        <v>23947421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f>F16+G16</f>
        <v>5119730</v>
      </c>
      <c r="C16" s="11"/>
      <c r="D16" s="12"/>
      <c r="E16" t="s">
        <v>112</v>
      </c>
      <c r="F16" s="84">
        <f>'[12]未収金（認定調査委託料）'!$AJ$37</f>
        <v>9240</v>
      </c>
      <c r="G16" s="84">
        <f>'[12]未収金（居宅支援介護報酬）'!$AJ$37</f>
        <v>5110490</v>
      </c>
      <c r="H16" s="83"/>
    </row>
    <row r="17" spans="1:11" ht="14.25" x14ac:dyDescent="0.15">
      <c r="A17" s="54" t="s">
        <v>15</v>
      </c>
      <c r="B17" s="73">
        <f>F18+G18+H18</f>
        <v>13725536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f>F20+G20+H20</f>
        <v>14257</v>
      </c>
      <c r="C18" s="11"/>
      <c r="D18" s="12"/>
      <c r="E18" t="s">
        <v>115</v>
      </c>
      <c r="F18" s="84">
        <f>'[12]未収金（通所保険請求）'!$AJ$37</f>
        <v>11757712</v>
      </c>
      <c r="G18" s="84">
        <f>'[12]未収金（通所利用者負担）'!$AJ$37</f>
        <v>1233924</v>
      </c>
      <c r="H18" s="84">
        <f>'[12]未収金（通所食費）'!$AJ$37</f>
        <v>733900</v>
      </c>
    </row>
    <row r="19" spans="1:11" ht="14.25" x14ac:dyDescent="0.15">
      <c r="A19" s="54" t="s">
        <v>16</v>
      </c>
      <c r="B19" s="73">
        <f>F23+G23+H23</f>
        <v>1527141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f>F25+G25</f>
        <v>1327309</v>
      </c>
      <c r="C20" s="5"/>
      <c r="D20" s="12"/>
      <c r="E20" t="s">
        <v>119</v>
      </c>
      <c r="F20" s="84">
        <f>'[12]未収金（ゆけむり保険請求）'!$AJ$37</f>
        <v>0</v>
      </c>
      <c r="G20" s="84">
        <f>'[12]未収金（ゆけむり利用者負担）'!$AJ$37</f>
        <v>14257</v>
      </c>
      <c r="H20" s="84">
        <f>'[12]未収金（ゆけむり食費）'!$AJ$37</f>
        <v>0</v>
      </c>
    </row>
    <row r="21" spans="1:11" ht="14.25" x14ac:dyDescent="0.15">
      <c r="A21" s="54" t="s">
        <v>167</v>
      </c>
      <c r="B21" s="73">
        <f>F27+G27</f>
        <v>3289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168</v>
      </c>
      <c r="B22" s="73">
        <f>J25+K25</f>
        <v>541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85">
        <f>'[12]未収金（通所キャンセル）'!$AJ$37</f>
        <v>23600</v>
      </c>
      <c r="C23" s="5"/>
      <c r="D23" s="12"/>
      <c r="E23" t="s">
        <v>120</v>
      </c>
      <c r="F23" s="84">
        <f>'[12]未収金（予防通所保険請求）'!$AJ$37</f>
        <v>1344043</v>
      </c>
      <c r="G23" s="84">
        <f>'[12]未収金（予防通所利用者負担）'!$AJ$37</f>
        <v>78798</v>
      </c>
      <c r="H23" s="84">
        <f>'[12]未収金（予防通所食費）'!$AJ$37</f>
        <v>104300</v>
      </c>
    </row>
    <row r="24" spans="1:11" ht="14.25" x14ac:dyDescent="0.15">
      <c r="A24" s="54" t="s">
        <v>81</v>
      </c>
      <c r="B24" s="73">
        <f>F29+G29+H29</f>
        <v>369618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85">
        <f>'[12]未収金（ミニデイ）'!$AJ$37</f>
        <v>72800</v>
      </c>
      <c r="C25" s="5"/>
      <c r="D25" s="12"/>
      <c r="E25" t="s">
        <v>121</v>
      </c>
      <c r="F25" s="84">
        <f>'[12]未収金（処遇改善保険請求）'!$AJ$37</f>
        <v>1210522</v>
      </c>
      <c r="G25" s="84">
        <f>'[12]未収金（処遇改善利用者負担）'!$AJ$37</f>
        <v>116787</v>
      </c>
      <c r="H25" s="83"/>
      <c r="I25" s="99" t="s">
        <v>169</v>
      </c>
      <c r="J25" s="94">
        <f>'[12]未収金（ベースアップ加算保険請求）'!$AJ$37</f>
        <v>198</v>
      </c>
      <c r="K25" s="94">
        <f>'[12]未収金（ベースアップ加算利用者負担）'!$AJ$37</f>
        <v>343</v>
      </c>
    </row>
    <row r="26" spans="1:11" ht="14.25" x14ac:dyDescent="0.15">
      <c r="A26" s="54" t="s">
        <v>17</v>
      </c>
      <c r="B26" s="86">
        <f>'[12]未収金（ちゃれんじ）'!$AJ$37</f>
        <v>1737100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87">
        <f>'[12]未収金（福祉タクシー）'!$AJ$37</f>
        <v>26500</v>
      </c>
      <c r="C27" s="5"/>
      <c r="D27" s="12"/>
      <c r="E27" t="s">
        <v>122</v>
      </c>
      <c r="F27" s="84">
        <f>'[12]未収金（特定処遇改善保険請求）'!$AJ$37</f>
        <v>0</v>
      </c>
      <c r="G27" s="84">
        <f>'[12]未収金（特定処遇改善利用者負担）'!$AJ$37</f>
        <v>3289</v>
      </c>
      <c r="H27" s="83"/>
    </row>
    <row r="28" spans="1:11" ht="14.25" x14ac:dyDescent="0.15">
      <c r="A28" s="54" t="s">
        <v>79</v>
      </c>
      <c r="B28" s="85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88">
        <f>[13]仮払金!$AJ$37</f>
        <v>1279291</v>
      </c>
      <c r="C29" s="15" t="s">
        <v>0</v>
      </c>
      <c r="D29" s="12"/>
      <c r="E29" t="s">
        <v>123</v>
      </c>
      <c r="F29" s="84">
        <f>'[12]未収金（サロン保険請求）'!$AJ$37</f>
        <v>316516</v>
      </c>
      <c r="G29" s="84">
        <f>'[12]未収金（サロン利用者負担）'!$AJ$37</f>
        <v>21602</v>
      </c>
      <c r="H29" s="84">
        <f>'[12]未収金（サロン食費）'!$AJ$37</f>
        <v>31500</v>
      </c>
    </row>
    <row r="30" spans="1:11" ht="14.25" x14ac:dyDescent="0.15">
      <c r="A30" s="61" t="s">
        <v>96</v>
      </c>
      <c r="B30" s="71">
        <v>0</v>
      </c>
      <c r="C30" s="15"/>
      <c r="D30" s="12"/>
    </row>
    <row r="31" spans="1:11" ht="14.25" x14ac:dyDescent="0.15">
      <c r="A31" s="61" t="s">
        <v>38</v>
      </c>
      <c r="B31" s="7"/>
      <c r="C31" s="77">
        <f>B8+B9+B15+B29+B30</f>
        <v>39728202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f>SUM(F34:J34)</f>
        <v>41508869</v>
      </c>
      <c r="C34" s="5"/>
      <c r="D34" s="12"/>
      <c r="E34" t="s">
        <v>146</v>
      </c>
      <c r="F34" s="95">
        <f>'[13]建物（ほっと本体）'!$AJ$5</f>
        <v>225002</v>
      </c>
      <c r="G34" s="95">
        <f>'[13]建物（ほっと2階）'!$AJ$5</f>
        <v>159976</v>
      </c>
      <c r="H34" s="95">
        <f>'[13]建物（新庄）'!$AJ$5</f>
        <v>14958933</v>
      </c>
      <c r="I34" s="95">
        <f>'[13]建物（ゆけむり）'!$AJ$5</f>
        <v>22564101</v>
      </c>
      <c r="J34" s="95">
        <f>'[13]建物（ほっと浴室）'!$AJ$5</f>
        <v>3600857</v>
      </c>
    </row>
    <row r="35" spans="1:12" ht="14.25" x14ac:dyDescent="0.15">
      <c r="A35" s="55" t="s">
        <v>54</v>
      </c>
      <c r="B35" s="71">
        <f>SUM(F35:L36)</f>
        <v>5044881</v>
      </c>
      <c r="C35" s="5"/>
      <c r="D35" s="12"/>
      <c r="E35" t="s">
        <v>147</v>
      </c>
      <c r="F35" s="96">
        <f>'[13]附属建物（厨房）'!$AJ$5</f>
        <v>1</v>
      </c>
      <c r="G35" s="96">
        <f>'[13]附属建物（浴室）'!$AJ$5</f>
        <v>1</v>
      </c>
      <c r="H35" s="96">
        <f>'[13]附属建物（便所）'!$AJ$5</f>
        <v>1</v>
      </c>
      <c r="I35" s="96">
        <f>'[13]附属建物（廊下）'!$AJ$5</f>
        <v>1</v>
      </c>
      <c r="J35" s="96">
        <f>'[13]附属設備（電気設備その他）'!$AJ$5</f>
        <v>82438</v>
      </c>
      <c r="K35" s="96">
        <f>'[13]附属設備（給排水衛生設備）'!$AJ$5</f>
        <v>94536</v>
      </c>
      <c r="L35" s="96">
        <f>'[13]附属設備（消火排煙設備）'!$AJ$5</f>
        <v>5047</v>
      </c>
    </row>
    <row r="36" spans="1:12" ht="14.25" x14ac:dyDescent="0.15">
      <c r="A36" s="55" t="s">
        <v>55</v>
      </c>
      <c r="B36" s="71">
        <f>SUM(F37:H37)</f>
        <v>1179572</v>
      </c>
      <c r="C36" s="5"/>
      <c r="D36" s="12"/>
      <c r="F36" s="96">
        <f>'[13]附属設備（新庄電気設備）'!$AJ$5</f>
        <v>365715</v>
      </c>
      <c r="G36" s="96">
        <f>'[13]附属設備（新庄給排水設備）'!$AJ$5</f>
        <v>446005</v>
      </c>
      <c r="H36" s="96">
        <f>'[13]附属設備（電気設備）'!$AJ$5</f>
        <v>1028074</v>
      </c>
      <c r="I36" s="96">
        <f>'[13]附属設備（給排水設備）'!$AJ$5</f>
        <v>529605</v>
      </c>
      <c r="J36" s="96">
        <f>'[13]附属設備（新庄浴槽改装ガス給湯設備）'!$AJ$6</f>
        <v>513845</v>
      </c>
      <c r="K36" s="96">
        <f>'[13]附属設備（ほっと浴室移設電気工事）'!$AJ$5</f>
        <v>851136</v>
      </c>
      <c r="L36" s="96">
        <f>'[13]附属設備（ほっと浴室移設給排水設備）'!$AJ$5</f>
        <v>1128476</v>
      </c>
    </row>
    <row r="37" spans="1:12" ht="14.25" x14ac:dyDescent="0.15">
      <c r="A37" s="55" t="s">
        <v>75</v>
      </c>
      <c r="B37" s="71">
        <f>SUM(F38:G38)</f>
        <v>204884</v>
      </c>
      <c r="C37" s="5"/>
      <c r="D37" s="12"/>
      <c r="E37" t="s">
        <v>148</v>
      </c>
      <c r="F37" s="94">
        <f>'[13]構築物（舗装工事）'!$AJ$5</f>
        <v>1</v>
      </c>
      <c r="G37" s="94">
        <f>'[13]構築物（ゆけむり）'!$AJ$5</f>
        <v>358351</v>
      </c>
      <c r="H37" s="94">
        <f>'[13]構築物（新庄駐車場舗装）'!$AJ$5</f>
        <v>821220</v>
      </c>
    </row>
    <row r="38" spans="1:12" ht="14.25" x14ac:dyDescent="0.15">
      <c r="A38" s="55" t="s">
        <v>40</v>
      </c>
      <c r="B38" s="71">
        <f>SUM(F39:L40)</f>
        <v>2556592</v>
      </c>
      <c r="C38" s="5"/>
      <c r="D38" s="12"/>
      <c r="E38" t="s">
        <v>149</v>
      </c>
      <c r="F38" s="98">
        <f>'[13]器具備品（新庄玄関エアコン）'!$AJ$5</f>
        <v>31800</v>
      </c>
      <c r="G38" s="98">
        <f>'[13]器具備品（新庄事務室エアコン）'!$AJ$5</f>
        <v>173084</v>
      </c>
    </row>
    <row r="39" spans="1:12" ht="14.25" x14ac:dyDescent="0.15">
      <c r="A39" s="55" t="s">
        <v>41</v>
      </c>
      <c r="B39" s="88">
        <f>[13]電話加入権!$AJ$5</f>
        <v>110600</v>
      </c>
      <c r="C39" s="5"/>
      <c r="D39" s="12"/>
      <c r="E39" t="s">
        <v>150</v>
      </c>
      <c r="F39" s="94">
        <f>'[13]車両（タウンボックス）'!$AJ$5</f>
        <v>1</v>
      </c>
      <c r="G39" s="94">
        <f>'[13]車両（はとバン）'!$AJ$5</f>
        <v>1</v>
      </c>
      <c r="H39" s="94">
        <f>'[13]車両（ノア）'!$AJ$5</f>
        <v>1</v>
      </c>
      <c r="I39" s="94">
        <f>'[13]車両（セレナ）'!$AJ$5</f>
        <v>1</v>
      </c>
      <c r="J39" s="94">
        <f>'[13]車両（アトレー１）'!$AJ$5</f>
        <v>1</v>
      </c>
      <c r="K39" s="94">
        <f>'[13]車両（アトレー４）'!$AJ$5</f>
        <v>2078860</v>
      </c>
      <c r="L39" s="94">
        <f>'[13]車両（キャラ３）'!$AJ$5</f>
        <v>0</v>
      </c>
    </row>
    <row r="40" spans="1:12" ht="14.25" x14ac:dyDescent="0.15">
      <c r="A40" s="55" t="s">
        <v>42</v>
      </c>
      <c r="B40" s="88">
        <f>[13]敷金保証金!$AJ$5</f>
        <v>50000</v>
      </c>
      <c r="C40" s="11"/>
      <c r="D40" s="12"/>
      <c r="F40" s="94">
        <f>'[13]車両（フリード２）'!$AJ$5</f>
        <v>477725</v>
      </c>
      <c r="G40" s="94">
        <f>'[13]車両（セブン２）'!$AJ$5</f>
        <v>1</v>
      </c>
      <c r="H40" s="94">
        <f>'[13]車両（EK３）'!$AJ$5</f>
        <v>1</v>
      </c>
    </row>
    <row r="41" spans="1:12" ht="14.25" x14ac:dyDescent="0.15">
      <c r="A41" s="55" t="s">
        <v>66</v>
      </c>
      <c r="B41" s="88">
        <f>[13]預託金!$AJ$5</f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f>SUM(B34:B41)</f>
        <v>50803518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f>C31+C42</f>
        <v>90531720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88">
        <f>[13]預り金!$AJ$37</f>
        <v>671027</v>
      </c>
      <c r="C48" s="5"/>
      <c r="D48" s="78"/>
    </row>
    <row r="49" spans="1:8" ht="14.25" x14ac:dyDescent="0.15">
      <c r="A49" s="55" t="s">
        <v>33</v>
      </c>
      <c r="B49" s="71">
        <v>0</v>
      </c>
      <c r="C49" s="5"/>
      <c r="D49" s="12"/>
    </row>
    <row r="50" spans="1:8" ht="6.75" customHeight="1" x14ac:dyDescent="0.15">
      <c r="A50" s="59"/>
      <c r="B50" s="79"/>
      <c r="C50" s="11"/>
      <c r="D50" s="12"/>
    </row>
    <row r="51" spans="1:8" ht="14.25" x14ac:dyDescent="0.15">
      <c r="A51" s="55" t="s">
        <v>31</v>
      </c>
      <c r="B51" s="80"/>
      <c r="C51" s="37">
        <f>B48+B49</f>
        <v>671027</v>
      </c>
      <c r="D51" s="23"/>
      <c r="E51" t="s">
        <v>108</v>
      </c>
    </row>
    <row r="52" spans="1:8" ht="11.25" customHeight="1" x14ac:dyDescent="0.15">
      <c r="A52" s="3"/>
      <c r="B52" s="14"/>
      <c r="C52" s="34"/>
      <c r="D52" s="25"/>
    </row>
    <row r="53" spans="1:8" ht="14.25" x14ac:dyDescent="0.15">
      <c r="A53" s="55" t="s">
        <v>22</v>
      </c>
      <c r="B53" s="19"/>
      <c r="C53" s="81"/>
      <c r="D53" s="23"/>
    </row>
    <row r="54" spans="1:8" ht="14.25" x14ac:dyDescent="0.15">
      <c r="A54" s="55" t="s">
        <v>30</v>
      </c>
      <c r="B54" s="88">
        <f>[13]長期借入金!$AA$37</f>
        <v>18879000</v>
      </c>
      <c r="C54" s="11"/>
      <c r="D54" s="25"/>
    </row>
    <row r="55" spans="1:8" ht="14.25" x14ac:dyDescent="0.15">
      <c r="A55" s="9"/>
      <c r="B55" s="19"/>
      <c r="C55" s="11"/>
      <c r="D55" s="25"/>
      <c r="G55" t="s">
        <v>108</v>
      </c>
    </row>
    <row r="56" spans="1:8" ht="14.25" x14ac:dyDescent="0.15">
      <c r="A56" s="61" t="s">
        <v>29</v>
      </c>
      <c r="B56" s="10"/>
      <c r="C56" s="37">
        <f>B54</f>
        <v>18879000</v>
      </c>
      <c r="D56" s="23"/>
    </row>
    <row r="57" spans="1:8" ht="6.75" customHeight="1" x14ac:dyDescent="0.15">
      <c r="A57" s="3"/>
      <c r="B57" s="19"/>
      <c r="C57" s="11"/>
      <c r="D57" s="23"/>
    </row>
    <row r="58" spans="1:8" ht="14.25" x14ac:dyDescent="0.15">
      <c r="A58" s="58" t="s">
        <v>24</v>
      </c>
      <c r="B58" s="40"/>
      <c r="C58" s="40"/>
      <c r="D58" s="38">
        <f>C51+C56</f>
        <v>19550027</v>
      </c>
    </row>
    <row r="59" spans="1:8" ht="11.25" customHeight="1" x14ac:dyDescent="0.15">
      <c r="A59" s="3"/>
      <c r="B59" s="19"/>
      <c r="C59" s="11"/>
      <c r="D59" s="23"/>
    </row>
    <row r="60" spans="1:8" ht="14.25" x14ac:dyDescent="0.15">
      <c r="A60" s="55" t="s">
        <v>3</v>
      </c>
      <c r="B60" s="30"/>
      <c r="C60" s="35"/>
      <c r="D60" s="31"/>
    </row>
    <row r="61" spans="1:8" ht="15" customHeight="1" x14ac:dyDescent="0.15">
      <c r="A61" s="55" t="s">
        <v>27</v>
      </c>
      <c r="B61" s="10"/>
      <c r="C61" s="39"/>
      <c r="D61" s="39">
        <v>0</v>
      </c>
      <c r="H61" t="s">
        <v>0</v>
      </c>
    </row>
    <row r="62" spans="1:8" ht="15.75" customHeight="1" x14ac:dyDescent="0.15">
      <c r="A62" s="55" t="s">
        <v>28</v>
      </c>
      <c r="B62" s="47"/>
      <c r="C62" s="9"/>
      <c r="D62" s="43">
        <f>D44-D58</f>
        <v>70981693</v>
      </c>
      <c r="F62" s="100" t="s">
        <v>124</v>
      </c>
    </row>
    <row r="63" spans="1:8" ht="15.75" customHeight="1" x14ac:dyDescent="0.15">
      <c r="A63" s="59" t="s">
        <v>11</v>
      </c>
      <c r="B63" s="9"/>
      <c r="D63" s="70">
        <f>D64-'5.3月'!D64</f>
        <v>-20619816</v>
      </c>
      <c r="F63" s="92">
        <f>D63-[10]令和５年度!$P$74</f>
        <v>-1163300</v>
      </c>
    </row>
    <row r="64" spans="1:8" ht="16.5" customHeight="1" x14ac:dyDescent="0.15">
      <c r="A64" s="55" t="s">
        <v>26</v>
      </c>
      <c r="B64" s="22"/>
      <c r="C64" s="48"/>
      <c r="D64" s="44">
        <f>D62</f>
        <v>70981693</v>
      </c>
      <c r="F64" s="91"/>
    </row>
    <row r="65" spans="1:6" ht="14.25" x14ac:dyDescent="0.15">
      <c r="A65" s="55" t="s">
        <v>25</v>
      </c>
      <c r="B65" s="22"/>
      <c r="C65" s="9"/>
      <c r="D65" s="69">
        <f>D58+D64</f>
        <v>90531720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8684D-9A93-4C44-84A5-360A3BE1CFAF}">
  <dimension ref="A1:G103"/>
  <sheetViews>
    <sheetView topLeftCell="A34" zoomScaleNormal="100" workbookViewId="0">
      <selection activeCell="B34" sqref="B34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</cols>
  <sheetData>
    <row r="1" spans="1:7" ht="17.25" x14ac:dyDescent="0.2">
      <c r="A1" s="1" t="s">
        <v>70</v>
      </c>
      <c r="B1" s="1"/>
    </row>
    <row r="2" spans="1:7" ht="17.25" customHeight="1" x14ac:dyDescent="0.15">
      <c r="A2" s="111" t="s">
        <v>73</v>
      </c>
      <c r="B2" s="111"/>
      <c r="C2" s="111"/>
      <c r="D2" s="111"/>
    </row>
    <row r="3" spans="1:7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7" ht="15" customHeight="1" x14ac:dyDescent="0.15">
      <c r="C4" s="115" t="s">
        <v>49</v>
      </c>
      <c r="D4" s="115"/>
      <c r="F4" s="46"/>
    </row>
    <row r="5" spans="1:7" ht="17.25" x14ac:dyDescent="0.2">
      <c r="A5" s="56" t="s">
        <v>5</v>
      </c>
      <c r="B5" s="50"/>
      <c r="C5" s="49" t="s">
        <v>4</v>
      </c>
      <c r="D5" s="49"/>
    </row>
    <row r="6" spans="1:7" ht="14.25" x14ac:dyDescent="0.15">
      <c r="A6" s="55" t="s">
        <v>2</v>
      </c>
      <c r="B6" s="24"/>
      <c r="C6" s="4"/>
      <c r="D6" s="28"/>
    </row>
    <row r="7" spans="1:7" ht="14.25" x14ac:dyDescent="0.15">
      <c r="A7" s="55" t="s">
        <v>19</v>
      </c>
      <c r="B7" s="14"/>
      <c r="C7" s="5"/>
      <c r="D7" s="12"/>
    </row>
    <row r="8" spans="1:7" ht="14.25" x14ac:dyDescent="0.15">
      <c r="A8" s="55" t="s">
        <v>34</v>
      </c>
      <c r="B8" s="51">
        <v>2445</v>
      </c>
      <c r="C8" s="5"/>
      <c r="D8" s="12"/>
    </row>
    <row r="9" spans="1:7" ht="14.25" x14ac:dyDescent="0.15">
      <c r="A9" s="55" t="s">
        <v>35</v>
      </c>
      <c r="B9" s="27">
        <f>SUM(B10:B14)</f>
        <v>17637506</v>
      </c>
      <c r="C9" s="5"/>
      <c r="D9" s="12"/>
    </row>
    <row r="10" spans="1:7" ht="14.25" x14ac:dyDescent="0.15">
      <c r="A10" s="53" t="s">
        <v>13</v>
      </c>
      <c r="B10" s="67">
        <f>12884950+9140+20506+265312+320420+50224</f>
        <v>13550552</v>
      </c>
      <c r="C10" s="5"/>
      <c r="D10" s="23"/>
    </row>
    <row r="11" spans="1:7" ht="14.25" x14ac:dyDescent="0.15">
      <c r="A11" s="54" t="s">
        <v>12</v>
      </c>
      <c r="B11" s="67">
        <f>484983+1141140+257849</f>
        <v>1883972</v>
      </c>
      <c r="C11" s="5"/>
      <c r="D11" s="23"/>
    </row>
    <row r="12" spans="1:7" ht="14.25" x14ac:dyDescent="0.15">
      <c r="A12" s="53" t="s">
        <v>45</v>
      </c>
      <c r="B12" s="32">
        <v>1033524</v>
      </c>
      <c r="C12" s="5"/>
      <c r="D12" s="23"/>
    </row>
    <row r="13" spans="1:7" ht="14.25" x14ac:dyDescent="0.15">
      <c r="A13" s="53" t="s">
        <v>44</v>
      </c>
      <c r="B13" s="41">
        <v>1041444</v>
      </c>
      <c r="C13" s="5"/>
      <c r="D13" s="12"/>
    </row>
    <row r="14" spans="1:7" ht="14.25" x14ac:dyDescent="0.15">
      <c r="A14" s="53" t="s">
        <v>46</v>
      </c>
      <c r="B14" s="41">
        <v>128014</v>
      </c>
      <c r="C14" s="5"/>
      <c r="D14" s="12"/>
    </row>
    <row r="15" spans="1:7" ht="14.25" x14ac:dyDescent="0.15">
      <c r="A15" s="55" t="s">
        <v>36</v>
      </c>
      <c r="B15" s="27">
        <f>SUM(B16:B23)</f>
        <v>31245946</v>
      </c>
      <c r="C15" s="6"/>
      <c r="D15" s="12"/>
    </row>
    <row r="16" spans="1:7" ht="14.25" x14ac:dyDescent="0.15">
      <c r="A16" s="54" t="s">
        <v>14</v>
      </c>
      <c r="B16" s="32">
        <f>51300+5084150</f>
        <v>5135450</v>
      </c>
      <c r="C16" s="11"/>
      <c r="D16" s="12"/>
    </row>
    <row r="17" spans="1:4" ht="14.25" x14ac:dyDescent="0.15">
      <c r="A17" s="54" t="s">
        <v>15</v>
      </c>
      <c r="B17" s="32">
        <f>14779917+1184098+700700</f>
        <v>16664715</v>
      </c>
      <c r="C17" s="5"/>
      <c r="D17" s="12"/>
    </row>
    <row r="18" spans="1:4" ht="14.25" x14ac:dyDescent="0.15">
      <c r="A18" s="53" t="s">
        <v>58</v>
      </c>
      <c r="B18" s="32">
        <f>4644873+556078+119700</f>
        <v>5320651</v>
      </c>
      <c r="C18" s="11"/>
      <c r="D18" s="12"/>
    </row>
    <row r="19" spans="1:4" ht="14.25" x14ac:dyDescent="0.15">
      <c r="A19" s="54" t="s">
        <v>16</v>
      </c>
      <c r="B19" s="67">
        <f>2236806+142968+124700</f>
        <v>2504474</v>
      </c>
      <c r="C19" s="5"/>
      <c r="D19" s="12"/>
    </row>
    <row r="20" spans="1:4" ht="14.25" x14ac:dyDescent="0.15">
      <c r="A20" s="54" t="s">
        <v>67</v>
      </c>
      <c r="B20" s="67">
        <f>458073+42783</f>
        <v>500856</v>
      </c>
      <c r="C20" s="5"/>
      <c r="D20" s="12"/>
    </row>
    <row r="21" spans="1:4" ht="14.25" x14ac:dyDescent="0.15">
      <c r="A21" s="54" t="s">
        <v>72</v>
      </c>
      <c r="B21" s="67">
        <v>22200</v>
      </c>
      <c r="C21" s="5"/>
      <c r="D21" s="12"/>
    </row>
    <row r="22" spans="1:4" ht="14.25" x14ac:dyDescent="0.15">
      <c r="A22" s="54" t="s">
        <v>17</v>
      </c>
      <c r="B22" s="32">
        <v>1058100</v>
      </c>
      <c r="C22" s="5"/>
      <c r="D22" s="12"/>
    </row>
    <row r="23" spans="1:4" ht="14.25" x14ac:dyDescent="0.15">
      <c r="A23" s="54" t="s">
        <v>71</v>
      </c>
      <c r="B23" s="41">
        <v>39500</v>
      </c>
      <c r="C23" s="5"/>
      <c r="D23" s="12"/>
    </row>
    <row r="24" spans="1:4" ht="14.25" x14ac:dyDescent="0.15">
      <c r="A24" s="55" t="s">
        <v>37</v>
      </c>
      <c r="B24" s="27">
        <v>513022</v>
      </c>
      <c r="C24" s="15" t="s">
        <v>0</v>
      </c>
      <c r="D24" s="12"/>
    </row>
    <row r="25" spans="1:4" ht="14.25" x14ac:dyDescent="0.15">
      <c r="A25" s="61" t="s">
        <v>38</v>
      </c>
      <c r="B25" s="7"/>
      <c r="C25" s="36">
        <f>B8+B9+B15+B24</f>
        <v>49398919</v>
      </c>
      <c r="D25" s="12"/>
    </row>
    <row r="26" spans="1:4" ht="11.25" customHeight="1" x14ac:dyDescent="0.15">
      <c r="A26" s="11"/>
      <c r="B26" s="14"/>
      <c r="C26" s="5"/>
      <c r="D26" s="29" t="s">
        <v>0</v>
      </c>
    </row>
    <row r="27" spans="1:4" ht="14.25" x14ac:dyDescent="0.15">
      <c r="A27" s="55" t="s">
        <v>20</v>
      </c>
      <c r="B27" s="26" t="s">
        <v>0</v>
      </c>
      <c r="C27" s="5"/>
      <c r="D27" s="25"/>
    </row>
    <row r="28" spans="1:4" ht="14.25" x14ac:dyDescent="0.15">
      <c r="A28" s="55" t="s">
        <v>39</v>
      </c>
      <c r="B28" s="27">
        <f>2028000+1366556+24645981+28749182</f>
        <v>56789719</v>
      </c>
      <c r="C28" s="5"/>
      <c r="D28" s="12"/>
    </row>
    <row r="29" spans="1:4" ht="14.25" x14ac:dyDescent="0.15">
      <c r="A29" s="55" t="s">
        <v>54</v>
      </c>
      <c r="B29" s="27">
        <f>152001+72500+57338+75035+222420+255061+34509+1380715+1683841+3107591+1600848+1210149</f>
        <v>9852008</v>
      </c>
      <c r="C29" s="5"/>
      <c r="D29" s="12"/>
    </row>
    <row r="30" spans="1:4" ht="14.25" x14ac:dyDescent="0.15">
      <c r="A30" s="55" t="s">
        <v>55</v>
      </c>
      <c r="B30" s="27">
        <f>98635+1218591</f>
        <v>1317226</v>
      </c>
      <c r="C30" s="5"/>
      <c r="D30" s="12"/>
    </row>
    <row r="31" spans="1:4" ht="14.25" x14ac:dyDescent="0.15">
      <c r="A31" s="55" t="s">
        <v>40</v>
      </c>
      <c r="B31" s="27">
        <f>1+5+65972+1982199+1+1+1+1+1+1+51517</f>
        <v>2099700</v>
      </c>
      <c r="C31" s="5"/>
      <c r="D31" s="12"/>
    </row>
    <row r="32" spans="1:4" ht="14.25" x14ac:dyDescent="0.15">
      <c r="A32" s="55" t="s">
        <v>41</v>
      </c>
      <c r="B32" s="27">
        <v>110600</v>
      </c>
      <c r="C32" s="5"/>
      <c r="D32" s="12"/>
    </row>
    <row r="33" spans="1:4" ht="14.25" x14ac:dyDescent="0.15">
      <c r="A33" s="55" t="s">
        <v>42</v>
      </c>
      <c r="B33" s="27">
        <v>50000</v>
      </c>
      <c r="C33" s="11"/>
      <c r="D33" s="12"/>
    </row>
    <row r="34" spans="1:4" ht="14.25" x14ac:dyDescent="0.15">
      <c r="A34" s="55" t="s">
        <v>66</v>
      </c>
      <c r="B34" s="27">
        <f>31640+9850+9850</f>
        <v>51340</v>
      </c>
      <c r="C34" s="6"/>
      <c r="D34" s="12"/>
    </row>
    <row r="35" spans="1:4" ht="14.25" x14ac:dyDescent="0.15">
      <c r="A35" s="61" t="s">
        <v>43</v>
      </c>
      <c r="B35" s="8"/>
      <c r="C35" s="37">
        <f>SUM(B28:B34)</f>
        <v>70270593</v>
      </c>
      <c r="D35" s="12"/>
    </row>
    <row r="36" spans="1:4" ht="14.25" x14ac:dyDescent="0.15">
      <c r="A36" s="11"/>
      <c r="B36" s="19"/>
      <c r="C36" s="5"/>
      <c r="D36" s="12"/>
    </row>
    <row r="37" spans="1:4" ht="14.25" x14ac:dyDescent="0.15">
      <c r="A37" s="58" t="s">
        <v>23</v>
      </c>
      <c r="B37" s="8"/>
      <c r="C37" s="10"/>
      <c r="D37" s="38">
        <f>C25+C35</f>
        <v>119669512</v>
      </c>
    </row>
    <row r="38" spans="1:4" ht="11.25" customHeight="1" x14ac:dyDescent="0.15">
      <c r="A38" s="9"/>
      <c r="B38" s="62"/>
      <c r="C38" s="62"/>
      <c r="D38" s="62"/>
    </row>
    <row r="39" spans="1:4" ht="14.25" x14ac:dyDescent="0.15">
      <c r="A39" s="60" t="s">
        <v>18</v>
      </c>
      <c r="B39" s="26"/>
      <c r="C39" s="5"/>
      <c r="D39" s="12"/>
    </row>
    <row r="40" spans="1:4" ht="14.25" x14ac:dyDescent="0.15">
      <c r="A40" s="55" t="s">
        <v>21</v>
      </c>
      <c r="B40" s="26"/>
      <c r="C40" s="5"/>
      <c r="D40" s="23"/>
    </row>
    <row r="41" spans="1:4" ht="14.25" x14ac:dyDescent="0.15">
      <c r="A41" s="55" t="s">
        <v>32</v>
      </c>
      <c r="B41" s="27">
        <v>557774</v>
      </c>
      <c r="C41" s="5"/>
      <c r="D41" s="29"/>
    </row>
    <row r="42" spans="1:4" ht="14.25" x14ac:dyDescent="0.15">
      <c r="A42" s="55" t="s">
        <v>33</v>
      </c>
      <c r="B42" s="27">
        <v>8000000</v>
      </c>
      <c r="C42" s="5"/>
      <c r="D42" s="12"/>
    </row>
    <row r="43" spans="1:4" ht="14.25" x14ac:dyDescent="0.15">
      <c r="A43" s="59"/>
      <c r="B43" s="26"/>
      <c r="C43" s="11"/>
      <c r="D43" s="12"/>
    </row>
    <row r="44" spans="1:4" ht="14.25" x14ac:dyDescent="0.15">
      <c r="A44" s="55" t="s">
        <v>31</v>
      </c>
      <c r="B44" s="8"/>
      <c r="C44" s="37">
        <f>B41+B42</f>
        <v>8557774</v>
      </c>
      <c r="D44" s="23"/>
    </row>
    <row r="45" spans="1:4" ht="11.25" customHeight="1" x14ac:dyDescent="0.15">
      <c r="A45" s="3"/>
      <c r="B45" s="14"/>
      <c r="C45" s="34"/>
      <c r="D45" s="25"/>
    </row>
    <row r="46" spans="1:4" ht="14.25" x14ac:dyDescent="0.15">
      <c r="A46" s="55" t="s">
        <v>22</v>
      </c>
      <c r="B46" s="19"/>
      <c r="C46" s="33"/>
      <c r="D46" s="23"/>
    </row>
    <row r="47" spans="1:4" ht="14.25" x14ac:dyDescent="0.15">
      <c r="A47" s="55" t="s">
        <v>30</v>
      </c>
      <c r="B47" s="27">
        <f>12000000+10870000</f>
        <v>22870000</v>
      </c>
      <c r="C47" s="11"/>
      <c r="D47" s="25"/>
    </row>
    <row r="48" spans="1:4" ht="14.25" x14ac:dyDescent="0.15">
      <c r="A48" s="9"/>
      <c r="B48" s="19"/>
      <c r="C48" s="11"/>
      <c r="D48" s="25"/>
    </row>
    <row r="49" spans="1:4" ht="14.25" x14ac:dyDescent="0.15">
      <c r="A49" s="61" t="s">
        <v>29</v>
      </c>
      <c r="B49" s="10"/>
      <c r="C49" s="37">
        <f>B47</f>
        <v>22870000</v>
      </c>
      <c r="D49" s="23"/>
    </row>
    <row r="50" spans="1:4" ht="14.25" x14ac:dyDescent="0.15">
      <c r="A50" s="3"/>
      <c r="B50" s="19"/>
      <c r="C50" s="11"/>
      <c r="D50" s="23"/>
    </row>
    <row r="51" spans="1:4" ht="14.25" x14ac:dyDescent="0.15">
      <c r="A51" s="58" t="s">
        <v>24</v>
      </c>
      <c r="B51" s="40"/>
      <c r="C51" s="40"/>
      <c r="D51" s="38">
        <f>C44+C49</f>
        <v>31427774</v>
      </c>
    </row>
    <row r="52" spans="1:4" ht="11.25" customHeight="1" x14ac:dyDescent="0.15">
      <c r="A52" s="3"/>
      <c r="B52" s="19"/>
      <c r="C52" s="11"/>
      <c r="D52" s="23"/>
    </row>
    <row r="53" spans="1:4" ht="14.25" x14ac:dyDescent="0.15">
      <c r="A53" s="55" t="s">
        <v>3</v>
      </c>
      <c r="B53" s="30"/>
      <c r="C53" s="35"/>
      <c r="D53" s="31"/>
    </row>
    <row r="54" spans="1:4" ht="15" customHeight="1" x14ac:dyDescent="0.15">
      <c r="A54" s="55" t="s">
        <v>27</v>
      </c>
      <c r="B54" s="10"/>
      <c r="C54" s="39"/>
      <c r="D54" s="39">
        <v>0</v>
      </c>
    </row>
    <row r="55" spans="1:4" ht="15.75" customHeight="1" x14ac:dyDescent="0.15">
      <c r="A55" s="55" t="s">
        <v>28</v>
      </c>
      <c r="B55" s="47"/>
      <c r="C55" s="9"/>
      <c r="D55" s="43">
        <f>D37-D51</f>
        <v>88241738</v>
      </c>
    </row>
    <row r="56" spans="1:4" ht="15.75" customHeight="1" x14ac:dyDescent="0.15">
      <c r="A56" s="59" t="s">
        <v>11</v>
      </c>
      <c r="B56" s="9"/>
      <c r="D56" s="42">
        <f>D55-'26.3月 '!D54</f>
        <v>1490546</v>
      </c>
    </row>
    <row r="57" spans="1:4" ht="16.5" customHeight="1" x14ac:dyDescent="0.15">
      <c r="A57" s="55" t="s">
        <v>26</v>
      </c>
      <c r="B57" s="22"/>
      <c r="C57" s="48"/>
      <c r="D57" s="44">
        <f>D55</f>
        <v>88241738</v>
      </c>
    </row>
    <row r="58" spans="1:4" ht="14.25" x14ac:dyDescent="0.15">
      <c r="A58" s="55" t="s">
        <v>25</v>
      </c>
      <c r="B58" s="22"/>
      <c r="C58" s="9"/>
      <c r="D58" s="69">
        <f>D51+D57</f>
        <v>119669512</v>
      </c>
    </row>
    <row r="59" spans="1:4" ht="13.5" customHeight="1" x14ac:dyDescent="0.15"/>
    <row r="60" spans="1:4" x14ac:dyDescent="0.15">
      <c r="B60" s="2"/>
      <c r="D60" s="68"/>
    </row>
    <row r="61" spans="1:4" ht="12.75" customHeight="1" x14ac:dyDescent="0.2">
      <c r="A61" s="1"/>
    </row>
    <row r="62" spans="1:4" x14ac:dyDescent="0.15">
      <c r="A62" s="45"/>
      <c r="B62" s="45"/>
      <c r="D62" s="68"/>
    </row>
    <row r="63" spans="1:4" x14ac:dyDescent="0.15">
      <c r="C63" s="52"/>
      <c r="D63" s="45"/>
    </row>
    <row r="65" spans="1:4" x14ac:dyDescent="0.15">
      <c r="C65" s="52"/>
    </row>
    <row r="67" spans="1:4" ht="13.5" customHeight="1" x14ac:dyDescent="0.2">
      <c r="A67" s="21"/>
    </row>
    <row r="68" spans="1:4" ht="14.25" x14ac:dyDescent="0.15">
      <c r="A68" s="17"/>
    </row>
    <row r="69" spans="1:4" ht="14.25" x14ac:dyDescent="0.15">
      <c r="A69" s="17"/>
    </row>
    <row r="70" spans="1:4" ht="14.25" x14ac:dyDescent="0.15">
      <c r="A70" s="17"/>
    </row>
    <row r="71" spans="1:4" ht="14.25" x14ac:dyDescent="0.15">
      <c r="A71" s="17"/>
      <c r="B71" s="13"/>
      <c r="C71" s="17"/>
      <c r="D71" s="17"/>
    </row>
    <row r="72" spans="1:4" ht="14.25" x14ac:dyDescent="0.15">
      <c r="A72" s="17"/>
      <c r="B72" s="13"/>
      <c r="C72" s="17"/>
      <c r="D72" s="17"/>
    </row>
    <row r="73" spans="1:4" ht="14.25" x14ac:dyDescent="0.15">
      <c r="A73" s="17"/>
      <c r="B73" s="20"/>
      <c r="C73" s="17"/>
      <c r="D73" s="17"/>
    </row>
    <row r="74" spans="1:4" ht="14.25" x14ac:dyDescent="0.15">
      <c r="A74" s="17"/>
      <c r="B74" s="13"/>
      <c r="C74" s="17"/>
      <c r="D74" s="17"/>
    </row>
    <row r="75" spans="1:4" ht="14.25" x14ac:dyDescent="0.15">
      <c r="A75" s="17"/>
      <c r="B75" s="13"/>
      <c r="C75" s="13"/>
      <c r="D75" s="17"/>
    </row>
    <row r="76" spans="1:4" ht="14.25" x14ac:dyDescent="0.15">
      <c r="B76" s="17"/>
      <c r="C76" s="18"/>
      <c r="D76" s="17"/>
    </row>
    <row r="77" spans="1:4" ht="14.25" x14ac:dyDescent="0.15">
      <c r="A77" s="17"/>
      <c r="B77" s="17"/>
      <c r="C77" s="18"/>
      <c r="D77" s="17"/>
    </row>
    <row r="78" spans="1:4" ht="14.25" x14ac:dyDescent="0.15">
      <c r="C78" s="17"/>
      <c r="D78" s="17"/>
    </row>
    <row r="79" spans="1:4" ht="14.25" x14ac:dyDescent="0.15">
      <c r="A79" s="17"/>
      <c r="C79" s="17"/>
      <c r="D79" s="17"/>
    </row>
    <row r="80" spans="1:4" ht="14.25" x14ac:dyDescent="0.15">
      <c r="A80" s="17"/>
      <c r="B80" s="20"/>
      <c r="C80" s="18"/>
      <c r="D80" s="17"/>
    </row>
    <row r="81" spans="1:4" ht="14.25" x14ac:dyDescent="0.15">
      <c r="A81" s="17"/>
      <c r="B81" s="13"/>
      <c r="D81" s="17"/>
    </row>
    <row r="82" spans="1:4" ht="14.25" x14ac:dyDescent="0.15">
      <c r="B82" s="17"/>
      <c r="C82" s="17"/>
      <c r="D82" s="13"/>
    </row>
    <row r="83" spans="1:4" ht="14.25" x14ac:dyDescent="0.15">
      <c r="A83" s="17"/>
      <c r="B83" s="13"/>
      <c r="C83" s="13"/>
      <c r="D83" s="18"/>
    </row>
    <row r="84" spans="1:4" ht="14.25" x14ac:dyDescent="0.15">
      <c r="B84" s="13"/>
      <c r="C84" s="17"/>
      <c r="D84" s="17"/>
    </row>
    <row r="85" spans="1:4" ht="14.25" x14ac:dyDescent="0.15">
      <c r="A85" s="17"/>
      <c r="B85" s="13"/>
      <c r="C85" s="17"/>
      <c r="D85" s="18"/>
    </row>
    <row r="86" spans="1:4" ht="14.25" x14ac:dyDescent="0.15">
      <c r="C86" s="17"/>
      <c r="D86" s="17"/>
    </row>
    <row r="87" spans="1:4" ht="14.25" x14ac:dyDescent="0.15">
      <c r="A87" s="17"/>
      <c r="C87" s="17"/>
      <c r="D87" s="17"/>
    </row>
    <row r="88" spans="1:4" ht="14.25" x14ac:dyDescent="0.15">
      <c r="A88" s="17"/>
      <c r="B88" s="13"/>
      <c r="D88" s="17"/>
    </row>
    <row r="89" spans="1:4" ht="14.25" x14ac:dyDescent="0.15">
      <c r="A89" s="17"/>
      <c r="B89" s="13"/>
      <c r="D89" s="17"/>
    </row>
    <row r="90" spans="1:4" ht="14.25" x14ac:dyDescent="0.15">
      <c r="A90" s="17"/>
      <c r="B90" s="13"/>
      <c r="C90" s="17"/>
      <c r="D90" s="17"/>
    </row>
    <row r="91" spans="1:4" ht="14.25" x14ac:dyDescent="0.15">
      <c r="A91" s="17"/>
      <c r="C91" s="13"/>
      <c r="D91" s="17"/>
    </row>
    <row r="92" spans="1:4" ht="14.25" x14ac:dyDescent="0.15">
      <c r="A92" s="17"/>
      <c r="B92" s="13"/>
      <c r="D92" s="17"/>
    </row>
    <row r="93" spans="1:4" ht="14.25" x14ac:dyDescent="0.15">
      <c r="A93" s="17"/>
      <c r="B93" s="13"/>
      <c r="C93" s="17"/>
      <c r="D93" s="17"/>
    </row>
    <row r="94" spans="1:4" ht="14.25" x14ac:dyDescent="0.15">
      <c r="A94" s="17"/>
      <c r="B94" s="13"/>
      <c r="C94" s="17"/>
    </row>
    <row r="95" spans="1:4" ht="14.25" x14ac:dyDescent="0.15">
      <c r="A95" s="17"/>
      <c r="B95" s="13"/>
      <c r="C95" s="17"/>
    </row>
    <row r="96" spans="1:4" ht="14.25" x14ac:dyDescent="0.15">
      <c r="A96" s="17"/>
      <c r="B96" s="13"/>
      <c r="C96" s="17"/>
      <c r="D96" s="17"/>
    </row>
    <row r="97" spans="1:4" ht="14.25" x14ac:dyDescent="0.15">
      <c r="A97" s="17"/>
      <c r="B97" s="13"/>
      <c r="D97" s="13"/>
    </row>
    <row r="98" spans="1:4" ht="14.25" x14ac:dyDescent="0.15">
      <c r="A98" s="17"/>
      <c r="B98" s="13"/>
      <c r="C98" s="17"/>
    </row>
    <row r="99" spans="1:4" ht="14.25" x14ac:dyDescent="0.15">
      <c r="A99" s="17"/>
      <c r="B99" s="17"/>
      <c r="D99" s="18"/>
    </row>
    <row r="100" spans="1:4" ht="14.25" x14ac:dyDescent="0.15">
      <c r="A100" s="17"/>
    </row>
    <row r="101" spans="1:4" ht="14.25" x14ac:dyDescent="0.15">
      <c r="A101" s="17" t="s">
        <v>0</v>
      </c>
      <c r="C101" s="18" t="s">
        <v>0</v>
      </c>
      <c r="D101" s="18" t="s">
        <v>0</v>
      </c>
    </row>
    <row r="102" spans="1:4" x14ac:dyDescent="0.15">
      <c r="A102" t="s">
        <v>0</v>
      </c>
    </row>
    <row r="103" spans="1:4" ht="14.25" x14ac:dyDescent="0.15">
      <c r="A103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59055118110236227" bottom="0.39370078740157483" header="0.51181102362204722" footer="0.51181102362204722"/>
  <pageSetup paperSize="9" orientation="portrait" horizontalDpi="4294967293" verticalDpi="4294967293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C9219-ED03-469A-9DFB-712FF5E5CA0E}">
  <sheetPr>
    <pageSetUpPr fitToPage="1"/>
  </sheetPr>
  <dimension ref="A1:L109"/>
  <sheetViews>
    <sheetView topLeftCell="A49" zoomScaleNormal="100" workbookViewId="0">
      <selection activeCell="B54" sqref="B54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177</v>
      </c>
      <c r="B1" s="122"/>
      <c r="C1" s="122"/>
      <c r="D1" s="122"/>
    </row>
    <row r="2" spans="1:11" ht="17.25" customHeight="1" x14ac:dyDescent="0.15">
      <c r="A2" s="116" t="s">
        <v>178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12974076</v>
      </c>
      <c r="C9" s="5"/>
      <c r="D9" s="12"/>
      <c r="F9" s="84">
        <f>'[11]0138359'!$AJ$37</f>
        <v>4981376</v>
      </c>
      <c r="G9" s="84">
        <f>'[11]0138642（居宅）'!$AJ$37</f>
        <v>154091</v>
      </c>
      <c r="H9" s="84">
        <f>'[11]0138655（通所）'!$AJ$37</f>
        <v>5711</v>
      </c>
      <c r="I9" s="84">
        <f>'[11]0156560（新庄）'!$AJ$37</f>
        <v>99191</v>
      </c>
      <c r="J9" s="84">
        <f>'[11]0158313（ゆけむり）'!$AJ$37</f>
        <v>50444</v>
      </c>
      <c r="K9" s="84">
        <f>'[11]0139101（ちゃれんじ）'!$AJ$37</f>
        <v>583296</v>
      </c>
    </row>
    <row r="10" spans="1:11" ht="14.25" x14ac:dyDescent="0.15">
      <c r="A10" s="53" t="s">
        <v>102</v>
      </c>
      <c r="B10" s="73">
        <v>6765670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1928616</v>
      </c>
      <c r="C11" s="5"/>
      <c r="D11" s="23"/>
      <c r="F11" s="84">
        <f>'[11]2253865（助け合い）'!$AJ$37</f>
        <v>222641</v>
      </c>
      <c r="G11" s="89">
        <f>'[11]2253871（通所）'!$AJ$37</f>
        <v>484375</v>
      </c>
      <c r="H11" s="84">
        <f>'[11]2254321（ミニ）'!$AJ$37</f>
        <v>6886188</v>
      </c>
    </row>
    <row r="12" spans="1:11" ht="14.25" x14ac:dyDescent="0.15">
      <c r="A12" s="53" t="s">
        <v>128</v>
      </c>
      <c r="B12" s="74">
        <v>1871549</v>
      </c>
      <c r="C12" s="5"/>
      <c r="D12" s="23"/>
    </row>
    <row r="13" spans="1:11" ht="14.25" x14ac:dyDescent="0.15">
      <c r="A13" s="53" t="s">
        <v>129</v>
      </c>
      <c r="B13" s="75">
        <v>1656116</v>
      </c>
      <c r="C13" s="5"/>
      <c r="D13" s="12"/>
      <c r="E13" s="93" t="s">
        <v>142</v>
      </c>
      <c r="F13" s="94">
        <f>[11]JA0034628!$AJ$37</f>
        <v>568938</v>
      </c>
      <c r="G13" s="93" t="s">
        <v>143</v>
      </c>
      <c r="H13" s="94">
        <f>[11]ゆうちょ6473091!$AJ$37</f>
        <v>173053</v>
      </c>
      <c r="I13" s="93" t="s">
        <v>144</v>
      </c>
      <c r="J13" s="94">
        <f>[11]しま信0116975!$AJ$37</f>
        <v>289801</v>
      </c>
    </row>
    <row r="14" spans="1:11" ht="14.25" x14ac:dyDescent="0.15">
      <c r="A14" s="53" t="s">
        <v>130</v>
      </c>
      <c r="B14" s="75">
        <v>752125</v>
      </c>
      <c r="C14" s="5"/>
      <c r="D14" s="12"/>
    </row>
    <row r="15" spans="1:11" ht="14.25" x14ac:dyDescent="0.15">
      <c r="A15" s="55" t="s">
        <v>36</v>
      </c>
      <c r="B15" s="71">
        <v>29114987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5108260</v>
      </c>
      <c r="C16" s="11"/>
      <c r="D16" s="12"/>
      <c r="E16" t="s">
        <v>112</v>
      </c>
      <c r="F16" s="84">
        <f>'[12]未収金（認定調査委託料）'!$AJ$37</f>
        <v>9240</v>
      </c>
      <c r="G16" s="84">
        <f>'[12]未収金（居宅支援介護報酬）'!$AJ$37</f>
        <v>5110490</v>
      </c>
      <c r="H16" s="83"/>
    </row>
    <row r="17" spans="1:11" ht="14.25" x14ac:dyDescent="0.15">
      <c r="A17" s="54" t="s">
        <v>15</v>
      </c>
      <c r="B17" s="73">
        <v>13992740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4286419</v>
      </c>
      <c r="C18" s="11"/>
      <c r="D18" s="12"/>
      <c r="E18" t="s">
        <v>115</v>
      </c>
      <c r="F18" s="84">
        <f>'[12]未収金（通所保険請求）'!$AJ$37</f>
        <v>11757712</v>
      </c>
      <c r="G18" s="84">
        <f>'[12]未収金（通所利用者負担）'!$AJ$37</f>
        <v>1233924</v>
      </c>
      <c r="H18" s="84">
        <f>'[12]未収金（通所食費）'!$AJ$37</f>
        <v>733900</v>
      </c>
    </row>
    <row r="19" spans="1:11" ht="14.25" x14ac:dyDescent="0.15">
      <c r="A19" s="54" t="s">
        <v>16</v>
      </c>
      <c r="B19" s="73">
        <v>2036318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1343419</v>
      </c>
      <c r="C20" s="5"/>
      <c r="D20" s="12"/>
      <c r="E20" t="s">
        <v>119</v>
      </c>
      <c r="F20" s="84">
        <f>'[12]未収金（ゆけむり保険請求）'!$AJ$37</f>
        <v>0</v>
      </c>
      <c r="G20" s="84">
        <f>'[12]未収金（ゆけむり利用者負担）'!$AJ$37</f>
        <v>14257</v>
      </c>
      <c r="H20" s="84">
        <f>'[12]未収金（ゆけむり食費）'!$AJ$37</f>
        <v>0</v>
      </c>
    </row>
    <row r="21" spans="1:11" ht="14.25" x14ac:dyDescent="0.15">
      <c r="A21" s="54" t="s">
        <v>167</v>
      </c>
      <c r="B21" s="73">
        <v>311419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168</v>
      </c>
      <c r="B22" s="73">
        <v>261166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85">
        <v>19700</v>
      </c>
      <c r="C23" s="5"/>
      <c r="D23" s="12"/>
      <c r="E23" t="s">
        <v>120</v>
      </c>
      <c r="F23" s="84">
        <f>'[12]未収金（予防通所保険請求）'!$AJ$37</f>
        <v>1344043</v>
      </c>
      <c r="G23" s="84">
        <f>'[12]未収金（予防通所利用者負担）'!$AJ$37</f>
        <v>78798</v>
      </c>
      <c r="H23" s="84">
        <f>'[12]未収金（予防通所食費）'!$AJ$37</f>
        <v>104300</v>
      </c>
    </row>
    <row r="24" spans="1:11" ht="14.25" x14ac:dyDescent="0.15">
      <c r="A24" s="54" t="s">
        <v>81</v>
      </c>
      <c r="B24" s="73">
        <v>371946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85">
        <v>53900</v>
      </c>
      <c r="C25" s="5"/>
      <c r="D25" s="12"/>
      <c r="E25" t="s">
        <v>121</v>
      </c>
      <c r="F25" s="84">
        <f>'[12]未収金（処遇改善保険請求）'!$AJ$37</f>
        <v>1210522</v>
      </c>
      <c r="G25" s="84">
        <f>'[12]未収金（処遇改善利用者負担）'!$AJ$37</f>
        <v>116787</v>
      </c>
      <c r="H25" s="83"/>
      <c r="I25" s="99" t="s">
        <v>169</v>
      </c>
      <c r="J25" s="94">
        <f>'[12]未収金（ベースアップ加算保険請求）'!$AJ$37</f>
        <v>198</v>
      </c>
      <c r="K25" s="94">
        <f>'[12]未収金（ベースアップ加算利用者負担）'!$AJ$37</f>
        <v>343</v>
      </c>
    </row>
    <row r="26" spans="1:11" ht="14.25" x14ac:dyDescent="0.15">
      <c r="A26" s="54" t="s">
        <v>17</v>
      </c>
      <c r="B26" s="86">
        <v>1314700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87">
        <v>15000</v>
      </c>
      <c r="C27" s="5"/>
      <c r="D27" s="12"/>
      <c r="E27" t="s">
        <v>122</v>
      </c>
      <c r="F27" s="84">
        <f>'[12]未収金（特定処遇改善保険請求）'!$AJ$37</f>
        <v>0</v>
      </c>
      <c r="G27" s="84">
        <f>'[12]未収金（特定処遇改善利用者負担）'!$AJ$37</f>
        <v>3289</v>
      </c>
      <c r="H27" s="83"/>
    </row>
    <row r="28" spans="1:11" ht="14.25" x14ac:dyDescent="0.15">
      <c r="A28" s="54" t="s">
        <v>79</v>
      </c>
      <c r="B28" s="85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88">
        <v>670292</v>
      </c>
      <c r="C29" s="15" t="s">
        <v>0</v>
      </c>
      <c r="D29" s="12"/>
      <c r="E29" t="s">
        <v>123</v>
      </c>
      <c r="F29" s="84">
        <f>'[12]未収金（サロン保険請求）'!$AJ$37</f>
        <v>316516</v>
      </c>
      <c r="G29" s="84">
        <f>'[12]未収金（サロン利用者負担）'!$AJ$37</f>
        <v>21602</v>
      </c>
      <c r="H29" s="84">
        <f>'[12]未収金（サロン食費）'!$AJ$37</f>
        <v>31500</v>
      </c>
    </row>
    <row r="30" spans="1:11" ht="14.25" x14ac:dyDescent="0.15">
      <c r="A30" s="61" t="s">
        <v>96</v>
      </c>
      <c r="B30" s="71">
        <v>0</v>
      </c>
      <c r="C30" s="15"/>
      <c r="D30" s="12"/>
    </row>
    <row r="31" spans="1:11" ht="14.25" x14ac:dyDescent="0.15">
      <c r="A31" s="61" t="s">
        <v>38</v>
      </c>
      <c r="B31" s="7"/>
      <c r="C31" s="77">
        <f>B8+B9+B15+B29+B30</f>
        <v>42761740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44213471</v>
      </c>
      <c r="C34" s="5"/>
      <c r="D34" s="12"/>
      <c r="E34" t="s">
        <v>146</v>
      </c>
      <c r="F34" s="95">
        <f>'[13]建物（ほっと本体）'!$AJ$5</f>
        <v>225002</v>
      </c>
      <c r="G34" s="95">
        <f>'[13]建物（ほっと2階）'!$AJ$5</f>
        <v>159976</v>
      </c>
      <c r="H34" s="95">
        <f>'[13]建物（新庄）'!$AJ$5</f>
        <v>14958933</v>
      </c>
      <c r="I34" s="95">
        <f>'[13]建物（ゆけむり）'!$AJ$5</f>
        <v>22564101</v>
      </c>
      <c r="J34" s="95">
        <f>'[13]建物（ほっと浴室）'!$AJ$5</f>
        <v>3600857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96">
        <f>'[13]附属建物（厨房）'!$AJ$5</f>
        <v>1</v>
      </c>
      <c r="G35" s="96">
        <f>'[13]附属建物（浴室）'!$AJ$5</f>
        <v>1</v>
      </c>
      <c r="H35" s="96">
        <f>'[13]附属建物（便所）'!$AJ$5</f>
        <v>1</v>
      </c>
      <c r="I35" s="96">
        <f>'[13]附属建物（廊下）'!$AJ$5</f>
        <v>1</v>
      </c>
      <c r="J35" s="96">
        <f>'[13]附属設備（電気設備その他）'!$AJ$5</f>
        <v>82438</v>
      </c>
      <c r="K35" s="96">
        <f>'[13]附属設備（給排水衛生設備）'!$AJ$5</f>
        <v>94536</v>
      </c>
      <c r="L35" s="96">
        <f>'[13]附属設備（消火排煙設備）'!$AJ$5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96">
        <f>'[13]附属設備（新庄電気設備）'!$AJ$5</f>
        <v>365715</v>
      </c>
      <c r="G36" s="96">
        <f>'[13]附属設備（新庄給排水設備）'!$AJ$5</f>
        <v>446005</v>
      </c>
      <c r="H36" s="96">
        <f>'[13]附属設備（電気設備）'!$AJ$5</f>
        <v>1028074</v>
      </c>
      <c r="I36" s="96">
        <f>'[13]附属設備（給排水設備）'!$AJ$5</f>
        <v>529605</v>
      </c>
      <c r="J36" s="96">
        <f>'[13]附属設備（新庄浴槽改装ガス給湯設備）'!$AJ$6</f>
        <v>513845</v>
      </c>
      <c r="K36" s="96">
        <f>'[13]附属設備（ほっと浴室移設電気工事）'!$AJ$5</f>
        <v>851136</v>
      </c>
      <c r="L36" s="96">
        <f>'[13]附属設備（ほっと浴室移設給排水設備）'!$AJ$5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94">
        <f>'[13]構築物（舗装工事）'!$AJ$5</f>
        <v>1</v>
      </c>
      <c r="G37" s="94">
        <f>'[13]構築物（ゆけむり）'!$AJ$5</f>
        <v>358351</v>
      </c>
      <c r="H37" s="94">
        <f>'[13]構築物（新庄駐車場舗装）'!$AJ$5</f>
        <v>821220</v>
      </c>
    </row>
    <row r="38" spans="1:12" ht="14.25" x14ac:dyDescent="0.15">
      <c r="A38" s="55" t="s">
        <v>40</v>
      </c>
      <c r="B38" s="71">
        <v>2556592</v>
      </c>
      <c r="C38" s="5"/>
      <c r="D38" s="12"/>
      <c r="E38" t="s">
        <v>149</v>
      </c>
      <c r="F38" s="98">
        <f>'[13]器具備品（新庄玄関エアコン）'!$AJ$5</f>
        <v>31800</v>
      </c>
      <c r="G38" s="98">
        <f>'[13]器具備品（新庄事務室エアコン）'!$AJ$5</f>
        <v>173084</v>
      </c>
    </row>
    <row r="39" spans="1:12" ht="14.25" x14ac:dyDescent="0.15">
      <c r="A39" s="55" t="s">
        <v>41</v>
      </c>
      <c r="B39" s="88">
        <v>110600</v>
      </c>
      <c r="C39" s="5"/>
      <c r="D39" s="12"/>
      <c r="E39" t="s">
        <v>150</v>
      </c>
      <c r="F39" s="94">
        <f>'[13]車両（タウンボックス）'!$AJ$5</f>
        <v>1</v>
      </c>
      <c r="G39" s="94">
        <f>'[13]車両（はとバン）'!$AJ$5</f>
        <v>1</v>
      </c>
      <c r="H39" s="94">
        <f>'[13]車両（ノア）'!$AJ$5</f>
        <v>1</v>
      </c>
      <c r="I39" s="94">
        <f>'[13]車両（セレナ）'!$AJ$5</f>
        <v>1</v>
      </c>
      <c r="J39" s="94">
        <f>'[13]車両（アトレー１）'!$AJ$5</f>
        <v>1</v>
      </c>
      <c r="K39" s="94">
        <f>'[13]車両（アトレー４）'!$AJ$5</f>
        <v>2078860</v>
      </c>
      <c r="L39" s="94">
        <f>'[13]車両（キャラ３）'!$AJ$5</f>
        <v>0</v>
      </c>
    </row>
    <row r="40" spans="1:12" ht="14.25" x14ac:dyDescent="0.15">
      <c r="A40" s="55" t="s">
        <v>42</v>
      </c>
      <c r="B40" s="88">
        <v>50000</v>
      </c>
      <c r="C40" s="11"/>
      <c r="D40" s="12"/>
      <c r="F40" s="94">
        <f>'[13]車両（フリード２）'!$AJ$5</f>
        <v>477725</v>
      </c>
      <c r="G40" s="94">
        <f>'[13]車両（セブン２）'!$AJ$5</f>
        <v>1</v>
      </c>
      <c r="H40" s="94">
        <f>'[13]車両（EK３）'!$AJ$5</f>
        <v>1</v>
      </c>
    </row>
    <row r="41" spans="1:12" ht="14.25" x14ac:dyDescent="0.15">
      <c r="A41" s="55" t="s">
        <v>66</v>
      </c>
      <c r="B41" s="88"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f>SUM(B34:B41)</f>
        <v>53508120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f>C31+C42</f>
        <v>96269860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88">
        <v>814979</v>
      </c>
      <c r="C48" s="5"/>
      <c r="D48" s="78"/>
    </row>
    <row r="49" spans="1:8" ht="14.25" x14ac:dyDescent="0.15">
      <c r="A49" s="55" t="s">
        <v>33</v>
      </c>
      <c r="B49" s="71">
        <v>0</v>
      </c>
      <c r="C49" s="5"/>
      <c r="D49" s="12"/>
    </row>
    <row r="50" spans="1:8" ht="6.75" customHeight="1" x14ac:dyDescent="0.15">
      <c r="A50" s="59"/>
      <c r="B50" s="79"/>
      <c r="C50" s="11"/>
      <c r="D50" s="12"/>
    </row>
    <row r="51" spans="1:8" ht="14.25" x14ac:dyDescent="0.15">
      <c r="A51" s="55" t="s">
        <v>31</v>
      </c>
      <c r="B51" s="80"/>
      <c r="C51" s="37">
        <f>B48+B49</f>
        <v>814979</v>
      </c>
      <c r="D51" s="23"/>
      <c r="E51" t="s">
        <v>108</v>
      </c>
    </row>
    <row r="52" spans="1:8" ht="11.25" customHeight="1" x14ac:dyDescent="0.15">
      <c r="A52" s="3"/>
      <c r="B52" s="14"/>
      <c r="C52" s="34"/>
      <c r="D52" s="25"/>
    </row>
    <row r="53" spans="1:8" ht="14.25" x14ac:dyDescent="0.15">
      <c r="A53" s="55" t="s">
        <v>22</v>
      </c>
      <c r="B53" s="19"/>
      <c r="C53" s="81"/>
      <c r="D53" s="23"/>
    </row>
    <row r="54" spans="1:8" ht="14.25" x14ac:dyDescent="0.15">
      <c r="A54" s="55" t="s">
        <v>30</v>
      </c>
      <c r="B54" s="88">
        <v>4751000</v>
      </c>
      <c r="C54" s="11"/>
      <c r="D54" s="25"/>
    </row>
    <row r="55" spans="1:8" ht="14.25" x14ac:dyDescent="0.15">
      <c r="A55" s="9"/>
      <c r="B55" s="19"/>
      <c r="C55" s="11"/>
      <c r="D55" s="25"/>
      <c r="G55" t="s">
        <v>108</v>
      </c>
    </row>
    <row r="56" spans="1:8" ht="14.25" x14ac:dyDescent="0.15">
      <c r="A56" s="61" t="s">
        <v>29</v>
      </c>
      <c r="B56" s="10"/>
      <c r="C56" s="37">
        <f>B54</f>
        <v>4751000</v>
      </c>
      <c r="D56" s="23"/>
    </row>
    <row r="57" spans="1:8" ht="6.75" customHeight="1" x14ac:dyDescent="0.15">
      <c r="A57" s="3"/>
      <c r="B57" s="19"/>
      <c r="C57" s="11"/>
      <c r="D57" s="23"/>
    </row>
    <row r="58" spans="1:8" ht="14.25" x14ac:dyDescent="0.15">
      <c r="A58" s="58" t="s">
        <v>24</v>
      </c>
      <c r="B58" s="40"/>
      <c r="C58" s="40"/>
      <c r="D58" s="38">
        <f>C51+C56</f>
        <v>5565979</v>
      </c>
    </row>
    <row r="59" spans="1:8" ht="11.25" customHeight="1" x14ac:dyDescent="0.15">
      <c r="A59" s="3"/>
      <c r="B59" s="19"/>
      <c r="C59" s="11"/>
      <c r="D59" s="23"/>
    </row>
    <row r="60" spans="1:8" ht="14.25" x14ac:dyDescent="0.15">
      <c r="A60" s="55" t="s">
        <v>3</v>
      </c>
      <c r="B60" s="30"/>
      <c r="C60" s="35"/>
      <c r="D60" s="31"/>
    </row>
    <row r="61" spans="1:8" ht="15" customHeight="1" x14ac:dyDescent="0.15">
      <c r="A61" s="55" t="s">
        <v>27</v>
      </c>
      <c r="B61" s="10"/>
      <c r="C61" s="39"/>
      <c r="D61" s="39">
        <v>0</v>
      </c>
      <c r="H61" t="s">
        <v>0</v>
      </c>
    </row>
    <row r="62" spans="1:8" ht="15.75" customHeight="1" x14ac:dyDescent="0.15">
      <c r="A62" s="55" t="s">
        <v>28</v>
      </c>
      <c r="B62" s="47"/>
      <c r="C62" s="9"/>
      <c r="D62" s="43">
        <f>D44-D58</f>
        <v>90703881</v>
      </c>
      <c r="F62" s="100" t="s">
        <v>124</v>
      </c>
    </row>
    <row r="63" spans="1:8" ht="15.75" customHeight="1" x14ac:dyDescent="0.15">
      <c r="A63" s="59" t="s">
        <v>11</v>
      </c>
      <c r="B63" s="9"/>
      <c r="D63" s="70">
        <v>-897628</v>
      </c>
      <c r="F63" s="92">
        <f>D63-[10]令和５年度!$P$74</f>
        <v>18558888</v>
      </c>
    </row>
    <row r="64" spans="1:8" ht="16.5" customHeight="1" x14ac:dyDescent="0.15">
      <c r="A64" s="55" t="s">
        <v>26</v>
      </c>
      <c r="B64" s="22"/>
      <c r="C64" s="48"/>
      <c r="D64" s="44">
        <f>D62</f>
        <v>90703881</v>
      </c>
      <c r="F64" s="91"/>
    </row>
    <row r="65" spans="1:6" ht="14.25" x14ac:dyDescent="0.15">
      <c r="A65" s="55" t="s">
        <v>25</v>
      </c>
      <c r="B65" s="22"/>
      <c r="C65" s="9"/>
      <c r="D65" s="69">
        <f>D58+D64</f>
        <v>96269860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55270-DCE5-4AAE-8990-51AC5A463EE0}">
  <sheetPr>
    <pageSetUpPr fitToPage="1"/>
  </sheetPr>
  <dimension ref="A1:L109"/>
  <sheetViews>
    <sheetView topLeftCell="A46" zoomScaleNormal="100" workbookViewId="0">
      <selection activeCell="H59" sqref="H59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177</v>
      </c>
      <c r="B1" s="122"/>
      <c r="C1" s="122"/>
      <c r="D1" s="122"/>
    </row>
    <row r="2" spans="1:11" ht="17.25" customHeight="1" x14ac:dyDescent="0.15">
      <c r="A2" s="116" t="s">
        <v>179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12182288</v>
      </c>
      <c r="C9" s="5"/>
      <c r="D9" s="12"/>
      <c r="F9" s="84">
        <f>'[11]0138359'!$AJ$37</f>
        <v>4981376</v>
      </c>
      <c r="G9" s="84">
        <f>'[11]0138642（居宅）'!$AJ$37</f>
        <v>154091</v>
      </c>
      <c r="H9" s="84">
        <f>'[11]0138655（通所）'!$AJ$37</f>
        <v>5711</v>
      </c>
      <c r="I9" s="84">
        <f>'[11]0156560（新庄）'!$AJ$37</f>
        <v>99191</v>
      </c>
      <c r="J9" s="84">
        <f>'[11]0158313（ゆけむり）'!$AJ$37</f>
        <v>50444</v>
      </c>
      <c r="K9" s="84">
        <f>'[11]0139101（ちゃれんじ）'!$AJ$37</f>
        <v>583296</v>
      </c>
    </row>
    <row r="10" spans="1:11" ht="14.25" x14ac:dyDescent="0.15">
      <c r="A10" s="53" t="s">
        <v>102</v>
      </c>
      <c r="B10" s="73">
        <v>8766140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1756063</v>
      </c>
      <c r="C11" s="5"/>
      <c r="D11" s="23"/>
      <c r="F11" s="84">
        <f>'[11]2253865（助け合い）'!$AJ$37</f>
        <v>222641</v>
      </c>
      <c r="G11" s="89">
        <f>'[11]2253871（通所）'!$AJ$37</f>
        <v>484375</v>
      </c>
      <c r="H11" s="84">
        <f>'[11]2254321（ミニ）'!$AJ$37</f>
        <v>6886188</v>
      </c>
    </row>
    <row r="12" spans="1:11" ht="14.25" x14ac:dyDescent="0.15">
      <c r="A12" s="53" t="s">
        <v>128</v>
      </c>
      <c r="B12" s="74">
        <v>572484</v>
      </c>
      <c r="C12" s="5"/>
      <c r="D12" s="23"/>
    </row>
    <row r="13" spans="1:11" ht="14.25" x14ac:dyDescent="0.15">
      <c r="A13" s="53" t="s">
        <v>129</v>
      </c>
      <c r="B13" s="75">
        <v>194041</v>
      </c>
      <c r="C13" s="5"/>
      <c r="D13" s="12"/>
      <c r="E13" s="93" t="s">
        <v>142</v>
      </c>
      <c r="F13" s="94">
        <f>[11]JA0034628!$AJ$37</f>
        <v>568938</v>
      </c>
      <c r="G13" s="93" t="s">
        <v>143</v>
      </c>
      <c r="H13" s="94">
        <f>[11]ゆうちょ6473091!$AJ$37</f>
        <v>173053</v>
      </c>
      <c r="I13" s="93" t="s">
        <v>144</v>
      </c>
      <c r="J13" s="94">
        <f>[11]しま信0116975!$AJ$37</f>
        <v>289801</v>
      </c>
    </row>
    <row r="14" spans="1:11" ht="14.25" x14ac:dyDescent="0.15">
      <c r="A14" s="53" t="s">
        <v>130</v>
      </c>
      <c r="B14" s="75">
        <v>893560</v>
      </c>
      <c r="C14" s="5"/>
      <c r="D14" s="12"/>
    </row>
    <row r="15" spans="1:11" ht="14.25" x14ac:dyDescent="0.15">
      <c r="A15" s="55" t="s">
        <v>36</v>
      </c>
      <c r="B15" s="71">
        <f>SUM(B16:B28)</f>
        <v>28602760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5160970</v>
      </c>
      <c r="C16" s="11"/>
      <c r="D16" s="12"/>
      <c r="E16" t="s">
        <v>112</v>
      </c>
      <c r="F16" s="84">
        <f>'[12]未収金（認定調査委託料）'!$AJ$37</f>
        <v>9240</v>
      </c>
      <c r="G16" s="84">
        <f>'[12]未収金（居宅支援介護報酬）'!$AJ$37</f>
        <v>5110490</v>
      </c>
      <c r="H16" s="83"/>
    </row>
    <row r="17" spans="1:11" ht="14.25" x14ac:dyDescent="0.15">
      <c r="A17" s="54" t="s">
        <v>15</v>
      </c>
      <c r="B17" s="73">
        <v>14325102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3333277</v>
      </c>
      <c r="C18" s="11"/>
      <c r="D18" s="12"/>
      <c r="E18" t="s">
        <v>115</v>
      </c>
      <c r="F18" s="84">
        <f>'[12]未収金（通所保険請求）'!$AJ$37</f>
        <v>11757712</v>
      </c>
      <c r="G18" s="84">
        <f>'[12]未収金（通所利用者負担）'!$AJ$37</f>
        <v>1233924</v>
      </c>
      <c r="H18" s="84">
        <f>'[12]未収金（通所食費）'!$AJ$37</f>
        <v>733900</v>
      </c>
    </row>
    <row r="19" spans="1:11" ht="14.25" x14ac:dyDescent="0.15">
      <c r="A19" s="54" t="s">
        <v>16</v>
      </c>
      <c r="B19" s="73">
        <v>2107939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1272148</v>
      </c>
      <c r="C20" s="5"/>
      <c r="D20" s="12"/>
      <c r="E20" t="s">
        <v>119</v>
      </c>
      <c r="F20" s="84">
        <f>'[12]未収金（ゆけむり保険請求）'!$AJ$37</f>
        <v>0</v>
      </c>
      <c r="G20" s="84">
        <f>'[12]未収金（ゆけむり利用者負担）'!$AJ$37</f>
        <v>14257</v>
      </c>
      <c r="H20" s="84">
        <f>'[12]未収金（ゆけむり食費）'!$AJ$37</f>
        <v>0</v>
      </c>
    </row>
    <row r="21" spans="1:11" ht="14.25" x14ac:dyDescent="0.15">
      <c r="A21" s="54" t="s">
        <v>167</v>
      </c>
      <c r="B21" s="73">
        <v>287819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168</v>
      </c>
      <c r="B22" s="73">
        <v>244485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85">
        <v>12500</v>
      </c>
      <c r="C23" s="5"/>
      <c r="D23" s="12"/>
      <c r="E23" t="s">
        <v>120</v>
      </c>
      <c r="F23" s="84">
        <f>'[12]未収金（予防通所保険請求）'!$AJ$37</f>
        <v>1344043</v>
      </c>
      <c r="G23" s="84">
        <f>'[12]未収金（予防通所利用者負担）'!$AJ$37</f>
        <v>78798</v>
      </c>
      <c r="H23" s="84">
        <f>'[12]未収金（予防通所食費）'!$AJ$37</f>
        <v>104300</v>
      </c>
    </row>
    <row r="24" spans="1:11" ht="14.25" x14ac:dyDescent="0.15">
      <c r="A24" s="54" t="s">
        <v>81</v>
      </c>
      <c r="B24" s="73">
        <v>352620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85">
        <v>92200</v>
      </c>
      <c r="C25" s="5"/>
      <c r="D25" s="12"/>
      <c r="E25" t="s">
        <v>121</v>
      </c>
      <c r="F25" s="84">
        <f>'[12]未収金（処遇改善保険請求）'!$AJ$37</f>
        <v>1210522</v>
      </c>
      <c r="G25" s="84">
        <f>'[12]未収金（処遇改善利用者負担）'!$AJ$37</f>
        <v>116787</v>
      </c>
      <c r="H25" s="83"/>
      <c r="I25" s="99" t="s">
        <v>169</v>
      </c>
      <c r="J25" s="94">
        <f>'[12]未収金（ベースアップ加算保険請求）'!$AJ$37</f>
        <v>198</v>
      </c>
      <c r="K25" s="94">
        <f>'[12]未収金（ベースアップ加算利用者負担）'!$AJ$37</f>
        <v>343</v>
      </c>
    </row>
    <row r="26" spans="1:11" ht="14.25" x14ac:dyDescent="0.15">
      <c r="A26" s="54" t="s">
        <v>17</v>
      </c>
      <c r="B26" s="86">
        <v>1401200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87">
        <v>12500</v>
      </c>
      <c r="C27" s="5"/>
      <c r="D27" s="12"/>
      <c r="E27" t="s">
        <v>122</v>
      </c>
      <c r="F27" s="84">
        <f>'[12]未収金（特定処遇改善保険請求）'!$AJ$37</f>
        <v>0</v>
      </c>
      <c r="G27" s="84">
        <f>'[12]未収金（特定処遇改善利用者負担）'!$AJ$37</f>
        <v>3289</v>
      </c>
      <c r="H27" s="83"/>
    </row>
    <row r="28" spans="1:11" ht="14.25" x14ac:dyDescent="0.15">
      <c r="A28" s="54" t="s">
        <v>79</v>
      </c>
      <c r="B28" s="85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88">
        <v>638376</v>
      </c>
      <c r="C29" s="15" t="s">
        <v>0</v>
      </c>
      <c r="D29" s="12"/>
      <c r="E29" t="s">
        <v>123</v>
      </c>
      <c r="F29" s="84">
        <f>'[12]未収金（サロン保険請求）'!$AJ$37</f>
        <v>316516</v>
      </c>
      <c r="G29" s="84">
        <f>'[12]未収金（サロン利用者負担）'!$AJ$37</f>
        <v>21602</v>
      </c>
      <c r="H29" s="84">
        <f>'[12]未収金（サロン食費）'!$AJ$37</f>
        <v>31500</v>
      </c>
    </row>
    <row r="30" spans="1:11" ht="14.25" x14ac:dyDescent="0.15">
      <c r="A30" s="61" t="s">
        <v>96</v>
      </c>
      <c r="B30" s="71">
        <v>0</v>
      </c>
      <c r="C30" s="15"/>
      <c r="D30" s="12"/>
    </row>
    <row r="31" spans="1:11" ht="14.25" x14ac:dyDescent="0.15">
      <c r="A31" s="61" t="s">
        <v>38</v>
      </c>
      <c r="B31" s="7"/>
      <c r="C31" s="77">
        <f>B8+B9+B15+B29+B30</f>
        <v>41425809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44213471</v>
      </c>
      <c r="C34" s="5"/>
      <c r="D34" s="12"/>
      <c r="E34" t="s">
        <v>146</v>
      </c>
      <c r="F34" s="95">
        <f>'[13]建物（ほっと本体）'!$AJ$5</f>
        <v>225002</v>
      </c>
      <c r="G34" s="95">
        <f>'[13]建物（ほっと2階）'!$AJ$5</f>
        <v>159976</v>
      </c>
      <c r="H34" s="95">
        <f>'[13]建物（新庄）'!$AJ$5</f>
        <v>14958933</v>
      </c>
      <c r="I34" s="95">
        <f>'[13]建物（ゆけむり）'!$AJ$5</f>
        <v>22564101</v>
      </c>
      <c r="J34" s="95">
        <f>'[13]建物（ほっと浴室）'!$AJ$5</f>
        <v>3600857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96">
        <f>'[13]附属建物（厨房）'!$AJ$5</f>
        <v>1</v>
      </c>
      <c r="G35" s="96">
        <f>'[13]附属建物（浴室）'!$AJ$5</f>
        <v>1</v>
      </c>
      <c r="H35" s="96">
        <f>'[13]附属建物（便所）'!$AJ$5</f>
        <v>1</v>
      </c>
      <c r="I35" s="96">
        <f>'[13]附属建物（廊下）'!$AJ$5</f>
        <v>1</v>
      </c>
      <c r="J35" s="96">
        <f>'[13]附属設備（電気設備その他）'!$AJ$5</f>
        <v>82438</v>
      </c>
      <c r="K35" s="96">
        <f>'[13]附属設備（給排水衛生設備）'!$AJ$5</f>
        <v>94536</v>
      </c>
      <c r="L35" s="96">
        <f>'[13]附属設備（消火排煙設備）'!$AJ$5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96">
        <f>'[13]附属設備（新庄電気設備）'!$AJ$5</f>
        <v>365715</v>
      </c>
      <c r="G36" s="96">
        <f>'[13]附属設備（新庄給排水設備）'!$AJ$5</f>
        <v>446005</v>
      </c>
      <c r="H36" s="96">
        <f>'[13]附属設備（電気設備）'!$AJ$5</f>
        <v>1028074</v>
      </c>
      <c r="I36" s="96">
        <f>'[13]附属設備（給排水設備）'!$AJ$5</f>
        <v>529605</v>
      </c>
      <c r="J36" s="96">
        <f>'[13]附属設備（新庄浴槽改装ガス給湯設備）'!$AJ$6</f>
        <v>513845</v>
      </c>
      <c r="K36" s="96">
        <f>'[13]附属設備（ほっと浴室移設電気工事）'!$AJ$5</f>
        <v>851136</v>
      </c>
      <c r="L36" s="96">
        <f>'[13]附属設備（ほっと浴室移設給排水設備）'!$AJ$5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94">
        <f>'[13]構築物（舗装工事）'!$AJ$5</f>
        <v>1</v>
      </c>
      <c r="G37" s="94">
        <f>'[13]構築物（ゆけむり）'!$AJ$5</f>
        <v>358351</v>
      </c>
      <c r="H37" s="94">
        <f>'[13]構築物（新庄駐車場舗装）'!$AJ$5</f>
        <v>821220</v>
      </c>
    </row>
    <row r="38" spans="1:12" ht="14.25" x14ac:dyDescent="0.15">
      <c r="A38" s="55" t="s">
        <v>40</v>
      </c>
      <c r="B38" s="71">
        <v>2556592</v>
      </c>
      <c r="C38" s="5"/>
      <c r="D38" s="12"/>
      <c r="E38" t="s">
        <v>149</v>
      </c>
      <c r="F38" s="98">
        <f>'[13]器具備品（新庄玄関エアコン）'!$AJ$5</f>
        <v>31800</v>
      </c>
      <c r="G38" s="98">
        <f>'[13]器具備品（新庄事務室エアコン）'!$AJ$5</f>
        <v>173084</v>
      </c>
    </row>
    <row r="39" spans="1:12" ht="14.25" x14ac:dyDescent="0.15">
      <c r="A39" s="55" t="s">
        <v>41</v>
      </c>
      <c r="B39" s="88">
        <v>110600</v>
      </c>
      <c r="C39" s="5"/>
      <c r="D39" s="12"/>
      <c r="E39" t="s">
        <v>150</v>
      </c>
      <c r="F39" s="94">
        <f>'[13]車両（タウンボックス）'!$AJ$5</f>
        <v>1</v>
      </c>
      <c r="G39" s="94">
        <f>'[13]車両（はとバン）'!$AJ$5</f>
        <v>1</v>
      </c>
      <c r="H39" s="94">
        <f>'[13]車両（ノア）'!$AJ$5</f>
        <v>1</v>
      </c>
      <c r="I39" s="94">
        <f>'[13]車両（セレナ）'!$AJ$5</f>
        <v>1</v>
      </c>
      <c r="J39" s="94">
        <f>'[13]車両（アトレー１）'!$AJ$5</f>
        <v>1</v>
      </c>
      <c r="K39" s="94">
        <f>'[13]車両（アトレー４）'!$AJ$5</f>
        <v>2078860</v>
      </c>
      <c r="L39" s="94">
        <f>'[13]車両（キャラ３）'!$AJ$5</f>
        <v>0</v>
      </c>
    </row>
    <row r="40" spans="1:12" ht="14.25" x14ac:dyDescent="0.15">
      <c r="A40" s="55" t="s">
        <v>42</v>
      </c>
      <c r="B40" s="88">
        <v>50000</v>
      </c>
      <c r="C40" s="11"/>
      <c r="D40" s="12"/>
      <c r="F40" s="94">
        <f>'[13]車両（フリード２）'!$AJ$5</f>
        <v>477725</v>
      </c>
      <c r="G40" s="94">
        <f>'[13]車両（セブン２）'!$AJ$5</f>
        <v>1</v>
      </c>
      <c r="H40" s="94">
        <f>'[13]車両（EK３）'!$AJ$5</f>
        <v>1</v>
      </c>
    </row>
    <row r="41" spans="1:12" ht="14.25" x14ac:dyDescent="0.15">
      <c r="A41" s="55" t="s">
        <v>66</v>
      </c>
      <c r="B41" s="88"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f>SUM(B34:B41)</f>
        <v>53508120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f>C31+C42</f>
        <v>94933929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88">
        <v>332318</v>
      </c>
      <c r="C48" s="5"/>
      <c r="D48" s="78"/>
    </row>
    <row r="49" spans="1:8" ht="14.25" x14ac:dyDescent="0.15">
      <c r="A49" s="55" t="s">
        <v>33</v>
      </c>
      <c r="B49" s="71">
        <v>0</v>
      </c>
      <c r="C49" s="5"/>
      <c r="D49" s="12"/>
    </row>
    <row r="50" spans="1:8" ht="6.75" customHeight="1" x14ac:dyDescent="0.15">
      <c r="A50" s="59"/>
      <c r="B50" s="79"/>
      <c r="C50" s="11"/>
      <c r="D50" s="12"/>
    </row>
    <row r="51" spans="1:8" ht="14.25" x14ac:dyDescent="0.15">
      <c r="A51" s="55" t="s">
        <v>31</v>
      </c>
      <c r="B51" s="80"/>
      <c r="C51" s="37">
        <f>B48+B49</f>
        <v>332318</v>
      </c>
      <c r="D51" s="23"/>
      <c r="E51" t="s">
        <v>108</v>
      </c>
    </row>
    <row r="52" spans="1:8" ht="11.25" customHeight="1" x14ac:dyDescent="0.15">
      <c r="A52" s="3"/>
      <c r="B52" s="14"/>
      <c r="C52" s="34"/>
      <c r="D52" s="25"/>
    </row>
    <row r="53" spans="1:8" ht="14.25" x14ac:dyDescent="0.15">
      <c r="A53" s="55" t="s">
        <v>22</v>
      </c>
      <c r="B53" s="19"/>
      <c r="C53" s="81"/>
      <c r="D53" s="23"/>
    </row>
    <row r="54" spans="1:8" ht="14.25" x14ac:dyDescent="0.15">
      <c r="A54" s="55" t="s">
        <v>30</v>
      </c>
      <c r="B54" s="88">
        <v>4668000</v>
      </c>
      <c r="C54" s="11"/>
      <c r="D54" s="25"/>
    </row>
    <row r="55" spans="1:8" ht="14.25" x14ac:dyDescent="0.15">
      <c r="A55" s="9"/>
      <c r="B55" s="19"/>
      <c r="C55" s="11"/>
      <c r="D55" s="25"/>
      <c r="G55" t="s">
        <v>108</v>
      </c>
    </row>
    <row r="56" spans="1:8" ht="14.25" x14ac:dyDescent="0.15">
      <c r="A56" s="61" t="s">
        <v>29</v>
      </c>
      <c r="B56" s="10"/>
      <c r="C56" s="37">
        <f>B54</f>
        <v>4668000</v>
      </c>
      <c r="D56" s="23"/>
    </row>
    <row r="57" spans="1:8" ht="6.75" customHeight="1" x14ac:dyDescent="0.15">
      <c r="A57" s="3"/>
      <c r="B57" s="19"/>
      <c r="C57" s="11"/>
      <c r="D57" s="23"/>
    </row>
    <row r="58" spans="1:8" ht="14.25" x14ac:dyDescent="0.15">
      <c r="A58" s="58" t="s">
        <v>24</v>
      </c>
      <c r="B58" s="40"/>
      <c r="C58" s="40"/>
      <c r="D58" s="38">
        <f>C51+C56</f>
        <v>5000318</v>
      </c>
    </row>
    <row r="59" spans="1:8" ht="11.25" customHeight="1" x14ac:dyDescent="0.15">
      <c r="A59" s="3"/>
      <c r="B59" s="19"/>
      <c r="C59" s="11"/>
      <c r="D59" s="23"/>
    </row>
    <row r="60" spans="1:8" ht="14.25" x14ac:dyDescent="0.15">
      <c r="A60" s="55" t="s">
        <v>3</v>
      </c>
      <c r="B60" s="30"/>
      <c r="C60" s="35"/>
      <c r="D60" s="31"/>
    </row>
    <row r="61" spans="1:8" ht="15" customHeight="1" x14ac:dyDescent="0.15">
      <c r="A61" s="55" t="s">
        <v>27</v>
      </c>
      <c r="B61" s="10"/>
      <c r="C61" s="39"/>
      <c r="D61" s="39">
        <v>0</v>
      </c>
      <c r="H61" t="s">
        <v>0</v>
      </c>
    </row>
    <row r="62" spans="1:8" ht="15.75" customHeight="1" x14ac:dyDescent="0.15">
      <c r="A62" s="55" t="s">
        <v>28</v>
      </c>
      <c r="B62" s="47"/>
      <c r="C62" s="9"/>
      <c r="D62" s="43">
        <f>D44-D58</f>
        <v>89933611</v>
      </c>
      <c r="F62" s="100" t="s">
        <v>124</v>
      </c>
    </row>
    <row r="63" spans="1:8" ht="15.75" customHeight="1" x14ac:dyDescent="0.15">
      <c r="A63" s="59" t="s">
        <v>11</v>
      </c>
      <c r="B63" s="9"/>
      <c r="D63" s="70">
        <f>D64-'5.3月'!D64</f>
        <v>-1667898</v>
      </c>
      <c r="F63" s="92">
        <f>D63-[10]令和５年度!$P$74</f>
        <v>17788618</v>
      </c>
    </row>
    <row r="64" spans="1:8" ht="16.5" customHeight="1" x14ac:dyDescent="0.15">
      <c r="A64" s="55" t="s">
        <v>26</v>
      </c>
      <c r="B64" s="22"/>
      <c r="C64" s="48"/>
      <c r="D64" s="44">
        <f>D62</f>
        <v>89933611</v>
      </c>
      <c r="F64" s="91"/>
    </row>
    <row r="65" spans="1:6" ht="14.25" x14ac:dyDescent="0.15">
      <c r="A65" s="55" t="s">
        <v>25</v>
      </c>
      <c r="B65" s="22"/>
      <c r="C65" s="9"/>
      <c r="D65" s="69">
        <f>D58+D64</f>
        <v>94933929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976B2-AA87-4327-8CAF-FB7280D20AB4}">
  <sheetPr>
    <pageSetUpPr fitToPage="1"/>
  </sheetPr>
  <dimension ref="A1:L109"/>
  <sheetViews>
    <sheetView zoomScaleNormal="100" workbookViewId="0">
      <selection activeCell="B55" sqref="B55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177</v>
      </c>
      <c r="B1" s="122"/>
      <c r="C1" s="122"/>
      <c r="D1" s="122"/>
    </row>
    <row r="2" spans="1:11" ht="17.25" customHeight="1" x14ac:dyDescent="0.15">
      <c r="A2" s="116" t="s">
        <v>180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12389422</v>
      </c>
      <c r="C9" s="5"/>
      <c r="D9" s="12"/>
      <c r="F9" s="84">
        <f>'[11]0138359'!$AJ$37</f>
        <v>4981376</v>
      </c>
      <c r="G9" s="84">
        <f>'[11]0138642（居宅）'!$AJ$37</f>
        <v>154091</v>
      </c>
      <c r="H9" s="84">
        <f>'[11]0138655（通所）'!$AJ$37</f>
        <v>5711</v>
      </c>
      <c r="I9" s="84">
        <f>'[11]0156560（新庄）'!$AJ$37</f>
        <v>99191</v>
      </c>
      <c r="J9" s="84">
        <f>'[11]0158313（ゆけむり）'!$AJ$37</f>
        <v>50444</v>
      </c>
      <c r="K9" s="84">
        <f>'[11]0139101（ちゃれんじ）'!$AJ$37</f>
        <v>583296</v>
      </c>
    </row>
    <row r="10" spans="1:11" ht="14.25" x14ac:dyDescent="0.15">
      <c r="A10" s="53" t="s">
        <v>102</v>
      </c>
      <c r="B10" s="73">
        <v>9522865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2226055</v>
      </c>
      <c r="C11" s="5"/>
      <c r="D11" s="23"/>
      <c r="F11" s="84">
        <f>'[11]2253865（助け合い）'!$AJ$37</f>
        <v>222641</v>
      </c>
      <c r="G11" s="89">
        <f>'[11]2253871（通所）'!$AJ$37</f>
        <v>484375</v>
      </c>
      <c r="H11" s="84">
        <f>'[11]2254321（ミニ）'!$AJ$37</f>
        <v>6886188</v>
      </c>
    </row>
    <row r="12" spans="1:11" ht="14.25" x14ac:dyDescent="0.15">
      <c r="A12" s="53" t="s">
        <v>128</v>
      </c>
      <c r="B12" s="74">
        <v>488431</v>
      </c>
      <c r="C12" s="5"/>
      <c r="D12" s="23"/>
    </row>
    <row r="13" spans="1:11" ht="14.25" x14ac:dyDescent="0.15">
      <c r="A13" s="53" t="s">
        <v>129</v>
      </c>
      <c r="B13" s="75">
        <v>143976</v>
      </c>
      <c r="C13" s="5"/>
      <c r="D13" s="12"/>
      <c r="E13" s="93" t="s">
        <v>142</v>
      </c>
      <c r="F13" s="94">
        <f>[11]JA0034628!$AJ$37</f>
        <v>568938</v>
      </c>
      <c r="G13" s="93" t="s">
        <v>143</v>
      </c>
      <c r="H13" s="94">
        <f>[11]ゆうちょ6473091!$AJ$37</f>
        <v>173053</v>
      </c>
      <c r="I13" s="93" t="s">
        <v>144</v>
      </c>
      <c r="J13" s="94">
        <f>[11]しま信0116975!$AJ$37</f>
        <v>289801</v>
      </c>
    </row>
    <row r="14" spans="1:11" ht="14.25" x14ac:dyDescent="0.15">
      <c r="A14" s="53" t="s">
        <v>130</v>
      </c>
      <c r="B14" s="75">
        <v>8095</v>
      </c>
      <c r="C14" s="5"/>
      <c r="D14" s="12"/>
    </row>
    <row r="15" spans="1:11" ht="14.25" x14ac:dyDescent="0.15">
      <c r="A15" s="55" t="s">
        <v>36</v>
      </c>
      <c r="B15" s="71">
        <f>SUM(B16:B28)</f>
        <v>26927266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5083730</v>
      </c>
      <c r="C16" s="11"/>
      <c r="D16" s="12"/>
      <c r="E16" t="s">
        <v>112</v>
      </c>
      <c r="F16" s="84">
        <f>'[12]未収金（認定調査委託料）'!$AJ$37</f>
        <v>9240</v>
      </c>
      <c r="G16" s="84">
        <f>'[12]未収金（居宅支援介護報酬）'!$AJ$37</f>
        <v>5110490</v>
      </c>
      <c r="H16" s="83"/>
    </row>
    <row r="17" spans="1:11" ht="14.25" x14ac:dyDescent="0.15">
      <c r="A17" s="54" t="s">
        <v>15</v>
      </c>
      <c r="B17" s="73">
        <v>13881514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2394718</v>
      </c>
      <c r="C18" s="11"/>
      <c r="D18" s="12"/>
      <c r="E18" t="s">
        <v>115</v>
      </c>
      <c r="F18" s="84">
        <f>'[12]未収金（通所保険請求）'!$AJ$37</f>
        <v>11757712</v>
      </c>
      <c r="G18" s="84">
        <f>'[12]未収金（通所利用者負担）'!$AJ$37</f>
        <v>1233924</v>
      </c>
      <c r="H18" s="84">
        <f>'[12]未収金（通所食費）'!$AJ$37</f>
        <v>733900</v>
      </c>
    </row>
    <row r="19" spans="1:11" ht="14.25" x14ac:dyDescent="0.15">
      <c r="A19" s="54" t="s">
        <v>16</v>
      </c>
      <c r="B19" s="73">
        <v>2152194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1152863</v>
      </c>
      <c r="C20" s="5"/>
      <c r="D20" s="12"/>
      <c r="E20" t="s">
        <v>119</v>
      </c>
      <c r="F20" s="84">
        <f>'[12]未収金（ゆけむり保険請求）'!$AJ$37</f>
        <v>0</v>
      </c>
      <c r="G20" s="84">
        <f>'[12]未収金（ゆけむり利用者負担）'!$AJ$37</f>
        <v>14257</v>
      </c>
      <c r="H20" s="84">
        <f>'[12]未収金（ゆけむり食費）'!$AJ$37</f>
        <v>0</v>
      </c>
    </row>
    <row r="21" spans="1:11" ht="14.25" x14ac:dyDescent="0.15">
      <c r="A21" s="54" t="s">
        <v>167</v>
      </c>
      <c r="B21" s="73">
        <v>254380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168</v>
      </c>
      <c r="B22" s="73">
        <v>218873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85">
        <v>17300</v>
      </c>
      <c r="C23" s="5"/>
      <c r="D23" s="12"/>
      <c r="E23" t="s">
        <v>120</v>
      </c>
      <c r="F23" s="84">
        <f>'[12]未収金（予防通所保険請求）'!$AJ$37</f>
        <v>1344043</v>
      </c>
      <c r="G23" s="84">
        <f>'[12]未収金（予防通所利用者負担）'!$AJ$37</f>
        <v>78798</v>
      </c>
      <c r="H23" s="84">
        <f>'[12]未収金（予防通所食費）'!$AJ$37</f>
        <v>104300</v>
      </c>
    </row>
    <row r="24" spans="1:11" ht="14.25" x14ac:dyDescent="0.15">
      <c r="A24" s="54" t="s">
        <v>81</v>
      </c>
      <c r="B24" s="73">
        <v>362294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85">
        <v>72800</v>
      </c>
      <c r="C25" s="5"/>
      <c r="D25" s="12"/>
      <c r="E25" t="s">
        <v>121</v>
      </c>
      <c r="F25" s="84">
        <f>'[12]未収金（処遇改善保険請求）'!$AJ$37</f>
        <v>1210522</v>
      </c>
      <c r="G25" s="84">
        <f>'[12]未収金（処遇改善利用者負担）'!$AJ$37</f>
        <v>116787</v>
      </c>
      <c r="H25" s="83"/>
      <c r="I25" s="99" t="s">
        <v>169</v>
      </c>
      <c r="J25" s="94">
        <f>'[12]未収金（ベースアップ加算保険請求）'!$AJ$37</f>
        <v>198</v>
      </c>
      <c r="K25" s="94">
        <f>'[12]未収金（ベースアップ加算利用者負担）'!$AJ$37</f>
        <v>343</v>
      </c>
    </row>
    <row r="26" spans="1:11" ht="14.25" x14ac:dyDescent="0.15">
      <c r="A26" s="54" t="s">
        <v>17</v>
      </c>
      <c r="B26" s="86">
        <v>1322600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87">
        <v>14000</v>
      </c>
      <c r="C27" s="5"/>
      <c r="D27" s="12"/>
      <c r="E27" t="s">
        <v>122</v>
      </c>
      <c r="F27" s="84">
        <f>'[12]未収金（特定処遇改善保険請求）'!$AJ$37</f>
        <v>0</v>
      </c>
      <c r="G27" s="84">
        <f>'[12]未収金（特定処遇改善利用者負担）'!$AJ$37</f>
        <v>3289</v>
      </c>
      <c r="H27" s="83"/>
    </row>
    <row r="28" spans="1:11" ht="14.25" x14ac:dyDescent="0.15">
      <c r="A28" s="54" t="s">
        <v>79</v>
      </c>
      <c r="B28" s="85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88">
        <v>658376</v>
      </c>
      <c r="C29" s="15" t="s">
        <v>0</v>
      </c>
      <c r="D29" s="12"/>
      <c r="E29" t="s">
        <v>123</v>
      </c>
      <c r="F29" s="84">
        <f>'[12]未収金（サロン保険請求）'!$AJ$37</f>
        <v>316516</v>
      </c>
      <c r="G29" s="84">
        <f>'[12]未収金（サロン利用者負担）'!$AJ$37</f>
        <v>21602</v>
      </c>
      <c r="H29" s="84">
        <f>'[12]未収金（サロン食費）'!$AJ$37</f>
        <v>31500</v>
      </c>
    </row>
    <row r="30" spans="1:11" ht="14.25" x14ac:dyDescent="0.15">
      <c r="A30" s="61" t="s">
        <v>96</v>
      </c>
      <c r="B30" s="71">
        <v>0</v>
      </c>
      <c r="C30" s="15"/>
      <c r="D30" s="12"/>
    </row>
    <row r="31" spans="1:11" ht="14.25" x14ac:dyDescent="0.15">
      <c r="A31" s="61" t="s">
        <v>38</v>
      </c>
      <c r="B31" s="7"/>
      <c r="C31" s="77">
        <f>B8+B9+B15+B29+B30</f>
        <v>39977449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f>SUM(F34:J34)</f>
        <v>41508869</v>
      </c>
      <c r="C34" s="5"/>
      <c r="D34" s="12"/>
      <c r="E34" t="s">
        <v>146</v>
      </c>
      <c r="F34" s="95">
        <f>'[13]建物（ほっと本体）'!$AJ$5</f>
        <v>225002</v>
      </c>
      <c r="G34" s="95">
        <f>'[13]建物（ほっと2階）'!$AJ$5</f>
        <v>159976</v>
      </c>
      <c r="H34" s="95">
        <f>'[13]建物（新庄）'!$AJ$5</f>
        <v>14958933</v>
      </c>
      <c r="I34" s="95">
        <f>'[13]建物（ゆけむり）'!$AJ$5</f>
        <v>22564101</v>
      </c>
      <c r="J34" s="95">
        <f>'[13]建物（ほっと浴室）'!$AJ$5</f>
        <v>3600857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96">
        <f>'[13]附属建物（厨房）'!$AJ$5</f>
        <v>1</v>
      </c>
      <c r="G35" s="96">
        <f>'[13]附属建物（浴室）'!$AJ$5</f>
        <v>1</v>
      </c>
      <c r="H35" s="96">
        <f>'[13]附属建物（便所）'!$AJ$5</f>
        <v>1</v>
      </c>
      <c r="I35" s="96">
        <f>'[13]附属建物（廊下）'!$AJ$5</f>
        <v>1</v>
      </c>
      <c r="J35" s="96">
        <f>'[13]附属設備（電気設備その他）'!$AJ$5</f>
        <v>82438</v>
      </c>
      <c r="K35" s="96">
        <f>'[13]附属設備（給排水衛生設備）'!$AJ$5</f>
        <v>94536</v>
      </c>
      <c r="L35" s="96">
        <f>'[13]附属設備（消火排煙設備）'!$AJ$5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96">
        <f>'[13]附属設備（新庄電気設備）'!$AJ$5</f>
        <v>365715</v>
      </c>
      <c r="G36" s="96">
        <f>'[13]附属設備（新庄給排水設備）'!$AJ$5</f>
        <v>446005</v>
      </c>
      <c r="H36" s="96">
        <f>'[13]附属設備（電気設備）'!$AJ$5</f>
        <v>1028074</v>
      </c>
      <c r="I36" s="96">
        <f>'[13]附属設備（給排水設備）'!$AJ$5</f>
        <v>529605</v>
      </c>
      <c r="J36" s="96">
        <f>'[13]附属設備（新庄浴槽改装ガス給湯設備）'!$AJ$6</f>
        <v>513845</v>
      </c>
      <c r="K36" s="96">
        <f>'[13]附属設備（ほっと浴室移設電気工事）'!$AJ$5</f>
        <v>851136</v>
      </c>
      <c r="L36" s="96">
        <f>'[13]附属設備（ほっと浴室移設給排水設備）'!$AJ$5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94">
        <f>'[13]構築物（舗装工事）'!$AJ$5</f>
        <v>1</v>
      </c>
      <c r="G37" s="94">
        <f>'[13]構築物（ゆけむり）'!$AJ$5</f>
        <v>358351</v>
      </c>
      <c r="H37" s="94">
        <f>'[13]構築物（新庄駐車場舗装）'!$AJ$5</f>
        <v>821220</v>
      </c>
    </row>
    <row r="38" spans="1:12" ht="14.25" x14ac:dyDescent="0.15">
      <c r="A38" s="55" t="s">
        <v>40</v>
      </c>
      <c r="B38" s="71">
        <v>2556592</v>
      </c>
      <c r="C38" s="5"/>
      <c r="D38" s="12"/>
      <c r="E38" t="s">
        <v>149</v>
      </c>
      <c r="F38" s="98">
        <f>'[13]器具備品（新庄玄関エアコン）'!$AJ$5</f>
        <v>31800</v>
      </c>
      <c r="G38" s="98">
        <f>'[13]器具備品（新庄事務室エアコン）'!$AJ$5</f>
        <v>173084</v>
      </c>
    </row>
    <row r="39" spans="1:12" ht="14.25" x14ac:dyDescent="0.15">
      <c r="A39" s="55" t="s">
        <v>41</v>
      </c>
      <c r="B39" s="88">
        <v>110600</v>
      </c>
      <c r="C39" s="5"/>
      <c r="D39" s="12"/>
      <c r="E39" t="s">
        <v>150</v>
      </c>
      <c r="F39" s="94">
        <f>'[13]車両（タウンボックス）'!$AJ$5</f>
        <v>1</v>
      </c>
      <c r="G39" s="94">
        <f>'[13]車両（はとバン）'!$AJ$5</f>
        <v>1</v>
      </c>
      <c r="H39" s="94">
        <f>'[13]車両（ノア）'!$AJ$5</f>
        <v>1</v>
      </c>
      <c r="I39" s="94">
        <f>'[13]車両（セレナ）'!$AJ$5</f>
        <v>1</v>
      </c>
      <c r="J39" s="94">
        <f>'[13]車両（アトレー１）'!$AJ$5</f>
        <v>1</v>
      </c>
      <c r="K39" s="94">
        <f>'[13]車両（アトレー４）'!$AJ$5</f>
        <v>2078860</v>
      </c>
      <c r="L39" s="94">
        <f>'[13]車両（キャラ３）'!$AJ$5</f>
        <v>0</v>
      </c>
    </row>
    <row r="40" spans="1:12" ht="14.25" x14ac:dyDescent="0.15">
      <c r="A40" s="55" t="s">
        <v>42</v>
      </c>
      <c r="B40" s="88">
        <v>50000</v>
      </c>
      <c r="C40" s="11"/>
      <c r="D40" s="12"/>
      <c r="F40" s="94">
        <f>'[13]車両（フリード２）'!$AJ$5</f>
        <v>477725</v>
      </c>
      <c r="G40" s="94">
        <f>'[13]車両（セブン２）'!$AJ$5</f>
        <v>1</v>
      </c>
      <c r="H40" s="94">
        <f>'[13]車両（EK３）'!$AJ$5</f>
        <v>1</v>
      </c>
    </row>
    <row r="41" spans="1:12" ht="14.25" x14ac:dyDescent="0.15">
      <c r="A41" s="55" t="s">
        <v>66</v>
      </c>
      <c r="B41" s="88"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f>SUM(B34:B41)</f>
        <v>50803518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f>C31+C42</f>
        <v>90780967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88">
        <v>1471016</v>
      </c>
      <c r="C48" s="5"/>
      <c r="D48" s="78"/>
    </row>
    <row r="49" spans="1:8" ht="14.25" x14ac:dyDescent="0.15">
      <c r="A49" s="55" t="s">
        <v>33</v>
      </c>
      <c r="B49" s="71">
        <v>5000000</v>
      </c>
      <c r="C49" s="5"/>
      <c r="D49" s="12"/>
    </row>
    <row r="50" spans="1:8" ht="6.75" customHeight="1" x14ac:dyDescent="0.15">
      <c r="A50" s="59"/>
      <c r="B50" s="79"/>
      <c r="C50" s="11"/>
      <c r="D50" s="12"/>
    </row>
    <row r="51" spans="1:8" ht="14.25" x14ac:dyDescent="0.15">
      <c r="A51" s="55" t="s">
        <v>31</v>
      </c>
      <c r="B51" s="80"/>
      <c r="C51" s="37">
        <f>B48+B49</f>
        <v>6471016</v>
      </c>
      <c r="D51" s="23"/>
      <c r="E51" t="s">
        <v>108</v>
      </c>
    </row>
    <row r="52" spans="1:8" ht="11.25" customHeight="1" x14ac:dyDescent="0.15">
      <c r="A52" s="3"/>
      <c r="B52" s="14"/>
      <c r="C52" s="34"/>
      <c r="D52" s="25"/>
    </row>
    <row r="53" spans="1:8" ht="14.25" x14ac:dyDescent="0.15">
      <c r="A53" s="55" t="s">
        <v>22</v>
      </c>
      <c r="B53" s="19"/>
      <c r="C53" s="81"/>
      <c r="D53" s="23"/>
    </row>
    <row r="54" spans="1:8" ht="14.25" x14ac:dyDescent="0.15">
      <c r="A54" s="55" t="s">
        <v>30</v>
      </c>
      <c r="B54" s="88">
        <v>4585000</v>
      </c>
      <c r="C54" s="11"/>
      <c r="D54" s="25"/>
    </row>
    <row r="55" spans="1:8" ht="14.25" x14ac:dyDescent="0.15">
      <c r="A55" s="9"/>
      <c r="B55" s="19"/>
      <c r="C55" s="11"/>
      <c r="D55" s="25"/>
      <c r="G55" t="s">
        <v>108</v>
      </c>
    </row>
    <row r="56" spans="1:8" ht="14.25" x14ac:dyDescent="0.15">
      <c r="A56" s="61" t="s">
        <v>29</v>
      </c>
      <c r="B56" s="10"/>
      <c r="C56" s="37">
        <f>B54</f>
        <v>4585000</v>
      </c>
      <c r="D56" s="23"/>
    </row>
    <row r="57" spans="1:8" ht="6.75" customHeight="1" x14ac:dyDescent="0.15">
      <c r="A57" s="3"/>
      <c r="B57" s="19"/>
      <c r="C57" s="11"/>
      <c r="D57" s="23"/>
    </row>
    <row r="58" spans="1:8" ht="14.25" x14ac:dyDescent="0.15">
      <c r="A58" s="58" t="s">
        <v>24</v>
      </c>
      <c r="B58" s="40"/>
      <c r="C58" s="40"/>
      <c r="D58" s="38">
        <f>C51+C56</f>
        <v>11056016</v>
      </c>
    </row>
    <row r="59" spans="1:8" ht="11.25" customHeight="1" x14ac:dyDescent="0.15">
      <c r="A59" s="3"/>
      <c r="B59" s="19"/>
      <c r="C59" s="11"/>
      <c r="D59" s="23"/>
    </row>
    <row r="60" spans="1:8" ht="14.25" x14ac:dyDescent="0.15">
      <c r="A60" s="55" t="s">
        <v>3</v>
      </c>
      <c r="B60" s="30"/>
      <c r="C60" s="35"/>
      <c r="D60" s="31"/>
    </row>
    <row r="61" spans="1:8" ht="15" customHeight="1" x14ac:dyDescent="0.15">
      <c r="A61" s="55" t="s">
        <v>27</v>
      </c>
      <c r="B61" s="10"/>
      <c r="C61" s="39"/>
      <c r="D61" s="39">
        <v>0</v>
      </c>
      <c r="H61" t="s">
        <v>0</v>
      </c>
    </row>
    <row r="62" spans="1:8" ht="15.75" customHeight="1" x14ac:dyDescent="0.15">
      <c r="A62" s="55" t="s">
        <v>28</v>
      </c>
      <c r="B62" s="47"/>
      <c r="C62" s="9"/>
      <c r="D62" s="43">
        <f>D44-D58</f>
        <v>79724951</v>
      </c>
      <c r="F62" s="100" t="s">
        <v>124</v>
      </c>
    </row>
    <row r="63" spans="1:8" ht="15.75" customHeight="1" x14ac:dyDescent="0.15">
      <c r="A63" s="59" t="s">
        <v>11</v>
      </c>
      <c r="B63" s="9"/>
      <c r="D63" s="70">
        <f>D64-'5.3月'!D64</f>
        <v>-11876558</v>
      </c>
      <c r="F63" s="92">
        <f>D63-[10]令和５年度!$P$74</f>
        <v>7579958</v>
      </c>
    </row>
    <row r="64" spans="1:8" ht="16.5" customHeight="1" x14ac:dyDescent="0.15">
      <c r="A64" s="55" t="s">
        <v>26</v>
      </c>
      <c r="B64" s="22"/>
      <c r="C64" s="48"/>
      <c r="D64" s="44">
        <f>D62</f>
        <v>79724951</v>
      </c>
      <c r="F64" s="91"/>
    </row>
    <row r="65" spans="1:6" ht="14.25" x14ac:dyDescent="0.15">
      <c r="A65" s="55" t="s">
        <v>25</v>
      </c>
      <c r="B65" s="22"/>
      <c r="C65" s="9"/>
      <c r="D65" s="69">
        <f>D58+D64</f>
        <v>90780967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8205-5F01-4BD8-879A-3A33F49B3DB4}">
  <sheetPr>
    <pageSetUpPr fitToPage="1"/>
  </sheetPr>
  <dimension ref="A1:L109"/>
  <sheetViews>
    <sheetView zoomScaleNormal="100" workbookViewId="0">
      <selection activeCell="F63" sqref="F63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177</v>
      </c>
      <c r="B1" s="122"/>
      <c r="C1" s="122"/>
      <c r="D1" s="122"/>
    </row>
    <row r="2" spans="1:11" ht="17.25" customHeight="1" x14ac:dyDescent="0.15">
      <c r="A2" s="116" t="s">
        <v>181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11338667</v>
      </c>
      <c r="C9" s="5"/>
      <c r="D9" s="12"/>
      <c r="F9" s="84">
        <f>'[11]0138359'!$AJ$37</f>
        <v>4981376</v>
      </c>
      <c r="G9" s="84">
        <f>'[11]0138642（居宅）'!$AJ$37</f>
        <v>154091</v>
      </c>
      <c r="H9" s="84">
        <f>'[11]0138655（通所）'!$AJ$37</f>
        <v>5711</v>
      </c>
      <c r="I9" s="84">
        <f>'[11]0156560（新庄）'!$AJ$37</f>
        <v>99191</v>
      </c>
      <c r="J9" s="84">
        <f>'[11]0158313（ゆけむり）'!$AJ$37</f>
        <v>50444</v>
      </c>
      <c r="K9" s="84">
        <f>'[11]0139101（ちゃれんじ）'!$AJ$37</f>
        <v>583296</v>
      </c>
    </row>
    <row r="10" spans="1:11" ht="14.25" x14ac:dyDescent="0.15">
      <c r="A10" s="53" t="s">
        <v>102</v>
      </c>
      <c r="B10" s="73">
        <v>7070487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2853466</v>
      </c>
      <c r="C11" s="5"/>
      <c r="D11" s="23"/>
      <c r="F11" s="84">
        <f>'[11]2253865（助け合い）'!$AJ$37</f>
        <v>222641</v>
      </c>
      <c r="G11" s="89">
        <f>'[11]2253871（通所）'!$AJ$37</f>
        <v>484375</v>
      </c>
      <c r="H11" s="84">
        <f>'[11]2254321（ミニ）'!$AJ$37</f>
        <v>6886188</v>
      </c>
    </row>
    <row r="12" spans="1:11" ht="14.25" x14ac:dyDescent="0.15">
      <c r="A12" s="53" t="s">
        <v>128</v>
      </c>
      <c r="B12" s="74">
        <v>684649</v>
      </c>
      <c r="C12" s="5"/>
      <c r="D12" s="23"/>
    </row>
    <row r="13" spans="1:11" ht="14.25" x14ac:dyDescent="0.15">
      <c r="A13" s="53" t="s">
        <v>129</v>
      </c>
      <c r="B13" s="75">
        <v>596572</v>
      </c>
      <c r="C13" s="5"/>
      <c r="D13" s="12"/>
      <c r="E13" s="93" t="s">
        <v>142</v>
      </c>
      <c r="F13" s="94">
        <f>[11]JA0034628!$AJ$37</f>
        <v>568938</v>
      </c>
      <c r="G13" s="93" t="s">
        <v>143</v>
      </c>
      <c r="H13" s="94">
        <f>[11]ゆうちょ6473091!$AJ$37</f>
        <v>173053</v>
      </c>
      <c r="I13" s="93" t="s">
        <v>144</v>
      </c>
      <c r="J13" s="94">
        <f>[11]しま信0116975!$AJ$37</f>
        <v>289801</v>
      </c>
    </row>
    <row r="14" spans="1:11" ht="14.25" x14ac:dyDescent="0.15">
      <c r="A14" s="53" t="s">
        <v>130</v>
      </c>
      <c r="B14" s="75">
        <v>133493</v>
      </c>
      <c r="C14" s="5"/>
      <c r="D14" s="12"/>
    </row>
    <row r="15" spans="1:11" ht="14.25" x14ac:dyDescent="0.15">
      <c r="A15" s="55" t="s">
        <v>36</v>
      </c>
      <c r="B15" s="71">
        <v>27772062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5057450</v>
      </c>
      <c r="C16" s="11"/>
      <c r="D16" s="12"/>
      <c r="E16" t="s">
        <v>112</v>
      </c>
      <c r="F16" s="84">
        <f>'[12]未収金（認定調査委託料）'!$AJ$37</f>
        <v>9240</v>
      </c>
      <c r="G16" s="84">
        <f>'[12]未収金（居宅支援介護報酬）'!$AJ$37</f>
        <v>5110490</v>
      </c>
      <c r="H16" s="83"/>
    </row>
    <row r="17" spans="1:11" ht="14.25" x14ac:dyDescent="0.15">
      <c r="A17" s="54" t="s">
        <v>15</v>
      </c>
      <c r="B17" s="73">
        <v>14378552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2807895</v>
      </c>
      <c r="C18" s="11"/>
      <c r="D18" s="12"/>
      <c r="E18" t="s">
        <v>115</v>
      </c>
      <c r="F18" s="84">
        <f>'[12]未収金（通所保険請求）'!$AJ$37</f>
        <v>11757712</v>
      </c>
      <c r="G18" s="84">
        <f>'[12]未収金（通所利用者負担）'!$AJ$37</f>
        <v>1233924</v>
      </c>
      <c r="H18" s="84">
        <f>'[12]未収金（通所食費）'!$AJ$37</f>
        <v>733900</v>
      </c>
    </row>
    <row r="19" spans="1:11" ht="14.25" x14ac:dyDescent="0.15">
      <c r="A19" s="54" t="s">
        <v>16</v>
      </c>
      <c r="B19" s="73">
        <v>2022858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1215369</v>
      </c>
      <c r="C20" s="5"/>
      <c r="D20" s="12"/>
      <c r="E20" t="s">
        <v>119</v>
      </c>
      <c r="F20" s="84">
        <f>'[12]未収金（ゆけむり保険請求）'!$AJ$37</f>
        <v>0</v>
      </c>
      <c r="G20" s="84">
        <f>'[12]未収金（ゆけむり利用者負担）'!$AJ$37</f>
        <v>14257</v>
      </c>
      <c r="H20" s="84">
        <f>'[12]未収金（ゆけむり食費）'!$AJ$37</f>
        <v>0</v>
      </c>
    </row>
    <row r="21" spans="1:11" ht="14.25" x14ac:dyDescent="0.15">
      <c r="A21" s="54" t="s">
        <v>167</v>
      </c>
      <c r="B21" s="73">
        <v>270977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168</v>
      </c>
      <c r="B22" s="73">
        <v>231981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85">
        <v>16100</v>
      </c>
      <c r="C23" s="5"/>
      <c r="D23" s="12"/>
      <c r="E23" t="s">
        <v>120</v>
      </c>
      <c r="F23" s="84">
        <f>'[12]未収金（予防通所保険請求）'!$AJ$37</f>
        <v>1344043</v>
      </c>
      <c r="G23" s="84">
        <f>'[12]未収金（予防通所利用者負担）'!$AJ$37</f>
        <v>78798</v>
      </c>
      <c r="H23" s="84">
        <f>'[12]未収金（予防通所食費）'!$AJ$37</f>
        <v>104300</v>
      </c>
    </row>
    <row r="24" spans="1:11" ht="14.25" x14ac:dyDescent="0.15">
      <c r="A24" s="54" t="s">
        <v>81</v>
      </c>
      <c r="B24" s="73">
        <v>391280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85">
        <v>54600</v>
      </c>
      <c r="C25" s="5"/>
      <c r="D25" s="12"/>
      <c r="E25" t="s">
        <v>121</v>
      </c>
      <c r="F25" s="84">
        <f>'[12]未収金（処遇改善保険請求）'!$AJ$37</f>
        <v>1210522</v>
      </c>
      <c r="G25" s="84">
        <f>'[12]未収金（処遇改善利用者負担）'!$AJ$37</f>
        <v>116787</v>
      </c>
      <c r="H25" s="83"/>
      <c r="I25" s="99" t="s">
        <v>169</v>
      </c>
      <c r="J25" s="94">
        <f>'[12]未収金（ベースアップ加算保険請求）'!$AJ$37</f>
        <v>198</v>
      </c>
      <c r="K25" s="94">
        <f>'[12]未収金（ベースアップ加算利用者負担）'!$AJ$37</f>
        <v>343</v>
      </c>
    </row>
    <row r="26" spans="1:11" ht="14.25" x14ac:dyDescent="0.15">
      <c r="A26" s="54" t="s">
        <v>17</v>
      </c>
      <c r="B26" s="86">
        <v>1319000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87">
        <v>6000</v>
      </c>
      <c r="C27" s="5"/>
      <c r="D27" s="12"/>
      <c r="E27" t="s">
        <v>122</v>
      </c>
      <c r="F27" s="84">
        <f>'[12]未収金（特定処遇改善保険請求）'!$AJ$37</f>
        <v>0</v>
      </c>
      <c r="G27" s="84">
        <f>'[12]未収金（特定処遇改善利用者負担）'!$AJ$37</f>
        <v>3289</v>
      </c>
      <c r="H27" s="83"/>
    </row>
    <row r="28" spans="1:11" ht="14.25" x14ac:dyDescent="0.15">
      <c r="A28" s="54" t="s">
        <v>79</v>
      </c>
      <c r="B28" s="85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88">
        <v>648376</v>
      </c>
      <c r="C29" s="15" t="s">
        <v>0</v>
      </c>
      <c r="D29" s="12"/>
      <c r="E29" t="s">
        <v>123</v>
      </c>
      <c r="F29" s="84">
        <f>'[12]未収金（サロン保険請求）'!$AJ$37</f>
        <v>316516</v>
      </c>
      <c r="G29" s="84">
        <f>'[12]未収金（サロン利用者負担）'!$AJ$37</f>
        <v>21602</v>
      </c>
      <c r="H29" s="84">
        <f>'[12]未収金（サロン食費）'!$AJ$37</f>
        <v>31500</v>
      </c>
    </row>
    <row r="30" spans="1:11" ht="14.25" x14ac:dyDescent="0.15">
      <c r="A30" s="61" t="s">
        <v>96</v>
      </c>
      <c r="B30" s="71">
        <v>0</v>
      </c>
      <c r="C30" s="15"/>
      <c r="D30" s="12"/>
    </row>
    <row r="31" spans="1:11" ht="14.25" x14ac:dyDescent="0.15">
      <c r="A31" s="61" t="s">
        <v>38</v>
      </c>
      <c r="B31" s="7"/>
      <c r="C31" s="77">
        <f>B8+B9+B15+B29+B30</f>
        <v>39761490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44213471</v>
      </c>
      <c r="C34" s="5"/>
      <c r="D34" s="12"/>
      <c r="E34" t="s">
        <v>146</v>
      </c>
      <c r="F34" s="95">
        <f>'[13]建物（ほっと本体）'!$AJ$5</f>
        <v>225002</v>
      </c>
      <c r="G34" s="95">
        <f>'[13]建物（ほっと2階）'!$AJ$5</f>
        <v>159976</v>
      </c>
      <c r="H34" s="95">
        <f>'[13]建物（新庄）'!$AJ$5</f>
        <v>14958933</v>
      </c>
      <c r="I34" s="95">
        <f>'[13]建物（ゆけむり）'!$AJ$5</f>
        <v>22564101</v>
      </c>
      <c r="J34" s="95">
        <f>'[13]建物（ほっと浴室）'!$AJ$5</f>
        <v>3600857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96">
        <f>'[13]附属建物（厨房）'!$AJ$5</f>
        <v>1</v>
      </c>
      <c r="G35" s="96">
        <f>'[13]附属建物（浴室）'!$AJ$5</f>
        <v>1</v>
      </c>
      <c r="H35" s="96">
        <f>'[13]附属建物（便所）'!$AJ$5</f>
        <v>1</v>
      </c>
      <c r="I35" s="96">
        <f>'[13]附属建物（廊下）'!$AJ$5</f>
        <v>1</v>
      </c>
      <c r="J35" s="96">
        <f>'[13]附属設備（電気設備その他）'!$AJ$5</f>
        <v>82438</v>
      </c>
      <c r="K35" s="96">
        <f>'[13]附属設備（給排水衛生設備）'!$AJ$5</f>
        <v>94536</v>
      </c>
      <c r="L35" s="96">
        <f>'[13]附属設備（消火排煙設備）'!$AJ$5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96">
        <f>'[13]附属設備（新庄電気設備）'!$AJ$5</f>
        <v>365715</v>
      </c>
      <c r="G36" s="96">
        <f>'[13]附属設備（新庄給排水設備）'!$AJ$5</f>
        <v>446005</v>
      </c>
      <c r="H36" s="96">
        <f>'[13]附属設備（電気設備）'!$AJ$5</f>
        <v>1028074</v>
      </c>
      <c r="I36" s="96">
        <f>'[13]附属設備（給排水設備）'!$AJ$5</f>
        <v>529605</v>
      </c>
      <c r="J36" s="96">
        <f>'[13]附属設備（新庄浴槽改装ガス給湯設備）'!$AJ$6</f>
        <v>513845</v>
      </c>
      <c r="K36" s="96">
        <f>'[13]附属設備（ほっと浴室移設電気工事）'!$AJ$5</f>
        <v>851136</v>
      </c>
      <c r="L36" s="96">
        <f>'[13]附属設備（ほっと浴室移設給排水設備）'!$AJ$5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94">
        <f>'[13]構築物（舗装工事）'!$AJ$5</f>
        <v>1</v>
      </c>
      <c r="G37" s="94">
        <f>'[13]構築物（ゆけむり）'!$AJ$5</f>
        <v>358351</v>
      </c>
      <c r="H37" s="94">
        <f>'[13]構築物（新庄駐車場舗装）'!$AJ$5</f>
        <v>821220</v>
      </c>
    </row>
    <row r="38" spans="1:12" ht="14.25" x14ac:dyDescent="0.15">
      <c r="A38" s="55" t="s">
        <v>40</v>
      </c>
      <c r="B38" s="71">
        <v>2556592</v>
      </c>
      <c r="C38" s="5"/>
      <c r="D38" s="12"/>
      <c r="E38" t="s">
        <v>149</v>
      </c>
      <c r="F38" s="98">
        <f>'[13]器具備品（新庄玄関エアコン）'!$AJ$5</f>
        <v>31800</v>
      </c>
      <c r="G38" s="98">
        <f>'[13]器具備品（新庄事務室エアコン）'!$AJ$5</f>
        <v>173084</v>
      </c>
    </row>
    <row r="39" spans="1:12" ht="14.25" x14ac:dyDescent="0.15">
      <c r="A39" s="55" t="s">
        <v>41</v>
      </c>
      <c r="B39" s="88">
        <v>110600</v>
      </c>
      <c r="C39" s="5"/>
      <c r="D39" s="12"/>
      <c r="E39" t="s">
        <v>150</v>
      </c>
      <c r="F39" s="94">
        <f>'[13]車両（タウンボックス）'!$AJ$5</f>
        <v>1</v>
      </c>
      <c r="G39" s="94">
        <f>'[13]車両（はとバン）'!$AJ$5</f>
        <v>1</v>
      </c>
      <c r="H39" s="94">
        <f>'[13]車両（ノア）'!$AJ$5</f>
        <v>1</v>
      </c>
      <c r="I39" s="94">
        <f>'[13]車両（セレナ）'!$AJ$5</f>
        <v>1</v>
      </c>
      <c r="J39" s="94">
        <f>'[13]車両（アトレー１）'!$AJ$5</f>
        <v>1</v>
      </c>
      <c r="K39" s="94">
        <f>'[13]車両（アトレー４）'!$AJ$5</f>
        <v>2078860</v>
      </c>
      <c r="L39" s="94">
        <f>'[13]車両（キャラ３）'!$AJ$5</f>
        <v>0</v>
      </c>
    </row>
    <row r="40" spans="1:12" ht="14.25" x14ac:dyDescent="0.15">
      <c r="A40" s="55" t="s">
        <v>42</v>
      </c>
      <c r="B40" s="88">
        <v>50000</v>
      </c>
      <c r="C40" s="11"/>
      <c r="D40" s="12"/>
      <c r="F40" s="94">
        <f>'[13]車両（フリード２）'!$AJ$5</f>
        <v>477725</v>
      </c>
      <c r="G40" s="94">
        <f>'[13]車両（セブン２）'!$AJ$5</f>
        <v>1</v>
      </c>
      <c r="H40" s="94">
        <f>'[13]車両（EK３）'!$AJ$5</f>
        <v>1</v>
      </c>
    </row>
    <row r="41" spans="1:12" ht="14.25" x14ac:dyDescent="0.15">
      <c r="A41" s="55" t="s">
        <v>66</v>
      </c>
      <c r="B41" s="88"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f>SUM(B34:B41)</f>
        <v>53508120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f>C31+C42</f>
        <v>93269610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88">
        <v>1476229</v>
      </c>
      <c r="C48" s="5"/>
      <c r="D48" s="78"/>
    </row>
    <row r="49" spans="1:8" ht="14.25" x14ac:dyDescent="0.15">
      <c r="A49" s="55" t="s">
        <v>33</v>
      </c>
      <c r="B49" s="71">
        <v>5000000</v>
      </c>
      <c r="C49" s="5"/>
      <c r="D49" s="12"/>
    </row>
    <row r="50" spans="1:8" ht="6.75" customHeight="1" x14ac:dyDescent="0.15">
      <c r="A50" s="59"/>
      <c r="B50" s="79"/>
      <c r="C50" s="11"/>
      <c r="D50" s="12"/>
    </row>
    <row r="51" spans="1:8" ht="14.25" x14ac:dyDescent="0.15">
      <c r="A51" s="55" t="s">
        <v>31</v>
      </c>
      <c r="B51" s="80"/>
      <c r="C51" s="37">
        <f>B48+B49</f>
        <v>6476229</v>
      </c>
      <c r="D51" s="23"/>
      <c r="E51" t="s">
        <v>108</v>
      </c>
    </row>
    <row r="52" spans="1:8" ht="11.25" customHeight="1" x14ac:dyDescent="0.15">
      <c r="A52" s="3"/>
      <c r="B52" s="14"/>
      <c r="C52" s="34"/>
      <c r="D52" s="25"/>
    </row>
    <row r="53" spans="1:8" ht="14.25" x14ac:dyDescent="0.15">
      <c r="A53" s="55" t="s">
        <v>22</v>
      </c>
      <c r="B53" s="19"/>
      <c r="C53" s="81"/>
      <c r="D53" s="23"/>
    </row>
    <row r="54" spans="1:8" ht="14.25" x14ac:dyDescent="0.15">
      <c r="A54" s="55" t="s">
        <v>30</v>
      </c>
      <c r="B54" s="88">
        <v>4502000</v>
      </c>
      <c r="C54" s="11"/>
      <c r="D54" s="25"/>
    </row>
    <row r="55" spans="1:8" ht="14.25" x14ac:dyDescent="0.15">
      <c r="A55" s="9"/>
      <c r="B55" s="19"/>
      <c r="C55" s="11"/>
      <c r="D55" s="25"/>
      <c r="G55" t="s">
        <v>108</v>
      </c>
    </row>
    <row r="56" spans="1:8" ht="14.25" x14ac:dyDescent="0.15">
      <c r="A56" s="61" t="s">
        <v>29</v>
      </c>
      <c r="B56" s="10"/>
      <c r="C56" s="37">
        <f>B54</f>
        <v>4502000</v>
      </c>
      <c r="D56" s="23"/>
    </row>
    <row r="57" spans="1:8" ht="6.75" customHeight="1" x14ac:dyDescent="0.15">
      <c r="A57" s="3"/>
      <c r="B57" s="19"/>
      <c r="C57" s="11"/>
      <c r="D57" s="23"/>
    </row>
    <row r="58" spans="1:8" ht="14.25" x14ac:dyDescent="0.15">
      <c r="A58" s="58" t="s">
        <v>24</v>
      </c>
      <c r="B58" s="40"/>
      <c r="C58" s="40"/>
      <c r="D58" s="38">
        <f>C51+C56</f>
        <v>10978229</v>
      </c>
    </row>
    <row r="59" spans="1:8" ht="11.25" customHeight="1" x14ac:dyDescent="0.15">
      <c r="A59" s="3"/>
      <c r="B59" s="19"/>
      <c r="C59" s="11"/>
      <c r="D59" s="23"/>
    </row>
    <row r="60" spans="1:8" ht="14.25" x14ac:dyDescent="0.15">
      <c r="A60" s="55" t="s">
        <v>3</v>
      </c>
      <c r="B60" s="30"/>
      <c r="C60" s="35"/>
      <c r="D60" s="31"/>
    </row>
    <row r="61" spans="1:8" ht="15" customHeight="1" x14ac:dyDescent="0.15">
      <c r="A61" s="55" t="s">
        <v>27</v>
      </c>
      <c r="B61" s="10"/>
      <c r="C61" s="39"/>
      <c r="D61" s="39">
        <v>0</v>
      </c>
      <c r="H61" t="s">
        <v>0</v>
      </c>
    </row>
    <row r="62" spans="1:8" ht="15.75" customHeight="1" x14ac:dyDescent="0.15">
      <c r="A62" s="55" t="s">
        <v>28</v>
      </c>
      <c r="B62" s="47"/>
      <c r="C62" s="9"/>
      <c r="D62" s="43">
        <f>D44-D58</f>
        <v>82291381</v>
      </c>
      <c r="F62" s="100" t="s">
        <v>124</v>
      </c>
    </row>
    <row r="63" spans="1:8" ht="15.75" customHeight="1" x14ac:dyDescent="0.15">
      <c r="A63" s="59" t="s">
        <v>11</v>
      </c>
      <c r="B63" s="9"/>
      <c r="D63" s="70">
        <f>D64-'5.3月'!D64</f>
        <v>-9310128</v>
      </c>
      <c r="F63" s="92">
        <f>D63-[10]令和５年度!$P$74</f>
        <v>10146388</v>
      </c>
    </row>
    <row r="64" spans="1:8" ht="16.5" customHeight="1" x14ac:dyDescent="0.15">
      <c r="A64" s="55" t="s">
        <v>26</v>
      </c>
      <c r="B64" s="22"/>
      <c r="C64" s="48"/>
      <c r="D64" s="44">
        <f>D62</f>
        <v>82291381</v>
      </c>
      <c r="F64" s="91"/>
    </row>
    <row r="65" spans="1:6" ht="14.25" x14ac:dyDescent="0.15">
      <c r="A65" s="55" t="s">
        <v>25</v>
      </c>
      <c r="B65" s="22"/>
      <c r="C65" s="9"/>
      <c r="D65" s="69">
        <f>D58+D64</f>
        <v>93269610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F1C8-7D2E-44AF-A6FD-CB701A07EF65}">
  <sheetPr>
    <pageSetUpPr fitToPage="1"/>
  </sheetPr>
  <dimension ref="A1:L109"/>
  <sheetViews>
    <sheetView zoomScaleNormal="100" workbookViewId="0">
      <selection activeCell="B63" sqref="B63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177</v>
      </c>
      <c r="B1" s="122"/>
      <c r="C1" s="122"/>
      <c r="D1" s="122"/>
    </row>
    <row r="2" spans="1:11" ht="17.25" customHeight="1" x14ac:dyDescent="0.15">
      <c r="A2" s="116" t="s">
        <v>182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12906829</v>
      </c>
      <c r="C9" s="5"/>
      <c r="D9" s="12"/>
      <c r="F9" s="84">
        <f>'[11]0138359'!$AJ$37</f>
        <v>4981376</v>
      </c>
      <c r="G9" s="84">
        <f>'[11]0138642（居宅）'!$AJ$37</f>
        <v>154091</v>
      </c>
      <c r="H9" s="84">
        <f>'[11]0138655（通所）'!$AJ$37</f>
        <v>5711</v>
      </c>
      <c r="I9" s="84">
        <f>'[11]0156560（新庄）'!$AJ$37</f>
        <v>99191</v>
      </c>
      <c r="J9" s="84">
        <f>'[11]0158313（ゆけむり）'!$AJ$37</f>
        <v>50444</v>
      </c>
      <c r="K9" s="84">
        <f>'[11]0139101（ちゃれんじ）'!$AJ$37</f>
        <v>583296</v>
      </c>
    </row>
    <row r="10" spans="1:11" ht="14.25" x14ac:dyDescent="0.15">
      <c r="A10" s="53" t="s">
        <v>102</v>
      </c>
      <c r="B10" s="73">
        <v>8633712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3610364</v>
      </c>
      <c r="C11" s="5"/>
      <c r="D11" s="23"/>
      <c r="F11" s="84">
        <f>'[11]2253865（助け合い）'!$AJ$37</f>
        <v>222641</v>
      </c>
      <c r="G11" s="89">
        <f>'[11]2253871（通所）'!$AJ$37</f>
        <v>484375</v>
      </c>
      <c r="H11" s="84">
        <f>'[11]2254321（ミニ）'!$AJ$37</f>
        <v>6886188</v>
      </c>
    </row>
    <row r="12" spans="1:11" ht="14.25" x14ac:dyDescent="0.15">
      <c r="A12" s="53" t="s">
        <v>128</v>
      </c>
      <c r="B12" s="74">
        <v>263450</v>
      </c>
      <c r="C12" s="5"/>
      <c r="D12" s="23"/>
    </row>
    <row r="13" spans="1:11" ht="14.25" x14ac:dyDescent="0.15">
      <c r="A13" s="53" t="s">
        <v>129</v>
      </c>
      <c r="B13" s="75">
        <v>136616</v>
      </c>
      <c r="C13" s="5"/>
      <c r="D13" s="12"/>
      <c r="E13" s="93" t="s">
        <v>142</v>
      </c>
      <c r="F13" s="94">
        <f>[11]JA0034628!$AJ$37</f>
        <v>568938</v>
      </c>
      <c r="G13" s="93" t="s">
        <v>143</v>
      </c>
      <c r="H13" s="94">
        <f>[11]ゆうちょ6473091!$AJ$37</f>
        <v>173053</v>
      </c>
      <c r="I13" s="93" t="s">
        <v>144</v>
      </c>
      <c r="J13" s="94">
        <f>[11]しま信0116975!$AJ$37</f>
        <v>289801</v>
      </c>
    </row>
    <row r="14" spans="1:11" ht="14.25" x14ac:dyDescent="0.15">
      <c r="A14" s="53" t="s">
        <v>130</v>
      </c>
      <c r="B14" s="75">
        <v>262687</v>
      </c>
      <c r="C14" s="5"/>
      <c r="D14" s="12"/>
    </row>
    <row r="15" spans="1:11" ht="14.25" x14ac:dyDescent="0.15">
      <c r="A15" s="55" t="s">
        <v>36</v>
      </c>
      <c r="B15" s="71">
        <v>28180010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5021400</v>
      </c>
      <c r="C16" s="11"/>
      <c r="D16" s="12"/>
      <c r="E16" t="s">
        <v>112</v>
      </c>
      <c r="F16" s="84">
        <f>'[12]未収金（認定調査委託料）'!$AJ$37</f>
        <v>9240</v>
      </c>
      <c r="G16" s="84">
        <f>'[12]未収金（居宅支援介護報酬）'!$AJ$37</f>
        <v>5110490</v>
      </c>
      <c r="H16" s="83"/>
    </row>
    <row r="17" spans="1:11" ht="14.25" x14ac:dyDescent="0.15">
      <c r="A17" s="54" t="s">
        <v>15</v>
      </c>
      <c r="B17" s="73">
        <v>14622862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2935035</v>
      </c>
      <c r="C18" s="11"/>
      <c r="D18" s="12"/>
      <c r="E18" t="s">
        <v>115</v>
      </c>
      <c r="F18" s="84">
        <f>'[12]未収金（通所保険請求）'!$AJ$37</f>
        <v>11757712</v>
      </c>
      <c r="G18" s="84">
        <f>'[12]未収金（通所利用者負担）'!$AJ$37</f>
        <v>1233924</v>
      </c>
      <c r="H18" s="84">
        <f>'[12]未収金（通所食費）'!$AJ$37</f>
        <v>733900</v>
      </c>
    </row>
    <row r="19" spans="1:11" ht="14.25" x14ac:dyDescent="0.15">
      <c r="A19" s="54" t="s">
        <v>16</v>
      </c>
      <c r="B19" s="73">
        <v>1977662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1240607</v>
      </c>
      <c r="C20" s="5"/>
      <c r="D20" s="12"/>
      <c r="E20" t="s">
        <v>119</v>
      </c>
      <c r="F20" s="84">
        <f>'[12]未収金（ゆけむり保険請求）'!$AJ$37</f>
        <v>0</v>
      </c>
      <c r="G20" s="84">
        <f>'[12]未収金（ゆけむり利用者負担）'!$AJ$37</f>
        <v>14257</v>
      </c>
      <c r="H20" s="84">
        <f>'[12]未収金（ゆけむり食費）'!$AJ$37</f>
        <v>0</v>
      </c>
    </row>
    <row r="21" spans="1:11" ht="14.25" x14ac:dyDescent="0.15">
      <c r="A21" s="54" t="s">
        <v>167</v>
      </c>
      <c r="B21" s="73">
        <v>277365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168</v>
      </c>
      <c r="B22" s="73">
        <v>237207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85">
        <v>13700</v>
      </c>
      <c r="C23" s="5"/>
      <c r="D23" s="12"/>
      <c r="E23" t="s">
        <v>120</v>
      </c>
      <c r="F23" s="84">
        <f>'[12]未収金（予防通所保険請求）'!$AJ$37</f>
        <v>1344043</v>
      </c>
      <c r="G23" s="84">
        <f>'[12]未収金（予防通所利用者負担）'!$AJ$37</f>
        <v>78798</v>
      </c>
      <c r="H23" s="84">
        <f>'[12]未収金（予防通所食費）'!$AJ$37</f>
        <v>104300</v>
      </c>
    </row>
    <row r="24" spans="1:11" ht="14.25" x14ac:dyDescent="0.15">
      <c r="A24" s="54" t="s">
        <v>81</v>
      </c>
      <c r="B24" s="73">
        <v>366872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85">
        <v>85700</v>
      </c>
      <c r="C25" s="5"/>
      <c r="D25" s="12"/>
      <c r="E25" t="s">
        <v>121</v>
      </c>
      <c r="F25" s="84">
        <f>'[12]未収金（処遇改善保険請求）'!$AJ$37</f>
        <v>1210522</v>
      </c>
      <c r="G25" s="84">
        <f>'[12]未収金（処遇改善利用者負担）'!$AJ$37</f>
        <v>116787</v>
      </c>
      <c r="H25" s="83"/>
      <c r="I25" s="99" t="s">
        <v>169</v>
      </c>
      <c r="J25" s="94">
        <f>'[12]未収金（ベースアップ加算保険請求）'!$AJ$37</f>
        <v>198</v>
      </c>
      <c r="K25" s="94">
        <f>'[12]未収金（ベースアップ加算利用者負担）'!$AJ$37</f>
        <v>343</v>
      </c>
    </row>
    <row r="26" spans="1:11" ht="14.25" x14ac:dyDescent="0.15">
      <c r="A26" s="54" t="s">
        <v>17</v>
      </c>
      <c r="B26" s="86">
        <v>1394600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87">
        <v>7000</v>
      </c>
      <c r="C27" s="5"/>
      <c r="D27" s="12"/>
      <c r="E27" t="s">
        <v>122</v>
      </c>
      <c r="F27" s="84">
        <f>'[12]未収金（特定処遇改善保険請求）'!$AJ$37</f>
        <v>0</v>
      </c>
      <c r="G27" s="84">
        <f>'[12]未収金（特定処遇改善利用者負担）'!$AJ$37</f>
        <v>3289</v>
      </c>
      <c r="H27" s="83"/>
    </row>
    <row r="28" spans="1:11" ht="14.25" x14ac:dyDescent="0.15">
      <c r="A28" s="54" t="s">
        <v>79</v>
      </c>
      <c r="B28" s="85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88">
        <v>658376</v>
      </c>
      <c r="C29" s="15" t="s">
        <v>0</v>
      </c>
      <c r="D29" s="12"/>
      <c r="E29" t="s">
        <v>123</v>
      </c>
      <c r="F29" s="84">
        <f>'[12]未収金（サロン保険請求）'!$AJ$37</f>
        <v>316516</v>
      </c>
      <c r="G29" s="84">
        <f>'[12]未収金（サロン利用者負担）'!$AJ$37</f>
        <v>21602</v>
      </c>
      <c r="H29" s="84">
        <f>'[12]未収金（サロン食費）'!$AJ$37</f>
        <v>31500</v>
      </c>
    </row>
    <row r="30" spans="1:11" ht="14.25" x14ac:dyDescent="0.15">
      <c r="A30" s="61" t="s">
        <v>96</v>
      </c>
      <c r="B30" s="71">
        <v>0</v>
      </c>
      <c r="C30" s="15"/>
      <c r="D30" s="12"/>
    </row>
    <row r="31" spans="1:11" ht="14.25" x14ac:dyDescent="0.15">
      <c r="A31" s="61" t="s">
        <v>38</v>
      </c>
      <c r="B31" s="7"/>
      <c r="C31" s="77">
        <f>B8+B9+B15+B29+B30</f>
        <v>41747600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44213471</v>
      </c>
      <c r="C34" s="5"/>
      <c r="D34" s="12"/>
      <c r="E34" t="s">
        <v>146</v>
      </c>
      <c r="F34" s="95">
        <f>'[13]建物（ほっと本体）'!$AJ$5</f>
        <v>225002</v>
      </c>
      <c r="G34" s="95">
        <f>'[13]建物（ほっと2階）'!$AJ$5</f>
        <v>159976</v>
      </c>
      <c r="H34" s="95">
        <f>'[13]建物（新庄）'!$AJ$5</f>
        <v>14958933</v>
      </c>
      <c r="I34" s="95">
        <f>'[13]建物（ゆけむり）'!$AJ$5</f>
        <v>22564101</v>
      </c>
      <c r="J34" s="95">
        <f>'[13]建物（ほっと浴室）'!$AJ$5</f>
        <v>3600857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96">
        <f>'[13]附属建物（厨房）'!$AJ$5</f>
        <v>1</v>
      </c>
      <c r="G35" s="96">
        <f>'[13]附属建物（浴室）'!$AJ$5</f>
        <v>1</v>
      </c>
      <c r="H35" s="96">
        <f>'[13]附属建物（便所）'!$AJ$5</f>
        <v>1</v>
      </c>
      <c r="I35" s="96">
        <f>'[13]附属建物（廊下）'!$AJ$5</f>
        <v>1</v>
      </c>
      <c r="J35" s="96">
        <f>'[13]附属設備（電気設備その他）'!$AJ$5</f>
        <v>82438</v>
      </c>
      <c r="K35" s="96">
        <f>'[13]附属設備（給排水衛生設備）'!$AJ$5</f>
        <v>94536</v>
      </c>
      <c r="L35" s="96">
        <f>'[13]附属設備（消火排煙設備）'!$AJ$5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96">
        <f>'[13]附属設備（新庄電気設備）'!$AJ$5</f>
        <v>365715</v>
      </c>
      <c r="G36" s="96">
        <f>'[13]附属設備（新庄給排水設備）'!$AJ$5</f>
        <v>446005</v>
      </c>
      <c r="H36" s="96">
        <f>'[13]附属設備（電気設備）'!$AJ$5</f>
        <v>1028074</v>
      </c>
      <c r="I36" s="96">
        <f>'[13]附属設備（給排水設備）'!$AJ$5</f>
        <v>529605</v>
      </c>
      <c r="J36" s="96">
        <f>'[13]附属設備（新庄浴槽改装ガス給湯設備）'!$AJ$6</f>
        <v>513845</v>
      </c>
      <c r="K36" s="96">
        <f>'[13]附属設備（ほっと浴室移設電気工事）'!$AJ$5</f>
        <v>851136</v>
      </c>
      <c r="L36" s="96">
        <f>'[13]附属設備（ほっと浴室移設給排水設備）'!$AJ$5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94">
        <f>'[13]構築物（舗装工事）'!$AJ$5</f>
        <v>1</v>
      </c>
      <c r="G37" s="94">
        <f>'[13]構築物（ゆけむり）'!$AJ$5</f>
        <v>358351</v>
      </c>
      <c r="H37" s="94">
        <f>'[13]構築物（新庄駐車場舗装）'!$AJ$5</f>
        <v>821220</v>
      </c>
    </row>
    <row r="38" spans="1:12" ht="14.25" x14ac:dyDescent="0.15">
      <c r="A38" s="55" t="s">
        <v>40</v>
      </c>
      <c r="B38" s="71">
        <v>2556592</v>
      </c>
      <c r="C38" s="5"/>
      <c r="D38" s="12"/>
      <c r="E38" t="s">
        <v>149</v>
      </c>
      <c r="F38" s="98">
        <f>'[13]器具備品（新庄玄関エアコン）'!$AJ$5</f>
        <v>31800</v>
      </c>
      <c r="G38" s="98">
        <f>'[13]器具備品（新庄事務室エアコン）'!$AJ$5</f>
        <v>173084</v>
      </c>
    </row>
    <row r="39" spans="1:12" ht="14.25" x14ac:dyDescent="0.15">
      <c r="A39" s="55" t="s">
        <v>41</v>
      </c>
      <c r="B39" s="88">
        <v>110600</v>
      </c>
      <c r="C39" s="5"/>
      <c r="D39" s="12"/>
      <c r="E39" t="s">
        <v>150</v>
      </c>
      <c r="F39" s="94">
        <f>'[13]車両（タウンボックス）'!$AJ$5</f>
        <v>1</v>
      </c>
      <c r="G39" s="94">
        <f>'[13]車両（はとバン）'!$AJ$5</f>
        <v>1</v>
      </c>
      <c r="H39" s="94">
        <f>'[13]車両（ノア）'!$AJ$5</f>
        <v>1</v>
      </c>
      <c r="I39" s="94">
        <f>'[13]車両（セレナ）'!$AJ$5</f>
        <v>1</v>
      </c>
      <c r="J39" s="94">
        <f>'[13]車両（アトレー１）'!$AJ$5</f>
        <v>1</v>
      </c>
      <c r="K39" s="94">
        <f>'[13]車両（アトレー４）'!$AJ$5</f>
        <v>2078860</v>
      </c>
      <c r="L39" s="94">
        <f>'[13]車両（キャラ３）'!$AJ$5</f>
        <v>0</v>
      </c>
    </row>
    <row r="40" spans="1:12" ht="14.25" x14ac:dyDescent="0.15">
      <c r="A40" s="55" t="s">
        <v>42</v>
      </c>
      <c r="B40" s="88">
        <v>50000</v>
      </c>
      <c r="C40" s="11"/>
      <c r="D40" s="12"/>
      <c r="F40" s="94">
        <f>'[13]車両（フリード２）'!$AJ$5</f>
        <v>477725</v>
      </c>
      <c r="G40" s="94">
        <f>'[13]車両（セブン２）'!$AJ$5</f>
        <v>1</v>
      </c>
      <c r="H40" s="94">
        <f>'[13]車両（EK３）'!$AJ$5</f>
        <v>1</v>
      </c>
    </row>
    <row r="41" spans="1:12" ht="14.25" x14ac:dyDescent="0.15">
      <c r="A41" s="55" t="s">
        <v>66</v>
      </c>
      <c r="B41" s="88"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f>SUM(B34:B41)</f>
        <v>53508120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f>C31+C42</f>
        <v>95255720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88">
        <v>3991314</v>
      </c>
      <c r="C48" s="5"/>
      <c r="D48" s="78"/>
    </row>
    <row r="49" spans="1:8" ht="14.25" x14ac:dyDescent="0.15">
      <c r="A49" s="55" t="s">
        <v>33</v>
      </c>
      <c r="B49" s="71">
        <v>5000000</v>
      </c>
      <c r="C49" s="5"/>
      <c r="D49" s="12"/>
    </row>
    <row r="50" spans="1:8" ht="6.75" customHeight="1" x14ac:dyDescent="0.15">
      <c r="A50" s="59"/>
      <c r="B50" s="79"/>
      <c r="C50" s="11"/>
      <c r="D50" s="12"/>
    </row>
    <row r="51" spans="1:8" ht="14.25" x14ac:dyDescent="0.15">
      <c r="A51" s="55" t="s">
        <v>31</v>
      </c>
      <c r="B51" s="80"/>
      <c r="C51" s="37">
        <f>B48+B49</f>
        <v>8991314</v>
      </c>
      <c r="D51" s="23"/>
      <c r="E51" t="s">
        <v>108</v>
      </c>
    </row>
    <row r="52" spans="1:8" ht="11.25" customHeight="1" x14ac:dyDescent="0.15">
      <c r="A52" s="3"/>
      <c r="B52" s="14"/>
      <c r="C52" s="34"/>
      <c r="D52" s="25"/>
    </row>
    <row r="53" spans="1:8" ht="14.25" x14ac:dyDescent="0.15">
      <c r="A53" s="55" t="s">
        <v>22</v>
      </c>
      <c r="B53" s="19"/>
      <c r="C53" s="81"/>
      <c r="D53" s="23"/>
    </row>
    <row r="54" spans="1:8" ht="14.25" x14ac:dyDescent="0.15">
      <c r="A54" s="55" t="s">
        <v>30</v>
      </c>
      <c r="B54" s="88">
        <v>4419000</v>
      </c>
      <c r="C54" s="11"/>
      <c r="D54" s="25"/>
    </row>
    <row r="55" spans="1:8" ht="14.25" x14ac:dyDescent="0.15">
      <c r="A55" s="9"/>
      <c r="B55" s="19"/>
      <c r="C55" s="11"/>
      <c r="D55" s="25"/>
      <c r="G55" t="s">
        <v>108</v>
      </c>
    </row>
    <row r="56" spans="1:8" ht="14.25" x14ac:dyDescent="0.15">
      <c r="A56" s="61" t="s">
        <v>29</v>
      </c>
      <c r="B56" s="10"/>
      <c r="C56" s="37">
        <f>B54</f>
        <v>4419000</v>
      </c>
      <c r="D56" s="23"/>
    </row>
    <row r="57" spans="1:8" ht="6.75" customHeight="1" x14ac:dyDescent="0.15">
      <c r="A57" s="3"/>
      <c r="B57" s="19"/>
      <c r="C57" s="11"/>
      <c r="D57" s="23"/>
    </row>
    <row r="58" spans="1:8" ht="14.25" x14ac:dyDescent="0.15">
      <c r="A58" s="58" t="s">
        <v>24</v>
      </c>
      <c r="B58" s="40"/>
      <c r="C58" s="40"/>
      <c r="D58" s="38">
        <f>C51+C56</f>
        <v>13410314</v>
      </c>
    </row>
    <row r="59" spans="1:8" ht="11.25" customHeight="1" x14ac:dyDescent="0.15">
      <c r="A59" s="3"/>
      <c r="B59" s="19"/>
      <c r="C59" s="11"/>
      <c r="D59" s="23"/>
    </row>
    <row r="60" spans="1:8" ht="14.25" x14ac:dyDescent="0.15">
      <c r="A60" s="55" t="s">
        <v>3</v>
      </c>
      <c r="B60" s="30"/>
      <c r="C60" s="35"/>
      <c r="D60" s="31"/>
    </row>
    <row r="61" spans="1:8" ht="15" customHeight="1" x14ac:dyDescent="0.15">
      <c r="A61" s="55" t="s">
        <v>27</v>
      </c>
      <c r="B61" s="10"/>
      <c r="C61" s="39"/>
      <c r="D61" s="39">
        <v>0</v>
      </c>
      <c r="H61" t="s">
        <v>0</v>
      </c>
    </row>
    <row r="62" spans="1:8" ht="15.75" customHeight="1" x14ac:dyDescent="0.15">
      <c r="A62" s="55" t="s">
        <v>28</v>
      </c>
      <c r="B62" s="47"/>
      <c r="C62" s="9"/>
      <c r="D62" s="43">
        <f>D44-D58</f>
        <v>81845406</v>
      </c>
      <c r="F62" s="100" t="s">
        <v>124</v>
      </c>
    </row>
    <row r="63" spans="1:8" ht="15.75" customHeight="1" x14ac:dyDescent="0.15">
      <c r="A63" s="59" t="s">
        <v>11</v>
      </c>
      <c r="B63" s="9"/>
      <c r="D63" s="70">
        <f>D64-'5.3月'!D64</f>
        <v>-9756103</v>
      </c>
      <c r="F63" s="92">
        <f>D63-[10]令和５年度!$P$74</f>
        <v>9700413</v>
      </c>
    </row>
    <row r="64" spans="1:8" ht="16.5" customHeight="1" x14ac:dyDescent="0.15">
      <c r="A64" s="55" t="s">
        <v>26</v>
      </c>
      <c r="B64" s="22"/>
      <c r="C64" s="48"/>
      <c r="D64" s="44">
        <f>D62</f>
        <v>81845406</v>
      </c>
      <c r="F64" s="91"/>
    </row>
    <row r="65" spans="1:6" ht="14.25" x14ac:dyDescent="0.15">
      <c r="A65" s="55" t="s">
        <v>25</v>
      </c>
      <c r="B65" s="22"/>
      <c r="C65" s="9"/>
      <c r="D65" s="69">
        <f>D58+D64</f>
        <v>95255720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AC9B-BC09-4991-9208-910528D3D914}">
  <sheetPr>
    <pageSetUpPr fitToPage="1"/>
  </sheetPr>
  <dimension ref="A1:L109"/>
  <sheetViews>
    <sheetView zoomScaleNormal="100" workbookViewId="0">
      <selection activeCell="C70" sqref="C70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177</v>
      </c>
      <c r="B1" s="122"/>
      <c r="C1" s="122"/>
      <c r="D1" s="122"/>
    </row>
    <row r="2" spans="1:11" ht="17.25" customHeight="1" x14ac:dyDescent="0.15">
      <c r="A2" s="116" t="s">
        <v>183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23530453</v>
      </c>
      <c r="C9" s="5"/>
      <c r="D9" s="12"/>
      <c r="F9" s="84">
        <f>'[11]0138359'!$AJ$37</f>
        <v>4981376</v>
      </c>
      <c r="G9" s="84">
        <f>'[11]0138642（居宅）'!$AJ$37</f>
        <v>154091</v>
      </c>
      <c r="H9" s="84">
        <f>'[11]0138655（通所）'!$AJ$37</f>
        <v>5711</v>
      </c>
      <c r="I9" s="84">
        <f>'[11]0156560（新庄）'!$AJ$37</f>
        <v>99191</v>
      </c>
      <c r="J9" s="84">
        <f>'[11]0158313（ゆけむり）'!$AJ$37</f>
        <v>50444</v>
      </c>
      <c r="K9" s="84">
        <f>'[11]0139101（ちゃれんじ）'!$AJ$37</f>
        <v>583296</v>
      </c>
    </row>
    <row r="10" spans="1:11" ht="14.25" x14ac:dyDescent="0.15">
      <c r="A10" s="53" t="s">
        <v>102</v>
      </c>
      <c r="B10" s="73">
        <v>19542444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3279698</v>
      </c>
      <c r="C11" s="5"/>
      <c r="D11" s="23"/>
      <c r="F11" s="84">
        <f>'[11]2253865（助け合い）'!$AJ$37</f>
        <v>222641</v>
      </c>
      <c r="G11" s="89">
        <f>'[11]2253871（通所）'!$AJ$37</f>
        <v>484375</v>
      </c>
      <c r="H11" s="84">
        <f>'[11]2254321（ミニ）'!$AJ$37</f>
        <v>6886188</v>
      </c>
    </row>
    <row r="12" spans="1:11" ht="14.25" x14ac:dyDescent="0.15">
      <c r="A12" s="53" t="s">
        <v>128</v>
      </c>
      <c r="B12" s="74">
        <v>231661</v>
      </c>
      <c r="C12" s="5"/>
      <c r="D12" s="23"/>
    </row>
    <row r="13" spans="1:11" ht="14.25" x14ac:dyDescent="0.15">
      <c r="A13" s="53" t="s">
        <v>129</v>
      </c>
      <c r="B13" s="75">
        <v>103101</v>
      </c>
      <c r="C13" s="5"/>
      <c r="D13" s="12"/>
      <c r="E13" s="93" t="s">
        <v>142</v>
      </c>
      <c r="F13" s="94">
        <f>[11]JA0034628!$AJ$37</f>
        <v>568938</v>
      </c>
      <c r="G13" s="93" t="s">
        <v>143</v>
      </c>
      <c r="H13" s="94">
        <f>[11]ゆうちょ6473091!$AJ$37</f>
        <v>173053</v>
      </c>
      <c r="I13" s="93" t="s">
        <v>144</v>
      </c>
      <c r="J13" s="94">
        <f>[11]しま信0116975!$AJ$37</f>
        <v>289801</v>
      </c>
    </row>
    <row r="14" spans="1:11" ht="14.25" x14ac:dyDescent="0.15">
      <c r="A14" s="53" t="s">
        <v>130</v>
      </c>
      <c r="B14" s="75">
        <v>373549</v>
      </c>
      <c r="C14" s="5"/>
      <c r="D14" s="12"/>
    </row>
    <row r="15" spans="1:11" ht="14.25" x14ac:dyDescent="0.15">
      <c r="A15" s="55" t="s">
        <v>36</v>
      </c>
      <c r="B15" s="71">
        <v>27930541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4921170</v>
      </c>
      <c r="C16" s="11"/>
      <c r="D16" s="12"/>
      <c r="E16" t="s">
        <v>112</v>
      </c>
      <c r="F16" s="84">
        <f>'[12]未収金（認定調査委託料）'!$AJ$37</f>
        <v>9240</v>
      </c>
      <c r="G16" s="84">
        <f>'[12]未収金（居宅支援介護報酬）'!$AJ$37</f>
        <v>5110490</v>
      </c>
      <c r="H16" s="83"/>
    </row>
    <row r="17" spans="1:11" ht="14.25" x14ac:dyDescent="0.15">
      <c r="A17" s="54" t="s">
        <v>15</v>
      </c>
      <c r="B17" s="73">
        <v>14664810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2784854</v>
      </c>
      <c r="C18" s="11"/>
      <c r="D18" s="12"/>
      <c r="E18" t="s">
        <v>115</v>
      </c>
      <c r="F18" s="84">
        <f>'[12]未収金（通所保険請求）'!$AJ$37</f>
        <v>11757712</v>
      </c>
      <c r="G18" s="84">
        <f>'[12]未収金（通所利用者負担）'!$AJ$37</f>
        <v>1233924</v>
      </c>
      <c r="H18" s="84">
        <f>'[12]未収金（通所食費）'!$AJ$37</f>
        <v>733900</v>
      </c>
    </row>
    <row r="19" spans="1:11" ht="14.25" x14ac:dyDescent="0.15">
      <c r="A19" s="54" t="s">
        <v>16</v>
      </c>
      <c r="B19" s="73">
        <v>2045725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1230591</v>
      </c>
      <c r="C20" s="5"/>
      <c r="D20" s="12"/>
      <c r="E20" t="s">
        <v>119</v>
      </c>
      <c r="F20" s="84">
        <f>'[12]未収金（ゆけむり保険請求）'!$AJ$37</f>
        <v>0</v>
      </c>
      <c r="G20" s="84">
        <f>'[12]未収金（ゆけむり利用者負担）'!$AJ$37</f>
        <v>14257</v>
      </c>
      <c r="H20" s="84">
        <f>'[12]未収金（ゆけむり食費）'!$AJ$37</f>
        <v>0</v>
      </c>
    </row>
    <row r="21" spans="1:11" ht="14.25" x14ac:dyDescent="0.15">
      <c r="A21" s="54" t="s">
        <v>167</v>
      </c>
      <c r="B21" s="73">
        <v>273908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168</v>
      </c>
      <c r="B22" s="73">
        <v>234815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85">
        <v>13400</v>
      </c>
      <c r="C23" s="5"/>
      <c r="D23" s="12"/>
      <c r="E23" t="s">
        <v>120</v>
      </c>
      <c r="F23" s="84">
        <f>'[12]未収金（予防通所保険請求）'!$AJ$37</f>
        <v>1344043</v>
      </c>
      <c r="G23" s="84">
        <f>'[12]未収金（予防通所利用者負担）'!$AJ$37</f>
        <v>78798</v>
      </c>
      <c r="H23" s="84">
        <f>'[12]未収金（予防通所食費）'!$AJ$37</f>
        <v>104300</v>
      </c>
    </row>
    <row r="24" spans="1:11" ht="14.25" x14ac:dyDescent="0.15">
      <c r="A24" s="54" t="s">
        <v>81</v>
      </c>
      <c r="B24" s="73">
        <v>366568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85">
        <v>73400</v>
      </c>
      <c r="C25" s="5"/>
      <c r="D25" s="12"/>
      <c r="E25" t="s">
        <v>121</v>
      </c>
      <c r="F25" s="84">
        <f>'[12]未収金（処遇改善保険請求）'!$AJ$37</f>
        <v>1210522</v>
      </c>
      <c r="G25" s="84">
        <f>'[12]未収金（処遇改善利用者負担）'!$AJ$37</f>
        <v>116787</v>
      </c>
      <c r="H25" s="83"/>
      <c r="I25" s="99" t="s">
        <v>169</v>
      </c>
      <c r="J25" s="94">
        <f>'[12]未収金（ベースアップ加算保険請求）'!$AJ$37</f>
        <v>198</v>
      </c>
      <c r="K25" s="94">
        <f>'[12]未収金（ベースアップ加算利用者負担）'!$AJ$37</f>
        <v>343</v>
      </c>
    </row>
    <row r="26" spans="1:11" ht="14.25" x14ac:dyDescent="0.15">
      <c r="A26" s="54" t="s">
        <v>17</v>
      </c>
      <c r="B26" s="86">
        <v>1309300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87">
        <v>12000</v>
      </c>
      <c r="C27" s="5"/>
      <c r="D27" s="12"/>
      <c r="E27" t="s">
        <v>122</v>
      </c>
      <c r="F27" s="84">
        <f>'[12]未収金（特定処遇改善保険請求）'!$AJ$37</f>
        <v>0</v>
      </c>
      <c r="G27" s="84">
        <f>'[12]未収金（特定処遇改善利用者負担）'!$AJ$37</f>
        <v>3289</v>
      </c>
      <c r="H27" s="83"/>
    </row>
    <row r="28" spans="1:11" ht="14.25" x14ac:dyDescent="0.15">
      <c r="A28" s="54" t="s">
        <v>79</v>
      </c>
      <c r="B28" s="85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88">
        <v>758376</v>
      </c>
      <c r="C29" s="15" t="s">
        <v>0</v>
      </c>
      <c r="D29" s="12"/>
      <c r="E29" t="s">
        <v>123</v>
      </c>
      <c r="F29" s="84">
        <f>'[12]未収金（サロン保険請求）'!$AJ$37</f>
        <v>316516</v>
      </c>
      <c r="G29" s="84">
        <f>'[12]未収金（サロン利用者負担）'!$AJ$37</f>
        <v>21602</v>
      </c>
      <c r="H29" s="84">
        <f>'[12]未収金（サロン食費）'!$AJ$37</f>
        <v>31500</v>
      </c>
    </row>
    <row r="30" spans="1:11" ht="14.25" x14ac:dyDescent="0.15">
      <c r="A30" s="61" t="s">
        <v>96</v>
      </c>
      <c r="B30" s="71">
        <v>500500</v>
      </c>
      <c r="C30" s="15"/>
      <c r="D30" s="12"/>
    </row>
    <row r="31" spans="1:11" ht="14.25" x14ac:dyDescent="0.15">
      <c r="A31" s="61" t="s">
        <v>38</v>
      </c>
      <c r="B31" s="7"/>
      <c r="C31" s="77">
        <f>B8+B9+B15+B29+B30</f>
        <v>52722255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44213471</v>
      </c>
      <c r="C34" s="5"/>
      <c r="D34" s="12"/>
      <c r="E34" t="s">
        <v>146</v>
      </c>
      <c r="F34" s="95">
        <f>'[13]建物（ほっと本体）'!$AJ$5</f>
        <v>225002</v>
      </c>
      <c r="G34" s="95">
        <f>'[13]建物（ほっと2階）'!$AJ$5</f>
        <v>159976</v>
      </c>
      <c r="H34" s="95">
        <f>'[13]建物（新庄）'!$AJ$5</f>
        <v>14958933</v>
      </c>
      <c r="I34" s="95">
        <f>'[13]建物（ゆけむり）'!$AJ$5</f>
        <v>22564101</v>
      </c>
      <c r="J34" s="95">
        <f>'[13]建物（ほっと浴室）'!$AJ$5</f>
        <v>3600857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96">
        <f>'[13]附属建物（厨房）'!$AJ$5</f>
        <v>1</v>
      </c>
      <c r="G35" s="96">
        <f>'[13]附属建物（浴室）'!$AJ$5</f>
        <v>1</v>
      </c>
      <c r="H35" s="96">
        <f>'[13]附属建物（便所）'!$AJ$5</f>
        <v>1</v>
      </c>
      <c r="I35" s="96">
        <f>'[13]附属建物（廊下）'!$AJ$5</f>
        <v>1</v>
      </c>
      <c r="J35" s="96">
        <f>'[13]附属設備（電気設備その他）'!$AJ$5</f>
        <v>82438</v>
      </c>
      <c r="K35" s="96">
        <f>'[13]附属設備（給排水衛生設備）'!$AJ$5</f>
        <v>94536</v>
      </c>
      <c r="L35" s="96">
        <f>'[13]附属設備（消火排煙設備）'!$AJ$5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96">
        <f>'[13]附属設備（新庄電気設備）'!$AJ$5</f>
        <v>365715</v>
      </c>
      <c r="G36" s="96">
        <f>'[13]附属設備（新庄給排水設備）'!$AJ$5</f>
        <v>446005</v>
      </c>
      <c r="H36" s="96">
        <f>'[13]附属設備（電気設備）'!$AJ$5</f>
        <v>1028074</v>
      </c>
      <c r="I36" s="96">
        <f>'[13]附属設備（給排水設備）'!$AJ$5</f>
        <v>529605</v>
      </c>
      <c r="J36" s="96">
        <f>'[13]附属設備（新庄浴槽改装ガス給湯設備）'!$AJ$6</f>
        <v>513845</v>
      </c>
      <c r="K36" s="96">
        <f>'[13]附属設備（ほっと浴室移設電気工事）'!$AJ$5</f>
        <v>851136</v>
      </c>
      <c r="L36" s="96">
        <f>'[13]附属設備（ほっと浴室移設給排水設備）'!$AJ$5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94">
        <f>'[13]構築物（舗装工事）'!$AJ$5</f>
        <v>1</v>
      </c>
      <c r="G37" s="94">
        <f>'[13]構築物（ゆけむり）'!$AJ$5</f>
        <v>358351</v>
      </c>
      <c r="H37" s="94">
        <f>'[13]構築物（新庄駐車場舗装）'!$AJ$5</f>
        <v>821220</v>
      </c>
    </row>
    <row r="38" spans="1:12" ht="14.25" x14ac:dyDescent="0.15">
      <c r="A38" s="55" t="s">
        <v>40</v>
      </c>
      <c r="B38" s="71">
        <v>2556592</v>
      </c>
      <c r="C38" s="5"/>
      <c r="D38" s="12"/>
      <c r="E38" t="s">
        <v>149</v>
      </c>
      <c r="F38" s="98">
        <f>'[13]器具備品（新庄玄関エアコン）'!$AJ$5</f>
        <v>31800</v>
      </c>
      <c r="G38" s="98">
        <f>'[13]器具備品（新庄事務室エアコン）'!$AJ$5</f>
        <v>173084</v>
      </c>
    </row>
    <row r="39" spans="1:12" ht="14.25" x14ac:dyDescent="0.15">
      <c r="A39" s="55" t="s">
        <v>41</v>
      </c>
      <c r="B39" s="88">
        <v>110600</v>
      </c>
      <c r="C39" s="5"/>
      <c r="D39" s="12"/>
      <c r="E39" t="s">
        <v>150</v>
      </c>
      <c r="F39" s="94">
        <f>'[13]車両（タウンボックス）'!$AJ$5</f>
        <v>1</v>
      </c>
      <c r="G39" s="94">
        <f>'[13]車両（はとバン）'!$AJ$5</f>
        <v>1</v>
      </c>
      <c r="H39" s="94">
        <f>'[13]車両（ノア）'!$AJ$5</f>
        <v>1</v>
      </c>
      <c r="I39" s="94">
        <f>'[13]車両（セレナ）'!$AJ$5</f>
        <v>1</v>
      </c>
      <c r="J39" s="94">
        <f>'[13]車両（アトレー１）'!$AJ$5</f>
        <v>1</v>
      </c>
      <c r="K39" s="94">
        <f>'[13]車両（アトレー４）'!$AJ$5</f>
        <v>2078860</v>
      </c>
      <c r="L39" s="94">
        <f>'[13]車両（キャラ３）'!$AJ$5</f>
        <v>0</v>
      </c>
    </row>
    <row r="40" spans="1:12" ht="14.25" x14ac:dyDescent="0.15">
      <c r="A40" s="55" t="s">
        <v>42</v>
      </c>
      <c r="B40" s="88">
        <v>50000</v>
      </c>
      <c r="C40" s="11"/>
      <c r="D40" s="12"/>
      <c r="F40" s="94">
        <f>'[13]車両（フリード２）'!$AJ$5</f>
        <v>477725</v>
      </c>
      <c r="G40" s="94">
        <f>'[13]車両（セブン２）'!$AJ$5</f>
        <v>1</v>
      </c>
      <c r="H40" s="94">
        <f>'[13]車両（EK３）'!$AJ$5</f>
        <v>1</v>
      </c>
    </row>
    <row r="41" spans="1:12" ht="14.25" x14ac:dyDescent="0.15">
      <c r="A41" s="55" t="s">
        <v>66</v>
      </c>
      <c r="B41" s="88"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f>SUM(B34:B41)</f>
        <v>53508120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f>C31+C42</f>
        <v>106230375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88">
        <v>346700</v>
      </c>
      <c r="C48" s="5"/>
      <c r="D48" s="78"/>
    </row>
    <row r="49" spans="1:8" ht="14.25" x14ac:dyDescent="0.15">
      <c r="A49" s="55" t="s">
        <v>33</v>
      </c>
      <c r="B49" s="71">
        <v>0</v>
      </c>
      <c r="C49" s="5"/>
      <c r="D49" s="12"/>
    </row>
    <row r="50" spans="1:8" ht="6.75" customHeight="1" x14ac:dyDescent="0.15">
      <c r="A50" s="59"/>
      <c r="B50" s="79"/>
      <c r="C50" s="11"/>
      <c r="D50" s="12"/>
    </row>
    <row r="51" spans="1:8" ht="14.25" x14ac:dyDescent="0.15">
      <c r="A51" s="55" t="s">
        <v>31</v>
      </c>
      <c r="B51" s="80"/>
      <c r="C51" s="37">
        <f>B48+B49</f>
        <v>346700</v>
      </c>
      <c r="D51" s="23"/>
      <c r="E51" t="s">
        <v>108</v>
      </c>
    </row>
    <row r="52" spans="1:8" ht="11.25" customHeight="1" x14ac:dyDescent="0.15">
      <c r="A52" s="3"/>
      <c r="B52" s="14"/>
      <c r="C52" s="34"/>
      <c r="D52" s="25"/>
    </row>
    <row r="53" spans="1:8" ht="14.25" x14ac:dyDescent="0.15">
      <c r="A53" s="55" t="s">
        <v>22</v>
      </c>
      <c r="B53" s="19"/>
      <c r="C53" s="81"/>
      <c r="D53" s="23"/>
    </row>
    <row r="54" spans="1:8" ht="14.25" x14ac:dyDescent="0.15">
      <c r="A54" s="55" t="s">
        <v>30</v>
      </c>
      <c r="B54" s="88">
        <v>24336000</v>
      </c>
      <c r="C54" s="11"/>
      <c r="D54" s="25"/>
    </row>
    <row r="55" spans="1:8" ht="14.25" x14ac:dyDescent="0.15">
      <c r="A55" s="9"/>
      <c r="B55" s="19"/>
      <c r="C55" s="11"/>
      <c r="D55" s="25"/>
      <c r="G55" t="s">
        <v>108</v>
      </c>
    </row>
    <row r="56" spans="1:8" ht="14.25" x14ac:dyDescent="0.15">
      <c r="A56" s="61" t="s">
        <v>29</v>
      </c>
      <c r="B56" s="10"/>
      <c r="C56" s="37">
        <f>B54</f>
        <v>24336000</v>
      </c>
      <c r="D56" s="23"/>
    </row>
    <row r="57" spans="1:8" ht="6.75" customHeight="1" x14ac:dyDescent="0.15">
      <c r="A57" s="3"/>
      <c r="B57" s="19"/>
      <c r="C57" s="11"/>
      <c r="D57" s="23"/>
    </row>
    <row r="58" spans="1:8" ht="14.25" x14ac:dyDescent="0.15">
      <c r="A58" s="58" t="s">
        <v>24</v>
      </c>
      <c r="B58" s="40"/>
      <c r="C58" s="40"/>
      <c r="D58" s="38">
        <f>C51+C56</f>
        <v>24682700</v>
      </c>
    </row>
    <row r="59" spans="1:8" ht="11.25" customHeight="1" x14ac:dyDescent="0.15">
      <c r="A59" s="3"/>
      <c r="B59" s="19"/>
      <c r="C59" s="11"/>
      <c r="D59" s="23"/>
    </row>
    <row r="60" spans="1:8" ht="14.25" x14ac:dyDescent="0.15">
      <c r="A60" s="55" t="s">
        <v>3</v>
      </c>
      <c r="B60" s="30"/>
      <c r="C60" s="35"/>
      <c r="D60" s="31"/>
    </row>
    <row r="61" spans="1:8" ht="15" customHeight="1" x14ac:dyDescent="0.15">
      <c r="A61" s="55" t="s">
        <v>27</v>
      </c>
      <c r="B61" s="10"/>
      <c r="C61" s="39"/>
      <c r="D61" s="39">
        <v>0</v>
      </c>
      <c r="H61" t="s">
        <v>0</v>
      </c>
    </row>
    <row r="62" spans="1:8" ht="15.75" customHeight="1" x14ac:dyDescent="0.15">
      <c r="A62" s="55" t="s">
        <v>28</v>
      </c>
      <c r="B62" s="47"/>
      <c r="C62" s="9"/>
      <c r="D62" s="43">
        <f>D44-D58</f>
        <v>81547675</v>
      </c>
      <c r="F62" s="100" t="s">
        <v>124</v>
      </c>
    </row>
    <row r="63" spans="1:8" ht="15.75" customHeight="1" x14ac:dyDescent="0.15">
      <c r="A63" s="59" t="s">
        <v>11</v>
      </c>
      <c r="B63" s="9"/>
      <c r="D63" s="70">
        <f>D64-'5.3月'!D64</f>
        <v>-10053834</v>
      </c>
      <c r="F63" s="92">
        <f>D63-[10]令和５年度!$P$74</f>
        <v>9402682</v>
      </c>
    </row>
    <row r="64" spans="1:8" ht="16.5" customHeight="1" x14ac:dyDescent="0.15">
      <c r="A64" s="55" t="s">
        <v>26</v>
      </c>
      <c r="B64" s="22"/>
      <c r="C64" s="48"/>
      <c r="D64" s="44">
        <f>D62</f>
        <v>81547675</v>
      </c>
      <c r="F64" s="91"/>
    </row>
    <row r="65" spans="1:6" ht="14.25" x14ac:dyDescent="0.15">
      <c r="A65" s="55" t="s">
        <v>25</v>
      </c>
      <c r="B65" s="22"/>
      <c r="C65" s="9"/>
      <c r="D65" s="69">
        <f>D58+D64</f>
        <v>106230375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04220-8304-4898-B12B-73009F25D26C}">
  <sheetPr>
    <pageSetUpPr fitToPage="1"/>
  </sheetPr>
  <dimension ref="A1:L109"/>
  <sheetViews>
    <sheetView topLeftCell="A58" zoomScaleNormal="100" workbookViewId="0">
      <selection activeCell="F7" sqref="F7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177</v>
      </c>
      <c r="B1" s="122"/>
      <c r="C1" s="122"/>
      <c r="D1" s="122"/>
    </row>
    <row r="2" spans="1:11" ht="17.25" customHeight="1" x14ac:dyDescent="0.15">
      <c r="A2" s="116" t="s">
        <v>184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18168175</v>
      </c>
      <c r="C9" s="5"/>
      <c r="D9" s="12"/>
      <c r="F9" s="84">
        <f>'[11]0138359'!$AJ$37</f>
        <v>4981376</v>
      </c>
      <c r="G9" s="84">
        <f>'[11]0138642（居宅）'!$AJ$37</f>
        <v>154091</v>
      </c>
      <c r="H9" s="84">
        <f>'[11]0138655（通所）'!$AJ$37</f>
        <v>5711</v>
      </c>
      <c r="I9" s="84">
        <f>'[11]0156560（新庄）'!$AJ$37</f>
        <v>99191</v>
      </c>
      <c r="J9" s="84">
        <f>'[11]0158313（ゆけむり）'!$AJ$37</f>
        <v>50444</v>
      </c>
      <c r="K9" s="84">
        <f>'[11]0139101（ちゃれんじ）'!$AJ$37</f>
        <v>583296</v>
      </c>
    </row>
    <row r="10" spans="1:11" ht="14.25" x14ac:dyDescent="0.15">
      <c r="A10" s="53" t="s">
        <v>102</v>
      </c>
      <c r="B10" s="73">
        <v>12556120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3921047</v>
      </c>
      <c r="C11" s="5"/>
      <c r="D11" s="23"/>
      <c r="F11" s="84">
        <f>'[11]2253865（助け合い）'!$AJ$37</f>
        <v>222641</v>
      </c>
      <c r="G11" s="89">
        <f>'[11]2253871（通所）'!$AJ$37</f>
        <v>484375</v>
      </c>
      <c r="H11" s="84">
        <f>'[11]2254321（ミニ）'!$AJ$37</f>
        <v>6886188</v>
      </c>
    </row>
    <row r="12" spans="1:11" ht="14.25" x14ac:dyDescent="0.15">
      <c r="A12" s="53" t="s">
        <v>128</v>
      </c>
      <c r="B12" s="74">
        <v>652873</v>
      </c>
      <c r="C12" s="5"/>
      <c r="D12" s="23"/>
    </row>
    <row r="13" spans="1:11" ht="14.25" x14ac:dyDescent="0.15">
      <c r="A13" s="53" t="s">
        <v>129</v>
      </c>
      <c r="B13" s="75">
        <v>529230</v>
      </c>
      <c r="C13" s="5"/>
      <c r="D13" s="12"/>
      <c r="E13" s="93" t="s">
        <v>142</v>
      </c>
      <c r="F13" s="94">
        <f>[11]JA0034628!$AJ$37</f>
        <v>568938</v>
      </c>
      <c r="G13" s="93" t="s">
        <v>143</v>
      </c>
      <c r="H13" s="94">
        <f>[11]ゆうちょ6473091!$AJ$37</f>
        <v>173053</v>
      </c>
      <c r="I13" s="93" t="s">
        <v>144</v>
      </c>
      <c r="J13" s="94">
        <f>[11]しま信0116975!$AJ$37</f>
        <v>289801</v>
      </c>
    </row>
    <row r="14" spans="1:11" ht="14.25" x14ac:dyDescent="0.15">
      <c r="A14" s="53" t="s">
        <v>130</v>
      </c>
      <c r="B14" s="75">
        <v>508905</v>
      </c>
      <c r="C14" s="5"/>
      <c r="D14" s="12"/>
    </row>
    <row r="15" spans="1:11" ht="14.25" x14ac:dyDescent="0.15">
      <c r="A15" s="55" t="s">
        <v>36</v>
      </c>
      <c r="B15" s="71">
        <v>29935392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4905230</v>
      </c>
      <c r="C16" s="11"/>
      <c r="D16" s="12"/>
      <c r="E16" t="s">
        <v>112</v>
      </c>
      <c r="F16" s="84">
        <f>'[12]未収金（認定調査委託料）'!$AJ$37</f>
        <v>9240</v>
      </c>
      <c r="G16" s="84">
        <f>'[12]未収金（居宅支援介護報酬）'!$AJ$37</f>
        <v>5110490</v>
      </c>
      <c r="H16" s="83"/>
    </row>
    <row r="17" spans="1:11" ht="14.25" x14ac:dyDescent="0.15">
      <c r="A17" s="54" t="s">
        <v>15</v>
      </c>
      <c r="B17" s="73">
        <v>15297901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2798773</v>
      </c>
      <c r="C18" s="11"/>
      <c r="D18" s="12"/>
      <c r="E18" t="s">
        <v>115</v>
      </c>
      <c r="F18" s="84">
        <f>'[12]未収金（通所保険請求）'!$AJ$37</f>
        <v>11757712</v>
      </c>
      <c r="G18" s="84">
        <f>'[12]未収金（通所利用者負担）'!$AJ$37</f>
        <v>1233924</v>
      </c>
      <c r="H18" s="84">
        <f>'[12]未収金（通所食費）'!$AJ$37</f>
        <v>733900</v>
      </c>
    </row>
    <row r="19" spans="1:11" ht="14.25" x14ac:dyDescent="0.15">
      <c r="A19" s="54" t="s">
        <v>16</v>
      </c>
      <c r="B19" s="73">
        <v>2080036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1263544</v>
      </c>
      <c r="C20" s="5"/>
      <c r="D20" s="12"/>
      <c r="E20" t="s">
        <v>119</v>
      </c>
      <c r="F20" s="84">
        <f>'[12]未収金（ゆけむり保険請求）'!$AJ$37</f>
        <v>0</v>
      </c>
      <c r="G20" s="84">
        <f>'[12]未収金（ゆけむり利用者負担）'!$AJ$37</f>
        <v>14257</v>
      </c>
      <c r="H20" s="84">
        <f>'[12]未収金（ゆけむり食費）'!$AJ$37</f>
        <v>0</v>
      </c>
    </row>
    <row r="21" spans="1:11" ht="14.25" x14ac:dyDescent="0.15">
      <c r="A21" s="54" t="s">
        <v>167</v>
      </c>
      <c r="B21" s="73">
        <v>280644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168</v>
      </c>
      <c r="B22" s="73">
        <v>240904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85">
        <v>17200</v>
      </c>
      <c r="C23" s="5"/>
      <c r="D23" s="12"/>
      <c r="E23" t="s">
        <v>120</v>
      </c>
      <c r="F23" s="84">
        <f>'[12]未収金（予防通所保険請求）'!$AJ$37</f>
        <v>1344043</v>
      </c>
      <c r="G23" s="84">
        <f>'[12]未収金（予防通所利用者負担）'!$AJ$37</f>
        <v>78798</v>
      </c>
      <c r="H23" s="84">
        <f>'[12]未収金（予防通所食費）'!$AJ$37</f>
        <v>104300</v>
      </c>
    </row>
    <row r="24" spans="1:11" ht="14.25" x14ac:dyDescent="0.15">
      <c r="A24" s="54" t="s">
        <v>81</v>
      </c>
      <c r="B24" s="73">
        <v>375760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85">
        <v>56000</v>
      </c>
      <c r="C25" s="5"/>
      <c r="D25" s="12"/>
      <c r="E25" t="s">
        <v>121</v>
      </c>
      <c r="F25" s="84">
        <f>'[12]未収金（処遇改善保険請求）'!$AJ$37</f>
        <v>1210522</v>
      </c>
      <c r="G25" s="84">
        <f>'[12]未収金（処遇改善利用者負担）'!$AJ$37</f>
        <v>116787</v>
      </c>
      <c r="H25" s="83"/>
      <c r="I25" s="99" t="s">
        <v>169</v>
      </c>
      <c r="J25" s="94">
        <f>'[12]未収金（ベースアップ加算保険請求）'!$AJ$37</f>
        <v>198</v>
      </c>
      <c r="K25" s="94">
        <f>'[12]未収金（ベースアップ加算利用者負担）'!$AJ$37</f>
        <v>343</v>
      </c>
    </row>
    <row r="26" spans="1:11" ht="14.25" x14ac:dyDescent="0.15">
      <c r="A26" s="54" t="s">
        <v>17</v>
      </c>
      <c r="B26" s="86">
        <v>2611400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87">
        <v>8000</v>
      </c>
      <c r="C27" s="5"/>
      <c r="D27" s="12"/>
      <c r="E27" t="s">
        <v>122</v>
      </c>
      <c r="F27" s="84">
        <f>'[12]未収金（特定処遇改善保険請求）'!$AJ$37</f>
        <v>0</v>
      </c>
      <c r="G27" s="84">
        <f>'[12]未収金（特定処遇改善利用者負担）'!$AJ$37</f>
        <v>3289</v>
      </c>
      <c r="H27" s="83"/>
    </row>
    <row r="28" spans="1:11" ht="14.25" x14ac:dyDescent="0.15">
      <c r="A28" s="54" t="s">
        <v>79</v>
      </c>
      <c r="B28" s="85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88">
        <v>458376</v>
      </c>
      <c r="C29" s="15" t="s">
        <v>0</v>
      </c>
      <c r="D29" s="12"/>
      <c r="E29" t="s">
        <v>123</v>
      </c>
      <c r="F29" s="84">
        <f>'[12]未収金（サロン保険請求）'!$AJ$37</f>
        <v>316516</v>
      </c>
      <c r="G29" s="84">
        <f>'[12]未収金（サロン利用者負担）'!$AJ$37</f>
        <v>21602</v>
      </c>
      <c r="H29" s="84">
        <f>'[12]未収金（サロン食費）'!$AJ$37</f>
        <v>31500</v>
      </c>
    </row>
    <row r="30" spans="1:11" ht="14.25" x14ac:dyDescent="0.15">
      <c r="A30" s="61" t="s">
        <v>96</v>
      </c>
      <c r="B30" s="71">
        <v>500500</v>
      </c>
      <c r="C30" s="15"/>
      <c r="D30" s="12"/>
    </row>
    <row r="31" spans="1:11" ht="14.25" x14ac:dyDescent="0.15">
      <c r="A31" s="61" t="s">
        <v>38</v>
      </c>
      <c r="B31" s="7"/>
      <c r="C31" s="77">
        <f>B8+B9+B15+B29+B30</f>
        <v>49064828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44213471</v>
      </c>
      <c r="C34" s="5"/>
      <c r="D34" s="12"/>
      <c r="E34" t="s">
        <v>146</v>
      </c>
      <c r="F34" s="95">
        <f>'[13]建物（ほっと本体）'!$AJ$5</f>
        <v>225002</v>
      </c>
      <c r="G34" s="95">
        <f>'[13]建物（ほっと2階）'!$AJ$5</f>
        <v>159976</v>
      </c>
      <c r="H34" s="95">
        <f>'[13]建物（新庄）'!$AJ$5</f>
        <v>14958933</v>
      </c>
      <c r="I34" s="95">
        <f>'[13]建物（ゆけむり）'!$AJ$5</f>
        <v>22564101</v>
      </c>
      <c r="J34" s="95">
        <f>'[13]建物（ほっと浴室）'!$AJ$5</f>
        <v>3600857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96">
        <f>'[13]附属建物（厨房）'!$AJ$5</f>
        <v>1</v>
      </c>
      <c r="G35" s="96">
        <f>'[13]附属建物（浴室）'!$AJ$5</f>
        <v>1</v>
      </c>
      <c r="H35" s="96">
        <f>'[13]附属建物（便所）'!$AJ$5</f>
        <v>1</v>
      </c>
      <c r="I35" s="96">
        <f>'[13]附属建物（廊下）'!$AJ$5</f>
        <v>1</v>
      </c>
      <c r="J35" s="96">
        <f>'[13]附属設備（電気設備その他）'!$AJ$5</f>
        <v>82438</v>
      </c>
      <c r="K35" s="96">
        <f>'[13]附属設備（給排水衛生設備）'!$AJ$5</f>
        <v>94536</v>
      </c>
      <c r="L35" s="96">
        <f>'[13]附属設備（消火排煙設備）'!$AJ$5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96">
        <f>'[13]附属設備（新庄電気設備）'!$AJ$5</f>
        <v>365715</v>
      </c>
      <c r="G36" s="96">
        <f>'[13]附属設備（新庄給排水設備）'!$AJ$5</f>
        <v>446005</v>
      </c>
      <c r="H36" s="96">
        <f>'[13]附属設備（電気設備）'!$AJ$5</f>
        <v>1028074</v>
      </c>
      <c r="I36" s="96">
        <f>'[13]附属設備（給排水設備）'!$AJ$5</f>
        <v>529605</v>
      </c>
      <c r="J36" s="96">
        <f>'[13]附属設備（新庄浴槽改装ガス給湯設備）'!$AJ$6</f>
        <v>513845</v>
      </c>
      <c r="K36" s="96">
        <f>'[13]附属設備（ほっと浴室移設電気工事）'!$AJ$5</f>
        <v>851136</v>
      </c>
      <c r="L36" s="96">
        <f>'[13]附属設備（ほっと浴室移設給排水設備）'!$AJ$5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94">
        <f>'[13]構築物（舗装工事）'!$AJ$5</f>
        <v>1</v>
      </c>
      <c r="G37" s="94">
        <f>'[13]構築物（ゆけむり）'!$AJ$5</f>
        <v>358351</v>
      </c>
      <c r="H37" s="94">
        <f>'[13]構築物（新庄駐車場舗装）'!$AJ$5</f>
        <v>821220</v>
      </c>
    </row>
    <row r="38" spans="1:12" ht="14.25" x14ac:dyDescent="0.15">
      <c r="A38" s="55" t="s">
        <v>40</v>
      </c>
      <c r="B38" s="71">
        <v>2556592</v>
      </c>
      <c r="C38" s="5"/>
      <c r="D38" s="12"/>
      <c r="E38" t="s">
        <v>149</v>
      </c>
      <c r="F38" s="98">
        <f>'[13]器具備品（新庄玄関エアコン）'!$AJ$5</f>
        <v>31800</v>
      </c>
      <c r="G38" s="98">
        <f>'[13]器具備品（新庄事務室エアコン）'!$AJ$5</f>
        <v>173084</v>
      </c>
    </row>
    <row r="39" spans="1:12" ht="14.25" x14ac:dyDescent="0.15">
      <c r="A39" s="55" t="s">
        <v>41</v>
      </c>
      <c r="B39" s="88">
        <v>110600</v>
      </c>
      <c r="C39" s="5"/>
      <c r="D39" s="12"/>
      <c r="E39" t="s">
        <v>150</v>
      </c>
      <c r="F39" s="94">
        <f>'[13]車両（タウンボックス）'!$AJ$5</f>
        <v>1</v>
      </c>
      <c r="G39" s="94">
        <f>'[13]車両（はとバン）'!$AJ$5</f>
        <v>1</v>
      </c>
      <c r="H39" s="94">
        <f>'[13]車両（ノア）'!$AJ$5</f>
        <v>1</v>
      </c>
      <c r="I39" s="94">
        <f>'[13]車両（セレナ）'!$AJ$5</f>
        <v>1</v>
      </c>
      <c r="J39" s="94">
        <f>'[13]車両（アトレー１）'!$AJ$5</f>
        <v>1</v>
      </c>
      <c r="K39" s="94">
        <f>'[13]車両（アトレー４）'!$AJ$5</f>
        <v>2078860</v>
      </c>
      <c r="L39" s="94">
        <f>'[13]車両（キャラ３）'!$AJ$5</f>
        <v>0</v>
      </c>
    </row>
    <row r="40" spans="1:12" ht="14.25" x14ac:dyDescent="0.15">
      <c r="A40" s="55" t="s">
        <v>42</v>
      </c>
      <c r="B40" s="88">
        <v>50000</v>
      </c>
      <c r="C40" s="11"/>
      <c r="D40" s="12"/>
      <c r="F40" s="94">
        <f>'[13]車両（フリード２）'!$AJ$5</f>
        <v>477725</v>
      </c>
      <c r="G40" s="94">
        <f>'[13]車両（セブン２）'!$AJ$5</f>
        <v>1</v>
      </c>
      <c r="H40" s="94">
        <f>'[13]車両（EK３）'!$AJ$5</f>
        <v>1</v>
      </c>
    </row>
    <row r="41" spans="1:12" ht="14.25" x14ac:dyDescent="0.15">
      <c r="A41" s="55" t="s">
        <v>66</v>
      </c>
      <c r="B41" s="88"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f>SUM(B34:B41)</f>
        <v>53508120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f>C31+C42</f>
        <v>102572948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88">
        <v>2083632</v>
      </c>
      <c r="C48" s="5"/>
      <c r="D48" s="78"/>
    </row>
    <row r="49" spans="1:8" ht="14.25" x14ac:dyDescent="0.15">
      <c r="A49" s="55" t="s">
        <v>33</v>
      </c>
      <c r="B49" s="71">
        <f>[13]短期借入金!$AA$37</f>
        <v>4000000</v>
      </c>
      <c r="C49" s="5"/>
      <c r="D49" s="12"/>
    </row>
    <row r="50" spans="1:8" ht="6.75" customHeight="1" x14ac:dyDescent="0.15">
      <c r="A50" s="59"/>
      <c r="B50" s="79"/>
      <c r="C50" s="11"/>
      <c r="D50" s="12"/>
    </row>
    <row r="51" spans="1:8" ht="14.25" x14ac:dyDescent="0.15">
      <c r="A51" s="55" t="s">
        <v>31</v>
      </c>
      <c r="B51" s="80"/>
      <c r="C51" s="37">
        <f>B48+B49</f>
        <v>6083632</v>
      </c>
      <c r="D51" s="23"/>
      <c r="E51" t="s">
        <v>108</v>
      </c>
    </row>
    <row r="52" spans="1:8" ht="11.25" customHeight="1" x14ac:dyDescent="0.15">
      <c r="A52" s="3"/>
      <c r="B52" s="14"/>
      <c r="C52" s="34"/>
      <c r="D52" s="25"/>
    </row>
    <row r="53" spans="1:8" ht="14.25" x14ac:dyDescent="0.15">
      <c r="A53" s="55" t="s">
        <v>22</v>
      </c>
      <c r="B53" s="19"/>
      <c r="C53" s="81"/>
      <c r="D53" s="23"/>
    </row>
    <row r="54" spans="1:8" ht="14.25" x14ac:dyDescent="0.15">
      <c r="A54" s="55" t="s">
        <v>30</v>
      </c>
      <c r="B54" s="88">
        <v>24015000</v>
      </c>
      <c r="C54" s="11"/>
      <c r="D54" s="25"/>
    </row>
    <row r="55" spans="1:8" ht="14.25" x14ac:dyDescent="0.15">
      <c r="A55" s="9"/>
      <c r="B55" s="19"/>
      <c r="C55" s="11"/>
      <c r="D55" s="25"/>
      <c r="G55" t="s">
        <v>108</v>
      </c>
    </row>
    <row r="56" spans="1:8" ht="14.25" x14ac:dyDescent="0.15">
      <c r="A56" s="61" t="s">
        <v>29</v>
      </c>
      <c r="B56" s="10"/>
      <c r="C56" s="37">
        <f>B54</f>
        <v>24015000</v>
      </c>
      <c r="D56" s="23"/>
    </row>
    <row r="57" spans="1:8" ht="6.75" customHeight="1" x14ac:dyDescent="0.15">
      <c r="A57" s="3"/>
      <c r="B57" s="19"/>
      <c r="C57" s="11"/>
      <c r="D57" s="23"/>
    </row>
    <row r="58" spans="1:8" ht="14.25" x14ac:dyDescent="0.15">
      <c r="A58" s="58" t="s">
        <v>24</v>
      </c>
      <c r="B58" s="40"/>
      <c r="C58" s="40"/>
      <c r="D58" s="38">
        <f>C51+C56</f>
        <v>30098632</v>
      </c>
    </row>
    <row r="59" spans="1:8" ht="11.25" customHeight="1" x14ac:dyDescent="0.15">
      <c r="A59" s="3"/>
      <c r="B59" s="19"/>
      <c r="C59" s="11"/>
      <c r="D59" s="23"/>
    </row>
    <row r="60" spans="1:8" ht="14.25" x14ac:dyDescent="0.15">
      <c r="A60" s="55" t="s">
        <v>3</v>
      </c>
      <c r="B60" s="30"/>
      <c r="C60" s="35"/>
      <c r="D60" s="31"/>
    </row>
    <row r="61" spans="1:8" ht="15" customHeight="1" x14ac:dyDescent="0.15">
      <c r="A61" s="55" t="s">
        <v>27</v>
      </c>
      <c r="B61" s="10"/>
      <c r="C61" s="39"/>
      <c r="D61" s="39">
        <v>0</v>
      </c>
      <c r="H61" t="s">
        <v>0</v>
      </c>
    </row>
    <row r="62" spans="1:8" ht="15.75" customHeight="1" x14ac:dyDescent="0.15">
      <c r="A62" s="55" t="s">
        <v>28</v>
      </c>
      <c r="B62" s="47"/>
      <c r="C62" s="9"/>
      <c r="D62" s="43">
        <f>D44-D58</f>
        <v>72474316</v>
      </c>
      <c r="F62" s="100" t="s">
        <v>124</v>
      </c>
    </row>
    <row r="63" spans="1:8" ht="15.75" customHeight="1" x14ac:dyDescent="0.15">
      <c r="A63" s="59" t="s">
        <v>11</v>
      </c>
      <c r="B63" s="9"/>
      <c r="D63" s="70">
        <f>D64-'5.3月'!D64</f>
        <v>-19127193</v>
      </c>
      <c r="F63" s="92">
        <f>D63-[10]令和５年度!$P$74</f>
        <v>329323</v>
      </c>
    </row>
    <row r="64" spans="1:8" ht="16.5" customHeight="1" x14ac:dyDescent="0.15">
      <c r="A64" s="55" t="s">
        <v>26</v>
      </c>
      <c r="B64" s="22"/>
      <c r="C64" s="48"/>
      <c r="D64" s="44">
        <f>D62</f>
        <v>72474316</v>
      </c>
      <c r="F64" s="91"/>
    </row>
    <row r="65" spans="1:6" ht="14.25" x14ac:dyDescent="0.15">
      <c r="A65" s="55" t="s">
        <v>25</v>
      </c>
      <c r="B65" s="22"/>
      <c r="C65" s="9"/>
      <c r="D65" s="69">
        <f>D58+D64</f>
        <v>102572948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81A15-A7B9-414A-9CB0-F00E9DC0B61A}">
  <sheetPr>
    <pageSetUpPr fitToPage="1"/>
  </sheetPr>
  <dimension ref="A1:L109"/>
  <sheetViews>
    <sheetView zoomScaleNormal="100" workbookViewId="0">
      <selection activeCell="G5" sqref="G5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177</v>
      </c>
      <c r="B1" s="122"/>
      <c r="C1" s="122"/>
      <c r="D1" s="122"/>
    </row>
    <row r="2" spans="1:11" ht="17.25" customHeight="1" x14ac:dyDescent="0.15">
      <c r="A2" s="116" t="s">
        <v>185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21348335</v>
      </c>
      <c r="C9" s="5"/>
      <c r="D9" s="12"/>
      <c r="F9" s="84">
        <f>'[11]0138359'!$AJ$37</f>
        <v>4981376</v>
      </c>
      <c r="G9" s="84">
        <f>'[11]0138642（居宅）'!$AJ$37</f>
        <v>154091</v>
      </c>
      <c r="H9" s="84">
        <f>'[11]0138655（通所）'!$AJ$37</f>
        <v>5711</v>
      </c>
      <c r="I9" s="84">
        <f>'[11]0156560（新庄）'!$AJ$37</f>
        <v>99191</v>
      </c>
      <c r="J9" s="84">
        <f>'[11]0158313（ゆけむり）'!$AJ$37</f>
        <v>50444</v>
      </c>
      <c r="K9" s="84">
        <f>'[11]0139101（ちゃれんじ）'!$AJ$37</f>
        <v>583296</v>
      </c>
    </row>
    <row r="10" spans="1:11" ht="14.25" x14ac:dyDescent="0.15">
      <c r="A10" s="53" t="s">
        <v>102</v>
      </c>
      <c r="B10" s="73">
        <v>13968707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4722300</v>
      </c>
      <c r="C11" s="5"/>
      <c r="D11" s="23"/>
      <c r="F11" s="84">
        <f>'[11]2253865（助け合い）'!$AJ$37</f>
        <v>222641</v>
      </c>
      <c r="G11" s="89">
        <f>'[11]2253871（通所）'!$AJ$37</f>
        <v>484375</v>
      </c>
      <c r="H11" s="84">
        <f>'[11]2254321（ミニ）'!$AJ$37</f>
        <v>6886188</v>
      </c>
    </row>
    <row r="12" spans="1:11" ht="14.25" x14ac:dyDescent="0.15">
      <c r="A12" s="53" t="s">
        <v>128</v>
      </c>
      <c r="B12" s="74">
        <v>961985</v>
      </c>
      <c r="C12" s="5"/>
      <c r="D12" s="23"/>
    </row>
    <row r="13" spans="1:11" ht="14.25" x14ac:dyDescent="0.15">
      <c r="A13" s="53" t="s">
        <v>129</v>
      </c>
      <c r="B13" s="75">
        <v>1034695</v>
      </c>
      <c r="C13" s="5"/>
      <c r="D13" s="12"/>
      <c r="E13" s="93" t="s">
        <v>142</v>
      </c>
      <c r="F13" s="94">
        <f>[11]JA0034628!$AJ$37</f>
        <v>568938</v>
      </c>
      <c r="G13" s="93" t="s">
        <v>143</v>
      </c>
      <c r="H13" s="94">
        <f>[11]ゆうちょ6473091!$AJ$37</f>
        <v>173053</v>
      </c>
      <c r="I13" s="93" t="s">
        <v>144</v>
      </c>
      <c r="J13" s="94">
        <f>[11]しま信0116975!$AJ$37</f>
        <v>289801</v>
      </c>
    </row>
    <row r="14" spans="1:11" ht="14.25" x14ac:dyDescent="0.15">
      <c r="A14" s="53" t="s">
        <v>130</v>
      </c>
      <c r="B14" s="75">
        <v>660648</v>
      </c>
      <c r="C14" s="5"/>
      <c r="D14" s="12"/>
    </row>
    <row r="15" spans="1:11" ht="14.25" x14ac:dyDescent="0.15">
      <c r="A15" s="55" t="s">
        <v>36</v>
      </c>
      <c r="B15" s="71">
        <v>27311961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4906260</v>
      </c>
      <c r="C16" s="11"/>
      <c r="D16" s="12"/>
      <c r="E16" t="s">
        <v>112</v>
      </c>
      <c r="F16" s="84">
        <f>'[12]未収金（認定調査委託料）'!$AJ$37</f>
        <v>9240</v>
      </c>
      <c r="G16" s="84">
        <f>'[12]未収金（居宅支援介護報酬）'!$AJ$37</f>
        <v>5110490</v>
      </c>
      <c r="H16" s="83"/>
    </row>
    <row r="17" spans="1:11" ht="14.25" x14ac:dyDescent="0.15">
      <c r="A17" s="54" t="s">
        <v>15</v>
      </c>
      <c r="B17" s="73">
        <v>14029251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2556624</v>
      </c>
      <c r="C18" s="11"/>
      <c r="D18" s="12"/>
      <c r="E18" t="s">
        <v>115</v>
      </c>
      <c r="F18" s="84">
        <f>'[12]未収金（通所保険請求）'!$AJ$37</f>
        <v>11757712</v>
      </c>
      <c r="G18" s="84">
        <f>'[12]未収金（通所利用者負担）'!$AJ$37</f>
        <v>1233924</v>
      </c>
      <c r="H18" s="84">
        <f>'[12]未収金（通所食費）'!$AJ$37</f>
        <v>733900</v>
      </c>
    </row>
    <row r="19" spans="1:11" ht="14.25" x14ac:dyDescent="0.15">
      <c r="A19" s="54" t="s">
        <v>16</v>
      </c>
      <c r="B19" s="73">
        <v>2032992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1168535</v>
      </c>
      <c r="C20" s="5"/>
      <c r="D20" s="12"/>
      <c r="E20" t="s">
        <v>119</v>
      </c>
      <c r="F20" s="84">
        <f>'[12]未収金（ゆけむり保険請求）'!$AJ$37</f>
        <v>0</v>
      </c>
      <c r="G20" s="84">
        <f>'[12]未収金（ゆけむり利用者負担）'!$AJ$37</f>
        <v>14257</v>
      </c>
      <c r="H20" s="84">
        <f>'[12]未収金（ゆけむり食費）'!$AJ$37</f>
        <v>0</v>
      </c>
    </row>
    <row r="21" spans="1:11" ht="14.25" x14ac:dyDescent="0.15">
      <c r="A21" s="54" t="s">
        <v>167</v>
      </c>
      <c r="B21" s="73">
        <v>259095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168</v>
      </c>
      <c r="B22" s="73">
        <v>222364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85">
        <v>30900</v>
      </c>
      <c r="C23" s="5"/>
      <c r="D23" s="12"/>
      <c r="E23" t="s">
        <v>120</v>
      </c>
      <c r="F23" s="84">
        <f>'[12]未収金（予防通所保険請求）'!$AJ$37</f>
        <v>1344043</v>
      </c>
      <c r="G23" s="84">
        <f>'[12]未収金（予防通所利用者負担）'!$AJ$37</f>
        <v>78798</v>
      </c>
      <c r="H23" s="84">
        <f>'[12]未収金（予防通所食費）'!$AJ$37</f>
        <v>104300</v>
      </c>
    </row>
    <row r="24" spans="1:11" ht="14.25" x14ac:dyDescent="0.15">
      <c r="A24" s="54" t="s">
        <v>81</v>
      </c>
      <c r="B24" s="73">
        <v>393140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85">
        <v>79800</v>
      </c>
      <c r="C25" s="5"/>
      <c r="D25" s="12"/>
      <c r="E25" t="s">
        <v>121</v>
      </c>
      <c r="F25" s="84">
        <f>'[12]未収金（処遇改善保険請求）'!$AJ$37</f>
        <v>1210522</v>
      </c>
      <c r="G25" s="84">
        <f>'[12]未収金（処遇改善利用者負担）'!$AJ$37</f>
        <v>116787</v>
      </c>
      <c r="H25" s="83"/>
      <c r="I25" s="99" t="s">
        <v>169</v>
      </c>
      <c r="J25" s="94">
        <f>'[12]未収金（ベースアップ加算保険請求）'!$AJ$37</f>
        <v>198</v>
      </c>
      <c r="K25" s="94">
        <f>'[12]未収金（ベースアップ加算利用者負担）'!$AJ$37</f>
        <v>343</v>
      </c>
    </row>
    <row r="26" spans="1:11" ht="14.25" x14ac:dyDescent="0.15">
      <c r="A26" s="54" t="s">
        <v>17</v>
      </c>
      <c r="B26" s="86">
        <v>1619000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87">
        <v>14000</v>
      </c>
      <c r="C27" s="5"/>
      <c r="D27" s="12"/>
      <c r="E27" t="s">
        <v>122</v>
      </c>
      <c r="F27" s="84">
        <f>'[12]未収金（特定処遇改善保険請求）'!$AJ$37</f>
        <v>0</v>
      </c>
      <c r="G27" s="84">
        <f>'[12]未収金（特定処遇改善利用者負担）'!$AJ$37</f>
        <v>3289</v>
      </c>
      <c r="H27" s="83"/>
    </row>
    <row r="28" spans="1:11" ht="14.25" x14ac:dyDescent="0.15">
      <c r="A28" s="54" t="s">
        <v>79</v>
      </c>
      <c r="B28" s="85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88">
        <v>1400534</v>
      </c>
      <c r="C29" s="15" t="s">
        <v>0</v>
      </c>
      <c r="D29" s="12"/>
      <c r="E29" t="s">
        <v>123</v>
      </c>
      <c r="F29" s="84">
        <f>'[12]未収金（サロン保険請求）'!$AJ$37</f>
        <v>316516</v>
      </c>
      <c r="G29" s="84">
        <f>'[12]未収金（サロン利用者負担）'!$AJ$37</f>
        <v>21602</v>
      </c>
      <c r="H29" s="84">
        <f>'[12]未収金（サロン食費）'!$AJ$37</f>
        <v>31500</v>
      </c>
    </row>
    <row r="30" spans="1:11" ht="14.25" x14ac:dyDescent="0.15">
      <c r="A30" s="61" t="s">
        <v>96</v>
      </c>
      <c r="B30" s="71">
        <v>500500</v>
      </c>
      <c r="C30" s="15"/>
      <c r="D30" s="12"/>
    </row>
    <row r="31" spans="1:11" ht="14.25" x14ac:dyDescent="0.15">
      <c r="A31" s="61" t="s">
        <v>38</v>
      </c>
      <c r="B31" s="7"/>
      <c r="C31" s="77">
        <v>50563715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44213471</v>
      </c>
      <c r="C34" s="5"/>
      <c r="D34" s="12"/>
      <c r="E34" t="s">
        <v>146</v>
      </c>
      <c r="F34" s="95">
        <f>'[13]建物（ほっと本体）'!$AJ$5</f>
        <v>225002</v>
      </c>
      <c r="G34" s="95">
        <f>'[13]建物（ほっと2階）'!$AJ$5</f>
        <v>159976</v>
      </c>
      <c r="H34" s="95">
        <f>'[13]建物（新庄）'!$AJ$5</f>
        <v>14958933</v>
      </c>
      <c r="I34" s="95">
        <f>'[13]建物（ゆけむり）'!$AJ$5</f>
        <v>22564101</v>
      </c>
      <c r="J34" s="95">
        <f>'[13]建物（ほっと浴室）'!$AJ$5</f>
        <v>3600857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96">
        <f>'[13]附属建物（厨房）'!$AJ$5</f>
        <v>1</v>
      </c>
      <c r="G35" s="96">
        <f>'[13]附属建物（浴室）'!$AJ$5</f>
        <v>1</v>
      </c>
      <c r="H35" s="96">
        <f>'[13]附属建物（便所）'!$AJ$5</f>
        <v>1</v>
      </c>
      <c r="I35" s="96">
        <f>'[13]附属建物（廊下）'!$AJ$5</f>
        <v>1</v>
      </c>
      <c r="J35" s="96">
        <f>'[13]附属設備（電気設備その他）'!$AJ$5</f>
        <v>82438</v>
      </c>
      <c r="K35" s="96">
        <f>'[13]附属設備（給排水衛生設備）'!$AJ$5</f>
        <v>94536</v>
      </c>
      <c r="L35" s="96">
        <f>'[13]附属設備（消火排煙設備）'!$AJ$5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96">
        <f>'[13]附属設備（新庄電気設備）'!$AJ$5</f>
        <v>365715</v>
      </c>
      <c r="G36" s="96">
        <f>'[13]附属設備（新庄給排水設備）'!$AJ$5</f>
        <v>446005</v>
      </c>
      <c r="H36" s="96">
        <f>'[13]附属設備（電気設備）'!$AJ$5</f>
        <v>1028074</v>
      </c>
      <c r="I36" s="96">
        <f>'[13]附属設備（給排水設備）'!$AJ$5</f>
        <v>529605</v>
      </c>
      <c r="J36" s="96">
        <f>'[13]附属設備（新庄浴槽改装ガス給湯設備）'!$AJ$6</f>
        <v>513845</v>
      </c>
      <c r="K36" s="96">
        <f>'[13]附属設備（ほっと浴室移設電気工事）'!$AJ$5</f>
        <v>851136</v>
      </c>
      <c r="L36" s="96">
        <f>'[13]附属設備（ほっと浴室移設給排水設備）'!$AJ$5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94">
        <f>'[13]構築物（舗装工事）'!$AJ$5</f>
        <v>1</v>
      </c>
      <c r="G37" s="94">
        <f>'[13]構築物（ゆけむり）'!$AJ$5</f>
        <v>358351</v>
      </c>
      <c r="H37" s="94">
        <f>'[13]構築物（新庄駐車場舗装）'!$AJ$5</f>
        <v>821220</v>
      </c>
    </row>
    <row r="38" spans="1:12" ht="14.25" x14ac:dyDescent="0.15">
      <c r="A38" s="55" t="s">
        <v>40</v>
      </c>
      <c r="B38" s="71">
        <v>2556592</v>
      </c>
      <c r="C38" s="5"/>
      <c r="D38" s="12"/>
      <c r="E38" t="s">
        <v>149</v>
      </c>
      <c r="F38" s="98">
        <f>'[13]器具備品（新庄玄関エアコン）'!$AJ$5</f>
        <v>31800</v>
      </c>
      <c r="G38" s="98">
        <f>'[13]器具備品（新庄事務室エアコン）'!$AJ$5</f>
        <v>173084</v>
      </c>
    </row>
    <row r="39" spans="1:12" ht="14.25" x14ac:dyDescent="0.15">
      <c r="A39" s="55" t="s">
        <v>41</v>
      </c>
      <c r="B39" s="88">
        <v>110600</v>
      </c>
      <c r="C39" s="5"/>
      <c r="D39" s="12"/>
      <c r="E39" t="s">
        <v>150</v>
      </c>
      <c r="F39" s="94">
        <f>'[13]車両（タウンボックス）'!$AJ$5</f>
        <v>1</v>
      </c>
      <c r="G39" s="94">
        <f>'[13]車両（はとバン）'!$AJ$5</f>
        <v>1</v>
      </c>
      <c r="H39" s="94">
        <f>'[13]車両（ノア）'!$AJ$5</f>
        <v>1</v>
      </c>
      <c r="I39" s="94">
        <f>'[13]車両（セレナ）'!$AJ$5</f>
        <v>1</v>
      </c>
      <c r="J39" s="94">
        <f>'[13]車両（アトレー１）'!$AJ$5</f>
        <v>1</v>
      </c>
      <c r="K39" s="94">
        <f>'[13]車両（アトレー４）'!$AJ$5</f>
        <v>2078860</v>
      </c>
      <c r="L39" s="94">
        <f>'[13]車両（キャラ３）'!$AJ$5</f>
        <v>0</v>
      </c>
    </row>
    <row r="40" spans="1:12" ht="14.25" x14ac:dyDescent="0.15">
      <c r="A40" s="55" t="s">
        <v>42</v>
      </c>
      <c r="B40" s="88">
        <v>50000</v>
      </c>
      <c r="C40" s="11"/>
      <c r="D40" s="12"/>
      <c r="F40" s="94">
        <f>'[13]車両（フリード２）'!$AJ$5</f>
        <v>477725</v>
      </c>
      <c r="G40" s="94">
        <f>'[13]車両（セブン２）'!$AJ$5</f>
        <v>1</v>
      </c>
      <c r="H40" s="94">
        <f>'[13]車両（EK３）'!$AJ$5</f>
        <v>1</v>
      </c>
    </row>
    <row r="41" spans="1:12" ht="14.25" x14ac:dyDescent="0.15">
      <c r="A41" s="55" t="s">
        <v>66</v>
      </c>
      <c r="B41" s="88"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v>53508120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v>104071835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88">
        <v>3895821</v>
      </c>
      <c r="C48" s="5"/>
      <c r="D48" s="78"/>
    </row>
    <row r="49" spans="1:8" ht="14.25" x14ac:dyDescent="0.15">
      <c r="A49" s="55" t="s">
        <v>33</v>
      </c>
      <c r="B49" s="71">
        <v>0</v>
      </c>
      <c r="C49" s="5"/>
      <c r="D49" s="12"/>
    </row>
    <row r="50" spans="1:8" ht="6.75" customHeight="1" x14ac:dyDescent="0.15">
      <c r="A50" s="59"/>
      <c r="B50" s="79"/>
      <c r="C50" s="11"/>
      <c r="D50" s="12"/>
    </row>
    <row r="51" spans="1:8" ht="14.25" x14ac:dyDescent="0.15">
      <c r="A51" s="55" t="s">
        <v>31</v>
      </c>
      <c r="B51" s="80"/>
      <c r="C51" s="37">
        <v>3895821</v>
      </c>
      <c r="D51" s="23"/>
      <c r="E51" t="s">
        <v>108</v>
      </c>
    </row>
    <row r="52" spans="1:8" ht="11.25" customHeight="1" x14ac:dyDescent="0.15">
      <c r="A52" s="3"/>
      <c r="B52" s="14"/>
      <c r="C52" s="34"/>
      <c r="D52" s="25"/>
    </row>
    <row r="53" spans="1:8" ht="14.25" x14ac:dyDescent="0.15">
      <c r="A53" s="55" t="s">
        <v>22</v>
      </c>
      <c r="B53" s="19"/>
      <c r="C53" s="81"/>
      <c r="D53" s="23"/>
    </row>
    <row r="54" spans="1:8" ht="14.25" x14ac:dyDescent="0.15">
      <c r="A54" s="55" t="s">
        <v>30</v>
      </c>
      <c r="B54" s="88">
        <f>[13]長期借入金!$AA$37</f>
        <v>18879000</v>
      </c>
      <c r="C54" s="11"/>
      <c r="D54" s="25"/>
    </row>
    <row r="55" spans="1:8" ht="14.25" x14ac:dyDescent="0.15">
      <c r="A55" s="9"/>
      <c r="B55" s="19"/>
      <c r="C55" s="11"/>
      <c r="D55" s="25"/>
      <c r="G55" t="s">
        <v>108</v>
      </c>
    </row>
    <row r="56" spans="1:8" ht="14.25" x14ac:dyDescent="0.15">
      <c r="A56" s="61" t="s">
        <v>29</v>
      </c>
      <c r="B56" s="10"/>
      <c r="C56" s="37">
        <v>23694000</v>
      </c>
      <c r="D56" s="23"/>
    </row>
    <row r="57" spans="1:8" ht="6.75" customHeight="1" x14ac:dyDescent="0.15">
      <c r="A57" s="3"/>
      <c r="B57" s="19"/>
      <c r="C57" s="11"/>
      <c r="D57" s="23"/>
    </row>
    <row r="58" spans="1:8" ht="14.25" x14ac:dyDescent="0.15">
      <c r="A58" s="58" t="s">
        <v>24</v>
      </c>
      <c r="B58" s="40"/>
      <c r="C58" s="40"/>
      <c r="D58" s="38">
        <v>27589821</v>
      </c>
    </row>
    <row r="59" spans="1:8" ht="11.25" customHeight="1" x14ac:dyDescent="0.15">
      <c r="A59" s="3"/>
      <c r="B59" s="19"/>
      <c r="C59" s="11"/>
      <c r="D59" s="23"/>
    </row>
    <row r="60" spans="1:8" ht="14.25" x14ac:dyDescent="0.15">
      <c r="A60" s="55" t="s">
        <v>3</v>
      </c>
      <c r="B60" s="30"/>
      <c r="C60" s="35"/>
      <c r="D60" s="31"/>
    </row>
    <row r="61" spans="1:8" ht="15" customHeight="1" x14ac:dyDescent="0.15">
      <c r="A61" s="55" t="s">
        <v>27</v>
      </c>
      <c r="B61" s="10"/>
      <c r="C61" s="39"/>
      <c r="D61" s="39">
        <v>0</v>
      </c>
      <c r="H61" t="s">
        <v>0</v>
      </c>
    </row>
    <row r="62" spans="1:8" ht="15.75" customHeight="1" x14ac:dyDescent="0.15">
      <c r="A62" s="55" t="s">
        <v>28</v>
      </c>
      <c r="B62" s="47"/>
      <c r="C62" s="9"/>
      <c r="D62" s="43">
        <v>76482014</v>
      </c>
      <c r="F62" s="100" t="s">
        <v>124</v>
      </c>
    </row>
    <row r="63" spans="1:8" ht="15.75" customHeight="1" x14ac:dyDescent="0.15">
      <c r="A63" s="59" t="s">
        <v>11</v>
      </c>
      <c r="B63" s="9"/>
      <c r="D63" s="70">
        <v>-15119495</v>
      </c>
      <c r="F63" s="92">
        <f>D63-[10]令和５年度!$P$74</f>
        <v>4337021</v>
      </c>
    </row>
    <row r="64" spans="1:8" ht="16.5" customHeight="1" x14ac:dyDescent="0.15">
      <c r="A64" s="55" t="s">
        <v>26</v>
      </c>
      <c r="B64" s="22"/>
      <c r="C64" s="48"/>
      <c r="D64" s="44">
        <v>76482014</v>
      </c>
      <c r="F64" s="91"/>
    </row>
    <row r="65" spans="1:6" ht="14.25" x14ac:dyDescent="0.15">
      <c r="A65" s="55" t="s">
        <v>25</v>
      </c>
      <c r="B65" s="22"/>
      <c r="C65" s="9"/>
      <c r="D65" s="69">
        <v>104071835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D2966-F66E-401A-8992-90DD7F48F9BB}">
  <sheetPr>
    <pageSetUpPr fitToPage="1"/>
  </sheetPr>
  <dimension ref="A1:L109"/>
  <sheetViews>
    <sheetView zoomScaleNormal="100" workbookViewId="0">
      <selection activeCell="G5" sqref="G5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177</v>
      </c>
      <c r="B1" s="122"/>
      <c r="C1" s="122"/>
      <c r="D1" s="122"/>
    </row>
    <row r="2" spans="1:11" ht="17.25" customHeight="1" x14ac:dyDescent="0.15">
      <c r="A2" s="116" t="s">
        <v>186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18114181</v>
      </c>
      <c r="C9" s="5"/>
      <c r="D9" s="12"/>
      <c r="F9" s="84">
        <f>'[11]0138359'!$AJ$37</f>
        <v>4981376</v>
      </c>
      <c r="G9" s="84">
        <f>'[11]0138642（居宅）'!$AJ$37</f>
        <v>154091</v>
      </c>
      <c r="H9" s="84">
        <f>'[11]0138655（通所）'!$AJ$37</f>
        <v>5711</v>
      </c>
      <c r="I9" s="84">
        <f>'[11]0156560（新庄）'!$AJ$37</f>
        <v>99191</v>
      </c>
      <c r="J9" s="84">
        <f>'[11]0158313（ゆけむり）'!$AJ$37</f>
        <v>50444</v>
      </c>
      <c r="K9" s="84">
        <f>'[11]0139101（ちゃれんじ）'!$AJ$37</f>
        <v>583296</v>
      </c>
    </row>
    <row r="10" spans="1:11" ht="14.25" x14ac:dyDescent="0.15">
      <c r="A10" s="53" t="s">
        <v>102</v>
      </c>
      <c r="B10" s="73">
        <v>10343724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4307535</v>
      </c>
      <c r="C11" s="5"/>
      <c r="D11" s="23"/>
      <c r="F11" s="84">
        <f>'[11]2253865（助け合い）'!$AJ$37</f>
        <v>222641</v>
      </c>
      <c r="G11" s="89">
        <f>'[11]2253871（通所）'!$AJ$37</f>
        <v>484375</v>
      </c>
      <c r="H11" s="84">
        <f>'[11]2254321（ミニ）'!$AJ$37</f>
        <v>6886188</v>
      </c>
    </row>
    <row r="12" spans="1:11" ht="14.25" x14ac:dyDescent="0.15">
      <c r="A12" s="53" t="s">
        <v>128</v>
      </c>
      <c r="B12" s="74">
        <v>1340890</v>
      </c>
      <c r="C12" s="5"/>
      <c r="D12" s="23"/>
    </row>
    <row r="13" spans="1:11" ht="14.25" x14ac:dyDescent="0.15">
      <c r="A13" s="53" t="s">
        <v>129</v>
      </c>
      <c r="B13" s="75">
        <v>1332370</v>
      </c>
      <c r="C13" s="5"/>
      <c r="D13" s="12"/>
      <c r="E13" s="93" t="s">
        <v>142</v>
      </c>
      <c r="F13" s="94">
        <f>[11]JA0034628!$AJ$37</f>
        <v>568938</v>
      </c>
      <c r="G13" s="93" t="s">
        <v>143</v>
      </c>
      <c r="H13" s="94">
        <f>[11]ゆうちょ6473091!$AJ$37</f>
        <v>173053</v>
      </c>
      <c r="I13" s="93" t="s">
        <v>144</v>
      </c>
      <c r="J13" s="94">
        <f>[11]しま信0116975!$AJ$37</f>
        <v>289801</v>
      </c>
    </row>
    <row r="14" spans="1:11" ht="14.25" x14ac:dyDescent="0.15">
      <c r="A14" s="53" t="s">
        <v>130</v>
      </c>
      <c r="B14" s="75">
        <v>789662</v>
      </c>
      <c r="C14" s="5"/>
      <c r="D14" s="12"/>
    </row>
    <row r="15" spans="1:11" ht="14.25" x14ac:dyDescent="0.15">
      <c r="A15" s="55" t="s">
        <v>36</v>
      </c>
      <c r="B15" s="71">
        <v>24677562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4917180</v>
      </c>
      <c r="C16" s="11"/>
      <c r="D16" s="12"/>
      <c r="E16" t="s">
        <v>112</v>
      </c>
      <c r="F16" s="84">
        <f>'[12]未収金（認定調査委託料）'!$AJ$37</f>
        <v>9240</v>
      </c>
      <c r="G16" s="84">
        <f>'[12]未収金（居宅支援介護報酬）'!$AJ$37</f>
        <v>5110490</v>
      </c>
      <c r="H16" s="83"/>
    </row>
    <row r="17" spans="1:11" ht="14.25" x14ac:dyDescent="0.15">
      <c r="A17" s="54" t="s">
        <v>15</v>
      </c>
      <c r="B17" s="73">
        <v>12019277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2170627</v>
      </c>
      <c r="C18" s="11"/>
      <c r="D18" s="12"/>
      <c r="E18" t="s">
        <v>115</v>
      </c>
      <c r="F18" s="84">
        <f>'[12]未収金（通所保険請求）'!$AJ$37</f>
        <v>11757712</v>
      </c>
      <c r="G18" s="84">
        <f>'[12]未収金（通所利用者負担）'!$AJ$37</f>
        <v>1233924</v>
      </c>
      <c r="H18" s="84">
        <f>'[12]未収金（通所食費）'!$AJ$37</f>
        <v>733900</v>
      </c>
    </row>
    <row r="19" spans="1:11" ht="14.25" x14ac:dyDescent="0.15">
      <c r="A19" s="54" t="s">
        <v>16</v>
      </c>
      <c r="B19" s="73">
        <v>1953667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1009281</v>
      </c>
      <c r="C20" s="5"/>
      <c r="D20" s="12"/>
      <c r="E20" t="s">
        <v>119</v>
      </c>
      <c r="F20" s="84">
        <f>'[12]未収金（ゆけむり保険請求）'!$AJ$37</f>
        <v>0</v>
      </c>
      <c r="G20" s="84">
        <f>'[12]未収金（ゆけむり利用者負担）'!$AJ$37</f>
        <v>14257</v>
      </c>
      <c r="H20" s="84">
        <f>'[12]未収金（ゆけむり食費）'!$AJ$37</f>
        <v>0</v>
      </c>
    </row>
    <row r="21" spans="1:11" ht="14.25" x14ac:dyDescent="0.15">
      <c r="A21" s="54" t="s">
        <v>167</v>
      </c>
      <c r="B21" s="73">
        <v>222922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168</v>
      </c>
      <c r="B22" s="73">
        <v>191276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85">
        <v>31300</v>
      </c>
      <c r="C23" s="5"/>
      <c r="D23" s="12"/>
      <c r="E23" t="s">
        <v>120</v>
      </c>
      <c r="F23" s="84">
        <f>'[12]未収金（予防通所保険請求）'!$AJ$37</f>
        <v>1344043</v>
      </c>
      <c r="G23" s="84">
        <f>'[12]未収金（予防通所利用者負担）'!$AJ$37</f>
        <v>78798</v>
      </c>
      <c r="H23" s="84">
        <f>'[12]未収金（予防通所食費）'!$AJ$37</f>
        <v>104300</v>
      </c>
    </row>
    <row r="24" spans="1:11" ht="14.25" x14ac:dyDescent="0.15">
      <c r="A24" s="54" t="s">
        <v>81</v>
      </c>
      <c r="B24" s="73">
        <v>404232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85">
        <v>56000</v>
      </c>
      <c r="C25" s="5"/>
      <c r="D25" s="12"/>
      <c r="E25" t="s">
        <v>121</v>
      </c>
      <c r="F25" s="84">
        <f>'[12]未収金（処遇改善保険請求）'!$AJ$37</f>
        <v>1210522</v>
      </c>
      <c r="G25" s="84">
        <f>'[12]未収金（処遇改善利用者負担）'!$AJ$37</f>
        <v>116787</v>
      </c>
      <c r="H25" s="83"/>
      <c r="I25" s="99" t="s">
        <v>169</v>
      </c>
      <c r="J25" s="94">
        <f>'[12]未収金（ベースアップ加算保険請求）'!$AJ$37</f>
        <v>198</v>
      </c>
      <c r="K25" s="94">
        <f>'[12]未収金（ベースアップ加算利用者負担）'!$AJ$37</f>
        <v>343</v>
      </c>
    </row>
    <row r="26" spans="1:11" ht="14.25" x14ac:dyDescent="0.15">
      <c r="A26" s="54" t="s">
        <v>17</v>
      </c>
      <c r="B26" s="86">
        <v>1690800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87">
        <v>11000</v>
      </c>
      <c r="C27" s="5"/>
      <c r="D27" s="12"/>
      <c r="E27" t="s">
        <v>122</v>
      </c>
      <c r="F27" s="84">
        <f>'[12]未収金（特定処遇改善保険請求）'!$AJ$37</f>
        <v>0</v>
      </c>
      <c r="G27" s="84">
        <f>'[12]未収金（特定処遇改善利用者負担）'!$AJ$37</f>
        <v>3289</v>
      </c>
      <c r="H27" s="83"/>
    </row>
    <row r="28" spans="1:11" ht="14.25" x14ac:dyDescent="0.15">
      <c r="A28" s="54" t="s">
        <v>79</v>
      </c>
      <c r="B28" s="85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88">
        <v>748928</v>
      </c>
      <c r="C29" s="15" t="s">
        <v>0</v>
      </c>
      <c r="D29" s="12"/>
      <c r="E29" t="s">
        <v>123</v>
      </c>
      <c r="F29" s="84">
        <f>'[12]未収金（サロン保険請求）'!$AJ$37</f>
        <v>316516</v>
      </c>
      <c r="G29" s="84">
        <f>'[12]未収金（サロン利用者負担）'!$AJ$37</f>
        <v>21602</v>
      </c>
      <c r="H29" s="84">
        <f>'[12]未収金（サロン食費）'!$AJ$37</f>
        <v>31500</v>
      </c>
    </row>
    <row r="30" spans="1:11" ht="14.25" x14ac:dyDescent="0.15">
      <c r="A30" s="61" t="s">
        <v>96</v>
      </c>
      <c r="B30" s="71">
        <v>500500</v>
      </c>
      <c r="C30" s="15"/>
      <c r="D30" s="12"/>
    </row>
    <row r="31" spans="1:11" ht="14.25" x14ac:dyDescent="0.15">
      <c r="A31" s="61" t="s">
        <v>38</v>
      </c>
      <c r="B31" s="7"/>
      <c r="C31" s="77">
        <v>44043556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44213471</v>
      </c>
      <c r="C34" s="5"/>
      <c r="D34" s="12"/>
      <c r="E34" t="s">
        <v>146</v>
      </c>
      <c r="F34" s="95">
        <f>'[13]建物（ほっと本体）'!$AJ$5</f>
        <v>225002</v>
      </c>
      <c r="G34" s="95">
        <f>'[13]建物（ほっと2階）'!$AJ$5</f>
        <v>159976</v>
      </c>
      <c r="H34" s="95">
        <f>'[13]建物（新庄）'!$AJ$5</f>
        <v>14958933</v>
      </c>
      <c r="I34" s="95">
        <f>'[13]建物（ゆけむり）'!$AJ$5</f>
        <v>22564101</v>
      </c>
      <c r="J34" s="95">
        <f>'[13]建物（ほっと浴室）'!$AJ$5</f>
        <v>3600857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96">
        <f>'[13]附属建物（厨房）'!$AJ$5</f>
        <v>1</v>
      </c>
      <c r="G35" s="96">
        <f>'[13]附属建物（浴室）'!$AJ$5</f>
        <v>1</v>
      </c>
      <c r="H35" s="96">
        <f>'[13]附属建物（便所）'!$AJ$5</f>
        <v>1</v>
      </c>
      <c r="I35" s="96">
        <f>'[13]附属建物（廊下）'!$AJ$5</f>
        <v>1</v>
      </c>
      <c r="J35" s="96">
        <f>'[13]附属設備（電気設備その他）'!$AJ$5</f>
        <v>82438</v>
      </c>
      <c r="K35" s="96">
        <f>'[13]附属設備（給排水衛生設備）'!$AJ$5</f>
        <v>94536</v>
      </c>
      <c r="L35" s="96">
        <f>'[13]附属設備（消火排煙設備）'!$AJ$5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96">
        <f>'[13]附属設備（新庄電気設備）'!$AJ$5</f>
        <v>365715</v>
      </c>
      <c r="G36" s="96">
        <f>'[13]附属設備（新庄給排水設備）'!$AJ$5</f>
        <v>446005</v>
      </c>
      <c r="H36" s="96">
        <f>'[13]附属設備（電気設備）'!$AJ$5</f>
        <v>1028074</v>
      </c>
      <c r="I36" s="96">
        <f>'[13]附属設備（給排水設備）'!$AJ$5</f>
        <v>529605</v>
      </c>
      <c r="J36" s="96">
        <f>'[13]附属設備（新庄浴槽改装ガス給湯設備）'!$AJ$6</f>
        <v>513845</v>
      </c>
      <c r="K36" s="96">
        <f>'[13]附属設備（ほっと浴室移設電気工事）'!$AJ$5</f>
        <v>851136</v>
      </c>
      <c r="L36" s="96">
        <f>'[13]附属設備（ほっと浴室移設給排水設備）'!$AJ$5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94">
        <f>'[13]構築物（舗装工事）'!$AJ$5</f>
        <v>1</v>
      </c>
      <c r="G37" s="94">
        <f>'[13]構築物（ゆけむり）'!$AJ$5</f>
        <v>358351</v>
      </c>
      <c r="H37" s="94">
        <f>'[13]構築物（新庄駐車場舗装）'!$AJ$5</f>
        <v>821220</v>
      </c>
    </row>
    <row r="38" spans="1:12" ht="14.25" x14ac:dyDescent="0.15">
      <c r="A38" s="55" t="s">
        <v>40</v>
      </c>
      <c r="B38" s="71">
        <v>2556592</v>
      </c>
      <c r="C38" s="5"/>
      <c r="D38" s="12"/>
      <c r="E38" t="s">
        <v>149</v>
      </c>
      <c r="F38" s="98">
        <f>'[13]器具備品（新庄玄関エアコン）'!$AJ$5</f>
        <v>31800</v>
      </c>
      <c r="G38" s="98">
        <f>'[13]器具備品（新庄事務室エアコン）'!$AJ$5</f>
        <v>173084</v>
      </c>
    </row>
    <row r="39" spans="1:12" ht="14.25" x14ac:dyDescent="0.15">
      <c r="A39" s="55" t="s">
        <v>41</v>
      </c>
      <c r="B39" s="88">
        <v>110600</v>
      </c>
      <c r="C39" s="5"/>
      <c r="D39" s="12"/>
      <c r="E39" t="s">
        <v>150</v>
      </c>
      <c r="F39" s="94">
        <f>'[13]車両（タウンボックス）'!$AJ$5</f>
        <v>1</v>
      </c>
      <c r="G39" s="94">
        <f>'[13]車両（はとバン）'!$AJ$5</f>
        <v>1</v>
      </c>
      <c r="H39" s="94">
        <f>'[13]車両（ノア）'!$AJ$5</f>
        <v>1</v>
      </c>
      <c r="I39" s="94">
        <f>'[13]車両（セレナ）'!$AJ$5</f>
        <v>1</v>
      </c>
      <c r="J39" s="94">
        <f>'[13]車両（アトレー１）'!$AJ$5</f>
        <v>1</v>
      </c>
      <c r="K39" s="94">
        <f>'[13]車両（アトレー４）'!$AJ$5</f>
        <v>2078860</v>
      </c>
      <c r="L39" s="94">
        <f>'[13]車両（キャラ３）'!$AJ$5</f>
        <v>0</v>
      </c>
    </row>
    <row r="40" spans="1:12" ht="14.25" x14ac:dyDescent="0.15">
      <c r="A40" s="55" t="s">
        <v>42</v>
      </c>
      <c r="B40" s="88">
        <v>50000</v>
      </c>
      <c r="C40" s="11"/>
      <c r="D40" s="12"/>
      <c r="F40" s="94">
        <f>'[13]車両（フリード２）'!$AJ$5</f>
        <v>477725</v>
      </c>
      <c r="G40" s="94">
        <f>'[13]車両（セブン２）'!$AJ$5</f>
        <v>1</v>
      </c>
      <c r="H40" s="94">
        <f>'[13]車両（EK３）'!$AJ$5</f>
        <v>1</v>
      </c>
    </row>
    <row r="41" spans="1:12" ht="14.25" x14ac:dyDescent="0.15">
      <c r="A41" s="55" t="s">
        <v>66</v>
      </c>
      <c r="B41" s="88"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v>53508120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v>97551676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88">
        <v>33735</v>
      </c>
      <c r="C48" s="5"/>
      <c r="D48" s="78"/>
    </row>
    <row r="49" spans="1:8" ht="14.25" x14ac:dyDescent="0.15">
      <c r="A49" s="55" t="s">
        <v>33</v>
      </c>
      <c r="B49" s="71">
        <v>0</v>
      </c>
      <c r="C49" s="5"/>
      <c r="D49" s="12"/>
    </row>
    <row r="50" spans="1:8" ht="6.75" customHeight="1" x14ac:dyDescent="0.15">
      <c r="A50" s="59"/>
      <c r="B50" s="79"/>
      <c r="C50" s="11"/>
      <c r="D50" s="12"/>
    </row>
    <row r="51" spans="1:8" ht="14.25" x14ac:dyDescent="0.15">
      <c r="A51" s="55" t="s">
        <v>31</v>
      </c>
      <c r="B51" s="80"/>
      <c r="C51" s="37">
        <v>33735</v>
      </c>
      <c r="D51" s="23"/>
      <c r="E51" t="s">
        <v>108</v>
      </c>
    </row>
    <row r="52" spans="1:8" ht="11.25" customHeight="1" x14ac:dyDescent="0.15">
      <c r="A52" s="3"/>
      <c r="B52" s="14"/>
      <c r="C52" s="34"/>
      <c r="D52" s="25"/>
    </row>
    <row r="53" spans="1:8" ht="14.25" x14ac:dyDescent="0.15">
      <c r="A53" s="55" t="s">
        <v>22</v>
      </c>
      <c r="B53" s="19"/>
      <c r="C53" s="81"/>
      <c r="D53" s="23"/>
    </row>
    <row r="54" spans="1:8" ht="14.25" x14ac:dyDescent="0.15">
      <c r="A54" s="55" t="s">
        <v>30</v>
      </c>
      <c r="B54" s="88">
        <v>23373000</v>
      </c>
      <c r="C54" s="11"/>
      <c r="D54" s="25"/>
    </row>
    <row r="55" spans="1:8" ht="14.25" x14ac:dyDescent="0.15">
      <c r="A55" s="9"/>
      <c r="B55" s="19"/>
      <c r="C55" s="11"/>
      <c r="D55" s="25"/>
      <c r="G55" t="s">
        <v>108</v>
      </c>
    </row>
    <row r="56" spans="1:8" ht="14.25" x14ac:dyDescent="0.15">
      <c r="A56" s="61" t="s">
        <v>29</v>
      </c>
      <c r="B56" s="10"/>
      <c r="C56" s="37">
        <v>23373000</v>
      </c>
      <c r="D56" s="23"/>
    </row>
    <row r="57" spans="1:8" ht="6.75" customHeight="1" x14ac:dyDescent="0.15">
      <c r="A57" s="3"/>
      <c r="B57" s="19"/>
      <c r="C57" s="11"/>
      <c r="D57" s="23"/>
    </row>
    <row r="58" spans="1:8" ht="14.25" x14ac:dyDescent="0.15">
      <c r="A58" s="58" t="s">
        <v>24</v>
      </c>
      <c r="B58" s="40"/>
      <c r="C58" s="40"/>
      <c r="D58" s="38">
        <v>23406735</v>
      </c>
    </row>
    <row r="59" spans="1:8" ht="11.25" customHeight="1" x14ac:dyDescent="0.15">
      <c r="A59" s="3"/>
      <c r="B59" s="19"/>
      <c r="C59" s="11"/>
      <c r="D59" s="23"/>
    </row>
    <row r="60" spans="1:8" ht="14.25" x14ac:dyDescent="0.15">
      <c r="A60" s="55" t="s">
        <v>3</v>
      </c>
      <c r="B60" s="30"/>
      <c r="C60" s="35"/>
      <c r="D60" s="31"/>
    </row>
    <row r="61" spans="1:8" ht="15" customHeight="1" x14ac:dyDescent="0.15">
      <c r="A61" s="55" t="s">
        <v>27</v>
      </c>
      <c r="B61" s="10"/>
      <c r="C61" s="39"/>
      <c r="D61" s="39">
        <v>0</v>
      </c>
      <c r="H61" t="s">
        <v>0</v>
      </c>
    </row>
    <row r="62" spans="1:8" ht="15.75" customHeight="1" x14ac:dyDescent="0.15">
      <c r="A62" s="55" t="s">
        <v>28</v>
      </c>
      <c r="B62" s="47"/>
      <c r="C62" s="9"/>
      <c r="D62" s="43">
        <v>74144941</v>
      </c>
      <c r="F62" s="100" t="s">
        <v>124</v>
      </c>
    </row>
    <row r="63" spans="1:8" ht="15.75" customHeight="1" x14ac:dyDescent="0.15">
      <c r="A63" s="59" t="s">
        <v>11</v>
      </c>
      <c r="B63" s="9"/>
      <c r="D63" s="70">
        <v>-17456568</v>
      </c>
      <c r="F63" s="92">
        <f>D63-[10]令和５年度!$P$74</f>
        <v>1999948</v>
      </c>
    </row>
    <row r="64" spans="1:8" ht="16.5" customHeight="1" x14ac:dyDescent="0.15">
      <c r="A64" s="55" t="s">
        <v>26</v>
      </c>
      <c r="B64" s="22"/>
      <c r="C64" s="48"/>
      <c r="D64" s="44">
        <v>74144941</v>
      </c>
      <c r="F64" s="91"/>
    </row>
    <row r="65" spans="1:6" ht="14.25" x14ac:dyDescent="0.15">
      <c r="A65" s="55" t="s">
        <v>25</v>
      </c>
      <c r="B65" s="22"/>
      <c r="C65" s="9"/>
      <c r="D65" s="69">
        <v>97551676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85D1-AA95-47AB-8755-59E6FB03B75B}">
  <sheetPr>
    <pageSetUpPr fitToPage="1"/>
  </sheetPr>
  <dimension ref="A1:L109"/>
  <sheetViews>
    <sheetView zoomScaleNormal="100" workbookViewId="0">
      <selection activeCell="F4" sqref="F4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177</v>
      </c>
      <c r="B1" s="122"/>
      <c r="C1" s="122"/>
      <c r="D1" s="122"/>
    </row>
    <row r="2" spans="1:11" ht="17.25" customHeight="1" x14ac:dyDescent="0.15">
      <c r="A2" s="116" t="s">
        <v>187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18614612</v>
      </c>
      <c r="C9" s="5"/>
      <c r="D9" s="12"/>
      <c r="F9" s="84">
        <f>'[11]0138359'!$AJ$37</f>
        <v>4981376</v>
      </c>
      <c r="G9" s="84">
        <f>'[11]0138642（居宅）'!$AJ$37</f>
        <v>154091</v>
      </c>
      <c r="H9" s="84">
        <f>'[11]0138655（通所）'!$AJ$37</f>
        <v>5711</v>
      </c>
      <c r="I9" s="84">
        <f>'[11]0156560（新庄）'!$AJ$37</f>
        <v>99191</v>
      </c>
      <c r="J9" s="84">
        <f>'[11]0158313（ゆけむり）'!$AJ$37</f>
        <v>50444</v>
      </c>
      <c r="K9" s="84">
        <f>'[11]0139101（ちゃれんじ）'!$AJ$37</f>
        <v>583296</v>
      </c>
    </row>
    <row r="10" spans="1:11" ht="14.25" x14ac:dyDescent="0.15">
      <c r="A10" s="53" t="s">
        <v>102</v>
      </c>
      <c r="B10" s="73">
        <v>9533106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5019888</v>
      </c>
      <c r="C11" s="5"/>
      <c r="D11" s="23"/>
      <c r="F11" s="84">
        <f>'[11]2253865（助け合い）'!$AJ$37</f>
        <v>222641</v>
      </c>
      <c r="G11" s="89">
        <f>'[11]2253871（通所）'!$AJ$37</f>
        <v>484375</v>
      </c>
      <c r="H11" s="84">
        <f>'[11]2254321（ミニ）'!$AJ$37</f>
        <v>6886188</v>
      </c>
    </row>
    <row r="12" spans="1:11" ht="14.25" x14ac:dyDescent="0.15">
      <c r="A12" s="53" t="s">
        <v>128</v>
      </c>
      <c r="B12" s="74">
        <v>1521217</v>
      </c>
      <c r="C12" s="5"/>
      <c r="D12" s="23"/>
    </row>
    <row r="13" spans="1:11" ht="14.25" x14ac:dyDescent="0.15">
      <c r="A13" s="53" t="s">
        <v>129</v>
      </c>
      <c r="B13" s="75">
        <v>1628631</v>
      </c>
      <c r="C13" s="5"/>
      <c r="D13" s="12"/>
      <c r="E13" s="93" t="s">
        <v>142</v>
      </c>
      <c r="F13" s="94">
        <f>[11]JA0034628!$AJ$37</f>
        <v>568938</v>
      </c>
      <c r="G13" s="93" t="s">
        <v>143</v>
      </c>
      <c r="H13" s="94">
        <f>[11]ゆうちょ6473091!$AJ$37</f>
        <v>173053</v>
      </c>
      <c r="I13" s="93" t="s">
        <v>144</v>
      </c>
      <c r="J13" s="94">
        <f>[11]しま信0116975!$AJ$37</f>
        <v>289801</v>
      </c>
    </row>
    <row r="14" spans="1:11" ht="14.25" x14ac:dyDescent="0.15">
      <c r="A14" s="53" t="s">
        <v>130</v>
      </c>
      <c r="B14" s="75">
        <v>911770</v>
      </c>
      <c r="C14" s="5"/>
      <c r="D14" s="12"/>
    </row>
    <row r="15" spans="1:11" ht="14.25" x14ac:dyDescent="0.15">
      <c r="A15" s="55" t="s">
        <v>36</v>
      </c>
      <c r="B15" s="71">
        <v>23595239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4826570</v>
      </c>
      <c r="C16" s="11"/>
      <c r="D16" s="12"/>
      <c r="E16" t="s">
        <v>112</v>
      </c>
      <c r="F16" s="84">
        <f>'[12]未収金（認定調査委託料）'!$AJ$37</f>
        <v>9240</v>
      </c>
      <c r="G16" s="84">
        <f>'[12]未収金（居宅支援介護報酬）'!$AJ$37</f>
        <v>5110490</v>
      </c>
      <c r="H16" s="83"/>
    </row>
    <row r="17" spans="1:11" ht="14.25" x14ac:dyDescent="0.15">
      <c r="A17" s="54" t="s">
        <v>15</v>
      </c>
      <c r="B17" s="73">
        <v>12386665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1013998</v>
      </c>
      <c r="C18" s="11"/>
      <c r="D18" s="12"/>
      <c r="E18" t="s">
        <v>115</v>
      </c>
      <c r="F18" s="84">
        <f>'[12]未収金（通所保険請求）'!$AJ$37</f>
        <v>11757712</v>
      </c>
      <c r="G18" s="84">
        <f>'[12]未収金（通所利用者負担）'!$AJ$37</f>
        <v>1233924</v>
      </c>
      <c r="H18" s="84">
        <f>'[12]未収金（通所食費）'!$AJ$37</f>
        <v>733900</v>
      </c>
    </row>
    <row r="19" spans="1:11" ht="14.25" x14ac:dyDescent="0.15">
      <c r="A19" s="54" t="s">
        <v>16</v>
      </c>
      <c r="B19" s="73">
        <v>1906090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909779</v>
      </c>
      <c r="C20" s="5"/>
      <c r="D20" s="12"/>
      <c r="E20" t="s">
        <v>119</v>
      </c>
      <c r="F20" s="84">
        <f>'[12]未収金（ゆけむり保険請求）'!$AJ$37</f>
        <v>0</v>
      </c>
      <c r="G20" s="84">
        <f>'[12]未収金（ゆけむり利用者負担）'!$AJ$37</f>
        <v>14257</v>
      </c>
      <c r="H20" s="84">
        <f>'[12]未収金（ゆけむり食費）'!$AJ$37</f>
        <v>0</v>
      </c>
    </row>
    <row r="21" spans="1:11" ht="14.25" x14ac:dyDescent="0.15">
      <c r="A21" s="54" t="s">
        <v>167</v>
      </c>
      <c r="B21" s="73">
        <v>191908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168</v>
      </c>
      <c r="B22" s="73">
        <v>168797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85">
        <v>24300</v>
      </c>
      <c r="C23" s="5"/>
      <c r="D23" s="12"/>
      <c r="E23" t="s">
        <v>120</v>
      </c>
      <c r="F23" s="84">
        <f>'[12]未収金（予防通所保険請求）'!$AJ$37</f>
        <v>1344043</v>
      </c>
      <c r="G23" s="84">
        <f>'[12]未収金（予防通所利用者負担）'!$AJ$37</f>
        <v>78798</v>
      </c>
      <c r="H23" s="84">
        <f>'[12]未収金（予防通所食費）'!$AJ$37</f>
        <v>104300</v>
      </c>
    </row>
    <row r="24" spans="1:11" ht="14.25" x14ac:dyDescent="0.15">
      <c r="A24" s="54" t="s">
        <v>81</v>
      </c>
      <c r="B24" s="73">
        <v>405632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85">
        <v>53900</v>
      </c>
      <c r="C25" s="5"/>
      <c r="D25" s="12"/>
      <c r="E25" t="s">
        <v>121</v>
      </c>
      <c r="F25" s="84">
        <f>'[12]未収金（処遇改善保険請求）'!$AJ$37</f>
        <v>1210522</v>
      </c>
      <c r="G25" s="84">
        <f>'[12]未収金（処遇改善利用者負担）'!$AJ$37</f>
        <v>116787</v>
      </c>
      <c r="H25" s="83"/>
      <c r="I25" s="99" t="s">
        <v>169</v>
      </c>
      <c r="J25" s="94">
        <f>'[12]未収金（ベースアップ加算保険請求）'!$AJ$37</f>
        <v>198</v>
      </c>
      <c r="K25" s="94">
        <f>'[12]未収金（ベースアップ加算利用者負担）'!$AJ$37</f>
        <v>343</v>
      </c>
    </row>
    <row r="26" spans="1:11" ht="14.25" x14ac:dyDescent="0.15">
      <c r="A26" s="54" t="s">
        <v>17</v>
      </c>
      <c r="B26" s="86">
        <v>1701100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87">
        <v>6500</v>
      </c>
      <c r="C27" s="5"/>
      <c r="D27" s="12"/>
      <c r="E27" t="s">
        <v>122</v>
      </c>
      <c r="F27" s="84">
        <f>'[12]未収金（特定処遇改善保険請求）'!$AJ$37</f>
        <v>0</v>
      </c>
      <c r="G27" s="84">
        <f>'[12]未収金（特定処遇改善利用者負担）'!$AJ$37</f>
        <v>3289</v>
      </c>
      <c r="H27" s="83"/>
    </row>
    <row r="28" spans="1:11" ht="14.25" x14ac:dyDescent="0.15">
      <c r="A28" s="54" t="s">
        <v>79</v>
      </c>
      <c r="B28" s="85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88">
        <v>501629</v>
      </c>
      <c r="C29" s="15" t="s">
        <v>0</v>
      </c>
      <c r="D29" s="12"/>
      <c r="E29" t="s">
        <v>123</v>
      </c>
      <c r="F29" s="84">
        <f>'[12]未収金（サロン保険請求）'!$AJ$37</f>
        <v>316516</v>
      </c>
      <c r="G29" s="84">
        <f>'[12]未収金（サロン利用者負担）'!$AJ$37</f>
        <v>21602</v>
      </c>
      <c r="H29" s="84">
        <f>'[12]未収金（サロン食費）'!$AJ$37</f>
        <v>31500</v>
      </c>
    </row>
    <row r="30" spans="1:11" ht="14.25" x14ac:dyDescent="0.15">
      <c r="A30" s="61" t="s">
        <v>96</v>
      </c>
      <c r="B30" s="71">
        <v>500500</v>
      </c>
      <c r="C30" s="15"/>
      <c r="D30" s="12"/>
    </row>
    <row r="31" spans="1:11" ht="14.25" x14ac:dyDescent="0.15">
      <c r="A31" s="61" t="s">
        <v>38</v>
      </c>
      <c r="B31" s="7"/>
      <c r="C31" s="77">
        <v>43214365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44213471</v>
      </c>
      <c r="C34" s="5"/>
      <c r="D34" s="12"/>
      <c r="E34" t="s">
        <v>146</v>
      </c>
      <c r="F34" s="95">
        <f>'[13]建物（ほっと本体）'!$AJ$5</f>
        <v>225002</v>
      </c>
      <c r="G34" s="95">
        <f>'[13]建物（ほっと2階）'!$AJ$5</f>
        <v>159976</v>
      </c>
      <c r="H34" s="95">
        <f>'[13]建物（新庄）'!$AJ$5</f>
        <v>14958933</v>
      </c>
      <c r="I34" s="95">
        <f>'[13]建物（ゆけむり）'!$AJ$5</f>
        <v>22564101</v>
      </c>
      <c r="J34" s="95">
        <f>'[13]建物（ほっと浴室）'!$AJ$5</f>
        <v>3600857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96">
        <f>'[13]附属建物（厨房）'!$AJ$5</f>
        <v>1</v>
      </c>
      <c r="G35" s="96">
        <f>'[13]附属建物（浴室）'!$AJ$5</f>
        <v>1</v>
      </c>
      <c r="H35" s="96">
        <f>'[13]附属建物（便所）'!$AJ$5</f>
        <v>1</v>
      </c>
      <c r="I35" s="96">
        <f>'[13]附属建物（廊下）'!$AJ$5</f>
        <v>1</v>
      </c>
      <c r="J35" s="96">
        <f>'[13]附属設備（電気設備その他）'!$AJ$5</f>
        <v>82438</v>
      </c>
      <c r="K35" s="96">
        <f>'[13]附属設備（給排水衛生設備）'!$AJ$5</f>
        <v>94536</v>
      </c>
      <c r="L35" s="96">
        <f>'[13]附属設備（消火排煙設備）'!$AJ$5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96">
        <f>'[13]附属設備（新庄電気設備）'!$AJ$5</f>
        <v>365715</v>
      </c>
      <c r="G36" s="96">
        <f>'[13]附属設備（新庄給排水設備）'!$AJ$5</f>
        <v>446005</v>
      </c>
      <c r="H36" s="96">
        <f>'[13]附属設備（電気設備）'!$AJ$5</f>
        <v>1028074</v>
      </c>
      <c r="I36" s="96">
        <f>'[13]附属設備（給排水設備）'!$AJ$5</f>
        <v>529605</v>
      </c>
      <c r="J36" s="96">
        <f>'[13]附属設備（新庄浴槽改装ガス給湯設備）'!$AJ$6</f>
        <v>513845</v>
      </c>
      <c r="K36" s="96">
        <f>'[13]附属設備（ほっと浴室移設電気工事）'!$AJ$5</f>
        <v>851136</v>
      </c>
      <c r="L36" s="96">
        <f>'[13]附属設備（ほっと浴室移設給排水設備）'!$AJ$5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94">
        <f>'[13]構築物（舗装工事）'!$AJ$5</f>
        <v>1</v>
      </c>
      <c r="G37" s="94">
        <f>'[13]構築物（ゆけむり）'!$AJ$5</f>
        <v>358351</v>
      </c>
      <c r="H37" s="94">
        <f>'[13]構築物（新庄駐車場舗装）'!$AJ$5</f>
        <v>821220</v>
      </c>
    </row>
    <row r="38" spans="1:12" ht="14.25" x14ac:dyDescent="0.15">
      <c r="A38" s="55" t="s">
        <v>40</v>
      </c>
      <c r="B38" s="71">
        <v>2556592</v>
      </c>
      <c r="C38" s="5"/>
      <c r="D38" s="12"/>
      <c r="E38" t="s">
        <v>149</v>
      </c>
      <c r="F38" s="98">
        <f>'[13]器具備品（新庄玄関エアコン）'!$AJ$5</f>
        <v>31800</v>
      </c>
      <c r="G38" s="98">
        <f>'[13]器具備品（新庄事務室エアコン）'!$AJ$5</f>
        <v>173084</v>
      </c>
    </row>
    <row r="39" spans="1:12" ht="14.25" x14ac:dyDescent="0.15">
      <c r="A39" s="55" t="s">
        <v>41</v>
      </c>
      <c r="B39" s="88">
        <v>110600</v>
      </c>
      <c r="C39" s="5"/>
      <c r="D39" s="12"/>
      <c r="E39" t="s">
        <v>150</v>
      </c>
      <c r="F39" s="94">
        <f>'[13]車両（タウンボックス）'!$AJ$5</f>
        <v>1</v>
      </c>
      <c r="G39" s="94">
        <f>'[13]車両（はとバン）'!$AJ$5</f>
        <v>1</v>
      </c>
      <c r="H39" s="94">
        <f>'[13]車両（ノア）'!$AJ$5</f>
        <v>1</v>
      </c>
      <c r="I39" s="94">
        <f>'[13]車両（セレナ）'!$AJ$5</f>
        <v>1</v>
      </c>
      <c r="J39" s="94">
        <f>'[13]車両（アトレー１）'!$AJ$5</f>
        <v>1</v>
      </c>
      <c r="K39" s="94">
        <f>'[13]車両（アトレー４）'!$AJ$5</f>
        <v>2078860</v>
      </c>
      <c r="L39" s="94">
        <f>'[13]車両（キャラ３）'!$AJ$5</f>
        <v>0</v>
      </c>
    </row>
    <row r="40" spans="1:12" ht="14.25" x14ac:dyDescent="0.15">
      <c r="A40" s="55" t="s">
        <v>42</v>
      </c>
      <c r="B40" s="88">
        <v>50000</v>
      </c>
      <c r="C40" s="11"/>
      <c r="D40" s="12"/>
      <c r="F40" s="94">
        <f>'[13]車両（フリード２）'!$AJ$5</f>
        <v>477725</v>
      </c>
      <c r="G40" s="94">
        <f>'[13]車両（セブン２）'!$AJ$5</f>
        <v>1</v>
      </c>
      <c r="H40" s="94">
        <f>'[13]車両（EK３）'!$AJ$5</f>
        <v>1</v>
      </c>
    </row>
    <row r="41" spans="1:12" ht="14.25" x14ac:dyDescent="0.15">
      <c r="A41" s="55" t="s">
        <v>66</v>
      </c>
      <c r="B41" s="88"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v>53508120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v>96722485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88">
        <v>503149</v>
      </c>
      <c r="C48" s="5"/>
      <c r="D48" s="78"/>
    </row>
    <row r="49" spans="1:7" ht="14.25" x14ac:dyDescent="0.15">
      <c r="A49" s="55" t="s">
        <v>33</v>
      </c>
      <c r="B49" s="71">
        <v>0</v>
      </c>
      <c r="C49" s="5"/>
      <c r="D49" s="12"/>
    </row>
    <row r="50" spans="1:7" ht="6.75" customHeight="1" x14ac:dyDescent="0.15">
      <c r="A50" s="59"/>
      <c r="B50" s="79"/>
      <c r="C50" s="11"/>
      <c r="D50" s="12"/>
    </row>
    <row r="51" spans="1:7" ht="14.25" x14ac:dyDescent="0.15">
      <c r="A51" s="55" t="s">
        <v>31</v>
      </c>
      <c r="B51" s="80"/>
      <c r="C51" s="37">
        <v>503149</v>
      </c>
      <c r="D51" s="23"/>
      <c r="E51" t="s">
        <v>108</v>
      </c>
    </row>
    <row r="52" spans="1:7" ht="11.25" customHeight="1" x14ac:dyDescent="0.15">
      <c r="A52" s="3"/>
      <c r="B52" s="14"/>
      <c r="C52" s="34"/>
      <c r="D52" s="25"/>
    </row>
    <row r="53" spans="1:7" ht="14.25" x14ac:dyDescent="0.15">
      <c r="A53" s="55" t="s">
        <v>22</v>
      </c>
      <c r="B53" s="19"/>
      <c r="C53" s="81"/>
      <c r="D53" s="23"/>
    </row>
    <row r="54" spans="1:7" ht="14.25" x14ac:dyDescent="0.15">
      <c r="A54" s="55" t="s">
        <v>30</v>
      </c>
      <c r="B54" s="88">
        <v>23052000</v>
      </c>
      <c r="C54" s="11"/>
      <c r="D54" s="25"/>
    </row>
    <row r="55" spans="1:7" ht="14.25" x14ac:dyDescent="0.15">
      <c r="A55" s="9"/>
      <c r="B55" s="19"/>
      <c r="C55" s="11"/>
      <c r="D55" s="25"/>
      <c r="G55" t="s">
        <v>108</v>
      </c>
    </row>
    <row r="56" spans="1:7" ht="14.25" x14ac:dyDescent="0.15">
      <c r="A56" s="61" t="s">
        <v>29</v>
      </c>
      <c r="B56" s="10"/>
      <c r="C56" s="37">
        <v>23052000</v>
      </c>
      <c r="D56" s="23"/>
    </row>
    <row r="57" spans="1:7" ht="6.75" customHeight="1" x14ac:dyDescent="0.15">
      <c r="A57" s="3"/>
      <c r="B57" s="19"/>
      <c r="C57" s="11"/>
      <c r="D57" s="23"/>
    </row>
    <row r="58" spans="1:7" ht="14.25" x14ac:dyDescent="0.15">
      <c r="A58" s="58" t="s">
        <v>24</v>
      </c>
      <c r="B58" s="40"/>
      <c r="C58" s="40"/>
      <c r="D58" s="38">
        <v>23555149</v>
      </c>
    </row>
    <row r="59" spans="1:7" ht="11.25" customHeight="1" x14ac:dyDescent="0.15">
      <c r="A59" s="3"/>
      <c r="B59" s="19"/>
      <c r="C59" s="11"/>
      <c r="D59" s="23"/>
    </row>
    <row r="60" spans="1:7" ht="14.25" x14ac:dyDescent="0.15">
      <c r="A60" s="55" t="s">
        <v>3</v>
      </c>
      <c r="B60" s="30"/>
      <c r="C60" s="35"/>
      <c r="D60" s="31"/>
    </row>
    <row r="61" spans="1:7" ht="15" customHeight="1" x14ac:dyDescent="0.15">
      <c r="A61" s="55" t="s">
        <v>27</v>
      </c>
      <c r="B61" s="10"/>
      <c r="C61" s="39"/>
      <c r="D61" s="39">
        <v>0</v>
      </c>
    </row>
    <row r="62" spans="1:7" ht="15.75" customHeight="1" x14ac:dyDescent="0.15">
      <c r="A62" s="55" t="s">
        <v>28</v>
      </c>
      <c r="B62" s="47"/>
      <c r="C62" s="9"/>
      <c r="D62" s="43">
        <v>73167336</v>
      </c>
      <c r="F62" s="100" t="s">
        <v>124</v>
      </c>
    </row>
    <row r="63" spans="1:7" ht="15.75" customHeight="1" x14ac:dyDescent="0.15">
      <c r="A63" s="59" t="s">
        <v>11</v>
      </c>
      <c r="B63" s="9"/>
      <c r="D63" s="70">
        <v>-18434173</v>
      </c>
      <c r="F63" s="92">
        <f>D63-[10]令和５年度!$P$74</f>
        <v>1022343</v>
      </c>
    </row>
    <row r="64" spans="1:7" ht="16.5" customHeight="1" x14ac:dyDescent="0.15">
      <c r="A64" s="55" t="s">
        <v>26</v>
      </c>
      <c r="B64" s="22"/>
      <c r="C64" s="48"/>
      <c r="D64" s="44">
        <v>73167336</v>
      </c>
      <c r="F64" s="91"/>
    </row>
    <row r="65" spans="1:6" ht="14.25" x14ac:dyDescent="0.15">
      <c r="A65" s="55" t="s">
        <v>25</v>
      </c>
      <c r="B65" s="22"/>
      <c r="C65" s="9"/>
      <c r="D65" s="69">
        <v>96722485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7750D-9B54-4A21-A9C4-71B43879357A}">
  <dimension ref="A1:G103"/>
  <sheetViews>
    <sheetView topLeftCell="A43" zoomScaleNormal="100" workbookViewId="0">
      <selection activeCell="B4" sqref="B4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</cols>
  <sheetData>
    <row r="1" spans="1:7" ht="17.25" x14ac:dyDescent="0.2">
      <c r="A1" s="1" t="s">
        <v>74</v>
      </c>
      <c r="B1" s="1"/>
    </row>
    <row r="2" spans="1:7" ht="17.25" customHeight="1" x14ac:dyDescent="0.15">
      <c r="A2" s="111" t="s">
        <v>76</v>
      </c>
      <c r="B2" s="111"/>
      <c r="C2" s="111"/>
      <c r="D2" s="111"/>
    </row>
    <row r="3" spans="1:7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7" ht="15" customHeight="1" x14ac:dyDescent="0.15">
      <c r="C4" s="115" t="s">
        <v>49</v>
      </c>
      <c r="D4" s="115"/>
      <c r="F4" s="46"/>
    </row>
    <row r="5" spans="1:7" ht="17.25" x14ac:dyDescent="0.2">
      <c r="A5" s="56" t="s">
        <v>5</v>
      </c>
      <c r="B5" s="50"/>
      <c r="C5" s="49" t="s">
        <v>4</v>
      </c>
      <c r="D5" s="49"/>
    </row>
    <row r="6" spans="1:7" ht="14.25" x14ac:dyDescent="0.15">
      <c r="A6" s="55" t="s">
        <v>2</v>
      </c>
      <c r="B6" s="24"/>
      <c r="C6" s="4"/>
      <c r="D6" s="28"/>
    </row>
    <row r="7" spans="1:7" ht="14.25" x14ac:dyDescent="0.15">
      <c r="A7" s="55" t="s">
        <v>19</v>
      </c>
      <c r="B7" s="14"/>
      <c r="C7" s="5"/>
      <c r="D7" s="12"/>
    </row>
    <row r="8" spans="1:7" ht="14.25" x14ac:dyDescent="0.15">
      <c r="A8" s="55" t="s">
        <v>34</v>
      </c>
      <c r="B8" s="51">
        <v>2445</v>
      </c>
      <c r="C8" s="5"/>
      <c r="D8" s="12"/>
    </row>
    <row r="9" spans="1:7" ht="14.25" x14ac:dyDescent="0.15">
      <c r="A9" s="55" t="s">
        <v>35</v>
      </c>
      <c r="B9" s="27">
        <f>SUM(B10:B14)</f>
        <v>10889679</v>
      </c>
      <c r="C9" s="5"/>
      <c r="D9" s="12"/>
    </row>
    <row r="10" spans="1:7" ht="14.25" x14ac:dyDescent="0.15">
      <c r="A10" s="53" t="s">
        <v>13</v>
      </c>
      <c r="B10" s="67">
        <f>8741328+8843+51432+324372+380428+115417</f>
        <v>9621820</v>
      </c>
      <c r="C10" s="5"/>
      <c r="D10" s="23"/>
    </row>
    <row r="11" spans="1:7" ht="14.25" x14ac:dyDescent="0.15">
      <c r="A11" s="54" t="s">
        <v>12</v>
      </c>
      <c r="B11" s="67">
        <f>372090+430683+246723</f>
        <v>1049496</v>
      </c>
      <c r="C11" s="5"/>
      <c r="D11" s="23"/>
    </row>
    <row r="12" spans="1:7" ht="14.25" x14ac:dyDescent="0.15">
      <c r="A12" s="53" t="s">
        <v>45</v>
      </c>
      <c r="B12" s="32">
        <v>4446</v>
      </c>
      <c r="C12" s="5"/>
      <c r="D12" s="23"/>
    </row>
    <row r="13" spans="1:7" ht="14.25" x14ac:dyDescent="0.15">
      <c r="A13" s="53" t="s">
        <v>44</v>
      </c>
      <c r="B13" s="41">
        <v>7210</v>
      </c>
      <c r="C13" s="5"/>
      <c r="D13" s="12"/>
    </row>
    <row r="14" spans="1:7" ht="14.25" x14ac:dyDescent="0.15">
      <c r="A14" s="53" t="s">
        <v>46</v>
      </c>
      <c r="B14" s="41">
        <v>206707</v>
      </c>
      <c r="C14" s="5"/>
      <c r="D14" s="12"/>
    </row>
    <row r="15" spans="1:7" ht="14.25" x14ac:dyDescent="0.15">
      <c r="A15" s="55" t="s">
        <v>36</v>
      </c>
      <c r="B15" s="27">
        <f>SUM(B16:B23)</f>
        <v>30806059</v>
      </c>
      <c r="C15" s="6"/>
      <c r="D15" s="12"/>
    </row>
    <row r="16" spans="1:7" ht="14.25" x14ac:dyDescent="0.15">
      <c r="A16" s="54" t="s">
        <v>14</v>
      </c>
      <c r="B16" s="32">
        <f>35100+5015810</f>
        <v>5050910</v>
      </c>
      <c r="C16" s="11"/>
      <c r="D16" s="12"/>
    </row>
    <row r="17" spans="1:4" ht="14.25" x14ac:dyDescent="0.15">
      <c r="A17" s="54" t="s">
        <v>15</v>
      </c>
      <c r="B17" s="32">
        <f>16049946+1487212+800400</f>
        <v>18337558</v>
      </c>
      <c r="C17" s="5"/>
      <c r="D17" s="12"/>
    </row>
    <row r="18" spans="1:4" ht="14.25" x14ac:dyDescent="0.15">
      <c r="A18" s="53" t="s">
        <v>58</v>
      </c>
      <c r="B18" s="32">
        <f>2664126+322916+62400</f>
        <v>3049442</v>
      </c>
      <c r="C18" s="11"/>
      <c r="D18" s="12"/>
    </row>
    <row r="19" spans="1:4" ht="14.25" x14ac:dyDescent="0.15">
      <c r="A19" s="54" t="s">
        <v>16</v>
      </c>
      <c r="B19" s="67">
        <f>1613826+128300+103617</f>
        <v>1845743</v>
      </c>
      <c r="C19" s="5"/>
      <c r="D19" s="12"/>
    </row>
    <row r="20" spans="1:4" ht="14.25" x14ac:dyDescent="0.15">
      <c r="A20" s="54" t="s">
        <v>67</v>
      </c>
      <c r="B20" s="67">
        <f>887743+85713</f>
        <v>973456</v>
      </c>
      <c r="C20" s="5"/>
      <c r="D20" s="12"/>
    </row>
    <row r="21" spans="1:4" ht="14.25" x14ac:dyDescent="0.15">
      <c r="A21" s="54" t="s">
        <v>72</v>
      </c>
      <c r="B21" s="67">
        <v>19800</v>
      </c>
      <c r="C21" s="5"/>
      <c r="D21" s="12"/>
    </row>
    <row r="22" spans="1:4" ht="14.25" x14ac:dyDescent="0.15">
      <c r="A22" s="54" t="s">
        <v>17</v>
      </c>
      <c r="B22" s="32">
        <v>1484650</v>
      </c>
      <c r="C22" s="5"/>
      <c r="D22" s="12"/>
    </row>
    <row r="23" spans="1:4" ht="14.25" x14ac:dyDescent="0.15">
      <c r="A23" s="54" t="s">
        <v>71</v>
      </c>
      <c r="B23" s="41">
        <v>44500</v>
      </c>
      <c r="C23" s="5"/>
      <c r="D23" s="12"/>
    </row>
    <row r="24" spans="1:4" ht="14.25" x14ac:dyDescent="0.15">
      <c r="A24" s="55" t="s">
        <v>37</v>
      </c>
      <c r="B24" s="27">
        <v>632604</v>
      </c>
      <c r="C24" s="15" t="s">
        <v>0</v>
      </c>
      <c r="D24" s="12"/>
    </row>
    <row r="25" spans="1:4" ht="14.25" x14ac:dyDescent="0.15">
      <c r="A25" s="61" t="s">
        <v>38</v>
      </c>
      <c r="B25" s="7"/>
      <c r="C25" s="36">
        <f>B8+B9+B15+B24</f>
        <v>42330787</v>
      </c>
      <c r="D25" s="12"/>
    </row>
    <row r="26" spans="1:4" ht="11.25" customHeight="1" x14ac:dyDescent="0.15">
      <c r="A26" s="11"/>
      <c r="B26" s="14"/>
      <c r="C26" s="5"/>
      <c r="D26" s="29" t="s">
        <v>0</v>
      </c>
    </row>
    <row r="27" spans="1:4" ht="14.25" x14ac:dyDescent="0.15">
      <c r="A27" s="55" t="s">
        <v>20</v>
      </c>
      <c r="B27" s="26" t="s">
        <v>0</v>
      </c>
      <c r="C27" s="5"/>
      <c r="D27" s="25"/>
    </row>
    <row r="28" spans="1:4" ht="14.25" x14ac:dyDescent="0.15">
      <c r="A28" s="55" t="s">
        <v>39</v>
      </c>
      <c r="B28" s="27">
        <f>1515000+1147709+23262117+27865599</f>
        <v>53790425</v>
      </c>
      <c r="C28" s="5"/>
      <c r="D28" s="12"/>
    </row>
    <row r="29" spans="1:4" ht="14.25" x14ac:dyDescent="0.15">
      <c r="A29" s="55" t="s">
        <v>54</v>
      </c>
      <c r="B29" s="27">
        <f>114002+58001+55125+63000+190837+218843+25882+1150136+1402640+2588624+1333507+1049200</f>
        <v>8249797</v>
      </c>
      <c r="C29" s="5"/>
      <c r="D29" s="12"/>
    </row>
    <row r="30" spans="1:4" ht="14.25" x14ac:dyDescent="0.15">
      <c r="A30" s="55" t="s">
        <v>55</v>
      </c>
      <c r="B30" s="27">
        <f>73977+1015087+1795762</f>
        <v>2884826</v>
      </c>
      <c r="C30" s="5"/>
      <c r="D30" s="12"/>
    </row>
    <row r="31" spans="1:4" ht="14.25" x14ac:dyDescent="0.15">
      <c r="A31" s="55" t="s">
        <v>75</v>
      </c>
      <c r="B31" s="27">
        <v>387244</v>
      </c>
      <c r="C31" s="5"/>
      <c r="D31" s="12"/>
    </row>
    <row r="32" spans="1:4" ht="14.25" x14ac:dyDescent="0.15">
      <c r="A32" s="55" t="s">
        <v>40</v>
      </c>
      <c r="B32" s="27">
        <f>1+5+43979+1322127+1+1+1+1+1+1+1</f>
        <v>1366119</v>
      </c>
      <c r="C32" s="5"/>
      <c r="D32" s="12"/>
    </row>
    <row r="33" spans="1:4" ht="14.25" x14ac:dyDescent="0.15">
      <c r="A33" s="55" t="s">
        <v>41</v>
      </c>
      <c r="B33" s="27">
        <v>110600</v>
      </c>
      <c r="C33" s="5"/>
      <c r="D33" s="12"/>
    </row>
    <row r="34" spans="1:4" ht="14.25" x14ac:dyDescent="0.15">
      <c r="A34" s="55" t="s">
        <v>42</v>
      </c>
      <c r="B34" s="27">
        <v>50000</v>
      </c>
      <c r="C34" s="11"/>
      <c r="D34" s="12"/>
    </row>
    <row r="35" spans="1:4" ht="14.25" x14ac:dyDescent="0.15">
      <c r="A35" s="55" t="s">
        <v>66</v>
      </c>
      <c r="B35" s="27">
        <f>31640+9850+9850</f>
        <v>51340</v>
      </c>
      <c r="C35" s="6"/>
      <c r="D35" s="12"/>
    </row>
    <row r="36" spans="1:4" ht="14.25" x14ac:dyDescent="0.15">
      <c r="A36" s="61" t="s">
        <v>43</v>
      </c>
      <c r="B36" s="8"/>
      <c r="C36" s="37">
        <f>SUM(B28:B35)</f>
        <v>66890351</v>
      </c>
      <c r="D36" s="12"/>
    </row>
    <row r="37" spans="1:4" ht="14.25" x14ac:dyDescent="0.15">
      <c r="A37" s="11"/>
      <c r="B37" s="19"/>
      <c r="C37" s="5"/>
      <c r="D37" s="12"/>
    </row>
    <row r="38" spans="1:4" ht="14.25" x14ac:dyDescent="0.15">
      <c r="A38" s="58" t="s">
        <v>23</v>
      </c>
      <c r="B38" s="8"/>
      <c r="C38" s="10"/>
      <c r="D38" s="38">
        <f>C25+C36</f>
        <v>109221138</v>
      </c>
    </row>
    <row r="39" spans="1:4" ht="11.25" customHeight="1" x14ac:dyDescent="0.15">
      <c r="A39" s="9"/>
      <c r="B39" s="62"/>
      <c r="C39" s="62"/>
      <c r="D39" s="62"/>
    </row>
    <row r="40" spans="1:4" ht="14.25" x14ac:dyDescent="0.15">
      <c r="A40" s="60" t="s">
        <v>18</v>
      </c>
      <c r="B40" s="26"/>
      <c r="C40" s="5"/>
      <c r="D40" s="12"/>
    </row>
    <row r="41" spans="1:4" ht="14.25" x14ac:dyDescent="0.15">
      <c r="A41" s="55" t="s">
        <v>21</v>
      </c>
      <c r="B41" s="26"/>
      <c r="C41" s="5"/>
      <c r="D41" s="23"/>
    </row>
    <row r="42" spans="1:4" ht="14.25" x14ac:dyDescent="0.15">
      <c r="A42" s="55" t="s">
        <v>32</v>
      </c>
      <c r="B42" s="27">
        <v>576885</v>
      </c>
      <c r="C42" s="5"/>
      <c r="D42" s="29"/>
    </row>
    <row r="43" spans="1:4" ht="14.25" x14ac:dyDescent="0.15">
      <c r="A43" s="55" t="s">
        <v>33</v>
      </c>
      <c r="B43" s="27"/>
      <c r="C43" s="5"/>
      <c r="D43" s="12"/>
    </row>
    <row r="44" spans="1:4" ht="14.25" x14ac:dyDescent="0.15">
      <c r="A44" s="59"/>
      <c r="B44" s="26"/>
      <c r="C44" s="11"/>
      <c r="D44" s="12"/>
    </row>
    <row r="45" spans="1:4" ht="14.25" x14ac:dyDescent="0.15">
      <c r="A45" s="55" t="s">
        <v>31</v>
      </c>
      <c r="B45" s="8"/>
      <c r="C45" s="37">
        <f>B42+B43</f>
        <v>576885</v>
      </c>
      <c r="D45" s="23"/>
    </row>
    <row r="46" spans="1:4" ht="11.25" customHeight="1" x14ac:dyDescent="0.15">
      <c r="A46" s="3"/>
      <c r="B46" s="14"/>
      <c r="C46" s="34"/>
      <c r="D46" s="25"/>
    </row>
    <row r="47" spans="1:4" ht="14.25" x14ac:dyDescent="0.15">
      <c r="A47" s="55" t="s">
        <v>22</v>
      </c>
      <c r="B47" s="19"/>
      <c r="C47" s="33"/>
      <c r="D47" s="23"/>
    </row>
    <row r="48" spans="1:4" ht="14.25" x14ac:dyDescent="0.15">
      <c r="A48" s="55" t="s">
        <v>30</v>
      </c>
      <c r="B48" s="27">
        <f>9000000+8878000</f>
        <v>17878000</v>
      </c>
      <c r="C48" s="11"/>
      <c r="D48" s="25"/>
    </row>
    <row r="49" spans="1:4" ht="14.25" x14ac:dyDescent="0.15">
      <c r="A49" s="9"/>
      <c r="B49" s="19"/>
      <c r="C49" s="11"/>
      <c r="D49" s="25"/>
    </row>
    <row r="50" spans="1:4" ht="14.25" x14ac:dyDescent="0.15">
      <c r="A50" s="61" t="s">
        <v>29</v>
      </c>
      <c r="B50" s="10"/>
      <c r="C50" s="37">
        <f>B48</f>
        <v>17878000</v>
      </c>
      <c r="D50" s="23"/>
    </row>
    <row r="51" spans="1:4" ht="14.25" x14ac:dyDescent="0.15">
      <c r="A51" s="3"/>
      <c r="B51" s="19"/>
      <c r="C51" s="11"/>
      <c r="D51" s="23"/>
    </row>
    <row r="52" spans="1:4" ht="14.25" x14ac:dyDescent="0.15">
      <c r="A52" s="58" t="s">
        <v>24</v>
      </c>
      <c r="B52" s="40"/>
      <c r="C52" s="40"/>
      <c r="D52" s="38">
        <f>C45+C50</f>
        <v>18454885</v>
      </c>
    </row>
    <row r="53" spans="1:4" ht="11.25" customHeight="1" x14ac:dyDescent="0.15">
      <c r="A53" s="3"/>
      <c r="B53" s="19"/>
      <c r="C53" s="11"/>
      <c r="D53" s="23"/>
    </row>
    <row r="54" spans="1:4" ht="14.25" x14ac:dyDescent="0.15">
      <c r="A54" s="55" t="s">
        <v>3</v>
      </c>
      <c r="B54" s="30"/>
      <c r="C54" s="35"/>
      <c r="D54" s="31"/>
    </row>
    <row r="55" spans="1:4" ht="15" customHeight="1" x14ac:dyDescent="0.15">
      <c r="A55" s="55" t="s">
        <v>27</v>
      </c>
      <c r="B55" s="10"/>
      <c r="C55" s="39"/>
      <c r="D55" s="39">
        <v>0</v>
      </c>
    </row>
    <row r="56" spans="1:4" ht="15.75" customHeight="1" x14ac:dyDescent="0.15">
      <c r="A56" s="55" t="s">
        <v>28</v>
      </c>
      <c r="B56" s="47"/>
      <c r="C56" s="9"/>
      <c r="D56" s="43">
        <f>D38-D52</f>
        <v>90766253</v>
      </c>
    </row>
    <row r="57" spans="1:4" ht="15.75" customHeight="1" x14ac:dyDescent="0.15">
      <c r="A57" s="59" t="s">
        <v>11</v>
      </c>
      <c r="B57" s="9"/>
      <c r="D57" s="42">
        <f>D56-'27.3月'!D55</f>
        <v>2524515</v>
      </c>
    </row>
    <row r="58" spans="1:4" ht="16.5" customHeight="1" x14ac:dyDescent="0.15">
      <c r="A58" s="55" t="s">
        <v>26</v>
      </c>
      <c r="B58" s="22"/>
      <c r="C58" s="48"/>
      <c r="D58" s="44">
        <f>D56</f>
        <v>90766253</v>
      </c>
    </row>
    <row r="59" spans="1:4" ht="14.25" x14ac:dyDescent="0.15">
      <c r="A59" s="55" t="s">
        <v>25</v>
      </c>
      <c r="B59" s="22"/>
      <c r="C59" s="9"/>
      <c r="D59" s="69">
        <f>D52+D58</f>
        <v>109221138</v>
      </c>
    </row>
    <row r="60" spans="1:4" x14ac:dyDescent="0.15">
      <c r="B60" s="2"/>
      <c r="D60" s="68"/>
    </row>
    <row r="61" spans="1:4" ht="12.75" customHeight="1" x14ac:dyDescent="0.2">
      <c r="A61" s="1"/>
    </row>
    <row r="62" spans="1:4" x14ac:dyDescent="0.15">
      <c r="A62" s="45"/>
      <c r="B62" s="45"/>
      <c r="D62" s="68"/>
    </row>
    <row r="63" spans="1:4" x14ac:dyDescent="0.15">
      <c r="C63" s="52"/>
      <c r="D63" s="45"/>
    </row>
    <row r="65" spans="1:4" x14ac:dyDescent="0.15">
      <c r="C65" s="52"/>
    </row>
    <row r="67" spans="1:4" ht="13.5" customHeight="1" x14ac:dyDescent="0.2">
      <c r="A67" s="21"/>
    </row>
    <row r="68" spans="1:4" ht="14.25" x14ac:dyDescent="0.15">
      <c r="A68" s="17"/>
    </row>
    <row r="69" spans="1:4" ht="14.25" x14ac:dyDescent="0.15">
      <c r="A69" s="17"/>
    </row>
    <row r="70" spans="1:4" ht="14.25" x14ac:dyDescent="0.15">
      <c r="A70" s="17"/>
    </row>
    <row r="71" spans="1:4" ht="14.25" x14ac:dyDescent="0.15">
      <c r="A71" s="17"/>
      <c r="B71" s="13"/>
      <c r="C71" s="17"/>
      <c r="D71" s="17"/>
    </row>
    <row r="72" spans="1:4" ht="14.25" x14ac:dyDescent="0.15">
      <c r="A72" s="17"/>
      <c r="B72" s="13"/>
      <c r="C72" s="17"/>
      <c r="D72" s="17"/>
    </row>
    <row r="73" spans="1:4" ht="14.25" x14ac:dyDescent="0.15">
      <c r="A73" s="17"/>
      <c r="B73" s="20"/>
      <c r="C73" s="17"/>
      <c r="D73" s="17"/>
    </row>
    <row r="74" spans="1:4" ht="14.25" x14ac:dyDescent="0.15">
      <c r="A74" s="17"/>
      <c r="B74" s="13"/>
      <c r="C74" s="17"/>
      <c r="D74" s="17"/>
    </row>
    <row r="75" spans="1:4" ht="14.25" x14ac:dyDescent="0.15">
      <c r="A75" s="17"/>
      <c r="B75" s="13"/>
      <c r="C75" s="13"/>
      <c r="D75" s="17"/>
    </row>
    <row r="76" spans="1:4" ht="14.25" x14ac:dyDescent="0.15">
      <c r="B76" s="17"/>
      <c r="C76" s="18"/>
      <c r="D76" s="17"/>
    </row>
    <row r="77" spans="1:4" ht="14.25" x14ac:dyDescent="0.15">
      <c r="A77" s="17"/>
      <c r="B77" s="17"/>
      <c r="C77" s="18"/>
      <c r="D77" s="17"/>
    </row>
    <row r="78" spans="1:4" ht="14.25" x14ac:dyDescent="0.15">
      <c r="C78" s="17"/>
      <c r="D78" s="17"/>
    </row>
    <row r="79" spans="1:4" ht="14.25" x14ac:dyDescent="0.15">
      <c r="A79" s="17"/>
      <c r="C79" s="17"/>
      <c r="D79" s="17"/>
    </row>
    <row r="80" spans="1:4" ht="14.25" x14ac:dyDescent="0.15">
      <c r="A80" s="17"/>
      <c r="B80" s="20"/>
      <c r="C80" s="18"/>
      <c r="D80" s="17"/>
    </row>
    <row r="81" spans="1:4" ht="14.25" x14ac:dyDescent="0.15">
      <c r="A81" s="17"/>
      <c r="B81" s="13"/>
      <c r="D81" s="17"/>
    </row>
    <row r="82" spans="1:4" ht="14.25" x14ac:dyDescent="0.15">
      <c r="B82" s="17"/>
      <c r="C82" s="17"/>
      <c r="D82" s="13"/>
    </row>
    <row r="83" spans="1:4" ht="14.25" x14ac:dyDescent="0.15">
      <c r="A83" s="17"/>
      <c r="B83" s="13"/>
      <c r="C83" s="13"/>
      <c r="D83" s="18"/>
    </row>
    <row r="84" spans="1:4" ht="14.25" x14ac:dyDescent="0.15">
      <c r="B84" s="13"/>
      <c r="C84" s="17"/>
      <c r="D84" s="17"/>
    </row>
    <row r="85" spans="1:4" ht="14.25" x14ac:dyDescent="0.15">
      <c r="A85" s="17"/>
      <c r="B85" s="13"/>
      <c r="C85" s="17"/>
      <c r="D85" s="18"/>
    </row>
    <row r="86" spans="1:4" ht="14.25" x14ac:dyDescent="0.15">
      <c r="C86" s="17"/>
      <c r="D86" s="17"/>
    </row>
    <row r="87" spans="1:4" ht="14.25" x14ac:dyDescent="0.15">
      <c r="A87" s="17"/>
      <c r="C87" s="17"/>
      <c r="D87" s="17"/>
    </row>
    <row r="88" spans="1:4" ht="14.25" x14ac:dyDescent="0.15">
      <c r="A88" s="17"/>
      <c r="B88" s="13"/>
      <c r="D88" s="17"/>
    </row>
    <row r="89" spans="1:4" ht="14.25" x14ac:dyDescent="0.15">
      <c r="A89" s="17"/>
      <c r="B89" s="13"/>
      <c r="D89" s="17"/>
    </row>
    <row r="90" spans="1:4" ht="14.25" x14ac:dyDescent="0.15">
      <c r="A90" s="17"/>
      <c r="B90" s="13"/>
      <c r="C90" s="17"/>
      <c r="D90" s="17"/>
    </row>
    <row r="91" spans="1:4" ht="14.25" x14ac:dyDescent="0.15">
      <c r="A91" s="17"/>
      <c r="C91" s="13"/>
      <c r="D91" s="17"/>
    </row>
    <row r="92" spans="1:4" ht="14.25" x14ac:dyDescent="0.15">
      <c r="A92" s="17"/>
      <c r="B92" s="13"/>
      <c r="D92" s="17"/>
    </row>
    <row r="93" spans="1:4" ht="14.25" x14ac:dyDescent="0.15">
      <c r="A93" s="17"/>
      <c r="B93" s="13"/>
      <c r="C93" s="17"/>
      <c r="D93" s="17"/>
    </row>
    <row r="94" spans="1:4" ht="14.25" x14ac:dyDescent="0.15">
      <c r="A94" s="17"/>
      <c r="B94" s="13"/>
      <c r="C94" s="17"/>
    </row>
    <row r="95" spans="1:4" ht="14.25" x14ac:dyDescent="0.15">
      <c r="A95" s="17"/>
      <c r="B95" s="13"/>
      <c r="C95" s="17"/>
    </row>
    <row r="96" spans="1:4" ht="14.25" x14ac:dyDescent="0.15">
      <c r="A96" s="17"/>
      <c r="B96" s="13"/>
      <c r="C96" s="17"/>
      <c r="D96" s="17"/>
    </row>
    <row r="97" spans="1:4" ht="14.25" x14ac:dyDescent="0.15">
      <c r="A97" s="17"/>
      <c r="B97" s="13"/>
      <c r="D97" s="13"/>
    </row>
    <row r="98" spans="1:4" ht="14.25" x14ac:dyDescent="0.15">
      <c r="A98" s="17"/>
      <c r="B98" s="13"/>
      <c r="C98" s="17"/>
    </row>
    <row r="99" spans="1:4" ht="14.25" x14ac:dyDescent="0.15">
      <c r="A99" s="17"/>
      <c r="B99" s="17"/>
      <c r="D99" s="18"/>
    </row>
    <row r="100" spans="1:4" ht="14.25" x14ac:dyDescent="0.15">
      <c r="A100" s="17"/>
    </row>
    <row r="101" spans="1:4" ht="14.25" x14ac:dyDescent="0.15">
      <c r="A101" s="17" t="s">
        <v>0</v>
      </c>
      <c r="C101" s="18" t="s">
        <v>0</v>
      </c>
      <c r="D101" s="18" t="s">
        <v>0</v>
      </c>
    </row>
    <row r="102" spans="1:4" x14ac:dyDescent="0.15">
      <c r="A102" t="s">
        <v>0</v>
      </c>
    </row>
    <row r="103" spans="1:4" ht="14.25" x14ac:dyDescent="0.15">
      <c r="A103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59055118110236227" bottom="0.39370078740157483" header="0.51181102362204722" footer="0.51181102362204722"/>
  <pageSetup paperSize="9" orientation="portrait" horizontalDpi="4294967293" verticalDpi="4294967293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9104D-5B10-40A4-9D52-1CB460D7B5AC}">
  <sheetPr>
    <pageSetUpPr fitToPage="1"/>
  </sheetPr>
  <dimension ref="A1:L109"/>
  <sheetViews>
    <sheetView topLeftCell="A4" zoomScaleNormal="100" workbookViewId="0">
      <selection activeCell="A3" sqref="A3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177</v>
      </c>
      <c r="B1" s="122"/>
      <c r="C1" s="122"/>
      <c r="D1" s="122"/>
    </row>
    <row r="2" spans="1:11" ht="17.25" customHeight="1" x14ac:dyDescent="0.15">
      <c r="A2" s="116" t="s">
        <v>188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20067577</v>
      </c>
      <c r="C9" s="5"/>
      <c r="D9" s="12"/>
      <c r="F9" s="84">
        <f>'[11]0138359'!$AJ$37</f>
        <v>4981376</v>
      </c>
      <c r="G9" s="84">
        <f>'[11]0138642（居宅）'!$AJ$37</f>
        <v>154091</v>
      </c>
      <c r="H9" s="84">
        <f>'[11]0138655（通所）'!$AJ$37</f>
        <v>5711</v>
      </c>
      <c r="I9" s="84">
        <f>'[11]0156560（新庄）'!$AJ$37</f>
        <v>99191</v>
      </c>
      <c r="J9" s="84">
        <f>'[11]0158313（ゆけむり）'!$AJ$37</f>
        <v>50444</v>
      </c>
      <c r="K9" s="84">
        <f>'[11]0139101（ちゃれんじ）'!$AJ$37</f>
        <v>583296</v>
      </c>
    </row>
    <row r="10" spans="1:11" ht="14.25" x14ac:dyDescent="0.15">
      <c r="A10" s="53" t="s">
        <v>102</v>
      </c>
      <c r="B10" s="73">
        <v>14172286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5127479</v>
      </c>
      <c r="C11" s="5"/>
      <c r="D11" s="23"/>
      <c r="F11" s="84">
        <f>'[11]2253865（助け合い）'!$AJ$37</f>
        <v>222641</v>
      </c>
      <c r="G11" s="89">
        <f>'[11]2253871（通所）'!$AJ$37</f>
        <v>484375</v>
      </c>
      <c r="H11" s="84">
        <f>'[11]2254321（ミニ）'!$AJ$37</f>
        <v>6886188</v>
      </c>
    </row>
    <row r="12" spans="1:11" ht="14.25" x14ac:dyDescent="0.15">
      <c r="A12" s="53" t="s">
        <v>128</v>
      </c>
      <c r="B12" s="74">
        <v>542679</v>
      </c>
      <c r="C12" s="5"/>
      <c r="D12" s="23"/>
    </row>
    <row r="13" spans="1:11" ht="14.25" x14ac:dyDescent="0.15">
      <c r="A13" s="53" t="s">
        <v>129</v>
      </c>
      <c r="B13" s="75">
        <v>216243</v>
      </c>
      <c r="C13" s="5"/>
      <c r="D13" s="12"/>
      <c r="E13" s="93" t="s">
        <v>142</v>
      </c>
      <c r="F13" s="94">
        <f>[11]JA0034628!$AJ$37</f>
        <v>568938</v>
      </c>
      <c r="G13" s="93" t="s">
        <v>143</v>
      </c>
      <c r="H13" s="94">
        <f>[11]ゆうちょ6473091!$AJ$37</f>
        <v>173053</v>
      </c>
      <c r="I13" s="93" t="s">
        <v>144</v>
      </c>
      <c r="J13" s="94">
        <f>[11]しま信0116975!$AJ$37</f>
        <v>289801</v>
      </c>
    </row>
    <row r="14" spans="1:11" ht="14.25" x14ac:dyDescent="0.15">
      <c r="A14" s="53" t="s">
        <v>130</v>
      </c>
      <c r="B14" s="75">
        <v>8890</v>
      </c>
      <c r="C14" s="5"/>
      <c r="D14" s="12"/>
    </row>
    <row r="15" spans="1:11" ht="14.25" x14ac:dyDescent="0.15">
      <c r="A15" s="55" t="s">
        <v>36</v>
      </c>
      <c r="B15" s="71">
        <v>23236107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4798080</v>
      </c>
      <c r="C16" s="11"/>
      <c r="D16" s="12"/>
      <c r="E16" t="s">
        <v>112</v>
      </c>
      <c r="F16" s="84">
        <f>'[12]未収金（認定調査委託料）'!$AJ$37</f>
        <v>9240</v>
      </c>
      <c r="G16" s="84">
        <f>'[12]未収金（居宅支援介護報酬）'!$AJ$37</f>
        <v>5110490</v>
      </c>
      <c r="H16" s="83"/>
    </row>
    <row r="17" spans="1:11" ht="14.25" x14ac:dyDescent="0.15">
      <c r="A17" s="54" t="s">
        <v>15</v>
      </c>
      <c r="B17" s="73">
        <v>12903969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90343</v>
      </c>
      <c r="C18" s="11"/>
      <c r="D18" s="12"/>
      <c r="E18" t="s">
        <v>115</v>
      </c>
      <c r="F18" s="84">
        <f>'[12]未収金（通所保険請求）'!$AJ$37</f>
        <v>11757712</v>
      </c>
      <c r="G18" s="84">
        <f>'[12]未収金（通所利用者負担）'!$AJ$37</f>
        <v>1233924</v>
      </c>
      <c r="H18" s="84">
        <f>'[12]未収金（通所食費）'!$AJ$37</f>
        <v>733900</v>
      </c>
    </row>
    <row r="19" spans="1:11" ht="14.25" x14ac:dyDescent="0.15">
      <c r="A19" s="54" t="s">
        <v>16</v>
      </c>
      <c r="B19" s="73">
        <v>1905682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845628</v>
      </c>
      <c r="C20" s="5"/>
      <c r="D20" s="12"/>
      <c r="E20" t="s">
        <v>119</v>
      </c>
      <c r="F20" s="84">
        <f>'[12]未収金（ゆけむり保険請求）'!$AJ$37</f>
        <v>0</v>
      </c>
      <c r="G20" s="84">
        <f>'[12]未収金（ゆけむり利用者負担）'!$AJ$37</f>
        <v>14257</v>
      </c>
      <c r="H20" s="84">
        <f>'[12]未収金（ゆけむり食費）'!$AJ$37</f>
        <v>0</v>
      </c>
    </row>
    <row r="21" spans="1:11" ht="14.25" x14ac:dyDescent="0.15">
      <c r="A21" s="54" t="s">
        <v>167</v>
      </c>
      <c r="B21" s="73">
        <v>169727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168</v>
      </c>
      <c r="B22" s="73">
        <v>153506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85">
        <v>18700</v>
      </c>
      <c r="C23" s="5"/>
      <c r="D23" s="12"/>
      <c r="E23" t="s">
        <v>120</v>
      </c>
      <c r="F23" s="84">
        <f>'[12]未収金（予防通所保険請求）'!$AJ$37</f>
        <v>1344043</v>
      </c>
      <c r="G23" s="84">
        <f>'[12]未収金（予防通所利用者負担）'!$AJ$37</f>
        <v>78798</v>
      </c>
      <c r="H23" s="84">
        <f>'[12]未収金（予防通所食費）'!$AJ$37</f>
        <v>104300</v>
      </c>
    </row>
    <row r="24" spans="1:11" ht="14.25" x14ac:dyDescent="0.15">
      <c r="A24" s="54" t="s">
        <v>81</v>
      </c>
      <c r="B24" s="73">
        <v>371572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85">
        <v>93800</v>
      </c>
      <c r="C25" s="5"/>
      <c r="D25" s="12"/>
      <c r="E25" t="s">
        <v>121</v>
      </c>
      <c r="F25" s="84">
        <f>'[12]未収金（処遇改善保険請求）'!$AJ$37</f>
        <v>1210522</v>
      </c>
      <c r="G25" s="84">
        <f>'[12]未収金（処遇改善利用者負担）'!$AJ$37</f>
        <v>116787</v>
      </c>
      <c r="H25" s="83"/>
      <c r="I25" s="99" t="s">
        <v>169</v>
      </c>
      <c r="J25" s="94">
        <f>'[12]未収金（ベースアップ加算保険請求）'!$AJ$37</f>
        <v>198</v>
      </c>
      <c r="K25" s="94">
        <f>'[12]未収金（ベースアップ加算利用者負担）'!$AJ$37</f>
        <v>343</v>
      </c>
    </row>
    <row r="26" spans="1:11" ht="14.25" x14ac:dyDescent="0.15">
      <c r="A26" s="54" t="s">
        <v>17</v>
      </c>
      <c r="B26" s="86">
        <v>1877600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87">
        <v>7500</v>
      </c>
      <c r="C27" s="5"/>
      <c r="D27" s="12"/>
      <c r="E27" t="s">
        <v>122</v>
      </c>
      <c r="F27" s="84">
        <f>'[12]未収金（特定処遇改善保険請求）'!$AJ$37</f>
        <v>0</v>
      </c>
      <c r="G27" s="84">
        <f>'[12]未収金（特定処遇改善利用者負担）'!$AJ$37</f>
        <v>3289</v>
      </c>
      <c r="H27" s="83"/>
    </row>
    <row r="28" spans="1:11" ht="14.25" x14ac:dyDescent="0.15">
      <c r="A28" s="54" t="s">
        <v>79</v>
      </c>
      <c r="B28" s="85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88">
        <v>468875</v>
      </c>
      <c r="C29" s="15" t="s">
        <v>0</v>
      </c>
      <c r="D29" s="12"/>
      <c r="E29" t="s">
        <v>123</v>
      </c>
      <c r="F29" s="84">
        <f>'[12]未収金（サロン保険請求）'!$AJ$37</f>
        <v>316516</v>
      </c>
      <c r="G29" s="84">
        <f>'[12]未収金（サロン利用者負担）'!$AJ$37</f>
        <v>21602</v>
      </c>
      <c r="H29" s="84">
        <f>'[12]未収金（サロン食費）'!$AJ$37</f>
        <v>31500</v>
      </c>
    </row>
    <row r="30" spans="1:11" ht="14.25" x14ac:dyDescent="0.15">
      <c r="A30" s="61" t="s">
        <v>96</v>
      </c>
      <c r="B30" s="71">
        <v>464750</v>
      </c>
      <c r="C30" s="15"/>
      <c r="D30" s="12"/>
    </row>
    <row r="31" spans="1:11" ht="14.25" x14ac:dyDescent="0.15">
      <c r="A31" s="61" t="s">
        <v>38</v>
      </c>
      <c r="B31" s="7"/>
      <c r="C31" s="77">
        <v>44239694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44213471</v>
      </c>
      <c r="C34" s="5"/>
      <c r="D34" s="12"/>
      <c r="E34" t="s">
        <v>146</v>
      </c>
      <c r="F34" s="95">
        <f>'[13]建物（ほっと本体）'!$AJ$5</f>
        <v>225002</v>
      </c>
      <c r="G34" s="95">
        <f>'[13]建物（ほっと2階）'!$AJ$5</f>
        <v>159976</v>
      </c>
      <c r="H34" s="95">
        <f>'[13]建物（新庄）'!$AJ$5</f>
        <v>14958933</v>
      </c>
      <c r="I34" s="95">
        <f>'[13]建物（ゆけむり）'!$AJ$5</f>
        <v>22564101</v>
      </c>
      <c r="J34" s="95">
        <f>'[13]建物（ほっと浴室）'!$AJ$5</f>
        <v>3600857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96">
        <f>'[13]附属建物（厨房）'!$AJ$5</f>
        <v>1</v>
      </c>
      <c r="G35" s="96">
        <f>'[13]附属建物（浴室）'!$AJ$5</f>
        <v>1</v>
      </c>
      <c r="H35" s="96">
        <f>'[13]附属建物（便所）'!$AJ$5</f>
        <v>1</v>
      </c>
      <c r="I35" s="96">
        <f>'[13]附属建物（廊下）'!$AJ$5</f>
        <v>1</v>
      </c>
      <c r="J35" s="96">
        <f>'[13]附属設備（電気設備その他）'!$AJ$5</f>
        <v>82438</v>
      </c>
      <c r="K35" s="96">
        <f>'[13]附属設備（給排水衛生設備）'!$AJ$5</f>
        <v>94536</v>
      </c>
      <c r="L35" s="96">
        <f>'[13]附属設備（消火排煙設備）'!$AJ$5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96">
        <f>'[13]附属設備（新庄電気設備）'!$AJ$5</f>
        <v>365715</v>
      </c>
      <c r="G36" s="96">
        <f>'[13]附属設備（新庄給排水設備）'!$AJ$5</f>
        <v>446005</v>
      </c>
      <c r="H36" s="96">
        <f>'[13]附属設備（電気設備）'!$AJ$5</f>
        <v>1028074</v>
      </c>
      <c r="I36" s="96">
        <f>'[13]附属設備（給排水設備）'!$AJ$5</f>
        <v>529605</v>
      </c>
      <c r="J36" s="96">
        <f>'[13]附属設備（新庄浴槽改装ガス給湯設備）'!$AJ$6</f>
        <v>513845</v>
      </c>
      <c r="K36" s="96">
        <f>'[13]附属設備（ほっと浴室移設電気工事）'!$AJ$5</f>
        <v>851136</v>
      </c>
      <c r="L36" s="96">
        <f>'[13]附属設備（ほっと浴室移設給排水設備）'!$AJ$5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94">
        <f>'[13]構築物（舗装工事）'!$AJ$5</f>
        <v>1</v>
      </c>
      <c r="G37" s="94">
        <f>'[13]構築物（ゆけむり）'!$AJ$5</f>
        <v>358351</v>
      </c>
      <c r="H37" s="94">
        <f>'[13]構築物（新庄駐車場舗装）'!$AJ$5</f>
        <v>821220</v>
      </c>
    </row>
    <row r="38" spans="1:12" ht="14.25" x14ac:dyDescent="0.15">
      <c r="A38" s="55" t="s">
        <v>40</v>
      </c>
      <c r="B38" s="71">
        <v>2556592</v>
      </c>
      <c r="C38" s="5"/>
      <c r="D38" s="12"/>
      <c r="E38" t="s">
        <v>149</v>
      </c>
      <c r="F38" s="98">
        <f>'[13]器具備品（新庄玄関エアコン）'!$AJ$5</f>
        <v>31800</v>
      </c>
      <c r="G38" s="98">
        <f>'[13]器具備品（新庄事務室エアコン）'!$AJ$5</f>
        <v>173084</v>
      </c>
    </row>
    <row r="39" spans="1:12" ht="14.25" x14ac:dyDescent="0.15">
      <c r="A39" s="55" t="s">
        <v>41</v>
      </c>
      <c r="B39" s="88">
        <v>110600</v>
      </c>
      <c r="C39" s="5"/>
      <c r="D39" s="12"/>
      <c r="E39" t="s">
        <v>150</v>
      </c>
      <c r="F39" s="94">
        <f>'[13]車両（タウンボックス）'!$AJ$5</f>
        <v>1</v>
      </c>
      <c r="G39" s="94">
        <f>'[13]車両（はとバン）'!$AJ$5</f>
        <v>1</v>
      </c>
      <c r="H39" s="94">
        <f>'[13]車両（ノア）'!$AJ$5</f>
        <v>1</v>
      </c>
      <c r="I39" s="94">
        <f>'[13]車両（セレナ）'!$AJ$5</f>
        <v>1</v>
      </c>
      <c r="J39" s="94">
        <f>'[13]車両（アトレー１）'!$AJ$5</f>
        <v>1</v>
      </c>
      <c r="K39" s="94">
        <f>'[13]車両（アトレー４）'!$AJ$5</f>
        <v>2078860</v>
      </c>
      <c r="L39" s="94">
        <f>'[13]車両（キャラ３）'!$AJ$5</f>
        <v>0</v>
      </c>
    </row>
    <row r="40" spans="1:12" ht="14.25" x14ac:dyDescent="0.15">
      <c r="A40" s="55" t="s">
        <v>42</v>
      </c>
      <c r="B40" s="88">
        <v>50000</v>
      </c>
      <c r="C40" s="11"/>
      <c r="D40" s="12"/>
      <c r="F40" s="94">
        <f>'[13]車両（フリード２）'!$AJ$5</f>
        <v>477725</v>
      </c>
      <c r="G40" s="94">
        <f>'[13]車両（セブン２）'!$AJ$5</f>
        <v>1</v>
      </c>
      <c r="H40" s="94">
        <f>'[13]車両（EK３）'!$AJ$5</f>
        <v>1</v>
      </c>
    </row>
    <row r="41" spans="1:12" ht="14.25" x14ac:dyDescent="0.15">
      <c r="A41" s="55" t="s">
        <v>66</v>
      </c>
      <c r="B41" s="88"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v>53508120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v>97747814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88">
        <v>2871821</v>
      </c>
      <c r="C48" s="5"/>
      <c r="D48" s="78"/>
    </row>
    <row r="49" spans="1:7" ht="14.25" x14ac:dyDescent="0.15">
      <c r="A49" s="55" t="s">
        <v>33</v>
      </c>
      <c r="B49" s="71">
        <v>0</v>
      </c>
      <c r="C49" s="5"/>
      <c r="D49" s="12"/>
    </row>
    <row r="50" spans="1:7" ht="6.75" customHeight="1" x14ac:dyDescent="0.15">
      <c r="A50" s="59"/>
      <c r="B50" s="79"/>
      <c r="C50" s="11"/>
      <c r="D50" s="12"/>
    </row>
    <row r="51" spans="1:7" ht="14.25" x14ac:dyDescent="0.15">
      <c r="A51" s="55" t="s">
        <v>31</v>
      </c>
      <c r="B51" s="80"/>
      <c r="C51" s="37">
        <v>2871821</v>
      </c>
      <c r="D51" s="23"/>
      <c r="E51" t="s">
        <v>108</v>
      </c>
    </row>
    <row r="52" spans="1:7" ht="11.25" customHeight="1" x14ac:dyDescent="0.15">
      <c r="A52" s="3"/>
      <c r="B52" s="14"/>
      <c r="C52" s="34"/>
      <c r="D52" s="25"/>
    </row>
    <row r="53" spans="1:7" ht="14.25" x14ac:dyDescent="0.15">
      <c r="A53" s="55" t="s">
        <v>22</v>
      </c>
      <c r="B53" s="19"/>
      <c r="C53" s="81"/>
      <c r="D53" s="23"/>
    </row>
    <row r="54" spans="1:7" ht="14.25" x14ac:dyDescent="0.15">
      <c r="A54" s="55" t="s">
        <v>30</v>
      </c>
      <c r="B54" s="88">
        <v>22731000</v>
      </c>
      <c r="C54" s="11"/>
      <c r="D54" s="25"/>
    </row>
    <row r="55" spans="1:7" ht="14.25" x14ac:dyDescent="0.15">
      <c r="A55" s="9"/>
      <c r="B55" s="19"/>
      <c r="C55" s="11"/>
      <c r="D55" s="25"/>
      <c r="G55" t="s">
        <v>108</v>
      </c>
    </row>
    <row r="56" spans="1:7" ht="14.25" x14ac:dyDescent="0.15">
      <c r="A56" s="61" t="s">
        <v>29</v>
      </c>
      <c r="B56" s="10"/>
      <c r="C56" s="37">
        <v>22731000</v>
      </c>
      <c r="D56" s="23"/>
    </row>
    <row r="57" spans="1:7" ht="6.75" customHeight="1" x14ac:dyDescent="0.15">
      <c r="A57" s="3"/>
      <c r="B57" s="19"/>
      <c r="C57" s="11"/>
      <c r="D57" s="23"/>
    </row>
    <row r="58" spans="1:7" ht="14.25" x14ac:dyDescent="0.15">
      <c r="A58" s="58" t="s">
        <v>24</v>
      </c>
      <c r="B58" s="40"/>
      <c r="C58" s="40"/>
      <c r="D58" s="38">
        <v>25602821</v>
      </c>
    </row>
    <row r="59" spans="1:7" ht="11.25" customHeight="1" x14ac:dyDescent="0.15">
      <c r="A59" s="3"/>
      <c r="B59" s="19"/>
      <c r="C59" s="11"/>
      <c r="D59" s="23"/>
    </row>
    <row r="60" spans="1:7" ht="14.25" x14ac:dyDescent="0.15">
      <c r="A60" s="55" t="s">
        <v>3</v>
      </c>
      <c r="B60" s="30"/>
      <c r="C60" s="35"/>
      <c r="D60" s="31"/>
    </row>
    <row r="61" spans="1:7" ht="15" customHeight="1" x14ac:dyDescent="0.15">
      <c r="A61" s="55" t="s">
        <v>27</v>
      </c>
      <c r="B61" s="10"/>
      <c r="C61" s="39"/>
      <c r="D61" s="39">
        <v>0</v>
      </c>
    </row>
    <row r="62" spans="1:7" ht="15.75" customHeight="1" x14ac:dyDescent="0.15">
      <c r="A62" s="55" t="s">
        <v>28</v>
      </c>
      <c r="B62" s="47"/>
      <c r="C62" s="9"/>
      <c r="D62" s="43">
        <v>72144993</v>
      </c>
      <c r="F62" s="100" t="s">
        <v>124</v>
      </c>
    </row>
    <row r="63" spans="1:7" ht="15.75" customHeight="1" x14ac:dyDescent="0.15">
      <c r="A63" s="59" t="s">
        <v>11</v>
      </c>
      <c r="B63" s="9"/>
      <c r="D63" s="70">
        <v>-19456516</v>
      </c>
      <c r="F63" s="92">
        <f>D63-[10]令和５年度!$P$74</f>
        <v>0</v>
      </c>
    </row>
    <row r="64" spans="1:7" ht="16.5" customHeight="1" x14ac:dyDescent="0.15">
      <c r="A64" s="55" t="s">
        <v>26</v>
      </c>
      <c r="B64" s="22"/>
      <c r="C64" s="48"/>
      <c r="D64" s="44">
        <v>72144993</v>
      </c>
      <c r="F64" s="91"/>
    </row>
    <row r="65" spans="1:6" ht="14.25" x14ac:dyDescent="0.15">
      <c r="A65" s="55" t="s">
        <v>25</v>
      </c>
      <c r="B65" s="22"/>
      <c r="C65" s="9"/>
      <c r="D65" s="69">
        <v>97747814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C6796-17F8-4417-A004-F8444CD6FC2E}">
  <sheetPr>
    <pageSetUpPr fitToPage="1"/>
  </sheetPr>
  <dimension ref="A1:L109"/>
  <sheetViews>
    <sheetView zoomScaleNormal="100" workbookViewId="0">
      <selection sqref="A1:D1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194</v>
      </c>
      <c r="B1" s="122"/>
      <c r="C1" s="122"/>
      <c r="D1" s="122"/>
    </row>
    <row r="2" spans="1:11" ht="17.25" customHeight="1" x14ac:dyDescent="0.15">
      <c r="A2" s="116" t="s">
        <v>189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16532043</v>
      </c>
      <c r="C9" s="5"/>
      <c r="D9" s="12"/>
      <c r="F9" s="101">
        <f>'[11]0138359'!$AJ$37</f>
        <v>4981376</v>
      </c>
      <c r="G9" s="101">
        <f>'[11]0138642（居宅）'!$AJ$37</f>
        <v>154091</v>
      </c>
      <c r="H9" s="101">
        <f>'[11]0138655（通所）'!$AJ$37</f>
        <v>5711</v>
      </c>
      <c r="I9" s="101">
        <f>'[11]0156560（新庄）'!$AJ$37</f>
        <v>99191</v>
      </c>
      <c r="J9" s="101">
        <f>'[11]0158313（ゆけむり）'!$AJ$37</f>
        <v>50444</v>
      </c>
      <c r="K9" s="101">
        <f>'[11]0139101（ちゃれんじ）'!$AJ$37</f>
        <v>583296</v>
      </c>
    </row>
    <row r="10" spans="1:11" ht="14.25" x14ac:dyDescent="0.15">
      <c r="A10" s="53" t="s">
        <v>102</v>
      </c>
      <c r="B10" s="73">
        <v>8053368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6175905</v>
      </c>
      <c r="C11" s="5"/>
      <c r="D11" s="23"/>
      <c r="F11" s="101">
        <f>'[11]2253865（助け合い）'!$AJ$37</f>
        <v>222641</v>
      </c>
      <c r="G11" s="102">
        <f>'[11]2253871（通所）'!$AJ$37</f>
        <v>484375</v>
      </c>
      <c r="H11" s="103">
        <f>'[11]2254321（ミニ）'!$AJ$37</f>
        <v>6886188</v>
      </c>
    </row>
    <row r="12" spans="1:11" ht="14.25" x14ac:dyDescent="0.15">
      <c r="A12" s="53" t="s">
        <v>128</v>
      </c>
      <c r="B12" s="74">
        <v>1315414</v>
      </c>
      <c r="C12" s="5"/>
      <c r="D12" s="23"/>
    </row>
    <row r="13" spans="1:11" ht="14.25" x14ac:dyDescent="0.15">
      <c r="A13" s="53" t="s">
        <v>129</v>
      </c>
      <c r="B13" s="75">
        <v>910354</v>
      </c>
      <c r="C13" s="5"/>
      <c r="D13" s="12"/>
      <c r="E13" s="93" t="s">
        <v>142</v>
      </c>
      <c r="F13" s="104">
        <f>[11]JA0034628!$AJ$37</f>
        <v>568938</v>
      </c>
      <c r="G13" s="93" t="s">
        <v>143</v>
      </c>
      <c r="H13" s="104">
        <f>[11]ゆうちょ6473091!$AJ$37</f>
        <v>173053</v>
      </c>
      <c r="I13" s="93" t="s">
        <v>144</v>
      </c>
      <c r="J13" s="104">
        <f>[11]しま信0116975!$AJ$37</f>
        <v>289801</v>
      </c>
    </row>
    <row r="14" spans="1:11" ht="14.25" x14ac:dyDescent="0.15">
      <c r="A14" s="53" t="s">
        <v>130</v>
      </c>
      <c r="B14" s="75">
        <v>77002</v>
      </c>
      <c r="C14" s="5"/>
      <c r="D14" s="12"/>
    </row>
    <row r="15" spans="1:11" ht="14.25" x14ac:dyDescent="0.15">
      <c r="A15" s="55" t="s">
        <v>36</v>
      </c>
      <c r="B15" s="71">
        <v>26100528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5239720</v>
      </c>
      <c r="C16" s="11"/>
      <c r="D16" s="12"/>
      <c r="E16" t="s">
        <v>112</v>
      </c>
      <c r="F16" s="103">
        <f>'[12]未収金（認定調査委託料）'!$AJ$37</f>
        <v>9240</v>
      </c>
      <c r="G16" s="103">
        <f>'[12]未収金（居宅支援介護報酬）'!$AJ$37</f>
        <v>5110490</v>
      </c>
      <c r="H16" s="83"/>
    </row>
    <row r="17" spans="1:11" ht="14.25" x14ac:dyDescent="0.15">
      <c r="A17" s="54" t="s">
        <v>15</v>
      </c>
      <c r="B17" s="73">
        <v>15391481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14257</v>
      </c>
      <c r="C18" s="11"/>
      <c r="D18" s="12"/>
      <c r="E18" t="s">
        <v>115</v>
      </c>
      <c r="F18" s="103">
        <f>'[12]未収金（通所保険請求）'!$AJ$37</f>
        <v>11757712</v>
      </c>
      <c r="G18" s="103">
        <f>'[12]未収金（通所利用者負担）'!$AJ$37</f>
        <v>1233924</v>
      </c>
      <c r="H18" s="103">
        <f>'[12]未収金（通所食費）'!$AJ$37</f>
        <v>733900</v>
      </c>
    </row>
    <row r="19" spans="1:11" ht="14.25" x14ac:dyDescent="0.15">
      <c r="A19" s="54" t="s">
        <v>16</v>
      </c>
      <c r="B19" s="73">
        <v>1879853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975308</v>
      </c>
      <c r="C20" s="5"/>
      <c r="D20" s="12"/>
      <c r="E20" t="s">
        <v>119</v>
      </c>
      <c r="F20" s="103">
        <f>'[12]未収金（ゆけむり保険請求）'!$AJ$37</f>
        <v>0</v>
      </c>
      <c r="G20" s="103">
        <f>'[12]未収金（ゆけむり利用者負担）'!$AJ$37</f>
        <v>14257</v>
      </c>
      <c r="H20" s="103">
        <f>'[12]未収金（ゆけむり食費）'!$AJ$37</f>
        <v>0</v>
      </c>
    </row>
    <row r="21" spans="1:11" ht="14.25" x14ac:dyDescent="0.15">
      <c r="A21" s="54" t="s">
        <v>167</v>
      </c>
      <c r="B21" s="73">
        <v>195526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168</v>
      </c>
      <c r="B22" s="73">
        <v>177495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85">
        <v>15700</v>
      </c>
      <c r="C23" s="5"/>
      <c r="D23" s="12"/>
      <c r="E23" t="s">
        <v>120</v>
      </c>
      <c r="F23" s="103">
        <f>'[12]未収金（予防通所保険請求）'!$AJ$37</f>
        <v>1344043</v>
      </c>
      <c r="G23" s="103">
        <f>'[12]未収金（予防通所利用者負担）'!$AJ$37</f>
        <v>78798</v>
      </c>
      <c r="H23" s="103">
        <f>'[12]未収金（予防通所食費）'!$AJ$37</f>
        <v>104300</v>
      </c>
    </row>
    <row r="24" spans="1:11" ht="14.25" x14ac:dyDescent="0.15">
      <c r="A24" s="54" t="s">
        <v>81</v>
      </c>
      <c r="B24" s="73">
        <v>351888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85">
        <v>69300</v>
      </c>
      <c r="C25" s="5"/>
      <c r="D25" s="12"/>
      <c r="E25" t="s">
        <v>121</v>
      </c>
      <c r="F25" s="103">
        <f>'[12]未収金（処遇改善保険請求）'!$AJ$37</f>
        <v>1210522</v>
      </c>
      <c r="G25" s="103">
        <f>'[12]未収金（処遇改善利用者負担）'!$AJ$37</f>
        <v>116787</v>
      </c>
      <c r="H25" s="83"/>
      <c r="I25" s="99" t="s">
        <v>169</v>
      </c>
      <c r="J25" s="104">
        <f>'[12]未収金（ベースアップ加算保険請求）'!$AJ$37</f>
        <v>198</v>
      </c>
      <c r="K25" s="104">
        <f>'[12]未収金（ベースアップ加算利用者負担）'!$AJ$37</f>
        <v>343</v>
      </c>
    </row>
    <row r="26" spans="1:11" ht="14.25" x14ac:dyDescent="0.15">
      <c r="A26" s="54" t="s">
        <v>17</v>
      </c>
      <c r="B26" s="86">
        <v>1785500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87">
        <v>4500</v>
      </c>
      <c r="C27" s="5"/>
      <c r="D27" s="12"/>
      <c r="E27" t="s">
        <v>122</v>
      </c>
      <c r="F27" s="103">
        <f>'[12]未収金（特定処遇改善保険請求）'!$AJ$37</f>
        <v>0</v>
      </c>
      <c r="G27" s="103">
        <f>'[12]未収金（特定処遇改善利用者負担）'!$AJ$37</f>
        <v>3289</v>
      </c>
      <c r="H27" s="83"/>
    </row>
    <row r="28" spans="1:11" ht="14.25" x14ac:dyDescent="0.15">
      <c r="A28" s="54" t="s">
        <v>79</v>
      </c>
      <c r="B28" s="85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88">
        <v>350500</v>
      </c>
      <c r="C29" s="15" t="s">
        <v>0</v>
      </c>
      <c r="D29" s="12"/>
      <c r="E29" t="s">
        <v>123</v>
      </c>
      <c r="F29" s="103">
        <f>'[12]未収金（サロン保険請求）'!$AJ$37</f>
        <v>316516</v>
      </c>
      <c r="G29" s="103">
        <f>'[12]未収金（サロン利用者負担）'!$AJ$37</f>
        <v>21602</v>
      </c>
      <c r="H29" s="103">
        <f>'[12]未収金（サロン食費）'!$AJ$37</f>
        <v>31500</v>
      </c>
    </row>
    <row r="30" spans="1:11" ht="14.25" x14ac:dyDescent="0.15">
      <c r="A30" s="61" t="s">
        <v>96</v>
      </c>
      <c r="B30" s="71">
        <v>464750</v>
      </c>
      <c r="C30" s="15"/>
      <c r="D30" s="12"/>
    </row>
    <row r="31" spans="1:11" ht="14.25" x14ac:dyDescent="0.15">
      <c r="A31" s="61" t="s">
        <v>38</v>
      </c>
      <c r="B31" s="7"/>
      <c r="C31" s="77">
        <v>43450206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44213471</v>
      </c>
      <c r="C34" s="5"/>
      <c r="D34" s="12"/>
      <c r="E34" t="s">
        <v>146</v>
      </c>
      <c r="F34" s="105">
        <f>'[13]建物（ほっと本体）'!$AJ$5</f>
        <v>225002</v>
      </c>
      <c r="G34" s="105">
        <f>'[13]建物（ほっと2階）'!$AJ$5</f>
        <v>159976</v>
      </c>
      <c r="H34" s="105">
        <f>'[13]建物（新庄）'!$AJ$5</f>
        <v>14958933</v>
      </c>
      <c r="I34" s="105">
        <f>'[13]建物（ゆけむり）'!$AJ$5</f>
        <v>22564101</v>
      </c>
      <c r="J34" s="105">
        <f>'[13]建物（ほっと浴室）'!$AJ$5</f>
        <v>3600857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106">
        <f>'[13]附属建物（厨房）'!$AJ$5</f>
        <v>1</v>
      </c>
      <c r="G35" s="106">
        <f>'[13]附属建物（浴室）'!$AJ$5</f>
        <v>1</v>
      </c>
      <c r="H35" s="106">
        <f>'[13]附属建物（便所）'!$AJ$5</f>
        <v>1</v>
      </c>
      <c r="I35" s="106">
        <f>'[13]附属建物（廊下）'!$AJ$5</f>
        <v>1</v>
      </c>
      <c r="J35" s="106">
        <f>'[13]附属設備（電気設備その他）'!$AJ$5</f>
        <v>82438</v>
      </c>
      <c r="K35" s="106">
        <f>'[13]附属設備（給排水衛生設備）'!$AJ$5</f>
        <v>94536</v>
      </c>
      <c r="L35" s="106">
        <f>'[13]附属設備（消火排煙設備）'!$AJ$5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106">
        <f>'[13]附属設備（新庄電気設備）'!$AJ$5</f>
        <v>365715</v>
      </c>
      <c r="G36" s="106">
        <f>'[13]附属設備（新庄給排水設備）'!$AJ$5</f>
        <v>446005</v>
      </c>
      <c r="H36" s="106">
        <f>'[13]附属設備（電気設備）'!$AJ$5</f>
        <v>1028074</v>
      </c>
      <c r="I36" s="106">
        <f>'[13]附属設備（給排水設備）'!$AJ$5</f>
        <v>529605</v>
      </c>
      <c r="J36" s="106">
        <f>'[13]附属設備（新庄浴槽改装ガス給湯設備）'!$AJ$6</f>
        <v>513845</v>
      </c>
      <c r="K36" s="106">
        <f>'[13]附属設備（ほっと浴室移設電気工事）'!$AJ$5</f>
        <v>851136</v>
      </c>
      <c r="L36" s="106">
        <f>'[13]附属設備（ほっと浴室移設給排水設備）'!$AJ$5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107">
        <f>'[13]構築物（舗装工事）'!$AJ$5</f>
        <v>1</v>
      </c>
      <c r="G37" s="107">
        <f>'[13]構築物（ゆけむり）'!$AJ$5</f>
        <v>358351</v>
      </c>
      <c r="H37" s="107">
        <f>'[13]構築物（新庄駐車場舗装）'!$AJ$5</f>
        <v>821220</v>
      </c>
    </row>
    <row r="38" spans="1:12" ht="14.25" x14ac:dyDescent="0.15">
      <c r="A38" s="55" t="s">
        <v>40</v>
      </c>
      <c r="B38" s="71">
        <v>2556592</v>
      </c>
      <c r="C38" s="5"/>
      <c r="D38" s="12"/>
      <c r="E38" t="s">
        <v>149</v>
      </c>
      <c r="F38" s="108">
        <f>'[13]器具備品（新庄玄関エアコン）'!$AJ$5</f>
        <v>31800</v>
      </c>
      <c r="G38" s="108">
        <f>'[13]器具備品（新庄事務室エアコン）'!$AJ$5</f>
        <v>173084</v>
      </c>
    </row>
    <row r="39" spans="1:12" ht="14.25" x14ac:dyDescent="0.15">
      <c r="A39" s="55" t="s">
        <v>41</v>
      </c>
      <c r="B39" s="88">
        <v>110600</v>
      </c>
      <c r="C39" s="5"/>
      <c r="D39" s="12"/>
      <c r="E39" t="s">
        <v>150</v>
      </c>
      <c r="F39" s="94">
        <f>'[13]車両（タウンボックス）'!$AJ$5</f>
        <v>1</v>
      </c>
      <c r="G39" s="94">
        <f>'[13]車両（はとバン）'!$AJ$5</f>
        <v>1</v>
      </c>
      <c r="H39" s="94">
        <f>'[13]車両（ノア）'!$AJ$5</f>
        <v>1</v>
      </c>
      <c r="I39" s="94">
        <f>'[13]車両（セレナ）'!$AJ$5</f>
        <v>1</v>
      </c>
      <c r="J39" s="94">
        <f>'[13]車両（アトレー１）'!$AJ$5</f>
        <v>1</v>
      </c>
      <c r="K39" s="94">
        <f>'[13]車両（アトレー４）'!$AJ$5</f>
        <v>2078860</v>
      </c>
      <c r="L39" s="94">
        <f>'[13]車両（キャラ３）'!$AJ$5</f>
        <v>0</v>
      </c>
    </row>
    <row r="40" spans="1:12" ht="14.25" x14ac:dyDescent="0.15">
      <c r="A40" s="55" t="s">
        <v>42</v>
      </c>
      <c r="B40" s="88">
        <v>50000</v>
      </c>
      <c r="C40" s="11"/>
      <c r="D40" s="12"/>
      <c r="F40" s="94">
        <f>'[13]車両（フリード２）'!$AJ$5</f>
        <v>477725</v>
      </c>
      <c r="G40" s="94">
        <f>'[13]車両（セブン２）'!$AJ$5</f>
        <v>1</v>
      </c>
      <c r="H40" s="94">
        <f>'[13]車両（EK３）'!$AJ$5</f>
        <v>1</v>
      </c>
    </row>
    <row r="41" spans="1:12" ht="14.25" x14ac:dyDescent="0.15">
      <c r="A41" s="55" t="s">
        <v>66</v>
      </c>
      <c r="B41" s="88"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v>53508120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v>96958326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88">
        <v>1407182</v>
      </c>
      <c r="C48" s="5"/>
      <c r="D48" s="78"/>
    </row>
    <row r="49" spans="1:7" ht="14.25" x14ac:dyDescent="0.15">
      <c r="A49" s="55" t="s">
        <v>33</v>
      </c>
      <c r="B49" s="71">
        <v>0</v>
      </c>
      <c r="C49" s="5"/>
      <c r="D49" s="12"/>
    </row>
    <row r="50" spans="1:7" ht="6.75" customHeight="1" x14ac:dyDescent="0.15">
      <c r="A50" s="59"/>
      <c r="B50" s="79"/>
      <c r="C50" s="11"/>
      <c r="D50" s="12"/>
    </row>
    <row r="51" spans="1:7" ht="14.25" x14ac:dyDescent="0.15">
      <c r="A51" s="55" t="s">
        <v>31</v>
      </c>
      <c r="B51" s="80"/>
      <c r="C51" s="37">
        <v>1407182</v>
      </c>
      <c r="D51" s="23"/>
      <c r="E51" t="s">
        <v>108</v>
      </c>
    </row>
    <row r="52" spans="1:7" ht="11.25" customHeight="1" x14ac:dyDescent="0.15">
      <c r="A52" s="3"/>
      <c r="B52" s="14"/>
      <c r="C52" s="34"/>
      <c r="D52" s="25"/>
    </row>
    <row r="53" spans="1:7" ht="14.25" x14ac:dyDescent="0.15">
      <c r="A53" s="55" t="s">
        <v>22</v>
      </c>
      <c r="B53" s="19"/>
      <c r="C53" s="81"/>
      <c r="D53" s="23"/>
    </row>
    <row r="54" spans="1:7" ht="14.25" x14ac:dyDescent="0.15">
      <c r="A54" s="55" t="s">
        <v>30</v>
      </c>
      <c r="B54" s="88">
        <v>22089000</v>
      </c>
      <c r="C54" s="11"/>
      <c r="D54" s="25"/>
    </row>
    <row r="55" spans="1:7" ht="14.25" x14ac:dyDescent="0.15">
      <c r="A55" s="9"/>
      <c r="B55" s="19"/>
      <c r="C55" s="11"/>
      <c r="D55" s="25"/>
      <c r="G55" t="s">
        <v>108</v>
      </c>
    </row>
    <row r="56" spans="1:7" ht="14.25" x14ac:dyDescent="0.15">
      <c r="A56" s="61" t="s">
        <v>29</v>
      </c>
      <c r="B56" s="10"/>
      <c r="C56" s="37">
        <v>22089000</v>
      </c>
      <c r="D56" s="23"/>
    </row>
    <row r="57" spans="1:7" ht="6.75" customHeight="1" x14ac:dyDescent="0.15">
      <c r="A57" s="3"/>
      <c r="B57" s="19"/>
      <c r="C57" s="11"/>
      <c r="D57" s="23"/>
    </row>
    <row r="58" spans="1:7" ht="14.25" x14ac:dyDescent="0.15">
      <c r="A58" s="58" t="s">
        <v>24</v>
      </c>
      <c r="B58" s="40"/>
      <c r="C58" s="40"/>
      <c r="D58" s="38">
        <v>23496182</v>
      </c>
    </row>
    <row r="59" spans="1:7" ht="11.25" customHeight="1" x14ac:dyDescent="0.15">
      <c r="A59" s="3"/>
      <c r="B59" s="19"/>
      <c r="C59" s="11"/>
      <c r="D59" s="23"/>
    </row>
    <row r="60" spans="1:7" ht="14.25" x14ac:dyDescent="0.15">
      <c r="A60" s="55" t="s">
        <v>3</v>
      </c>
      <c r="B60" s="30"/>
      <c r="C60" s="35"/>
      <c r="D60" s="31"/>
    </row>
    <row r="61" spans="1:7" ht="15" customHeight="1" x14ac:dyDescent="0.15">
      <c r="A61" s="55" t="s">
        <v>27</v>
      </c>
      <c r="B61" s="10"/>
      <c r="C61" s="39"/>
      <c r="D61" s="39">
        <v>0</v>
      </c>
    </row>
    <row r="62" spans="1:7" ht="15.75" customHeight="1" x14ac:dyDescent="0.15">
      <c r="A62" s="55" t="s">
        <v>28</v>
      </c>
      <c r="B62" s="47"/>
      <c r="C62" s="9"/>
      <c r="D62" s="43">
        <v>73462144</v>
      </c>
      <c r="F62" s="100" t="s">
        <v>124</v>
      </c>
    </row>
    <row r="63" spans="1:7" ht="15.75" customHeight="1" x14ac:dyDescent="0.15">
      <c r="A63" s="59" t="s">
        <v>11</v>
      </c>
      <c r="B63" s="9"/>
      <c r="D63" s="70">
        <v>1317151</v>
      </c>
      <c r="F63" s="92">
        <f>D63-[10]令和６年度!$P$74</f>
        <v>6087201</v>
      </c>
    </row>
    <row r="64" spans="1:7" ht="16.5" customHeight="1" x14ac:dyDescent="0.15">
      <c r="A64" s="55" t="s">
        <v>26</v>
      </c>
      <c r="B64" s="22"/>
      <c r="C64" s="48"/>
      <c r="D64" s="44">
        <v>73462144</v>
      </c>
      <c r="F64" s="91"/>
    </row>
    <row r="65" spans="1:6" ht="14.25" x14ac:dyDescent="0.15">
      <c r="A65" s="55" t="s">
        <v>25</v>
      </c>
      <c r="B65" s="22"/>
      <c r="C65" s="9"/>
      <c r="D65" s="69">
        <v>96958326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3596-E6D7-4496-A957-3A978923007B}">
  <sheetPr>
    <pageSetUpPr fitToPage="1"/>
  </sheetPr>
  <dimension ref="A1:L109"/>
  <sheetViews>
    <sheetView zoomScaleNormal="100" workbookViewId="0">
      <selection sqref="A1:D1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194</v>
      </c>
      <c r="B1" s="122"/>
      <c r="C1" s="122"/>
      <c r="D1" s="122"/>
    </row>
    <row r="2" spans="1:11" ht="17.25" customHeight="1" x14ac:dyDescent="0.15">
      <c r="A2" s="116" t="s">
        <v>190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18102435</v>
      </c>
      <c r="C9" s="5"/>
      <c r="D9" s="12"/>
      <c r="F9" s="101">
        <f>'[11]0138359'!$AJ$37</f>
        <v>4981376</v>
      </c>
      <c r="G9" s="101">
        <f>'[11]0138642（居宅）'!$AJ$37</f>
        <v>154091</v>
      </c>
      <c r="H9" s="101">
        <f>'[11]0138655（通所）'!$AJ$37</f>
        <v>5711</v>
      </c>
      <c r="I9" s="101">
        <f>'[11]0156560（新庄）'!$AJ$37</f>
        <v>99191</v>
      </c>
      <c r="J9" s="101">
        <f>'[11]0158313（ゆけむり）'!$AJ$37</f>
        <v>50444</v>
      </c>
      <c r="K9" s="101">
        <f>'[11]0139101（ちゃれんじ）'!$AJ$37</f>
        <v>583296</v>
      </c>
    </row>
    <row r="10" spans="1:11" ht="14.25" x14ac:dyDescent="0.15">
      <c r="A10" s="53" t="s">
        <v>102</v>
      </c>
      <c r="B10" s="73">
        <v>8228179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6383867</v>
      </c>
      <c r="C11" s="5"/>
      <c r="D11" s="23"/>
      <c r="F11" s="101">
        <f>'[11]2253865（助け合い）'!$AJ$37</f>
        <v>222641</v>
      </c>
      <c r="G11" s="102">
        <f>'[11]2253871（通所）'!$AJ$37</f>
        <v>484375</v>
      </c>
      <c r="H11" s="103">
        <f>'[11]2254321（ミニ）'!$AJ$37</f>
        <v>6886188</v>
      </c>
    </row>
    <row r="12" spans="1:11" ht="14.25" x14ac:dyDescent="0.15">
      <c r="A12" s="53" t="s">
        <v>128</v>
      </c>
      <c r="B12" s="74">
        <v>1903099</v>
      </c>
      <c r="C12" s="5"/>
      <c r="D12" s="23"/>
    </row>
    <row r="13" spans="1:11" ht="14.25" x14ac:dyDescent="0.15">
      <c r="A13" s="53" t="s">
        <v>129</v>
      </c>
      <c r="B13" s="75">
        <v>1375429</v>
      </c>
      <c r="C13" s="5"/>
      <c r="D13" s="12"/>
      <c r="E13" s="93" t="s">
        <v>142</v>
      </c>
      <c r="F13" s="104">
        <f>[11]JA0034628!$AJ$37</f>
        <v>568938</v>
      </c>
      <c r="G13" s="93" t="s">
        <v>143</v>
      </c>
      <c r="H13" s="104">
        <f>[11]ゆうちょ6473091!$AJ$37</f>
        <v>173053</v>
      </c>
      <c r="I13" s="93" t="s">
        <v>144</v>
      </c>
      <c r="J13" s="104">
        <f>[11]しま信0116975!$AJ$37</f>
        <v>289801</v>
      </c>
    </row>
    <row r="14" spans="1:11" ht="14.25" x14ac:dyDescent="0.15">
      <c r="A14" s="53" t="s">
        <v>130</v>
      </c>
      <c r="B14" s="75">
        <v>211861</v>
      </c>
      <c r="C14" s="5"/>
      <c r="D14" s="12"/>
    </row>
    <row r="15" spans="1:11" ht="14.25" x14ac:dyDescent="0.15">
      <c r="A15" s="55" t="s">
        <v>36</v>
      </c>
      <c r="B15" s="71">
        <v>26415308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5271250</v>
      </c>
      <c r="C16" s="11"/>
      <c r="D16" s="12"/>
      <c r="E16" t="s">
        <v>112</v>
      </c>
      <c r="F16" s="103">
        <f>'[12]未収金（認定調査委託料）'!$AJ$37</f>
        <v>9240</v>
      </c>
      <c r="G16" s="103">
        <f>'[12]未収金（居宅支援介護報酬）'!$AJ$37</f>
        <v>5110490</v>
      </c>
      <c r="H16" s="83"/>
    </row>
    <row r="17" spans="1:11" ht="14.25" x14ac:dyDescent="0.15">
      <c r="A17" s="54" t="s">
        <v>15</v>
      </c>
      <c r="B17" s="73">
        <v>15501749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14257</v>
      </c>
      <c r="C18" s="11"/>
      <c r="D18" s="12"/>
      <c r="E18" t="s">
        <v>115</v>
      </c>
      <c r="F18" s="103">
        <f>'[12]未収金（通所保険請求）'!$AJ$37</f>
        <v>11757712</v>
      </c>
      <c r="G18" s="103">
        <f>'[12]未収金（通所利用者負担）'!$AJ$37</f>
        <v>1233924</v>
      </c>
      <c r="H18" s="103">
        <f>'[12]未収金（通所食費）'!$AJ$37</f>
        <v>733900</v>
      </c>
    </row>
    <row r="19" spans="1:11" ht="14.25" x14ac:dyDescent="0.15">
      <c r="A19" s="54" t="s">
        <v>16</v>
      </c>
      <c r="B19" s="73">
        <v>1821013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1168990</v>
      </c>
      <c r="C20" s="5"/>
      <c r="D20" s="12"/>
      <c r="E20" t="s">
        <v>119</v>
      </c>
      <c r="F20" s="103">
        <f>'[12]未収金（ゆけむり保険請求）'!$AJ$37</f>
        <v>0</v>
      </c>
      <c r="G20" s="103">
        <f>'[12]未収金（ゆけむり利用者負担）'!$AJ$37</f>
        <v>14257</v>
      </c>
      <c r="H20" s="103">
        <f>'[12]未収金（ゆけむり食費）'!$AJ$37</f>
        <v>0</v>
      </c>
    </row>
    <row r="21" spans="1:11" ht="14.25" x14ac:dyDescent="0.15">
      <c r="A21" s="54" t="s">
        <v>167</v>
      </c>
      <c r="B21" s="73">
        <v>98448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168</v>
      </c>
      <c r="B22" s="73">
        <v>88620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73">
        <v>22200</v>
      </c>
      <c r="C23" s="5"/>
      <c r="D23" s="12"/>
      <c r="E23" t="s">
        <v>120</v>
      </c>
      <c r="F23" s="103">
        <f>'[12]未収金（予防通所保険請求）'!$AJ$37</f>
        <v>1344043</v>
      </c>
      <c r="G23" s="103">
        <f>'[12]未収金（予防通所利用者負担）'!$AJ$37</f>
        <v>78798</v>
      </c>
      <c r="H23" s="103">
        <f>'[12]未収金（予防通所食費）'!$AJ$37</f>
        <v>104300</v>
      </c>
    </row>
    <row r="24" spans="1:11" ht="14.25" x14ac:dyDescent="0.15">
      <c r="A24" s="54" t="s">
        <v>81</v>
      </c>
      <c r="B24" s="73">
        <v>377481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73">
        <v>63000</v>
      </c>
      <c r="C25" s="5"/>
      <c r="D25" s="12"/>
      <c r="E25" t="s">
        <v>121</v>
      </c>
      <c r="F25" s="103">
        <f>'[12]未収金（処遇改善保険請求）'!$AJ$37</f>
        <v>1210522</v>
      </c>
      <c r="G25" s="103">
        <f>'[12]未収金（処遇改善利用者負担）'!$AJ$37</f>
        <v>116787</v>
      </c>
      <c r="H25" s="83"/>
      <c r="I25" s="99" t="s">
        <v>169</v>
      </c>
      <c r="J25" s="104">
        <f>'[12]未収金（ベースアップ加算保険請求）'!$AJ$37</f>
        <v>198</v>
      </c>
      <c r="K25" s="104">
        <f>'[12]未収金（ベースアップ加算利用者負担）'!$AJ$37</f>
        <v>343</v>
      </c>
    </row>
    <row r="26" spans="1:11" ht="14.25" x14ac:dyDescent="0.15">
      <c r="A26" s="54" t="s">
        <v>17</v>
      </c>
      <c r="B26" s="74">
        <v>1976800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75">
        <v>11500</v>
      </c>
      <c r="C27" s="5"/>
      <c r="D27" s="12"/>
      <c r="E27" t="s">
        <v>122</v>
      </c>
      <c r="F27" s="103">
        <f>'[12]未収金（特定処遇改善保険請求）'!$AJ$37</f>
        <v>0</v>
      </c>
      <c r="G27" s="103">
        <f>'[12]未収金（特定処遇改善利用者負担）'!$AJ$37</f>
        <v>3289</v>
      </c>
      <c r="H27" s="83"/>
    </row>
    <row r="28" spans="1:11" ht="14.25" x14ac:dyDescent="0.15">
      <c r="A28" s="54" t="s">
        <v>79</v>
      </c>
      <c r="B28" s="73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71">
        <v>389766</v>
      </c>
      <c r="C29" s="15" t="s">
        <v>0</v>
      </c>
      <c r="D29" s="12"/>
      <c r="E29" t="s">
        <v>123</v>
      </c>
      <c r="F29" s="103">
        <f>'[12]未収金（サロン保険請求）'!$AJ$37</f>
        <v>316516</v>
      </c>
      <c r="G29" s="103">
        <f>'[12]未収金（サロン利用者負担）'!$AJ$37</f>
        <v>21602</v>
      </c>
      <c r="H29" s="103">
        <f>'[12]未収金（サロン食費）'!$AJ$37</f>
        <v>31500</v>
      </c>
    </row>
    <row r="30" spans="1:11" ht="14.25" x14ac:dyDescent="0.15">
      <c r="A30" s="61" t="s">
        <v>96</v>
      </c>
      <c r="B30" s="71">
        <v>464750</v>
      </c>
      <c r="C30" s="15"/>
      <c r="D30" s="12"/>
    </row>
    <row r="31" spans="1:11" ht="14.25" x14ac:dyDescent="0.15">
      <c r="A31" s="61" t="s">
        <v>38</v>
      </c>
      <c r="B31" s="7"/>
      <c r="C31" s="77">
        <v>45374644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44213471</v>
      </c>
      <c r="C34" s="5"/>
      <c r="D34" s="12"/>
      <c r="E34" t="s">
        <v>146</v>
      </c>
      <c r="F34" s="105">
        <f>'[13]建物（ほっと本体）'!$AJ$5</f>
        <v>225002</v>
      </c>
      <c r="G34" s="105">
        <f>'[13]建物（ほっと2階）'!$AJ$5</f>
        <v>159976</v>
      </c>
      <c r="H34" s="105">
        <f>'[13]建物（新庄）'!$AJ$5</f>
        <v>14958933</v>
      </c>
      <c r="I34" s="105">
        <f>'[13]建物（ゆけむり）'!$AJ$5</f>
        <v>22564101</v>
      </c>
      <c r="J34" s="105">
        <f>'[13]建物（ほっと浴室）'!$AJ$5</f>
        <v>3600857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106">
        <f>'[13]附属建物（厨房）'!$AJ$5</f>
        <v>1</v>
      </c>
      <c r="G35" s="106">
        <f>'[13]附属建物（浴室）'!$AJ$5</f>
        <v>1</v>
      </c>
      <c r="H35" s="106">
        <f>'[13]附属建物（便所）'!$AJ$5</f>
        <v>1</v>
      </c>
      <c r="I35" s="106">
        <f>'[13]附属建物（廊下）'!$AJ$5</f>
        <v>1</v>
      </c>
      <c r="J35" s="106">
        <f>'[13]附属設備（電気設備その他）'!$AJ$5</f>
        <v>82438</v>
      </c>
      <c r="K35" s="106">
        <f>'[13]附属設備（給排水衛生設備）'!$AJ$5</f>
        <v>94536</v>
      </c>
      <c r="L35" s="106">
        <f>'[13]附属設備（消火排煙設備）'!$AJ$5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106">
        <f>'[13]附属設備（新庄電気設備）'!$AJ$5</f>
        <v>365715</v>
      </c>
      <c r="G36" s="106">
        <f>'[13]附属設備（新庄給排水設備）'!$AJ$5</f>
        <v>446005</v>
      </c>
      <c r="H36" s="106">
        <f>'[13]附属設備（電気設備）'!$AJ$5</f>
        <v>1028074</v>
      </c>
      <c r="I36" s="106">
        <f>'[13]附属設備（給排水設備）'!$AJ$5</f>
        <v>529605</v>
      </c>
      <c r="J36" s="106">
        <f>'[13]附属設備（新庄浴槽改装ガス給湯設備）'!$AJ$6</f>
        <v>513845</v>
      </c>
      <c r="K36" s="106">
        <f>'[13]附属設備（ほっと浴室移設電気工事）'!$AJ$5</f>
        <v>851136</v>
      </c>
      <c r="L36" s="106">
        <f>'[13]附属設備（ほっと浴室移設給排水設備）'!$AJ$5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107">
        <f>'[13]構築物（舗装工事）'!$AJ$5</f>
        <v>1</v>
      </c>
      <c r="G37" s="107">
        <f>'[13]構築物（ゆけむり）'!$AJ$5</f>
        <v>358351</v>
      </c>
      <c r="H37" s="107">
        <f>'[13]構築物（新庄駐車場舗装）'!$AJ$5</f>
        <v>821220</v>
      </c>
    </row>
    <row r="38" spans="1:12" ht="14.25" x14ac:dyDescent="0.15">
      <c r="A38" s="55" t="s">
        <v>40</v>
      </c>
      <c r="B38" s="71">
        <v>2556592</v>
      </c>
      <c r="C38" s="5"/>
      <c r="D38" s="12"/>
      <c r="E38" t="s">
        <v>149</v>
      </c>
      <c r="F38" s="108">
        <f>'[13]器具備品（新庄玄関エアコン）'!$AJ$5</f>
        <v>31800</v>
      </c>
      <c r="G38" s="108">
        <f>'[13]器具備品（新庄事務室エアコン）'!$AJ$5</f>
        <v>173084</v>
      </c>
    </row>
    <row r="39" spans="1:12" ht="14.25" x14ac:dyDescent="0.15">
      <c r="A39" s="55" t="s">
        <v>41</v>
      </c>
      <c r="B39" s="71">
        <v>110600</v>
      </c>
      <c r="C39" s="5"/>
      <c r="D39" s="12"/>
      <c r="E39" t="s">
        <v>150</v>
      </c>
      <c r="F39" s="94">
        <f>'[13]車両（タウンボックス）'!$AJ$5</f>
        <v>1</v>
      </c>
      <c r="G39" s="94">
        <f>'[13]車両（はとバン）'!$AJ$5</f>
        <v>1</v>
      </c>
      <c r="H39" s="94">
        <f>'[13]車両（ノア）'!$AJ$5</f>
        <v>1</v>
      </c>
      <c r="I39" s="94">
        <f>'[13]車両（セレナ）'!$AJ$5</f>
        <v>1</v>
      </c>
      <c r="J39" s="94">
        <f>'[13]車両（アトレー１）'!$AJ$5</f>
        <v>1</v>
      </c>
      <c r="K39" s="94">
        <f>'[13]車両（アトレー４）'!$AJ$5</f>
        <v>2078860</v>
      </c>
      <c r="L39" s="94">
        <f>'[13]車両（キャラ３）'!$AJ$5</f>
        <v>0</v>
      </c>
    </row>
    <row r="40" spans="1:12" ht="14.25" x14ac:dyDescent="0.15">
      <c r="A40" s="55" t="s">
        <v>42</v>
      </c>
      <c r="B40" s="71">
        <v>50000</v>
      </c>
      <c r="C40" s="11"/>
      <c r="D40" s="12"/>
      <c r="F40" s="94">
        <f>'[13]車両（フリード２）'!$AJ$5</f>
        <v>477725</v>
      </c>
      <c r="G40" s="94">
        <f>'[13]車両（セブン２）'!$AJ$5</f>
        <v>1</v>
      </c>
      <c r="H40" s="94">
        <f>'[13]車両（EK３）'!$AJ$5</f>
        <v>1</v>
      </c>
    </row>
    <row r="41" spans="1:12" ht="14.25" x14ac:dyDescent="0.15">
      <c r="A41" s="55" t="s">
        <v>66</v>
      </c>
      <c r="B41" s="71"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v>53508120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v>98882764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71">
        <v>2805993</v>
      </c>
      <c r="C48" s="5"/>
      <c r="D48" s="78"/>
    </row>
    <row r="49" spans="1:7" ht="14.25" x14ac:dyDescent="0.15">
      <c r="A49" s="55" t="s">
        <v>33</v>
      </c>
      <c r="B49" s="71">
        <f>[13]短期借入金!$AA$37</f>
        <v>4000000</v>
      </c>
      <c r="C49" s="5"/>
      <c r="D49" s="12"/>
    </row>
    <row r="50" spans="1:7" ht="6.75" customHeight="1" x14ac:dyDescent="0.15">
      <c r="A50" s="59"/>
      <c r="B50" s="79"/>
      <c r="C50" s="11"/>
      <c r="D50" s="12"/>
    </row>
    <row r="51" spans="1:7" ht="14.25" x14ac:dyDescent="0.15">
      <c r="A51" s="55" t="s">
        <v>31</v>
      </c>
      <c r="B51" s="80"/>
      <c r="C51" s="37">
        <v>2805993</v>
      </c>
      <c r="D51" s="23"/>
      <c r="E51" t="s">
        <v>108</v>
      </c>
    </row>
    <row r="52" spans="1:7" ht="11.25" customHeight="1" x14ac:dyDescent="0.15">
      <c r="A52" s="3"/>
      <c r="B52" s="14"/>
      <c r="C52" s="34"/>
      <c r="D52" s="25"/>
    </row>
    <row r="53" spans="1:7" ht="14.25" x14ac:dyDescent="0.15">
      <c r="A53" s="55" t="s">
        <v>22</v>
      </c>
      <c r="B53" s="19"/>
      <c r="C53" s="81"/>
      <c r="D53" s="23"/>
    </row>
    <row r="54" spans="1:7" ht="14.25" x14ac:dyDescent="0.15">
      <c r="A54" s="55" t="s">
        <v>30</v>
      </c>
      <c r="B54" s="88">
        <f>[13]長期借入金!$AA$37</f>
        <v>18879000</v>
      </c>
      <c r="C54" s="11"/>
      <c r="D54" s="25"/>
    </row>
    <row r="55" spans="1:7" ht="14.25" x14ac:dyDescent="0.15">
      <c r="A55" s="9"/>
      <c r="B55" s="19"/>
      <c r="C55" s="11"/>
      <c r="D55" s="25"/>
      <c r="G55" t="s">
        <v>108</v>
      </c>
    </row>
    <row r="56" spans="1:7" ht="14.25" x14ac:dyDescent="0.15">
      <c r="A56" s="61" t="s">
        <v>29</v>
      </c>
      <c r="B56" s="10"/>
      <c r="C56" s="37">
        <v>21768000</v>
      </c>
      <c r="D56" s="23"/>
    </row>
    <row r="57" spans="1:7" ht="6.75" customHeight="1" x14ac:dyDescent="0.15">
      <c r="A57" s="3"/>
      <c r="B57" s="19"/>
      <c r="C57" s="11"/>
      <c r="D57" s="23"/>
    </row>
    <row r="58" spans="1:7" ht="14.25" x14ac:dyDescent="0.15">
      <c r="A58" s="58" t="s">
        <v>24</v>
      </c>
      <c r="B58" s="40"/>
      <c r="C58" s="40"/>
      <c r="D58" s="38">
        <v>24573993</v>
      </c>
    </row>
    <row r="59" spans="1:7" ht="11.25" customHeight="1" x14ac:dyDescent="0.15">
      <c r="A59" s="3"/>
      <c r="B59" s="19"/>
      <c r="C59" s="11"/>
      <c r="D59" s="23"/>
    </row>
    <row r="60" spans="1:7" ht="14.25" x14ac:dyDescent="0.15">
      <c r="A60" s="55" t="s">
        <v>3</v>
      </c>
      <c r="B60" s="30"/>
      <c r="C60" s="35"/>
      <c r="D60" s="31"/>
    </row>
    <row r="61" spans="1:7" ht="15" customHeight="1" x14ac:dyDescent="0.15">
      <c r="A61" s="55" t="s">
        <v>27</v>
      </c>
      <c r="B61" s="10"/>
      <c r="C61" s="39"/>
      <c r="D61" s="39">
        <v>0</v>
      </c>
    </row>
    <row r="62" spans="1:7" ht="15.75" customHeight="1" x14ac:dyDescent="0.15">
      <c r="A62" s="55" t="s">
        <v>28</v>
      </c>
      <c r="B62" s="47"/>
      <c r="C62" s="9"/>
      <c r="D62" s="43">
        <v>74308771</v>
      </c>
      <c r="F62" s="100" t="s">
        <v>124</v>
      </c>
    </row>
    <row r="63" spans="1:7" ht="15.75" customHeight="1" x14ac:dyDescent="0.15">
      <c r="A63" s="59" t="s">
        <v>11</v>
      </c>
      <c r="B63" s="9"/>
      <c r="D63" s="70">
        <v>2163778</v>
      </c>
      <c r="F63" s="92">
        <f>D63-[10]令和６年度!$P$74</f>
        <v>6933828</v>
      </c>
    </row>
    <row r="64" spans="1:7" ht="16.5" customHeight="1" x14ac:dyDescent="0.15">
      <c r="A64" s="55" t="s">
        <v>26</v>
      </c>
      <c r="B64" s="22"/>
      <c r="C64" s="48"/>
      <c r="D64" s="44">
        <v>74308771</v>
      </c>
      <c r="F64" s="91"/>
    </row>
    <row r="65" spans="1:6" ht="14.25" x14ac:dyDescent="0.15">
      <c r="A65" s="55" t="s">
        <v>25</v>
      </c>
      <c r="B65" s="22"/>
      <c r="C65" s="9"/>
      <c r="D65" s="69">
        <v>98882764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98F0F-3D88-4B5D-8E8C-38FB47BC49B2}">
  <sheetPr>
    <pageSetUpPr fitToPage="1"/>
  </sheetPr>
  <dimension ref="A1:L109"/>
  <sheetViews>
    <sheetView topLeftCell="A47" zoomScaleNormal="100" workbookViewId="0">
      <selection activeCell="D64" sqref="D64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194</v>
      </c>
      <c r="B1" s="122"/>
      <c r="C1" s="122"/>
      <c r="D1" s="122"/>
    </row>
    <row r="2" spans="1:11" ht="17.25" customHeight="1" x14ac:dyDescent="0.15">
      <c r="A2" s="116" t="s">
        <v>191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15723319</v>
      </c>
      <c r="C9" s="5"/>
      <c r="D9" s="12"/>
      <c r="F9" s="101">
        <f>'[11]0138359'!$AJ$37</f>
        <v>4981376</v>
      </c>
      <c r="G9" s="101">
        <f>'[11]0138642（居宅）'!$AJ$37</f>
        <v>154091</v>
      </c>
      <c r="H9" s="101">
        <f>'[11]0138655（通所）'!$AJ$37</f>
        <v>5711</v>
      </c>
      <c r="I9" s="101">
        <f>'[11]0156560（新庄）'!$AJ$37</f>
        <v>99191</v>
      </c>
      <c r="J9" s="101">
        <f>'[11]0158313（ゆけむり）'!$AJ$37</f>
        <v>50444</v>
      </c>
      <c r="K9" s="101">
        <f>'[11]0139101（ちゃれんじ）'!$AJ$37</f>
        <v>583296</v>
      </c>
    </row>
    <row r="10" spans="1:11" ht="14.25" x14ac:dyDescent="0.15">
      <c r="A10" s="53" t="s">
        <v>102</v>
      </c>
      <c r="B10" s="73">
        <v>9725885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4959428</v>
      </c>
      <c r="C11" s="5"/>
      <c r="D11" s="23"/>
      <c r="F11" s="101">
        <f>'[11]2253865（助け合い）'!$AJ$37</f>
        <v>222641</v>
      </c>
      <c r="G11" s="102">
        <f>'[11]2253871（通所）'!$AJ$37</f>
        <v>484375</v>
      </c>
      <c r="H11" s="103">
        <f>'[11]2254321（ミニ）'!$AJ$37</f>
        <v>6886188</v>
      </c>
    </row>
    <row r="12" spans="1:11" ht="14.25" x14ac:dyDescent="0.15">
      <c r="A12" s="53" t="s">
        <v>128</v>
      </c>
      <c r="B12" s="74">
        <v>580054</v>
      </c>
      <c r="C12" s="5"/>
      <c r="D12" s="23"/>
    </row>
    <row r="13" spans="1:11" ht="14.25" x14ac:dyDescent="0.15">
      <c r="A13" s="53" t="s">
        <v>129</v>
      </c>
      <c r="B13" s="75">
        <v>155930</v>
      </c>
      <c r="C13" s="5"/>
      <c r="D13" s="12"/>
      <c r="E13" s="93" t="s">
        <v>142</v>
      </c>
      <c r="F13" s="104">
        <f>[11]JA0034628!$AJ$37</f>
        <v>568938</v>
      </c>
      <c r="G13" s="93" t="s">
        <v>143</v>
      </c>
      <c r="H13" s="104">
        <f>[11]ゆうちょ6473091!$AJ$37</f>
        <v>173053</v>
      </c>
      <c r="I13" s="93" t="s">
        <v>144</v>
      </c>
      <c r="J13" s="104">
        <f>[11]しま信0116975!$AJ$37</f>
        <v>289801</v>
      </c>
    </row>
    <row r="14" spans="1:11" ht="14.25" x14ac:dyDescent="0.15">
      <c r="A14" s="53" t="s">
        <v>130</v>
      </c>
      <c r="B14" s="75">
        <v>302022</v>
      </c>
      <c r="C14" s="5"/>
      <c r="D14" s="12"/>
    </row>
    <row r="15" spans="1:11" ht="14.25" x14ac:dyDescent="0.15">
      <c r="A15" s="55" t="s">
        <v>36</v>
      </c>
      <c r="B15" s="71">
        <v>27475445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5316580</v>
      </c>
      <c r="C16" s="11"/>
      <c r="D16" s="12"/>
      <c r="E16" t="s">
        <v>112</v>
      </c>
      <c r="F16" s="103">
        <f>'[12]未収金（認定調査委託料）'!$AJ$37</f>
        <v>9240</v>
      </c>
      <c r="G16" s="103">
        <f>'[12]未収金（居宅支援介護報酬）'!$AJ$37</f>
        <v>5110490</v>
      </c>
      <c r="H16" s="83"/>
    </row>
    <row r="17" spans="1:11" ht="14.25" x14ac:dyDescent="0.15">
      <c r="A17" s="54" t="s">
        <v>15</v>
      </c>
      <c r="B17" s="73">
        <v>16244151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14257</v>
      </c>
      <c r="C18" s="11"/>
      <c r="D18" s="12"/>
      <c r="E18" t="s">
        <v>115</v>
      </c>
      <c r="F18" s="103">
        <f>'[12]未収金（通所保険請求）'!$AJ$37</f>
        <v>11757712</v>
      </c>
      <c r="G18" s="103">
        <f>'[12]未収金（通所利用者負担）'!$AJ$37</f>
        <v>1233924</v>
      </c>
      <c r="H18" s="103">
        <f>'[12]未収金（通所食費）'!$AJ$37</f>
        <v>733900</v>
      </c>
    </row>
    <row r="19" spans="1:11" ht="14.25" x14ac:dyDescent="0.15">
      <c r="A19" s="54" t="s">
        <v>16</v>
      </c>
      <c r="B19" s="73">
        <v>1851602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1141415</v>
      </c>
      <c r="C20" s="5"/>
      <c r="D20" s="12"/>
      <c r="E20" t="s">
        <v>119</v>
      </c>
      <c r="F20" s="103">
        <f>'[12]未収金（ゆけむり保険請求）'!$AJ$37</f>
        <v>0</v>
      </c>
      <c r="G20" s="103">
        <f>'[12]未収金（ゆけむり利用者負担）'!$AJ$37</f>
        <v>14257</v>
      </c>
      <c r="H20" s="103">
        <f>'[12]未収金（ゆけむり食費）'!$AJ$37</f>
        <v>0</v>
      </c>
    </row>
    <row r="21" spans="1:11" ht="14.25" x14ac:dyDescent="0.15">
      <c r="A21" s="54" t="s">
        <v>167</v>
      </c>
      <c r="B21" s="73">
        <v>355273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192</v>
      </c>
      <c r="B22" s="73">
        <v>5039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85">
        <v>17800</v>
      </c>
      <c r="C23" s="5"/>
      <c r="D23" s="12"/>
      <c r="E23" t="s">
        <v>120</v>
      </c>
      <c r="F23" s="103">
        <f>'[12]未収金（予防通所保険請求）'!$AJ$37</f>
        <v>1344043</v>
      </c>
      <c r="G23" s="103">
        <f>'[12]未収金（予防通所利用者負担）'!$AJ$37</f>
        <v>78798</v>
      </c>
      <c r="H23" s="103">
        <f>'[12]未収金（予防通所食費）'!$AJ$37</f>
        <v>104300</v>
      </c>
    </row>
    <row r="24" spans="1:11" ht="14.25" x14ac:dyDescent="0.15">
      <c r="A24" s="54" t="s">
        <v>81</v>
      </c>
      <c r="B24" s="73">
        <v>439528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85">
        <v>71400</v>
      </c>
      <c r="C25" s="5"/>
      <c r="D25" s="12"/>
      <c r="E25" t="s">
        <v>121</v>
      </c>
      <c r="F25" s="103">
        <f>'[12]未収金（処遇改善保険請求）'!$AJ$37</f>
        <v>1210522</v>
      </c>
      <c r="G25" s="103">
        <f>'[12]未収金（処遇改善利用者負担）'!$AJ$37</f>
        <v>116787</v>
      </c>
      <c r="H25" s="83"/>
      <c r="I25" s="99" t="s">
        <v>169</v>
      </c>
      <c r="J25" s="104">
        <f>'[12]未収金（ベースアップ加算保険請求）'!$AJ$37</f>
        <v>198</v>
      </c>
      <c r="K25" s="104">
        <f>'[12]未収金（ベースアップ加算利用者負担）'!$AJ$37</f>
        <v>343</v>
      </c>
    </row>
    <row r="26" spans="1:11" ht="14.25" x14ac:dyDescent="0.15">
      <c r="A26" s="54" t="s">
        <v>17</v>
      </c>
      <c r="B26" s="86">
        <v>2006400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87">
        <v>12000</v>
      </c>
      <c r="C27" s="5"/>
      <c r="D27" s="12"/>
      <c r="E27" t="s">
        <v>122</v>
      </c>
      <c r="F27" s="103">
        <f>'[12]未収金（特定処遇改善保険請求）'!$AJ$37</f>
        <v>0</v>
      </c>
      <c r="G27" s="103">
        <f>'[12]未収金（特定処遇改善利用者負担）'!$AJ$37</f>
        <v>3289</v>
      </c>
      <c r="H27" s="83"/>
    </row>
    <row r="28" spans="1:11" ht="14.25" x14ac:dyDescent="0.15">
      <c r="A28" s="54" t="s">
        <v>79</v>
      </c>
      <c r="B28" s="85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88">
        <v>350500</v>
      </c>
      <c r="C29" s="15" t="s">
        <v>0</v>
      </c>
      <c r="D29" s="12"/>
      <c r="E29" t="s">
        <v>123</v>
      </c>
      <c r="F29" s="103">
        <f>'[12]未収金（サロン保険請求）'!$AJ$37</f>
        <v>316516</v>
      </c>
      <c r="G29" s="103">
        <f>'[12]未収金（サロン利用者負担）'!$AJ$37</f>
        <v>21602</v>
      </c>
      <c r="H29" s="103">
        <f>'[12]未収金（サロン食費）'!$AJ$37</f>
        <v>31500</v>
      </c>
    </row>
    <row r="30" spans="1:11" ht="14.25" x14ac:dyDescent="0.15">
      <c r="A30" s="61" t="s">
        <v>96</v>
      </c>
      <c r="B30" s="71">
        <v>464750</v>
      </c>
      <c r="C30" s="15"/>
      <c r="D30" s="12"/>
    </row>
    <row r="31" spans="1:11" ht="14.25" x14ac:dyDescent="0.15">
      <c r="A31" s="61" t="s">
        <v>38</v>
      </c>
      <c r="B31" s="7"/>
      <c r="C31" s="77">
        <v>44016399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44213471</v>
      </c>
      <c r="C34" s="5"/>
      <c r="D34" s="12"/>
      <c r="E34" t="s">
        <v>146</v>
      </c>
      <c r="F34" s="105">
        <f>'[13]建物（ほっと本体）'!$AJ$5</f>
        <v>225002</v>
      </c>
      <c r="G34" s="105">
        <f>'[13]建物（ほっと2階）'!$AJ$5</f>
        <v>159976</v>
      </c>
      <c r="H34" s="105">
        <f>'[13]建物（新庄）'!$AJ$5</f>
        <v>14958933</v>
      </c>
      <c r="I34" s="105">
        <f>'[13]建物（ゆけむり）'!$AJ$5</f>
        <v>22564101</v>
      </c>
      <c r="J34" s="105">
        <f>'[13]建物（ほっと浴室）'!$AJ$5</f>
        <v>3600857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106">
        <f>'[13]附属建物（厨房）'!$AJ$5</f>
        <v>1</v>
      </c>
      <c r="G35" s="106">
        <f>'[13]附属建物（浴室）'!$AJ$5</f>
        <v>1</v>
      </c>
      <c r="H35" s="106">
        <f>'[13]附属建物（便所）'!$AJ$5</f>
        <v>1</v>
      </c>
      <c r="I35" s="106">
        <f>'[13]附属建物（廊下）'!$AJ$5</f>
        <v>1</v>
      </c>
      <c r="J35" s="106">
        <f>'[13]附属設備（電気設備その他）'!$AJ$5</f>
        <v>82438</v>
      </c>
      <c r="K35" s="106">
        <f>'[13]附属設備（給排水衛生設備）'!$AJ$5</f>
        <v>94536</v>
      </c>
      <c r="L35" s="106">
        <f>'[13]附属設備（消火排煙設備）'!$AJ$5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106">
        <f>'[13]附属設備（新庄電気設備）'!$AJ$5</f>
        <v>365715</v>
      </c>
      <c r="G36" s="106">
        <f>'[13]附属設備（新庄給排水設備）'!$AJ$5</f>
        <v>446005</v>
      </c>
      <c r="H36" s="106">
        <f>'[13]附属設備（電気設備）'!$AJ$5</f>
        <v>1028074</v>
      </c>
      <c r="I36" s="106">
        <f>'[13]附属設備（給排水設備）'!$AJ$5</f>
        <v>529605</v>
      </c>
      <c r="J36" s="106">
        <f>'[13]附属設備（新庄浴槽改装ガス給湯設備）'!$AJ$6</f>
        <v>513845</v>
      </c>
      <c r="K36" s="106">
        <f>'[13]附属設備（ほっと浴室移設電気工事）'!$AJ$5</f>
        <v>851136</v>
      </c>
      <c r="L36" s="106">
        <f>'[13]附属設備（ほっと浴室移設給排水設備）'!$AJ$5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107">
        <f>'[13]構築物（舗装工事）'!$AJ$5</f>
        <v>1</v>
      </c>
      <c r="G37" s="107">
        <f>'[13]構築物（ゆけむり）'!$AJ$5</f>
        <v>358351</v>
      </c>
      <c r="H37" s="107">
        <f>'[13]構築物（新庄駐車場舗装）'!$AJ$5</f>
        <v>821220</v>
      </c>
    </row>
    <row r="38" spans="1:12" ht="14.25" x14ac:dyDescent="0.15">
      <c r="A38" s="55" t="s">
        <v>40</v>
      </c>
      <c r="B38" s="71">
        <v>2556592</v>
      </c>
      <c r="C38" s="5"/>
      <c r="D38" s="12"/>
      <c r="E38" t="s">
        <v>149</v>
      </c>
      <c r="F38" s="108">
        <f>'[13]器具備品（新庄玄関エアコン）'!$AJ$5</f>
        <v>31800</v>
      </c>
      <c r="G38" s="108">
        <f>'[13]器具備品（新庄事務室エアコン）'!$AJ$5</f>
        <v>173084</v>
      </c>
    </row>
    <row r="39" spans="1:12" ht="14.25" x14ac:dyDescent="0.15">
      <c r="A39" s="55" t="s">
        <v>41</v>
      </c>
      <c r="B39" s="88">
        <v>110600</v>
      </c>
      <c r="C39" s="5"/>
      <c r="D39" s="12"/>
      <c r="E39" t="s">
        <v>150</v>
      </c>
      <c r="F39" s="94">
        <f>'[13]車両（タウンボックス）'!$AJ$5</f>
        <v>1</v>
      </c>
      <c r="G39" s="94">
        <f>'[13]車両（はとバン）'!$AJ$5</f>
        <v>1</v>
      </c>
      <c r="H39" s="94">
        <f>'[13]車両（ノア）'!$AJ$5</f>
        <v>1</v>
      </c>
      <c r="I39" s="94">
        <f>'[13]車両（セレナ）'!$AJ$5</f>
        <v>1</v>
      </c>
      <c r="J39" s="94">
        <f>'[13]車両（アトレー１）'!$AJ$5</f>
        <v>1</v>
      </c>
      <c r="K39" s="94">
        <f>'[13]車両（アトレー４）'!$AJ$5</f>
        <v>2078860</v>
      </c>
      <c r="L39" s="94">
        <f>'[13]車両（キャラ３）'!$AJ$5</f>
        <v>0</v>
      </c>
    </row>
    <row r="40" spans="1:12" ht="14.25" x14ac:dyDescent="0.15">
      <c r="A40" s="55" t="s">
        <v>42</v>
      </c>
      <c r="B40" s="88">
        <v>50000</v>
      </c>
      <c r="C40" s="11"/>
      <c r="D40" s="12"/>
      <c r="F40" s="94">
        <f>'[13]車両（フリード２）'!$AJ$5</f>
        <v>477725</v>
      </c>
      <c r="G40" s="94">
        <f>'[13]車両（セブン２）'!$AJ$5</f>
        <v>1</v>
      </c>
      <c r="H40" s="94">
        <f>'[13]車両（EK３）'!$AJ$5</f>
        <v>1</v>
      </c>
    </row>
    <row r="41" spans="1:12" ht="14.25" x14ac:dyDescent="0.15">
      <c r="A41" s="55" t="s">
        <v>66</v>
      </c>
      <c r="B41" s="88"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v>53508120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v>97524519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88">
        <v>1726058</v>
      </c>
      <c r="C48" s="5"/>
      <c r="D48" s="78"/>
    </row>
    <row r="49" spans="1:7" ht="14.25" x14ac:dyDescent="0.15">
      <c r="A49" s="55" t="s">
        <v>33</v>
      </c>
      <c r="B49" s="71">
        <v>5000000</v>
      </c>
      <c r="C49" s="5"/>
      <c r="D49" s="12"/>
    </row>
    <row r="50" spans="1:7" ht="6.75" customHeight="1" x14ac:dyDescent="0.15">
      <c r="A50" s="59"/>
      <c r="B50" s="79"/>
      <c r="C50" s="11"/>
      <c r="D50" s="12"/>
    </row>
    <row r="51" spans="1:7" ht="14.25" x14ac:dyDescent="0.15">
      <c r="A51" s="55" t="s">
        <v>31</v>
      </c>
      <c r="B51" s="80"/>
      <c r="C51" s="37">
        <v>6726058</v>
      </c>
      <c r="D51" s="23"/>
      <c r="E51" t="s">
        <v>108</v>
      </c>
    </row>
    <row r="52" spans="1:7" ht="11.25" customHeight="1" x14ac:dyDescent="0.15">
      <c r="A52" s="3"/>
      <c r="B52" s="14"/>
      <c r="C52" s="34"/>
      <c r="D52" s="25"/>
    </row>
    <row r="53" spans="1:7" ht="14.25" x14ac:dyDescent="0.15">
      <c r="A53" s="55" t="s">
        <v>22</v>
      </c>
      <c r="B53" s="19"/>
      <c r="C53" s="81"/>
      <c r="D53" s="23"/>
    </row>
    <row r="54" spans="1:7" ht="14.25" x14ac:dyDescent="0.15">
      <c r="A54" s="55" t="s">
        <v>30</v>
      </c>
      <c r="B54" s="88">
        <v>21447000</v>
      </c>
      <c r="C54" s="11"/>
      <c r="D54" s="25"/>
    </row>
    <row r="55" spans="1:7" ht="14.25" x14ac:dyDescent="0.15">
      <c r="A55" s="9"/>
      <c r="B55" s="19"/>
      <c r="C55" s="11"/>
      <c r="D55" s="25"/>
      <c r="G55" t="s">
        <v>108</v>
      </c>
    </row>
    <row r="56" spans="1:7" ht="14.25" x14ac:dyDescent="0.15">
      <c r="A56" s="61" t="s">
        <v>29</v>
      </c>
      <c r="B56" s="10"/>
      <c r="C56" s="37">
        <v>21447000</v>
      </c>
      <c r="D56" s="23"/>
    </row>
    <row r="57" spans="1:7" ht="6.75" customHeight="1" x14ac:dyDescent="0.15">
      <c r="A57" s="3"/>
      <c r="B57" s="19"/>
      <c r="C57" s="11"/>
      <c r="D57" s="23"/>
    </row>
    <row r="58" spans="1:7" ht="14.25" x14ac:dyDescent="0.15">
      <c r="A58" s="58" t="s">
        <v>24</v>
      </c>
      <c r="B58" s="40"/>
      <c r="C58" s="40"/>
      <c r="D58" s="38">
        <v>28173058</v>
      </c>
    </row>
    <row r="59" spans="1:7" ht="11.25" customHeight="1" x14ac:dyDescent="0.15">
      <c r="A59" s="3"/>
      <c r="B59" s="19"/>
      <c r="C59" s="11"/>
      <c r="D59" s="23"/>
    </row>
    <row r="60" spans="1:7" ht="14.25" x14ac:dyDescent="0.15">
      <c r="A60" s="55" t="s">
        <v>3</v>
      </c>
      <c r="B60" s="30"/>
      <c r="C60" s="35"/>
      <c r="D60" s="31"/>
    </row>
    <row r="61" spans="1:7" ht="15" customHeight="1" x14ac:dyDescent="0.15">
      <c r="A61" s="55" t="s">
        <v>27</v>
      </c>
      <c r="B61" s="10"/>
      <c r="C61" s="39"/>
      <c r="D61" s="39">
        <v>0</v>
      </c>
    </row>
    <row r="62" spans="1:7" ht="15.75" customHeight="1" x14ac:dyDescent="0.15">
      <c r="A62" s="55" t="s">
        <v>28</v>
      </c>
      <c r="B62" s="47"/>
      <c r="C62" s="9"/>
      <c r="D62" s="43">
        <v>69351461</v>
      </c>
      <c r="F62" s="100" t="s">
        <v>124</v>
      </c>
    </row>
    <row r="63" spans="1:7" ht="15.75" customHeight="1" x14ac:dyDescent="0.15">
      <c r="A63" s="59" t="s">
        <v>11</v>
      </c>
      <c r="B63" s="9"/>
      <c r="D63" s="70">
        <v>-2793532</v>
      </c>
      <c r="F63" s="92">
        <f>D63-[10]令和６年度!$P$74</f>
        <v>1976518</v>
      </c>
    </row>
    <row r="64" spans="1:7" ht="16.5" customHeight="1" x14ac:dyDescent="0.15">
      <c r="A64" s="55" t="s">
        <v>26</v>
      </c>
      <c r="B64" s="22"/>
      <c r="C64" s="48"/>
      <c r="D64" s="44">
        <v>69351461</v>
      </c>
      <c r="F64" s="91"/>
    </row>
    <row r="65" spans="1:6" ht="14.25" x14ac:dyDescent="0.15">
      <c r="A65" s="55" t="s">
        <v>25</v>
      </c>
      <c r="B65" s="22"/>
      <c r="C65" s="9"/>
      <c r="D65" s="69">
        <v>97524519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7752E-11FF-4EC3-950F-71C583F535F1}">
  <sheetPr>
    <pageSetUpPr fitToPage="1"/>
  </sheetPr>
  <dimension ref="A1:L109"/>
  <sheetViews>
    <sheetView zoomScaleNormal="100" workbookViewId="0">
      <selection activeCell="H5" sqref="H5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194</v>
      </c>
      <c r="B1" s="122"/>
      <c r="C1" s="122"/>
      <c r="D1" s="122"/>
    </row>
    <row r="2" spans="1:11" ht="17.25" customHeight="1" x14ac:dyDescent="0.15">
      <c r="A2" s="116" t="s">
        <v>193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18034592</v>
      </c>
      <c r="C9" s="5"/>
      <c r="D9" s="12"/>
      <c r="F9" s="101">
        <f>'[11]0138359'!$AJ$37</f>
        <v>4981376</v>
      </c>
      <c r="G9" s="101">
        <f>'[11]0138642（居宅）'!$AJ$37</f>
        <v>154091</v>
      </c>
      <c r="H9" s="101">
        <f>'[11]0138655（通所）'!$AJ$37</f>
        <v>5711</v>
      </c>
      <c r="I9" s="101">
        <f>'[11]0156560（新庄）'!$AJ$37</f>
        <v>99191</v>
      </c>
      <c r="J9" s="101">
        <f>'[11]0158313（ゆけむり）'!$AJ$37</f>
        <v>50444</v>
      </c>
      <c r="K9" s="101">
        <f>'[11]0139101（ちゃれんじ）'!$AJ$37</f>
        <v>583296</v>
      </c>
    </row>
    <row r="10" spans="1:11" ht="14.25" x14ac:dyDescent="0.15">
      <c r="A10" s="53" t="s">
        <v>102</v>
      </c>
      <c r="B10" s="73">
        <v>10022599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5800113</v>
      </c>
      <c r="C11" s="5"/>
      <c r="D11" s="23"/>
      <c r="F11" s="101">
        <f>'[11]2253865（助け合い）'!$AJ$37</f>
        <v>222641</v>
      </c>
      <c r="G11" s="102">
        <f>'[11]2253871（通所）'!$AJ$37</f>
        <v>484375</v>
      </c>
      <c r="H11" s="103">
        <f>'[11]2254321（ミニ）'!$AJ$37</f>
        <v>6886188</v>
      </c>
    </row>
    <row r="12" spans="1:11" ht="14.25" x14ac:dyDescent="0.15">
      <c r="A12" s="53" t="s">
        <v>128</v>
      </c>
      <c r="B12" s="74">
        <v>1120166</v>
      </c>
      <c r="C12" s="5"/>
      <c r="D12" s="23"/>
    </row>
    <row r="13" spans="1:11" ht="14.25" x14ac:dyDescent="0.15">
      <c r="A13" s="53" t="s">
        <v>129</v>
      </c>
      <c r="B13" s="75">
        <v>686915</v>
      </c>
      <c r="C13" s="5"/>
      <c r="D13" s="12"/>
      <c r="E13" s="93" t="s">
        <v>142</v>
      </c>
      <c r="F13" s="104">
        <f>[11]JA0034628!$AJ$37</f>
        <v>568938</v>
      </c>
      <c r="G13" s="93" t="s">
        <v>143</v>
      </c>
      <c r="H13" s="104">
        <f>[11]ゆうちょ6473091!$AJ$37</f>
        <v>173053</v>
      </c>
      <c r="I13" s="93" t="s">
        <v>144</v>
      </c>
      <c r="J13" s="104">
        <f>[11]しま信0116975!$AJ$37</f>
        <v>289801</v>
      </c>
    </row>
    <row r="14" spans="1:11" ht="14.25" x14ac:dyDescent="0.15">
      <c r="A14" s="53" t="s">
        <v>130</v>
      </c>
      <c r="B14" s="75">
        <v>404799</v>
      </c>
      <c r="C14" s="5"/>
      <c r="D14" s="12"/>
    </row>
    <row r="15" spans="1:11" ht="14.25" x14ac:dyDescent="0.15">
      <c r="A15" s="55" t="s">
        <v>36</v>
      </c>
      <c r="B15" s="71">
        <v>27643791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5272320</v>
      </c>
      <c r="C16" s="11"/>
      <c r="D16" s="12"/>
      <c r="E16" t="s">
        <v>112</v>
      </c>
      <c r="F16" s="103">
        <f>'[12]未収金（認定調査委託料）'!$AJ$37</f>
        <v>9240</v>
      </c>
      <c r="G16" s="103">
        <f>'[12]未収金（居宅支援介護報酬）'!$AJ$37</f>
        <v>5110490</v>
      </c>
      <c r="H16" s="83"/>
    </row>
    <row r="17" spans="1:11" ht="14.25" x14ac:dyDescent="0.15">
      <c r="A17" s="54" t="s">
        <v>15</v>
      </c>
      <c r="B17" s="73">
        <v>16385165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14257</v>
      </c>
      <c r="C18" s="11"/>
      <c r="D18" s="12"/>
      <c r="E18" t="s">
        <v>115</v>
      </c>
      <c r="F18" s="103">
        <f>'[12]未収金（通所保険請求）'!$AJ$37</f>
        <v>11757712</v>
      </c>
      <c r="G18" s="103">
        <f>'[12]未収金（通所利用者負担）'!$AJ$37</f>
        <v>1233924</v>
      </c>
      <c r="H18" s="103">
        <f>'[12]未収金（通所食費）'!$AJ$37</f>
        <v>733900</v>
      </c>
    </row>
    <row r="19" spans="1:11" ht="14.25" x14ac:dyDescent="0.15">
      <c r="A19" s="54" t="s">
        <v>16</v>
      </c>
      <c r="B19" s="73">
        <v>1763661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1238233</v>
      </c>
      <c r="C20" s="5"/>
      <c r="D20" s="12"/>
      <c r="E20" t="s">
        <v>119</v>
      </c>
      <c r="F20" s="103">
        <f>'[12]未収金（ゆけむり保険請求）'!$AJ$37</f>
        <v>0</v>
      </c>
      <c r="G20" s="103">
        <f>'[12]未収金（ゆけむり利用者負担）'!$AJ$37</f>
        <v>14257</v>
      </c>
      <c r="H20" s="103">
        <f>'[12]未収金（ゆけむり食費）'!$AJ$37</f>
        <v>0</v>
      </c>
    </row>
    <row r="21" spans="1:11" ht="14.25" x14ac:dyDescent="0.15">
      <c r="A21" s="54" t="s">
        <v>167</v>
      </c>
      <c r="B21" s="73">
        <v>350426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192</v>
      </c>
      <c r="B22" s="73">
        <v>577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85">
        <v>13800</v>
      </c>
      <c r="C23" s="5"/>
      <c r="D23" s="12"/>
      <c r="E23" t="s">
        <v>120</v>
      </c>
      <c r="F23" s="103">
        <f>'[12]未収金（予防通所保険請求）'!$AJ$37</f>
        <v>1344043</v>
      </c>
      <c r="G23" s="103">
        <f>'[12]未収金（予防通所利用者負担）'!$AJ$37</f>
        <v>78798</v>
      </c>
      <c r="H23" s="103">
        <f>'[12]未収金（予防通所食費）'!$AJ$37</f>
        <v>104300</v>
      </c>
    </row>
    <row r="24" spans="1:11" ht="14.25" x14ac:dyDescent="0.15">
      <c r="A24" s="54" t="s">
        <v>81</v>
      </c>
      <c r="B24" s="73">
        <v>427952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85">
        <v>64400</v>
      </c>
      <c r="C25" s="5"/>
      <c r="D25" s="12"/>
      <c r="E25" t="s">
        <v>121</v>
      </c>
      <c r="F25" s="103">
        <f>'[12]未収金（処遇改善保険請求）'!$AJ$37</f>
        <v>1210522</v>
      </c>
      <c r="G25" s="103">
        <f>'[12]未収金（処遇改善利用者負担）'!$AJ$37</f>
        <v>116787</v>
      </c>
      <c r="H25" s="83"/>
      <c r="I25" s="99" t="s">
        <v>169</v>
      </c>
      <c r="J25" s="104">
        <f>'[12]未収金（ベースアップ加算保険請求）'!$AJ$37</f>
        <v>198</v>
      </c>
      <c r="K25" s="104">
        <f>'[12]未収金（ベースアップ加算利用者負担）'!$AJ$37</f>
        <v>343</v>
      </c>
    </row>
    <row r="26" spans="1:11" ht="14.25" x14ac:dyDescent="0.15">
      <c r="A26" s="54" t="s">
        <v>17</v>
      </c>
      <c r="B26" s="86">
        <v>2102500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87">
        <v>10500</v>
      </c>
      <c r="C27" s="5"/>
      <c r="D27" s="12"/>
      <c r="E27" t="s">
        <v>122</v>
      </c>
      <c r="F27" s="103">
        <f>'[12]未収金（特定処遇改善保険請求）'!$AJ$37</f>
        <v>0</v>
      </c>
      <c r="G27" s="103">
        <f>'[12]未収金（特定処遇改善利用者負担）'!$AJ$37</f>
        <v>3289</v>
      </c>
      <c r="H27" s="83"/>
    </row>
    <row r="28" spans="1:11" ht="14.25" x14ac:dyDescent="0.15">
      <c r="A28" s="54" t="s">
        <v>79</v>
      </c>
      <c r="B28" s="85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88">
        <v>401366</v>
      </c>
      <c r="C29" s="15" t="s">
        <v>0</v>
      </c>
      <c r="D29" s="12"/>
      <c r="E29" t="s">
        <v>123</v>
      </c>
      <c r="F29" s="103">
        <f>'[12]未収金（サロン保険請求）'!$AJ$37</f>
        <v>316516</v>
      </c>
      <c r="G29" s="103">
        <f>'[12]未収金（サロン利用者負担）'!$AJ$37</f>
        <v>21602</v>
      </c>
      <c r="H29" s="103">
        <f>'[12]未収金（サロン食費）'!$AJ$37</f>
        <v>31500</v>
      </c>
    </row>
    <row r="30" spans="1:11" ht="14.25" x14ac:dyDescent="0.15">
      <c r="A30" s="61" t="s">
        <v>96</v>
      </c>
      <c r="B30" s="71">
        <v>464750</v>
      </c>
      <c r="C30" s="15"/>
      <c r="D30" s="12"/>
    </row>
    <row r="31" spans="1:11" ht="14.25" x14ac:dyDescent="0.15">
      <c r="A31" s="61" t="s">
        <v>38</v>
      </c>
      <c r="B31" s="7"/>
      <c r="C31" s="77">
        <v>46546884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44213471</v>
      </c>
      <c r="C34" s="5"/>
      <c r="D34" s="12"/>
      <c r="E34" t="s">
        <v>146</v>
      </c>
      <c r="F34" s="105">
        <f>'[13]建物（ほっと本体）'!$AJ$5</f>
        <v>225002</v>
      </c>
      <c r="G34" s="105">
        <f>'[13]建物（ほっと2階）'!$AJ$5</f>
        <v>159976</v>
      </c>
      <c r="H34" s="105">
        <f>'[13]建物（新庄）'!$AJ$5</f>
        <v>14958933</v>
      </c>
      <c r="I34" s="105">
        <f>'[13]建物（ゆけむり）'!$AJ$5</f>
        <v>22564101</v>
      </c>
      <c r="J34" s="105">
        <f>'[13]建物（ほっと浴室）'!$AJ$5</f>
        <v>3600857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106">
        <f>'[13]附属建物（厨房）'!$AJ$5</f>
        <v>1</v>
      </c>
      <c r="G35" s="106">
        <f>'[13]附属建物（浴室）'!$AJ$5</f>
        <v>1</v>
      </c>
      <c r="H35" s="106">
        <f>'[13]附属建物（便所）'!$AJ$5</f>
        <v>1</v>
      </c>
      <c r="I35" s="106">
        <f>'[13]附属建物（廊下）'!$AJ$5</f>
        <v>1</v>
      </c>
      <c r="J35" s="106">
        <f>'[13]附属設備（電気設備その他）'!$AJ$5</f>
        <v>82438</v>
      </c>
      <c r="K35" s="106">
        <f>'[13]附属設備（給排水衛生設備）'!$AJ$5</f>
        <v>94536</v>
      </c>
      <c r="L35" s="106">
        <f>'[13]附属設備（消火排煙設備）'!$AJ$5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106">
        <f>'[13]附属設備（新庄電気設備）'!$AJ$5</f>
        <v>365715</v>
      </c>
      <c r="G36" s="106">
        <f>'[13]附属設備（新庄給排水設備）'!$AJ$5</f>
        <v>446005</v>
      </c>
      <c r="H36" s="106">
        <f>'[13]附属設備（電気設備）'!$AJ$5</f>
        <v>1028074</v>
      </c>
      <c r="I36" s="106">
        <f>'[13]附属設備（給排水設備）'!$AJ$5</f>
        <v>529605</v>
      </c>
      <c r="J36" s="106">
        <f>'[13]附属設備（新庄浴槽改装ガス給湯設備）'!$AJ$6</f>
        <v>513845</v>
      </c>
      <c r="K36" s="106">
        <f>'[13]附属設備（ほっと浴室移設電気工事）'!$AJ$5</f>
        <v>851136</v>
      </c>
      <c r="L36" s="106">
        <f>'[13]附属設備（ほっと浴室移設給排水設備）'!$AJ$5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107">
        <f>'[13]構築物（舗装工事）'!$AJ$5</f>
        <v>1</v>
      </c>
      <c r="G37" s="107">
        <f>'[13]構築物（ゆけむり）'!$AJ$5</f>
        <v>358351</v>
      </c>
      <c r="H37" s="107">
        <f>'[13]構築物（新庄駐車場舗装）'!$AJ$5</f>
        <v>821220</v>
      </c>
    </row>
    <row r="38" spans="1:12" ht="14.25" x14ac:dyDescent="0.15">
      <c r="A38" s="55" t="s">
        <v>40</v>
      </c>
      <c r="B38" s="71">
        <v>2556592</v>
      </c>
      <c r="C38" s="5"/>
      <c r="D38" s="12"/>
      <c r="E38" t="s">
        <v>149</v>
      </c>
      <c r="F38" s="108">
        <f>'[13]器具備品（新庄玄関エアコン）'!$AJ$5</f>
        <v>31800</v>
      </c>
      <c r="G38" s="108">
        <f>'[13]器具備品（新庄事務室エアコン）'!$AJ$5</f>
        <v>173084</v>
      </c>
    </row>
    <row r="39" spans="1:12" ht="14.25" x14ac:dyDescent="0.15">
      <c r="A39" s="55" t="s">
        <v>41</v>
      </c>
      <c r="B39" s="88">
        <v>110600</v>
      </c>
      <c r="C39" s="5"/>
      <c r="D39" s="12"/>
      <c r="E39" t="s">
        <v>150</v>
      </c>
      <c r="F39" s="94">
        <f>'[13]車両（タウンボックス）'!$AJ$5</f>
        <v>1</v>
      </c>
      <c r="G39" s="94">
        <f>'[13]車両（はとバン）'!$AJ$5</f>
        <v>1</v>
      </c>
      <c r="H39" s="94">
        <f>'[13]車両（ノア）'!$AJ$5</f>
        <v>1</v>
      </c>
      <c r="I39" s="94">
        <f>'[13]車両（セレナ）'!$AJ$5</f>
        <v>1</v>
      </c>
      <c r="J39" s="94">
        <f>'[13]車両（アトレー１）'!$AJ$5</f>
        <v>1</v>
      </c>
      <c r="K39" s="94">
        <f>'[13]車両（アトレー４）'!$AJ$5</f>
        <v>2078860</v>
      </c>
      <c r="L39" s="94">
        <f>'[13]車両（キャラ３）'!$AJ$5</f>
        <v>0</v>
      </c>
    </row>
    <row r="40" spans="1:12" ht="14.25" x14ac:dyDescent="0.15">
      <c r="A40" s="55" t="s">
        <v>42</v>
      </c>
      <c r="B40" s="88">
        <v>50000</v>
      </c>
      <c r="C40" s="11"/>
      <c r="D40" s="12"/>
      <c r="F40" s="94">
        <f>'[13]車両（フリード２）'!$AJ$5</f>
        <v>477725</v>
      </c>
      <c r="G40" s="94">
        <f>'[13]車両（セブン２）'!$AJ$5</f>
        <v>1</v>
      </c>
      <c r="H40" s="94">
        <f>'[13]車両（EK３）'!$AJ$5</f>
        <v>1</v>
      </c>
    </row>
    <row r="41" spans="1:12" ht="14.25" x14ac:dyDescent="0.15">
      <c r="A41" s="55" t="s">
        <v>66</v>
      </c>
      <c r="B41" s="88"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v>53508120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v>100055004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88">
        <v>3976384</v>
      </c>
      <c r="C48" s="5"/>
      <c r="D48" s="78"/>
    </row>
    <row r="49" spans="1:7" ht="14.25" x14ac:dyDescent="0.15">
      <c r="A49" s="55" t="s">
        <v>33</v>
      </c>
      <c r="B49" s="71">
        <v>4000000</v>
      </c>
      <c r="C49" s="5"/>
      <c r="D49" s="12"/>
    </row>
    <row r="50" spans="1:7" ht="6.75" customHeight="1" x14ac:dyDescent="0.15">
      <c r="A50" s="59"/>
      <c r="B50" s="79"/>
      <c r="C50" s="11"/>
      <c r="D50" s="12"/>
    </row>
    <row r="51" spans="1:7" ht="14.25" x14ac:dyDescent="0.15">
      <c r="A51" s="55" t="s">
        <v>31</v>
      </c>
      <c r="B51" s="80"/>
      <c r="C51" s="37">
        <v>7976384</v>
      </c>
      <c r="D51" s="23"/>
      <c r="E51" t="s">
        <v>108</v>
      </c>
    </row>
    <row r="52" spans="1:7" ht="11.25" customHeight="1" x14ac:dyDescent="0.15">
      <c r="A52" s="3"/>
      <c r="B52" s="14"/>
      <c r="C52" s="34"/>
      <c r="D52" s="25"/>
    </row>
    <row r="53" spans="1:7" ht="14.25" x14ac:dyDescent="0.15">
      <c r="A53" s="55" t="s">
        <v>22</v>
      </c>
      <c r="B53" s="19"/>
      <c r="C53" s="81"/>
      <c r="D53" s="23"/>
    </row>
    <row r="54" spans="1:7" ht="14.25" x14ac:dyDescent="0.15">
      <c r="A54" s="55" t="s">
        <v>30</v>
      </c>
      <c r="B54" s="88">
        <v>21126000</v>
      </c>
      <c r="C54" s="11"/>
      <c r="D54" s="25"/>
    </row>
    <row r="55" spans="1:7" ht="14.25" x14ac:dyDescent="0.15">
      <c r="A55" s="9"/>
      <c r="B55" s="19"/>
      <c r="C55" s="11"/>
      <c r="D55" s="25"/>
      <c r="G55" t="s">
        <v>108</v>
      </c>
    </row>
    <row r="56" spans="1:7" ht="14.25" x14ac:dyDescent="0.15">
      <c r="A56" s="61" t="s">
        <v>29</v>
      </c>
      <c r="B56" s="10"/>
      <c r="C56" s="37">
        <v>21126000</v>
      </c>
      <c r="D56" s="23"/>
    </row>
    <row r="57" spans="1:7" ht="6.75" customHeight="1" x14ac:dyDescent="0.15">
      <c r="A57" s="3"/>
      <c r="B57" s="19"/>
      <c r="C57" s="11"/>
      <c r="D57" s="23"/>
    </row>
    <row r="58" spans="1:7" ht="14.25" x14ac:dyDescent="0.15">
      <c r="A58" s="58" t="s">
        <v>24</v>
      </c>
      <c r="B58" s="40"/>
      <c r="C58" s="40"/>
      <c r="D58" s="38">
        <v>29102384</v>
      </c>
    </row>
    <row r="59" spans="1:7" ht="11.25" customHeight="1" x14ac:dyDescent="0.15">
      <c r="A59" s="3"/>
      <c r="B59" s="19"/>
      <c r="C59" s="11"/>
      <c r="D59" s="23"/>
    </row>
    <row r="60" spans="1:7" ht="14.25" x14ac:dyDescent="0.15">
      <c r="A60" s="55" t="s">
        <v>3</v>
      </c>
      <c r="B60" s="30"/>
      <c r="C60" s="35"/>
      <c r="D60" s="31"/>
    </row>
    <row r="61" spans="1:7" ht="15" customHeight="1" x14ac:dyDescent="0.15">
      <c r="A61" s="55" t="s">
        <v>27</v>
      </c>
      <c r="B61" s="10"/>
      <c r="C61" s="39"/>
      <c r="D61" s="39">
        <v>0</v>
      </c>
    </row>
    <row r="62" spans="1:7" ht="15.75" customHeight="1" x14ac:dyDescent="0.15">
      <c r="A62" s="55" t="s">
        <v>28</v>
      </c>
      <c r="B62" s="47"/>
      <c r="C62" s="9"/>
      <c r="D62" s="43">
        <v>70952620</v>
      </c>
      <c r="F62" s="100" t="s">
        <v>124</v>
      </c>
    </row>
    <row r="63" spans="1:7" ht="15.75" customHeight="1" x14ac:dyDescent="0.15">
      <c r="A63" s="59" t="s">
        <v>11</v>
      </c>
      <c r="B63" s="9"/>
      <c r="D63" s="70">
        <v>-1192373</v>
      </c>
      <c r="F63" s="92">
        <f>D63-[10]令和６年度!$P$74</f>
        <v>3577677</v>
      </c>
    </row>
    <row r="64" spans="1:7" ht="16.5" customHeight="1" x14ac:dyDescent="0.15">
      <c r="A64" s="55" t="s">
        <v>26</v>
      </c>
      <c r="B64" s="22"/>
      <c r="C64" s="48"/>
      <c r="D64" s="44">
        <v>70952620</v>
      </c>
      <c r="F64" s="91"/>
    </row>
    <row r="65" spans="1:6" ht="14.25" x14ac:dyDescent="0.15">
      <c r="A65" s="55" t="s">
        <v>25</v>
      </c>
      <c r="B65" s="22"/>
      <c r="C65" s="9"/>
      <c r="D65" s="69">
        <v>100055004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BA137-B927-4ADC-A0B4-01BD5786344B}">
  <sheetPr>
    <pageSetUpPr fitToPage="1"/>
  </sheetPr>
  <dimension ref="A1:L109"/>
  <sheetViews>
    <sheetView topLeftCell="A49" zoomScaleNormal="100" workbookViewId="0">
      <selection activeCell="D66" sqref="D66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194</v>
      </c>
      <c r="B1" s="122"/>
      <c r="C1" s="122"/>
      <c r="D1" s="122"/>
    </row>
    <row r="2" spans="1:11" ht="17.25" customHeight="1" x14ac:dyDescent="0.15">
      <c r="A2" s="116" t="s">
        <v>195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14404528</v>
      </c>
      <c r="C9" s="5"/>
      <c r="D9" s="12"/>
      <c r="F9" s="101">
        <f>'[11]0138359'!$AJ$37</f>
        <v>4981376</v>
      </c>
      <c r="G9" s="101">
        <f>'[11]0138642（居宅）'!$AJ$37</f>
        <v>154091</v>
      </c>
      <c r="H9" s="101">
        <f>'[11]0138655（通所）'!$AJ$37</f>
        <v>5711</v>
      </c>
      <c r="I9" s="101">
        <f>'[11]0156560（新庄）'!$AJ$37</f>
        <v>99191</v>
      </c>
      <c r="J9" s="101">
        <f>'[11]0158313（ゆけむり）'!$AJ$37</f>
        <v>50444</v>
      </c>
      <c r="K9" s="101">
        <f>'[11]0139101（ちゃれんじ）'!$AJ$37</f>
        <v>583296</v>
      </c>
    </row>
    <row r="10" spans="1:11" ht="14.25" x14ac:dyDescent="0.15">
      <c r="A10" s="53" t="s">
        <v>102</v>
      </c>
      <c r="B10" s="73">
        <v>4446675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6574907</v>
      </c>
      <c r="C11" s="5"/>
      <c r="D11" s="23"/>
      <c r="F11" s="101">
        <f>'[11]2253865（助け合い）'!$AJ$37</f>
        <v>222641</v>
      </c>
      <c r="G11" s="102">
        <f>'[11]2253871（通所）'!$AJ$37</f>
        <v>484375</v>
      </c>
      <c r="H11" s="103">
        <f>'[11]2254321（ミニ）'!$AJ$37</f>
        <v>6886188</v>
      </c>
    </row>
    <row r="12" spans="1:11" ht="14.25" x14ac:dyDescent="0.15">
      <c r="A12" s="53" t="s">
        <v>128</v>
      </c>
      <c r="B12" s="74">
        <v>1712309</v>
      </c>
      <c r="C12" s="5"/>
      <c r="D12" s="23"/>
    </row>
    <row r="13" spans="1:11" ht="14.25" x14ac:dyDescent="0.15">
      <c r="A13" s="53" t="s">
        <v>129</v>
      </c>
      <c r="B13" s="75">
        <v>1184436</v>
      </c>
      <c r="C13" s="5"/>
      <c r="D13" s="12"/>
      <c r="E13" s="93" t="s">
        <v>142</v>
      </c>
      <c r="F13" s="104">
        <f>[11]JA0034628!$AJ$37</f>
        <v>568938</v>
      </c>
      <c r="G13" s="93" t="s">
        <v>143</v>
      </c>
      <c r="H13" s="104">
        <f>[11]ゆうちょ6473091!$AJ$37</f>
        <v>173053</v>
      </c>
      <c r="I13" s="93" t="s">
        <v>144</v>
      </c>
      <c r="J13" s="104">
        <f>[11]しま信0116975!$AJ$37</f>
        <v>289801</v>
      </c>
    </row>
    <row r="14" spans="1:11" ht="14.25" x14ac:dyDescent="0.15">
      <c r="A14" s="53" t="s">
        <v>130</v>
      </c>
      <c r="B14" s="75">
        <v>486201</v>
      </c>
      <c r="C14" s="5"/>
      <c r="D14" s="12"/>
    </row>
    <row r="15" spans="1:11" ht="14.25" x14ac:dyDescent="0.15">
      <c r="A15" s="55" t="s">
        <v>36</v>
      </c>
      <c r="B15" s="71">
        <v>26762567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5157170</v>
      </c>
      <c r="C16" s="11"/>
      <c r="D16" s="12"/>
      <c r="E16" t="s">
        <v>112</v>
      </c>
      <c r="F16" s="103">
        <f>'[12]未収金（認定調査委託料）'!$AJ$37</f>
        <v>9240</v>
      </c>
      <c r="G16" s="103">
        <f>'[12]未収金（居宅支援介護報酬）'!$AJ$37</f>
        <v>5110490</v>
      </c>
      <c r="H16" s="83"/>
    </row>
    <row r="17" spans="1:11" ht="14.25" x14ac:dyDescent="0.15">
      <c r="A17" s="54" t="s">
        <v>15</v>
      </c>
      <c r="B17" s="73">
        <v>15601243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14257</v>
      </c>
      <c r="C18" s="11"/>
      <c r="D18" s="12"/>
      <c r="E18" t="s">
        <v>115</v>
      </c>
      <c r="F18" s="103">
        <f>'[12]未収金（通所保険請求）'!$AJ$37</f>
        <v>11757712</v>
      </c>
      <c r="G18" s="103">
        <f>'[12]未収金（通所利用者負担）'!$AJ$37</f>
        <v>1233924</v>
      </c>
      <c r="H18" s="103">
        <f>'[12]未収金（通所食費）'!$AJ$37</f>
        <v>733900</v>
      </c>
    </row>
    <row r="19" spans="1:11" ht="14.25" x14ac:dyDescent="0.15">
      <c r="A19" s="54" t="s">
        <v>16</v>
      </c>
      <c r="B19" s="73">
        <v>1687841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1511604</v>
      </c>
      <c r="C20" s="5"/>
      <c r="D20" s="12"/>
      <c r="E20" t="s">
        <v>119</v>
      </c>
      <c r="F20" s="103">
        <f>'[12]未収金（ゆけむり保険請求）'!$AJ$37</f>
        <v>0</v>
      </c>
      <c r="G20" s="103">
        <f>'[12]未収金（ゆけむり利用者負担）'!$AJ$37</f>
        <v>14257</v>
      </c>
      <c r="H20" s="103">
        <f>'[12]未収金（ゆけむり食費）'!$AJ$37</f>
        <v>0</v>
      </c>
    </row>
    <row r="21" spans="1:11" ht="14.25" x14ac:dyDescent="0.15">
      <c r="A21" s="54" t="s">
        <v>167</v>
      </c>
      <c r="B21" s="73">
        <v>3289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192</v>
      </c>
      <c r="B22" s="73">
        <v>541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85">
        <v>17300</v>
      </c>
      <c r="C23" s="5"/>
      <c r="D23" s="12"/>
      <c r="E23" t="s">
        <v>120</v>
      </c>
      <c r="F23" s="103">
        <f>'[12]未収金（予防通所保険請求）'!$AJ$37</f>
        <v>1344043</v>
      </c>
      <c r="G23" s="103">
        <f>'[12]未収金（予防通所利用者負担）'!$AJ$37</f>
        <v>78798</v>
      </c>
      <c r="H23" s="103">
        <f>'[12]未収金（予防通所食費）'!$AJ$37</f>
        <v>104300</v>
      </c>
    </row>
    <row r="24" spans="1:11" ht="14.25" x14ac:dyDescent="0.15">
      <c r="A24" s="54" t="s">
        <v>81</v>
      </c>
      <c r="B24" s="73">
        <v>411422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85">
        <v>74900</v>
      </c>
      <c r="C25" s="5"/>
      <c r="D25" s="12"/>
      <c r="E25" t="s">
        <v>121</v>
      </c>
      <c r="F25" s="103">
        <f>'[12]未収金（処遇改善保険請求）'!$AJ$37</f>
        <v>1210522</v>
      </c>
      <c r="G25" s="103">
        <f>'[12]未収金（処遇改善利用者負担）'!$AJ$37</f>
        <v>116787</v>
      </c>
      <c r="H25" s="83"/>
      <c r="I25" s="99" t="s">
        <v>169</v>
      </c>
      <c r="J25" s="104">
        <f>'[12]未収金（ベースアップ加算保険請求）'!$AJ$37</f>
        <v>198</v>
      </c>
      <c r="K25" s="104">
        <f>'[12]未収金（ベースアップ加算利用者負担）'!$AJ$37</f>
        <v>343</v>
      </c>
    </row>
    <row r="26" spans="1:11" ht="14.25" x14ac:dyDescent="0.15">
      <c r="A26" s="54" t="s">
        <v>17</v>
      </c>
      <c r="B26" s="86">
        <v>2273000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87">
        <v>10000</v>
      </c>
      <c r="C27" s="5"/>
      <c r="D27" s="12"/>
      <c r="E27" t="s">
        <v>122</v>
      </c>
      <c r="F27" s="103">
        <f>'[12]未収金（特定処遇改善保険請求）'!$AJ$37</f>
        <v>0</v>
      </c>
      <c r="G27" s="103">
        <f>'[12]未収金（特定処遇改善利用者負担）'!$AJ$37</f>
        <v>3289</v>
      </c>
      <c r="H27" s="83"/>
    </row>
    <row r="28" spans="1:11" ht="14.25" x14ac:dyDescent="0.15">
      <c r="A28" s="54" t="s">
        <v>79</v>
      </c>
      <c r="B28" s="85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88">
        <v>350500</v>
      </c>
      <c r="C29" s="15" t="s">
        <v>0</v>
      </c>
      <c r="D29" s="12"/>
      <c r="E29" t="s">
        <v>123</v>
      </c>
      <c r="F29" s="103">
        <f>'[12]未収金（サロン保険請求）'!$AJ$37</f>
        <v>316516</v>
      </c>
      <c r="G29" s="103">
        <f>'[12]未収金（サロン利用者負担）'!$AJ$37</f>
        <v>21602</v>
      </c>
      <c r="H29" s="103">
        <f>'[12]未収金（サロン食費）'!$AJ$37</f>
        <v>31500</v>
      </c>
    </row>
    <row r="30" spans="1:11" ht="14.25" x14ac:dyDescent="0.15">
      <c r="A30" s="61" t="s">
        <v>96</v>
      </c>
      <c r="B30" s="71">
        <v>464750</v>
      </c>
      <c r="C30" s="15"/>
      <c r="D30" s="12"/>
    </row>
    <row r="31" spans="1:11" ht="14.25" x14ac:dyDescent="0.15">
      <c r="A31" s="61" t="s">
        <v>38</v>
      </c>
      <c r="B31" s="7"/>
      <c r="C31" s="77">
        <v>41984730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44213471</v>
      </c>
      <c r="C34" s="5"/>
      <c r="D34" s="12"/>
      <c r="E34" t="s">
        <v>146</v>
      </c>
      <c r="F34" s="105">
        <f>'[13]建物（ほっと本体）'!$AJ$5</f>
        <v>225002</v>
      </c>
      <c r="G34" s="105">
        <f>'[13]建物（ほっと2階）'!$AJ$5</f>
        <v>159976</v>
      </c>
      <c r="H34" s="105">
        <f>'[13]建物（新庄）'!$AJ$5</f>
        <v>14958933</v>
      </c>
      <c r="I34" s="105">
        <f>'[13]建物（ゆけむり）'!$AJ$5</f>
        <v>22564101</v>
      </c>
      <c r="J34" s="105">
        <f>'[13]建物（ほっと浴室）'!$AJ$5</f>
        <v>3600857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106">
        <f>'[13]附属建物（厨房）'!$AJ$5</f>
        <v>1</v>
      </c>
      <c r="G35" s="106">
        <f>'[13]附属建物（浴室）'!$AJ$5</f>
        <v>1</v>
      </c>
      <c r="H35" s="106">
        <f>'[13]附属建物（便所）'!$AJ$5</f>
        <v>1</v>
      </c>
      <c r="I35" s="106">
        <f>'[13]附属建物（廊下）'!$AJ$5</f>
        <v>1</v>
      </c>
      <c r="J35" s="106">
        <f>'[13]附属設備（電気設備その他）'!$AJ$5</f>
        <v>82438</v>
      </c>
      <c r="K35" s="106">
        <f>'[13]附属設備（給排水衛生設備）'!$AJ$5</f>
        <v>94536</v>
      </c>
      <c r="L35" s="106">
        <f>'[13]附属設備（消火排煙設備）'!$AJ$5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106">
        <f>'[13]附属設備（新庄電気設備）'!$AJ$5</f>
        <v>365715</v>
      </c>
      <c r="G36" s="106">
        <f>'[13]附属設備（新庄給排水設備）'!$AJ$5</f>
        <v>446005</v>
      </c>
      <c r="H36" s="106">
        <f>'[13]附属設備（電気設備）'!$AJ$5</f>
        <v>1028074</v>
      </c>
      <c r="I36" s="106">
        <f>'[13]附属設備（給排水設備）'!$AJ$5</f>
        <v>529605</v>
      </c>
      <c r="J36" s="106">
        <f>'[13]附属設備（新庄浴槽改装ガス給湯設備）'!$AJ$6</f>
        <v>513845</v>
      </c>
      <c r="K36" s="106">
        <f>'[13]附属設備（ほっと浴室移設電気工事）'!$AJ$5</f>
        <v>851136</v>
      </c>
      <c r="L36" s="106">
        <f>'[13]附属設備（ほっと浴室移設給排水設備）'!$AJ$5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107">
        <f>'[13]構築物（舗装工事）'!$AJ$5</f>
        <v>1</v>
      </c>
      <c r="G37" s="107">
        <f>'[13]構築物（ゆけむり）'!$AJ$5</f>
        <v>358351</v>
      </c>
      <c r="H37" s="107">
        <f>'[13]構築物（新庄駐車場舗装）'!$AJ$5</f>
        <v>821220</v>
      </c>
    </row>
    <row r="38" spans="1:12" ht="14.25" x14ac:dyDescent="0.15">
      <c r="A38" s="55" t="s">
        <v>40</v>
      </c>
      <c r="B38" s="71">
        <v>2556592</v>
      </c>
      <c r="C38" s="5"/>
      <c r="D38" s="12"/>
      <c r="E38" t="s">
        <v>149</v>
      </c>
      <c r="F38" s="108">
        <f>'[13]器具備品（新庄玄関エアコン）'!$AJ$5</f>
        <v>31800</v>
      </c>
      <c r="G38" s="108">
        <f>'[13]器具備品（新庄事務室エアコン）'!$AJ$5</f>
        <v>173084</v>
      </c>
    </row>
    <row r="39" spans="1:12" ht="14.25" x14ac:dyDescent="0.15">
      <c r="A39" s="55" t="s">
        <v>41</v>
      </c>
      <c r="B39" s="88">
        <v>110600</v>
      </c>
      <c r="C39" s="5"/>
      <c r="D39" s="12"/>
      <c r="E39" t="s">
        <v>150</v>
      </c>
      <c r="F39" s="94">
        <f>'[13]車両（タウンボックス）'!$AJ$5</f>
        <v>1</v>
      </c>
      <c r="G39" s="94">
        <f>'[13]車両（はとバン）'!$AJ$5</f>
        <v>1</v>
      </c>
      <c r="H39" s="94">
        <f>'[13]車両（ノア）'!$AJ$5</f>
        <v>1</v>
      </c>
      <c r="I39" s="94">
        <f>'[13]車両（セレナ）'!$AJ$5</f>
        <v>1</v>
      </c>
      <c r="J39" s="94">
        <f>'[13]車両（アトレー１）'!$AJ$5</f>
        <v>1</v>
      </c>
      <c r="K39" s="94">
        <f>'[13]車両（アトレー４）'!$AJ$5</f>
        <v>2078860</v>
      </c>
      <c r="L39" s="94">
        <f>'[13]車両（キャラ３）'!$AJ$5</f>
        <v>0</v>
      </c>
    </row>
    <row r="40" spans="1:12" ht="14.25" x14ac:dyDescent="0.15">
      <c r="A40" s="55" t="s">
        <v>42</v>
      </c>
      <c r="B40" s="88">
        <v>50000</v>
      </c>
      <c r="C40" s="11"/>
      <c r="D40" s="12"/>
      <c r="F40" s="94">
        <f>'[13]車両（フリード２）'!$AJ$5</f>
        <v>477725</v>
      </c>
      <c r="G40" s="94">
        <f>'[13]車両（セブン２）'!$AJ$5</f>
        <v>1</v>
      </c>
      <c r="H40" s="94">
        <f>'[13]車両（EK３）'!$AJ$5</f>
        <v>1</v>
      </c>
    </row>
    <row r="41" spans="1:12" ht="14.25" x14ac:dyDescent="0.15">
      <c r="A41" s="55" t="s">
        <v>66</v>
      </c>
      <c r="B41" s="88"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v>53508120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v>95492850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88">
        <v>1387591</v>
      </c>
      <c r="C48" s="5"/>
      <c r="D48" s="78"/>
    </row>
    <row r="49" spans="1:7" ht="14.25" x14ac:dyDescent="0.15">
      <c r="A49" s="55" t="s">
        <v>33</v>
      </c>
      <c r="B49" s="71">
        <v>3000000</v>
      </c>
      <c r="C49" s="5"/>
      <c r="D49" s="12"/>
    </row>
    <row r="50" spans="1:7" ht="6.75" customHeight="1" x14ac:dyDescent="0.15">
      <c r="A50" s="59"/>
      <c r="B50" s="79"/>
      <c r="C50" s="11"/>
      <c r="D50" s="12"/>
    </row>
    <row r="51" spans="1:7" ht="14.25" x14ac:dyDescent="0.15">
      <c r="A51" s="55" t="s">
        <v>31</v>
      </c>
      <c r="B51" s="80"/>
      <c r="C51" s="37">
        <v>4387591</v>
      </c>
      <c r="D51" s="23"/>
      <c r="E51" t="s">
        <v>108</v>
      </c>
    </row>
    <row r="52" spans="1:7" ht="11.25" customHeight="1" x14ac:dyDescent="0.15">
      <c r="A52" s="3"/>
      <c r="B52" s="14"/>
      <c r="C52" s="34"/>
      <c r="D52" s="25"/>
    </row>
    <row r="53" spans="1:7" ht="14.25" x14ac:dyDescent="0.15">
      <c r="A53" s="55" t="s">
        <v>22</v>
      </c>
      <c r="B53" s="19"/>
      <c r="C53" s="81"/>
      <c r="D53" s="23"/>
    </row>
    <row r="54" spans="1:7" ht="14.25" x14ac:dyDescent="0.15">
      <c r="A54" s="55" t="s">
        <v>30</v>
      </c>
      <c r="B54" s="88">
        <v>20805000</v>
      </c>
      <c r="C54" s="11"/>
      <c r="D54" s="25"/>
    </row>
    <row r="55" spans="1:7" ht="14.25" x14ac:dyDescent="0.15">
      <c r="A55" s="9"/>
      <c r="B55" s="19"/>
      <c r="C55" s="11"/>
      <c r="D55" s="25"/>
      <c r="G55" t="s">
        <v>108</v>
      </c>
    </row>
    <row r="56" spans="1:7" ht="14.25" x14ac:dyDescent="0.15">
      <c r="A56" s="61" t="s">
        <v>29</v>
      </c>
      <c r="B56" s="10"/>
      <c r="C56" s="37">
        <v>20805000</v>
      </c>
      <c r="D56" s="23"/>
    </row>
    <row r="57" spans="1:7" ht="6.75" customHeight="1" x14ac:dyDescent="0.15">
      <c r="A57" s="3"/>
      <c r="B57" s="19"/>
      <c r="C57" s="11"/>
      <c r="D57" s="23"/>
    </row>
    <row r="58" spans="1:7" ht="14.25" x14ac:dyDescent="0.15">
      <c r="A58" s="58" t="s">
        <v>24</v>
      </c>
      <c r="B58" s="40"/>
      <c r="C58" s="40"/>
      <c r="D58" s="38">
        <v>25192591</v>
      </c>
    </row>
    <row r="59" spans="1:7" ht="11.25" customHeight="1" x14ac:dyDescent="0.15">
      <c r="A59" s="3"/>
      <c r="B59" s="19"/>
      <c r="C59" s="11"/>
      <c r="D59" s="23"/>
    </row>
    <row r="60" spans="1:7" ht="14.25" x14ac:dyDescent="0.15">
      <c r="A60" s="55" t="s">
        <v>3</v>
      </c>
      <c r="B60" s="30"/>
      <c r="C60" s="35"/>
      <c r="D60" s="31"/>
    </row>
    <row r="61" spans="1:7" ht="15" customHeight="1" x14ac:dyDescent="0.15">
      <c r="A61" s="55" t="s">
        <v>27</v>
      </c>
      <c r="B61" s="10"/>
      <c r="C61" s="39"/>
      <c r="D61" s="39">
        <v>0</v>
      </c>
    </row>
    <row r="62" spans="1:7" ht="15.75" customHeight="1" x14ac:dyDescent="0.15">
      <c r="A62" s="55" t="s">
        <v>28</v>
      </c>
      <c r="B62" s="47"/>
      <c r="C62" s="9"/>
      <c r="D62" s="43">
        <v>70300259</v>
      </c>
      <c r="F62" s="100" t="s">
        <v>124</v>
      </c>
    </row>
    <row r="63" spans="1:7" ht="15.75" customHeight="1" x14ac:dyDescent="0.15">
      <c r="A63" s="59" t="s">
        <v>11</v>
      </c>
      <c r="B63" s="9"/>
      <c r="D63" s="70">
        <v>-1844734</v>
      </c>
      <c r="F63" s="92">
        <f>D63-[10]令和６年度!$P$74</f>
        <v>2925316</v>
      </c>
    </row>
    <row r="64" spans="1:7" ht="16.5" customHeight="1" x14ac:dyDescent="0.15">
      <c r="A64" s="55" t="s">
        <v>26</v>
      </c>
      <c r="B64" s="22"/>
      <c r="C64" s="48"/>
      <c r="D64" s="44">
        <v>70300259</v>
      </c>
      <c r="F64" s="91"/>
    </row>
    <row r="65" spans="1:6" ht="14.25" x14ac:dyDescent="0.15">
      <c r="A65" s="55" t="s">
        <v>25</v>
      </c>
      <c r="B65" s="22"/>
      <c r="C65" s="9"/>
      <c r="D65" s="69">
        <v>95492850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4EBEE-5983-4BC3-97D9-962D90DE6313}">
  <sheetPr>
    <pageSetUpPr fitToPage="1"/>
  </sheetPr>
  <dimension ref="A1:L109"/>
  <sheetViews>
    <sheetView topLeftCell="A46" zoomScaleNormal="100" workbookViewId="0">
      <selection activeCell="F56" sqref="F56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194</v>
      </c>
      <c r="B1" s="122"/>
      <c r="C1" s="122"/>
      <c r="D1" s="122"/>
    </row>
    <row r="2" spans="1:11" ht="17.25" customHeight="1" x14ac:dyDescent="0.15">
      <c r="A2" s="116" t="s">
        <v>196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13853725</v>
      </c>
      <c r="C9" s="5"/>
      <c r="D9" s="12"/>
      <c r="F9" s="101">
        <f>'[11]0138359'!$AJ$37</f>
        <v>4981376</v>
      </c>
      <c r="G9" s="101">
        <f>'[11]0138642（居宅）'!$AJ$37</f>
        <v>154091</v>
      </c>
      <c r="H9" s="101">
        <f>'[11]0138655（通所）'!$AJ$37</f>
        <v>5711</v>
      </c>
      <c r="I9" s="101">
        <f>'[11]0156560（新庄）'!$AJ$37</f>
        <v>99191</v>
      </c>
      <c r="J9" s="101">
        <f>'[11]0158313（ゆけむり）'!$AJ$37</f>
        <v>50444</v>
      </c>
      <c r="K9" s="101">
        <f>'[11]0139101（ちゃれんじ）'!$AJ$37</f>
        <v>583296</v>
      </c>
    </row>
    <row r="10" spans="1:11" ht="14.25" x14ac:dyDescent="0.15">
      <c r="A10" s="53" t="s">
        <v>102</v>
      </c>
      <c r="B10" s="73">
        <v>5288292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6428464</v>
      </c>
      <c r="C11" s="5"/>
      <c r="D11" s="23"/>
      <c r="F11" s="101">
        <f>'[11]2253865（助け合い）'!$AJ$37</f>
        <v>222641</v>
      </c>
      <c r="G11" s="102">
        <f>'[11]2253871（通所）'!$AJ$37</f>
        <v>484375</v>
      </c>
      <c r="H11" s="103">
        <f>'[11]2254321（ミニ）'!$AJ$37</f>
        <v>6886188</v>
      </c>
    </row>
    <row r="12" spans="1:11" ht="14.25" x14ac:dyDescent="0.15">
      <c r="A12" s="53" t="s">
        <v>128</v>
      </c>
      <c r="B12" s="74">
        <v>931473</v>
      </c>
      <c r="C12" s="5"/>
      <c r="D12" s="23"/>
    </row>
    <row r="13" spans="1:11" ht="14.25" x14ac:dyDescent="0.15">
      <c r="A13" s="53" t="s">
        <v>129</v>
      </c>
      <c r="B13" s="75">
        <v>622126</v>
      </c>
      <c r="C13" s="5"/>
      <c r="D13" s="12"/>
      <c r="E13" s="93" t="s">
        <v>142</v>
      </c>
      <c r="F13" s="104">
        <f>[11]JA0034628!$AJ$37</f>
        <v>568938</v>
      </c>
      <c r="G13" s="93" t="s">
        <v>143</v>
      </c>
      <c r="H13" s="104">
        <f>[11]ゆうちょ6473091!$AJ$37</f>
        <v>173053</v>
      </c>
      <c r="I13" s="93" t="s">
        <v>144</v>
      </c>
      <c r="J13" s="104">
        <f>[11]しま信0116975!$AJ$37</f>
        <v>289801</v>
      </c>
    </row>
    <row r="14" spans="1:11" ht="14.25" x14ac:dyDescent="0.15">
      <c r="A14" s="53" t="s">
        <v>130</v>
      </c>
      <c r="B14" s="75">
        <v>583370</v>
      </c>
      <c r="C14" s="5"/>
      <c r="D14" s="12"/>
    </row>
    <row r="15" spans="1:11" ht="14.25" x14ac:dyDescent="0.15">
      <c r="A15" s="55" t="s">
        <v>36</v>
      </c>
      <c r="B15" s="71">
        <v>27458120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5181590</v>
      </c>
      <c r="C16" s="11"/>
      <c r="D16" s="12"/>
      <c r="E16" t="s">
        <v>112</v>
      </c>
      <c r="F16" s="103">
        <f>'[12]未収金（認定調査委託料）'!$AJ$37</f>
        <v>9240</v>
      </c>
      <c r="G16" s="103">
        <f>'[12]未収金（居宅支援介護報酬）'!$AJ$37</f>
        <v>5110490</v>
      </c>
      <c r="H16" s="83"/>
    </row>
    <row r="17" spans="1:11" ht="14.25" x14ac:dyDescent="0.15">
      <c r="A17" s="54" t="s">
        <v>15</v>
      </c>
      <c r="B17" s="73">
        <v>16218058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14257</v>
      </c>
      <c r="C18" s="11"/>
      <c r="D18" s="12"/>
      <c r="E18" t="s">
        <v>115</v>
      </c>
      <c r="F18" s="103">
        <f>'[12]未収金（通所保険請求）'!$AJ$37</f>
        <v>11757712</v>
      </c>
      <c r="G18" s="103">
        <f>'[12]未収金（通所利用者負担）'!$AJ$37</f>
        <v>1233924</v>
      </c>
      <c r="H18" s="103">
        <f>'[12]未収金（通所食費）'!$AJ$37</f>
        <v>733900</v>
      </c>
    </row>
    <row r="19" spans="1:11" ht="14.25" x14ac:dyDescent="0.15">
      <c r="A19" s="54" t="s">
        <v>16</v>
      </c>
      <c r="B19" s="73">
        <v>1682866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1559234</v>
      </c>
      <c r="C20" s="5"/>
      <c r="D20" s="12"/>
      <c r="E20" t="s">
        <v>119</v>
      </c>
      <c r="F20" s="103">
        <f>'[12]未収金（ゆけむり保険請求）'!$AJ$37</f>
        <v>0</v>
      </c>
      <c r="G20" s="103">
        <f>'[12]未収金（ゆけむり利用者負担）'!$AJ$37</f>
        <v>14257</v>
      </c>
      <c r="H20" s="103">
        <f>'[12]未収金（ゆけむり食費）'!$AJ$37</f>
        <v>0</v>
      </c>
    </row>
    <row r="21" spans="1:11" ht="14.25" x14ac:dyDescent="0.15">
      <c r="A21" s="54" t="s">
        <v>167</v>
      </c>
      <c r="B21" s="73">
        <v>3289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192</v>
      </c>
      <c r="B22" s="73">
        <v>541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85">
        <v>19400</v>
      </c>
      <c r="C23" s="5"/>
      <c r="D23" s="12"/>
      <c r="E23" t="s">
        <v>120</v>
      </c>
      <c r="F23" s="103">
        <f>'[12]未収金（予防通所保険請求）'!$AJ$37</f>
        <v>1344043</v>
      </c>
      <c r="G23" s="103">
        <f>'[12]未収金（予防通所利用者負担）'!$AJ$37</f>
        <v>78798</v>
      </c>
      <c r="H23" s="103">
        <f>'[12]未収金（予防通所食費）'!$AJ$37</f>
        <v>104300</v>
      </c>
    </row>
    <row r="24" spans="1:11" ht="14.25" x14ac:dyDescent="0.15">
      <c r="A24" s="54" t="s">
        <v>81</v>
      </c>
      <c r="B24" s="73">
        <v>408485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85">
        <v>74200</v>
      </c>
      <c r="C25" s="5"/>
      <c r="D25" s="12"/>
      <c r="E25" t="s">
        <v>121</v>
      </c>
      <c r="F25" s="103">
        <f>'[12]未収金（処遇改善保険請求）'!$AJ$37</f>
        <v>1210522</v>
      </c>
      <c r="G25" s="103">
        <f>'[12]未収金（処遇改善利用者負担）'!$AJ$37</f>
        <v>116787</v>
      </c>
      <c r="H25" s="83"/>
      <c r="I25" s="99" t="s">
        <v>169</v>
      </c>
      <c r="J25" s="104">
        <f>'[12]未収金（ベースアップ加算保険請求）'!$AJ$37</f>
        <v>198</v>
      </c>
      <c r="K25" s="104">
        <f>'[12]未収金（ベースアップ加算利用者負担）'!$AJ$37</f>
        <v>343</v>
      </c>
    </row>
    <row r="26" spans="1:11" ht="14.25" x14ac:dyDescent="0.15">
      <c r="A26" s="54" t="s">
        <v>17</v>
      </c>
      <c r="B26" s="86">
        <v>2291700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87">
        <v>4500</v>
      </c>
      <c r="C27" s="5"/>
      <c r="D27" s="12"/>
      <c r="E27" t="s">
        <v>122</v>
      </c>
      <c r="F27" s="103">
        <f>'[12]未収金（特定処遇改善保険請求）'!$AJ$37</f>
        <v>0</v>
      </c>
      <c r="G27" s="103">
        <f>'[12]未収金（特定処遇改善利用者負担）'!$AJ$37</f>
        <v>3289</v>
      </c>
      <c r="H27" s="83"/>
    </row>
    <row r="28" spans="1:11" ht="14.25" x14ac:dyDescent="0.15">
      <c r="A28" s="54" t="s">
        <v>79</v>
      </c>
      <c r="B28" s="85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88">
        <v>350500</v>
      </c>
      <c r="C29" s="15" t="s">
        <v>0</v>
      </c>
      <c r="D29" s="12"/>
      <c r="E29" t="s">
        <v>123</v>
      </c>
      <c r="F29" s="103">
        <f>'[12]未収金（サロン保険請求）'!$AJ$37</f>
        <v>316516</v>
      </c>
      <c r="G29" s="103">
        <f>'[12]未収金（サロン利用者負担）'!$AJ$37</f>
        <v>21602</v>
      </c>
      <c r="H29" s="103">
        <f>'[12]未収金（サロン食費）'!$AJ$37</f>
        <v>31500</v>
      </c>
    </row>
    <row r="30" spans="1:11" ht="14.25" x14ac:dyDescent="0.15">
      <c r="A30" s="61" t="s">
        <v>96</v>
      </c>
      <c r="B30" s="71">
        <v>464750</v>
      </c>
      <c r="C30" s="15"/>
      <c r="D30" s="12"/>
    </row>
    <row r="31" spans="1:11" ht="14.25" x14ac:dyDescent="0.15">
      <c r="A31" s="61" t="s">
        <v>38</v>
      </c>
      <c r="B31" s="7"/>
      <c r="C31" s="77">
        <v>42129480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44213471</v>
      </c>
      <c r="C34" s="5"/>
      <c r="D34" s="12"/>
      <c r="E34" t="s">
        <v>146</v>
      </c>
      <c r="F34" s="105">
        <f>'[13]建物（ほっと本体）'!$AJ$5</f>
        <v>225002</v>
      </c>
      <c r="G34" s="105">
        <f>'[13]建物（ほっと2階）'!$AJ$5</f>
        <v>159976</v>
      </c>
      <c r="H34" s="105">
        <f>'[13]建物（新庄）'!$AJ$5</f>
        <v>14958933</v>
      </c>
      <c r="I34" s="105">
        <f>'[13]建物（ゆけむり）'!$AJ$5</f>
        <v>22564101</v>
      </c>
      <c r="J34" s="105">
        <f>'[13]建物（ほっと浴室）'!$AJ$5</f>
        <v>3600857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106">
        <f>'[13]附属建物（厨房）'!$AJ$5</f>
        <v>1</v>
      </c>
      <c r="G35" s="106">
        <f>'[13]附属建物（浴室）'!$AJ$5</f>
        <v>1</v>
      </c>
      <c r="H35" s="106">
        <f>'[13]附属建物（便所）'!$AJ$5</f>
        <v>1</v>
      </c>
      <c r="I35" s="106">
        <f>'[13]附属建物（廊下）'!$AJ$5</f>
        <v>1</v>
      </c>
      <c r="J35" s="106">
        <f>'[13]附属設備（電気設備その他）'!$AJ$5</f>
        <v>82438</v>
      </c>
      <c r="K35" s="106">
        <f>'[13]附属設備（給排水衛生設備）'!$AJ$5</f>
        <v>94536</v>
      </c>
      <c r="L35" s="106">
        <f>'[13]附属設備（消火排煙設備）'!$AJ$5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106">
        <f>'[13]附属設備（新庄電気設備）'!$AJ$5</f>
        <v>365715</v>
      </c>
      <c r="G36" s="106">
        <f>'[13]附属設備（新庄給排水設備）'!$AJ$5</f>
        <v>446005</v>
      </c>
      <c r="H36" s="106">
        <f>'[13]附属設備（電気設備）'!$AJ$5</f>
        <v>1028074</v>
      </c>
      <c r="I36" s="106">
        <f>'[13]附属設備（給排水設備）'!$AJ$5</f>
        <v>529605</v>
      </c>
      <c r="J36" s="106">
        <f>'[13]附属設備（新庄浴槽改装ガス給湯設備）'!$AJ$6</f>
        <v>513845</v>
      </c>
      <c r="K36" s="106">
        <f>'[13]附属設備（ほっと浴室移設電気工事）'!$AJ$5</f>
        <v>851136</v>
      </c>
      <c r="L36" s="106">
        <f>'[13]附属設備（ほっと浴室移設給排水設備）'!$AJ$5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107">
        <f>'[13]構築物（舗装工事）'!$AJ$5</f>
        <v>1</v>
      </c>
      <c r="G37" s="107">
        <f>'[13]構築物（ゆけむり）'!$AJ$5</f>
        <v>358351</v>
      </c>
      <c r="H37" s="107">
        <f>'[13]構築物（新庄駐車場舗装）'!$AJ$5</f>
        <v>821220</v>
      </c>
    </row>
    <row r="38" spans="1:12" ht="14.25" x14ac:dyDescent="0.15">
      <c r="A38" s="55" t="s">
        <v>40</v>
      </c>
      <c r="B38" s="71">
        <v>2556592</v>
      </c>
      <c r="C38" s="5"/>
      <c r="D38" s="12"/>
      <c r="E38" t="s">
        <v>149</v>
      </c>
      <c r="F38" s="108">
        <f>'[13]器具備品（新庄玄関エアコン）'!$AJ$5</f>
        <v>31800</v>
      </c>
      <c r="G38" s="108">
        <f>'[13]器具備品（新庄事務室エアコン）'!$AJ$5</f>
        <v>173084</v>
      </c>
    </row>
    <row r="39" spans="1:12" ht="14.25" x14ac:dyDescent="0.15">
      <c r="A39" s="55" t="s">
        <v>41</v>
      </c>
      <c r="B39" s="88">
        <v>110600</v>
      </c>
      <c r="C39" s="5"/>
      <c r="D39" s="12"/>
      <c r="E39" t="s">
        <v>150</v>
      </c>
      <c r="F39" s="94">
        <f>'[13]車両（タウンボックス）'!$AJ$5</f>
        <v>1</v>
      </c>
      <c r="G39" s="94">
        <f>'[13]車両（はとバン）'!$AJ$5</f>
        <v>1</v>
      </c>
      <c r="H39" s="94">
        <f>'[13]車両（ノア）'!$AJ$5</f>
        <v>1</v>
      </c>
      <c r="I39" s="94">
        <f>'[13]車両（セレナ）'!$AJ$5</f>
        <v>1</v>
      </c>
      <c r="J39" s="94">
        <f>'[13]車両（アトレー１）'!$AJ$5</f>
        <v>1</v>
      </c>
      <c r="K39" s="94">
        <f>'[13]車両（アトレー４）'!$AJ$5</f>
        <v>2078860</v>
      </c>
      <c r="L39" s="94">
        <f>'[13]車両（キャラ３）'!$AJ$5</f>
        <v>0</v>
      </c>
    </row>
    <row r="40" spans="1:12" ht="14.25" x14ac:dyDescent="0.15">
      <c r="A40" s="55" t="s">
        <v>42</v>
      </c>
      <c r="B40" s="88">
        <v>50000</v>
      </c>
      <c r="C40" s="11"/>
      <c r="D40" s="12"/>
      <c r="F40" s="94">
        <f>'[13]車両（フリード２）'!$AJ$5</f>
        <v>477725</v>
      </c>
      <c r="G40" s="94">
        <f>'[13]車両（セブン２）'!$AJ$5</f>
        <v>1</v>
      </c>
      <c r="H40" s="94">
        <f>'[13]車両（EK３）'!$AJ$5</f>
        <v>1</v>
      </c>
    </row>
    <row r="41" spans="1:12" ht="14.25" x14ac:dyDescent="0.15">
      <c r="A41" s="55" t="s">
        <v>66</v>
      </c>
      <c r="B41" s="88"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v>53508120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v>95637600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88">
        <v>1100266</v>
      </c>
      <c r="C48" s="5"/>
      <c r="D48" s="78"/>
    </row>
    <row r="49" spans="1:7" ht="14.25" x14ac:dyDescent="0.15">
      <c r="A49" s="55" t="s">
        <v>33</v>
      </c>
      <c r="B49" s="71">
        <v>2000000</v>
      </c>
      <c r="C49" s="5"/>
      <c r="D49" s="12"/>
    </row>
    <row r="50" spans="1:7" ht="6.75" customHeight="1" x14ac:dyDescent="0.15">
      <c r="A50" s="59"/>
      <c r="B50" s="79"/>
      <c r="C50" s="11"/>
      <c r="D50" s="12"/>
    </row>
    <row r="51" spans="1:7" ht="14.25" x14ac:dyDescent="0.15">
      <c r="A51" s="55" t="s">
        <v>31</v>
      </c>
      <c r="B51" s="80"/>
      <c r="C51" s="37">
        <v>3100266</v>
      </c>
      <c r="D51" s="23"/>
      <c r="E51" t="s">
        <v>108</v>
      </c>
    </row>
    <row r="52" spans="1:7" ht="11.25" customHeight="1" x14ac:dyDescent="0.15">
      <c r="A52" s="3"/>
      <c r="B52" s="14"/>
      <c r="C52" s="34"/>
      <c r="D52" s="25"/>
    </row>
    <row r="53" spans="1:7" ht="14.25" x14ac:dyDescent="0.15">
      <c r="A53" s="55" t="s">
        <v>22</v>
      </c>
      <c r="B53" s="19"/>
      <c r="C53" s="81"/>
      <c r="D53" s="23"/>
    </row>
    <row r="54" spans="1:7" ht="14.25" x14ac:dyDescent="0.15">
      <c r="A54" s="55" t="s">
        <v>30</v>
      </c>
      <c r="B54" s="88">
        <v>20484000</v>
      </c>
      <c r="C54" s="11"/>
      <c r="D54" s="25"/>
    </row>
    <row r="55" spans="1:7" ht="14.25" x14ac:dyDescent="0.15">
      <c r="A55" s="9"/>
      <c r="B55" s="19"/>
      <c r="C55" s="11"/>
      <c r="D55" s="25"/>
      <c r="G55" t="s">
        <v>108</v>
      </c>
    </row>
    <row r="56" spans="1:7" ht="14.25" x14ac:dyDescent="0.15">
      <c r="A56" s="61" t="s">
        <v>29</v>
      </c>
      <c r="B56" s="10"/>
      <c r="C56" s="37">
        <v>20484000</v>
      </c>
      <c r="D56" s="23"/>
    </row>
    <row r="57" spans="1:7" ht="6.75" customHeight="1" x14ac:dyDescent="0.15">
      <c r="A57" s="3"/>
      <c r="B57" s="19"/>
      <c r="C57" s="11"/>
      <c r="D57" s="23"/>
    </row>
    <row r="58" spans="1:7" ht="14.25" x14ac:dyDescent="0.15">
      <c r="A58" s="58" t="s">
        <v>24</v>
      </c>
      <c r="B58" s="40"/>
      <c r="C58" s="40"/>
      <c r="D58" s="38">
        <v>23584266</v>
      </c>
    </row>
    <row r="59" spans="1:7" ht="11.25" customHeight="1" x14ac:dyDescent="0.15">
      <c r="A59" s="3"/>
      <c r="B59" s="19"/>
      <c r="C59" s="11"/>
      <c r="D59" s="23"/>
    </row>
    <row r="60" spans="1:7" ht="14.25" x14ac:dyDescent="0.15">
      <c r="A60" s="55" t="s">
        <v>3</v>
      </c>
      <c r="B60" s="30"/>
      <c r="C60" s="35"/>
      <c r="D60" s="31"/>
    </row>
    <row r="61" spans="1:7" ht="15" customHeight="1" x14ac:dyDescent="0.15">
      <c r="A61" s="55" t="s">
        <v>27</v>
      </c>
      <c r="B61" s="10"/>
      <c r="C61" s="39"/>
      <c r="D61" s="39">
        <v>0</v>
      </c>
    </row>
    <row r="62" spans="1:7" ht="15.75" customHeight="1" x14ac:dyDescent="0.15">
      <c r="A62" s="55" t="s">
        <v>28</v>
      </c>
      <c r="B62" s="47"/>
      <c r="C62" s="9"/>
      <c r="D62" s="43">
        <v>72053334</v>
      </c>
      <c r="F62" s="100" t="s">
        <v>124</v>
      </c>
    </row>
    <row r="63" spans="1:7" ht="15.75" customHeight="1" x14ac:dyDescent="0.15">
      <c r="A63" s="59" t="s">
        <v>11</v>
      </c>
      <c r="B63" s="9"/>
      <c r="D63" s="70">
        <v>-91659</v>
      </c>
      <c r="F63" s="92">
        <f>D63-[10]令和６年度!$P$74</f>
        <v>4678391</v>
      </c>
    </row>
    <row r="64" spans="1:7" ht="16.5" customHeight="1" x14ac:dyDescent="0.15">
      <c r="A64" s="55" t="s">
        <v>26</v>
      </c>
      <c r="B64" s="22"/>
      <c r="C64" s="48"/>
      <c r="D64" s="44">
        <v>72053334</v>
      </c>
      <c r="F64" s="91"/>
    </row>
    <row r="65" spans="1:6" ht="14.25" x14ac:dyDescent="0.15">
      <c r="A65" s="55" t="s">
        <v>25</v>
      </c>
      <c r="B65" s="22"/>
      <c r="C65" s="9"/>
      <c r="D65" s="69">
        <v>95637600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4D83D-11C3-49E5-8985-3C0D523318ED}">
  <sheetPr>
    <pageSetUpPr fitToPage="1"/>
  </sheetPr>
  <dimension ref="A1:L109"/>
  <sheetViews>
    <sheetView zoomScaleNormal="100" workbookViewId="0">
      <selection activeCell="B13" sqref="B13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194</v>
      </c>
      <c r="B1" s="122"/>
      <c r="C1" s="122"/>
      <c r="D1" s="122"/>
    </row>
    <row r="2" spans="1:11" ht="17.25" customHeight="1" x14ac:dyDescent="0.15">
      <c r="A2" s="116" t="s">
        <v>197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14871428</v>
      </c>
      <c r="C9" s="5"/>
      <c r="D9" s="12"/>
      <c r="F9" s="101">
        <f>'[11]0138359'!$AJ$37</f>
        <v>4981376</v>
      </c>
      <c r="G9" s="101">
        <f>'[11]0138642（居宅）'!$AJ$37</f>
        <v>154091</v>
      </c>
      <c r="H9" s="101">
        <f>'[11]0138655（通所）'!$AJ$37</f>
        <v>5711</v>
      </c>
      <c r="I9" s="101">
        <f>'[11]0156560（新庄）'!$AJ$37</f>
        <v>99191</v>
      </c>
      <c r="J9" s="101">
        <f>'[11]0158313（ゆけむり）'!$AJ$37</f>
        <v>50444</v>
      </c>
      <c r="K9" s="101">
        <f>'[11]0139101（ちゃれんじ）'!$AJ$37</f>
        <v>583296</v>
      </c>
    </row>
    <row r="10" spans="1:11" ht="14.25" x14ac:dyDescent="0.15">
      <c r="A10" s="53" t="s">
        <v>102</v>
      </c>
      <c r="B10" s="73">
        <v>4693929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7145135</v>
      </c>
      <c r="C11" s="5"/>
      <c r="D11" s="23"/>
      <c r="F11" s="101">
        <f>'[11]2253865（助け合い）'!$AJ$37</f>
        <v>222641</v>
      </c>
      <c r="G11" s="102">
        <f>'[11]2253871（通所）'!$AJ$37</f>
        <v>484375</v>
      </c>
      <c r="H11" s="103">
        <f>'[11]2254321（ミニ）'!$AJ$37</f>
        <v>6886188</v>
      </c>
    </row>
    <row r="12" spans="1:11" ht="14.25" x14ac:dyDescent="0.15">
      <c r="A12" s="53" t="s">
        <v>128</v>
      </c>
      <c r="B12" s="74">
        <v>1157137</v>
      </c>
      <c r="C12" s="5"/>
      <c r="D12" s="23"/>
    </row>
    <row r="13" spans="1:11" ht="14.25" x14ac:dyDescent="0.15">
      <c r="A13" s="53" t="s">
        <v>129</v>
      </c>
      <c r="B13" s="75">
        <v>1188224</v>
      </c>
      <c r="C13" s="5"/>
      <c r="D13" s="12"/>
      <c r="E13" s="93" t="s">
        <v>142</v>
      </c>
      <c r="F13" s="104">
        <f>[11]JA0034628!$AJ$37</f>
        <v>568938</v>
      </c>
      <c r="G13" s="93" t="s">
        <v>143</v>
      </c>
      <c r="H13" s="104">
        <f>[11]ゆうちょ6473091!$AJ$37</f>
        <v>173053</v>
      </c>
      <c r="I13" s="93" t="s">
        <v>144</v>
      </c>
      <c r="J13" s="104">
        <f>[11]しま信0116975!$AJ$37</f>
        <v>289801</v>
      </c>
    </row>
    <row r="14" spans="1:11" ht="14.25" x14ac:dyDescent="0.15">
      <c r="A14" s="53" t="s">
        <v>130</v>
      </c>
      <c r="B14" s="75">
        <v>687003</v>
      </c>
      <c r="C14" s="5"/>
      <c r="D14" s="12"/>
    </row>
    <row r="15" spans="1:11" ht="14.25" x14ac:dyDescent="0.15">
      <c r="A15" s="55" t="s">
        <v>36</v>
      </c>
      <c r="B15" s="71">
        <v>27986898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5244620</v>
      </c>
      <c r="C16" s="11"/>
      <c r="D16" s="12"/>
      <c r="E16" t="s">
        <v>112</v>
      </c>
      <c r="F16" s="103">
        <f>'[12]未収金（認定調査委託料）'!$AJ$37</f>
        <v>9240</v>
      </c>
      <c r="G16" s="103">
        <f>'[12]未収金（居宅支援介護報酬）'!$AJ$37</f>
        <v>5110490</v>
      </c>
      <c r="H16" s="83"/>
    </row>
    <row r="17" spans="1:11" ht="14.25" x14ac:dyDescent="0.15">
      <c r="A17" s="54" t="s">
        <v>15</v>
      </c>
      <c r="B17" s="73">
        <v>16517929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14257</v>
      </c>
      <c r="C18" s="11"/>
      <c r="D18" s="12"/>
      <c r="E18" t="s">
        <v>115</v>
      </c>
      <c r="F18" s="103">
        <f>'[12]未収金（通所保険請求）'!$AJ$37</f>
        <v>11757712</v>
      </c>
      <c r="G18" s="103">
        <f>'[12]未収金（通所利用者負担）'!$AJ$37</f>
        <v>1233924</v>
      </c>
      <c r="H18" s="103">
        <f>'[12]未収金（通所食費）'!$AJ$37</f>
        <v>733900</v>
      </c>
    </row>
    <row r="19" spans="1:11" ht="14.25" x14ac:dyDescent="0.15">
      <c r="A19" s="54" t="s">
        <v>16</v>
      </c>
      <c r="B19" s="73">
        <v>1717960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1591917</v>
      </c>
      <c r="C20" s="5"/>
      <c r="D20" s="12"/>
      <c r="E20" t="s">
        <v>119</v>
      </c>
      <c r="F20" s="103">
        <f>'[12]未収金（ゆけむり保険請求）'!$AJ$37</f>
        <v>0</v>
      </c>
      <c r="G20" s="103">
        <f>'[12]未収金（ゆけむり利用者負担）'!$AJ$37</f>
        <v>14257</v>
      </c>
      <c r="H20" s="103">
        <f>'[12]未収金（ゆけむり食費）'!$AJ$37</f>
        <v>0</v>
      </c>
    </row>
    <row r="21" spans="1:11" ht="14.25" x14ac:dyDescent="0.15">
      <c r="A21" s="54" t="s">
        <v>167</v>
      </c>
      <c r="B21" s="73">
        <v>3289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192</v>
      </c>
      <c r="B22" s="73">
        <v>541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85">
        <v>14500</v>
      </c>
      <c r="C23" s="5"/>
      <c r="D23" s="12"/>
      <c r="E23" t="s">
        <v>120</v>
      </c>
      <c r="F23" s="103">
        <f>'[12]未収金（予防通所保険請求）'!$AJ$37</f>
        <v>1344043</v>
      </c>
      <c r="G23" s="103">
        <f>'[12]未収金（予防通所利用者負担）'!$AJ$37</f>
        <v>78798</v>
      </c>
      <c r="H23" s="103">
        <f>'[12]未収金（予防通所食費）'!$AJ$37</f>
        <v>104300</v>
      </c>
    </row>
    <row r="24" spans="1:11" ht="14.25" x14ac:dyDescent="0.15">
      <c r="A24" s="54" t="s">
        <v>81</v>
      </c>
      <c r="B24" s="73">
        <v>400785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85">
        <v>88200</v>
      </c>
      <c r="C25" s="5"/>
      <c r="D25" s="12"/>
      <c r="E25" t="s">
        <v>121</v>
      </c>
      <c r="F25" s="103">
        <f>'[12]未収金（処遇改善保険請求）'!$AJ$37</f>
        <v>1210522</v>
      </c>
      <c r="G25" s="103">
        <f>'[12]未収金（処遇改善利用者負担）'!$AJ$37</f>
        <v>116787</v>
      </c>
      <c r="H25" s="83"/>
      <c r="I25" s="99" t="s">
        <v>169</v>
      </c>
      <c r="J25" s="104">
        <f>'[12]未収金（ベースアップ加算保険請求）'!$AJ$37</f>
        <v>198</v>
      </c>
      <c r="K25" s="104">
        <f>'[12]未収金（ベースアップ加算利用者負担）'!$AJ$37</f>
        <v>343</v>
      </c>
    </row>
    <row r="26" spans="1:11" ht="14.25" x14ac:dyDescent="0.15">
      <c r="A26" s="54" t="s">
        <v>17</v>
      </c>
      <c r="B26" s="86">
        <v>2385400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87">
        <v>7500</v>
      </c>
      <c r="C27" s="5"/>
      <c r="D27" s="12"/>
      <c r="E27" t="s">
        <v>122</v>
      </c>
      <c r="F27" s="103">
        <f>'[12]未収金（特定処遇改善保険請求）'!$AJ$37</f>
        <v>0</v>
      </c>
      <c r="G27" s="103">
        <f>'[12]未収金（特定処遇改善利用者負担）'!$AJ$37</f>
        <v>3289</v>
      </c>
      <c r="H27" s="83"/>
    </row>
    <row r="28" spans="1:11" ht="14.25" x14ac:dyDescent="0.15">
      <c r="A28" s="54" t="s">
        <v>79</v>
      </c>
      <c r="B28" s="85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88">
        <v>350500</v>
      </c>
      <c r="C29" s="15" t="s">
        <v>0</v>
      </c>
      <c r="D29" s="12"/>
      <c r="E29" t="s">
        <v>123</v>
      </c>
      <c r="F29" s="103">
        <f>'[12]未収金（サロン保険請求）'!$AJ$37</f>
        <v>316516</v>
      </c>
      <c r="G29" s="103">
        <f>'[12]未収金（サロン利用者負担）'!$AJ$37</f>
        <v>21602</v>
      </c>
      <c r="H29" s="103">
        <f>'[12]未収金（サロン食費）'!$AJ$37</f>
        <v>31500</v>
      </c>
    </row>
    <row r="30" spans="1:11" ht="14.25" x14ac:dyDescent="0.15">
      <c r="A30" s="61" t="s">
        <v>96</v>
      </c>
      <c r="B30" s="71">
        <v>464750</v>
      </c>
      <c r="C30" s="15"/>
      <c r="D30" s="12"/>
    </row>
    <row r="31" spans="1:11" ht="14.25" x14ac:dyDescent="0.15">
      <c r="A31" s="61" t="s">
        <v>38</v>
      </c>
      <c r="B31" s="7"/>
      <c r="C31" s="77">
        <v>43675961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44213471</v>
      </c>
      <c r="C34" s="5"/>
      <c r="D34" s="12"/>
      <c r="E34" t="s">
        <v>146</v>
      </c>
      <c r="F34" s="105">
        <f>'[13]建物（ほっと本体）'!$AJ$5</f>
        <v>225002</v>
      </c>
      <c r="G34" s="105">
        <f>'[13]建物（ほっと2階）'!$AJ$5</f>
        <v>159976</v>
      </c>
      <c r="H34" s="105">
        <f>'[13]建物（新庄）'!$AJ$5</f>
        <v>14958933</v>
      </c>
      <c r="I34" s="105">
        <f>'[13]建物（ゆけむり）'!$AJ$5</f>
        <v>22564101</v>
      </c>
      <c r="J34" s="105">
        <f>'[13]建物（ほっと浴室）'!$AJ$5</f>
        <v>3600857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106">
        <f>'[13]附属建物（厨房）'!$AJ$5</f>
        <v>1</v>
      </c>
      <c r="G35" s="106">
        <f>'[13]附属建物（浴室）'!$AJ$5</f>
        <v>1</v>
      </c>
      <c r="H35" s="106">
        <f>'[13]附属建物（便所）'!$AJ$5</f>
        <v>1</v>
      </c>
      <c r="I35" s="106">
        <f>'[13]附属建物（廊下）'!$AJ$5</f>
        <v>1</v>
      </c>
      <c r="J35" s="106">
        <f>'[13]附属設備（電気設備その他）'!$AJ$5</f>
        <v>82438</v>
      </c>
      <c r="K35" s="106">
        <f>'[13]附属設備（給排水衛生設備）'!$AJ$5</f>
        <v>94536</v>
      </c>
      <c r="L35" s="106">
        <f>'[13]附属設備（消火排煙設備）'!$AJ$5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106">
        <f>'[13]附属設備（新庄電気設備）'!$AJ$5</f>
        <v>365715</v>
      </c>
      <c r="G36" s="106">
        <f>'[13]附属設備（新庄給排水設備）'!$AJ$5</f>
        <v>446005</v>
      </c>
      <c r="H36" s="106">
        <f>'[13]附属設備（電気設備）'!$AJ$5</f>
        <v>1028074</v>
      </c>
      <c r="I36" s="106">
        <f>'[13]附属設備（給排水設備）'!$AJ$5</f>
        <v>529605</v>
      </c>
      <c r="J36" s="106">
        <f>'[13]附属設備（新庄浴槽改装ガス給湯設備）'!$AJ$6</f>
        <v>513845</v>
      </c>
      <c r="K36" s="106">
        <f>'[13]附属設備（ほっと浴室移設電気工事）'!$AJ$5</f>
        <v>851136</v>
      </c>
      <c r="L36" s="106">
        <f>'[13]附属設備（ほっと浴室移設給排水設備）'!$AJ$5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107">
        <f>'[13]構築物（舗装工事）'!$AJ$5</f>
        <v>1</v>
      </c>
      <c r="G37" s="107">
        <f>'[13]構築物（ゆけむり）'!$AJ$5</f>
        <v>358351</v>
      </c>
      <c r="H37" s="107">
        <f>'[13]構築物（新庄駐車場舗装）'!$AJ$5</f>
        <v>821220</v>
      </c>
    </row>
    <row r="38" spans="1:12" ht="14.25" x14ac:dyDescent="0.15">
      <c r="A38" s="55" t="s">
        <v>40</v>
      </c>
      <c r="B38" s="71">
        <v>2556592</v>
      </c>
      <c r="C38" s="5"/>
      <c r="D38" s="12"/>
      <c r="E38" t="s">
        <v>149</v>
      </c>
      <c r="F38" s="108">
        <f>'[13]器具備品（新庄玄関エアコン）'!$AJ$5</f>
        <v>31800</v>
      </c>
      <c r="G38" s="108">
        <f>'[13]器具備品（新庄事務室エアコン）'!$AJ$5</f>
        <v>173084</v>
      </c>
    </row>
    <row r="39" spans="1:12" ht="14.25" x14ac:dyDescent="0.15">
      <c r="A39" s="55" t="s">
        <v>41</v>
      </c>
      <c r="B39" s="88">
        <v>110600</v>
      </c>
      <c r="C39" s="5"/>
      <c r="D39" s="12"/>
      <c r="E39" t="s">
        <v>150</v>
      </c>
      <c r="F39" s="94">
        <f>'[13]車両（タウンボックス）'!$AJ$5</f>
        <v>1</v>
      </c>
      <c r="G39" s="94">
        <f>'[13]車両（はとバン）'!$AJ$5</f>
        <v>1</v>
      </c>
      <c r="H39" s="94">
        <f>'[13]車両（ノア）'!$AJ$5</f>
        <v>1</v>
      </c>
      <c r="I39" s="94">
        <f>'[13]車両（セレナ）'!$AJ$5</f>
        <v>1</v>
      </c>
      <c r="J39" s="94">
        <f>'[13]車両（アトレー１）'!$AJ$5</f>
        <v>1</v>
      </c>
      <c r="K39" s="94">
        <f>'[13]車両（アトレー４）'!$AJ$5</f>
        <v>2078860</v>
      </c>
      <c r="L39" s="94">
        <f>'[13]車両（キャラ３）'!$AJ$5</f>
        <v>0</v>
      </c>
    </row>
    <row r="40" spans="1:12" ht="14.25" x14ac:dyDescent="0.15">
      <c r="A40" s="55" t="s">
        <v>42</v>
      </c>
      <c r="B40" s="88">
        <v>50000</v>
      </c>
      <c r="C40" s="11"/>
      <c r="D40" s="12"/>
      <c r="F40" s="94">
        <f>'[13]車両（フリード２）'!$AJ$5</f>
        <v>477725</v>
      </c>
      <c r="G40" s="94">
        <f>'[13]車両（セブン２）'!$AJ$5</f>
        <v>1</v>
      </c>
      <c r="H40" s="94">
        <f>'[13]車両（EK３）'!$AJ$5</f>
        <v>1</v>
      </c>
    </row>
    <row r="41" spans="1:12" ht="14.25" x14ac:dyDescent="0.15">
      <c r="A41" s="55" t="s">
        <v>66</v>
      </c>
      <c r="B41" s="88"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v>53508120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v>97184081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88">
        <v>4343949</v>
      </c>
      <c r="C48" s="5"/>
      <c r="D48" s="78"/>
    </row>
    <row r="49" spans="1:7" ht="14.25" x14ac:dyDescent="0.15">
      <c r="A49" s="55" t="s">
        <v>33</v>
      </c>
      <c r="B49" s="71">
        <v>5000000</v>
      </c>
      <c r="C49" s="5"/>
      <c r="D49" s="12"/>
    </row>
    <row r="50" spans="1:7" ht="6.75" customHeight="1" x14ac:dyDescent="0.15">
      <c r="A50" s="59"/>
      <c r="B50" s="79"/>
      <c r="C50" s="11"/>
      <c r="D50" s="12"/>
    </row>
    <row r="51" spans="1:7" ht="14.25" x14ac:dyDescent="0.15">
      <c r="A51" s="55" t="s">
        <v>31</v>
      </c>
      <c r="B51" s="80"/>
      <c r="C51" s="37">
        <v>9343949</v>
      </c>
      <c r="D51" s="23"/>
      <c r="E51" t="s">
        <v>108</v>
      </c>
    </row>
    <row r="52" spans="1:7" ht="11.25" customHeight="1" x14ac:dyDescent="0.15">
      <c r="A52" s="3"/>
      <c r="B52" s="14"/>
      <c r="C52" s="34"/>
      <c r="D52" s="25"/>
    </row>
    <row r="53" spans="1:7" ht="14.25" x14ac:dyDescent="0.15">
      <c r="A53" s="55" t="s">
        <v>22</v>
      </c>
      <c r="B53" s="19"/>
      <c r="C53" s="81"/>
      <c r="D53" s="23"/>
    </row>
    <row r="54" spans="1:7" ht="14.25" x14ac:dyDescent="0.15">
      <c r="A54" s="55" t="s">
        <v>30</v>
      </c>
      <c r="B54" s="88">
        <v>20163000</v>
      </c>
      <c r="C54" s="11"/>
      <c r="D54" s="25"/>
    </row>
    <row r="55" spans="1:7" ht="14.25" x14ac:dyDescent="0.15">
      <c r="A55" s="9"/>
      <c r="B55" s="19"/>
      <c r="C55" s="11"/>
      <c r="D55" s="25"/>
      <c r="G55" t="s">
        <v>108</v>
      </c>
    </row>
    <row r="56" spans="1:7" ht="14.25" x14ac:dyDescent="0.15">
      <c r="A56" s="61" t="s">
        <v>29</v>
      </c>
      <c r="B56" s="10"/>
      <c r="C56" s="37">
        <v>20163000</v>
      </c>
      <c r="D56" s="23"/>
    </row>
    <row r="57" spans="1:7" ht="6.75" customHeight="1" x14ac:dyDescent="0.15">
      <c r="A57" s="3"/>
      <c r="B57" s="19"/>
      <c r="C57" s="11"/>
      <c r="D57" s="23"/>
    </row>
    <row r="58" spans="1:7" ht="14.25" x14ac:dyDescent="0.15">
      <c r="A58" s="58" t="s">
        <v>24</v>
      </c>
      <c r="B58" s="40"/>
      <c r="C58" s="40"/>
      <c r="D58" s="38">
        <v>29506949</v>
      </c>
    </row>
    <row r="59" spans="1:7" ht="11.25" customHeight="1" x14ac:dyDescent="0.15">
      <c r="A59" s="3"/>
      <c r="B59" s="19"/>
      <c r="C59" s="11"/>
      <c r="D59" s="23"/>
    </row>
    <row r="60" spans="1:7" ht="14.25" x14ac:dyDescent="0.15">
      <c r="A60" s="55" t="s">
        <v>3</v>
      </c>
      <c r="B60" s="30"/>
      <c r="C60" s="35"/>
      <c r="D60" s="31"/>
    </row>
    <row r="61" spans="1:7" ht="15" customHeight="1" x14ac:dyDescent="0.15">
      <c r="A61" s="55" t="s">
        <v>27</v>
      </c>
      <c r="B61" s="10"/>
      <c r="C61" s="39"/>
      <c r="D61" s="39">
        <v>0</v>
      </c>
    </row>
    <row r="62" spans="1:7" ht="15.75" customHeight="1" x14ac:dyDescent="0.15">
      <c r="A62" s="55" t="s">
        <v>28</v>
      </c>
      <c r="B62" s="47"/>
      <c r="C62" s="9"/>
      <c r="D62" s="43">
        <v>67677132</v>
      </c>
      <c r="F62" s="100" t="s">
        <v>124</v>
      </c>
    </row>
    <row r="63" spans="1:7" ht="15.75" customHeight="1" x14ac:dyDescent="0.15">
      <c r="A63" s="59" t="s">
        <v>11</v>
      </c>
      <c r="B63" s="9"/>
      <c r="D63" s="70">
        <v>-4467861</v>
      </c>
      <c r="F63" s="92">
        <f>D63-[10]令和６年度!$P$74</f>
        <v>302189</v>
      </c>
    </row>
    <row r="64" spans="1:7" ht="16.5" customHeight="1" x14ac:dyDescent="0.15">
      <c r="A64" s="55" t="s">
        <v>26</v>
      </c>
      <c r="B64" s="22"/>
      <c r="C64" s="48"/>
      <c r="D64" s="44">
        <v>67677132</v>
      </c>
      <c r="F64" s="91"/>
    </row>
    <row r="65" spans="1:6" ht="14.25" x14ac:dyDescent="0.15">
      <c r="A65" s="55" t="s">
        <v>25</v>
      </c>
      <c r="B65" s="22"/>
      <c r="C65" s="9"/>
      <c r="D65" s="69">
        <v>97184081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F8AEA-8DFF-4E14-A9E5-26667AFC5E98}">
  <sheetPr>
    <pageSetUpPr fitToPage="1"/>
  </sheetPr>
  <dimension ref="A1:L109"/>
  <sheetViews>
    <sheetView topLeftCell="A46" zoomScaleNormal="100" workbookViewId="0">
      <selection activeCell="B54" sqref="B54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194</v>
      </c>
      <c r="B1" s="122"/>
      <c r="C1" s="122"/>
      <c r="D1" s="122"/>
    </row>
    <row r="2" spans="1:11" ht="17.25" customHeight="1" x14ac:dyDescent="0.15">
      <c r="A2" s="116" t="s">
        <v>198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16411712</v>
      </c>
      <c r="C9" s="5"/>
      <c r="D9" s="12"/>
      <c r="F9" s="101">
        <f>'[11]0138359'!$AJ$37</f>
        <v>4981376</v>
      </c>
      <c r="G9" s="101">
        <f>'[11]0138642（居宅）'!$AJ$37</f>
        <v>154091</v>
      </c>
      <c r="H9" s="101">
        <f>'[11]0138655（通所）'!$AJ$37</f>
        <v>5711</v>
      </c>
      <c r="I9" s="101">
        <f>'[11]0156560（新庄）'!$AJ$37</f>
        <v>99191</v>
      </c>
      <c r="J9" s="101">
        <f>'[11]0158313（ゆけむり）'!$AJ$37</f>
        <v>50444</v>
      </c>
      <c r="K9" s="101">
        <f>'[11]0139101（ちゃれんじ）'!$AJ$37</f>
        <v>583296</v>
      </c>
    </row>
    <row r="10" spans="1:11" ht="14.25" x14ac:dyDescent="0.15">
      <c r="A10" s="53" t="s">
        <v>102</v>
      </c>
      <c r="B10" s="73">
        <v>8431509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6594309</v>
      </c>
      <c r="C11" s="5"/>
      <c r="D11" s="23"/>
      <c r="F11" s="101">
        <f>'[11]2253865（助け合い）'!$AJ$37</f>
        <v>222641</v>
      </c>
      <c r="G11" s="102">
        <f>'[11]2253871（通所）'!$AJ$37</f>
        <v>484375</v>
      </c>
      <c r="H11" s="103">
        <f>'[11]2254321（ミニ）'!$AJ$37</f>
        <v>6886188</v>
      </c>
    </row>
    <row r="12" spans="1:11" ht="14.25" x14ac:dyDescent="0.15">
      <c r="A12" s="53" t="s">
        <v>128</v>
      </c>
      <c r="B12" s="74">
        <v>650026</v>
      </c>
      <c r="C12" s="5"/>
      <c r="D12" s="23"/>
    </row>
    <row r="13" spans="1:11" ht="14.25" x14ac:dyDescent="0.15">
      <c r="A13" s="53" t="s">
        <v>129</v>
      </c>
      <c r="B13" s="75">
        <v>631519</v>
      </c>
      <c r="C13" s="5"/>
      <c r="D13" s="12"/>
      <c r="E13" s="93" t="s">
        <v>142</v>
      </c>
      <c r="F13" s="104">
        <f>[11]JA0034628!$AJ$37</f>
        <v>568938</v>
      </c>
      <c r="G13" s="93" t="s">
        <v>143</v>
      </c>
      <c r="H13" s="104">
        <f>[11]ゆうちょ6473091!$AJ$37</f>
        <v>173053</v>
      </c>
      <c r="I13" s="93" t="s">
        <v>144</v>
      </c>
      <c r="J13" s="104">
        <f>[11]しま信0116975!$AJ$37</f>
        <v>289801</v>
      </c>
    </row>
    <row r="14" spans="1:11" ht="14.25" x14ac:dyDescent="0.15">
      <c r="A14" s="53" t="s">
        <v>130</v>
      </c>
      <c r="B14" s="75">
        <v>104349</v>
      </c>
      <c r="C14" s="5"/>
      <c r="D14" s="12"/>
    </row>
    <row r="15" spans="1:11" ht="14.25" x14ac:dyDescent="0.15">
      <c r="A15" s="55" t="s">
        <v>36</v>
      </c>
      <c r="B15" s="71">
        <v>27356853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5261970</v>
      </c>
      <c r="C16" s="11"/>
      <c r="D16" s="12"/>
      <c r="E16" t="s">
        <v>112</v>
      </c>
      <c r="F16" s="103">
        <f>'[12]未収金（認定調査委託料）'!$AJ$37</f>
        <v>9240</v>
      </c>
      <c r="G16" s="103">
        <f>'[12]未収金（居宅支援介護報酬）'!$AJ$37</f>
        <v>5110490</v>
      </c>
      <c r="H16" s="83"/>
    </row>
    <row r="17" spans="1:11" ht="14.25" x14ac:dyDescent="0.15">
      <c r="A17" s="54" t="s">
        <v>15</v>
      </c>
      <c r="B17" s="73">
        <v>15730209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14257</v>
      </c>
      <c r="C18" s="11"/>
      <c r="D18" s="12"/>
      <c r="E18" t="s">
        <v>115</v>
      </c>
      <c r="F18" s="103">
        <f>'[12]未収金（通所保険請求）'!$AJ$37</f>
        <v>11757712</v>
      </c>
      <c r="G18" s="103">
        <f>'[12]未収金（通所利用者負担）'!$AJ$37</f>
        <v>1233924</v>
      </c>
      <c r="H18" s="103">
        <f>'[12]未収金（通所食費）'!$AJ$37</f>
        <v>733900</v>
      </c>
    </row>
    <row r="19" spans="1:11" ht="14.25" x14ac:dyDescent="0.15">
      <c r="A19" s="54" t="s">
        <v>16</v>
      </c>
      <c r="B19" s="73">
        <v>1753236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1528596</v>
      </c>
      <c r="C20" s="5"/>
      <c r="D20" s="12"/>
      <c r="E20" t="s">
        <v>119</v>
      </c>
      <c r="F20" s="103">
        <f>'[12]未収金（ゆけむり保険請求）'!$AJ$37</f>
        <v>0</v>
      </c>
      <c r="G20" s="103">
        <f>'[12]未収金（ゆけむり利用者負担）'!$AJ$37</f>
        <v>14257</v>
      </c>
      <c r="H20" s="103">
        <f>'[12]未収金（ゆけむり食費）'!$AJ$37</f>
        <v>0</v>
      </c>
    </row>
    <row r="21" spans="1:11" ht="14.25" x14ac:dyDescent="0.15">
      <c r="A21" s="54" t="s">
        <v>167</v>
      </c>
      <c r="B21" s="73">
        <v>3289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192</v>
      </c>
      <c r="B22" s="73">
        <v>541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85">
        <v>14500</v>
      </c>
      <c r="C23" s="5"/>
      <c r="D23" s="12"/>
      <c r="E23" t="s">
        <v>120</v>
      </c>
      <c r="F23" s="103">
        <f>'[12]未収金（予防通所保険請求）'!$AJ$37</f>
        <v>1344043</v>
      </c>
      <c r="G23" s="103">
        <f>'[12]未収金（予防通所利用者負担）'!$AJ$37</f>
        <v>78798</v>
      </c>
      <c r="H23" s="103">
        <f>'[12]未収金（予防通所食費）'!$AJ$37</f>
        <v>104300</v>
      </c>
    </row>
    <row r="24" spans="1:11" ht="14.25" x14ac:dyDescent="0.15">
      <c r="A24" s="54" t="s">
        <v>81</v>
      </c>
      <c r="B24" s="73">
        <v>398855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85">
        <v>73500</v>
      </c>
      <c r="C25" s="5"/>
      <c r="D25" s="12"/>
      <c r="E25" t="s">
        <v>121</v>
      </c>
      <c r="F25" s="103">
        <f>'[12]未収金（処遇改善保険請求）'!$AJ$37</f>
        <v>1210522</v>
      </c>
      <c r="G25" s="103">
        <f>'[12]未収金（処遇改善利用者負担）'!$AJ$37</f>
        <v>116787</v>
      </c>
      <c r="H25" s="83"/>
      <c r="I25" s="99" t="s">
        <v>169</v>
      </c>
      <c r="J25" s="104">
        <f>'[12]未収金（ベースアップ加算保険請求）'!$AJ$37</f>
        <v>198</v>
      </c>
      <c r="K25" s="104">
        <f>'[12]未収金（ベースアップ加算利用者負担）'!$AJ$37</f>
        <v>343</v>
      </c>
    </row>
    <row r="26" spans="1:11" ht="14.25" x14ac:dyDescent="0.15">
      <c r="A26" s="54" t="s">
        <v>17</v>
      </c>
      <c r="B26" s="86">
        <v>2562900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87">
        <v>15000</v>
      </c>
      <c r="C27" s="5"/>
      <c r="D27" s="12"/>
      <c r="E27" t="s">
        <v>122</v>
      </c>
      <c r="F27" s="103">
        <f>'[12]未収金（特定処遇改善保険請求）'!$AJ$37</f>
        <v>0</v>
      </c>
      <c r="G27" s="103">
        <f>'[12]未収金（特定処遇改善利用者負担）'!$AJ$37</f>
        <v>3289</v>
      </c>
      <c r="H27" s="83"/>
    </row>
    <row r="28" spans="1:11" ht="14.25" x14ac:dyDescent="0.15">
      <c r="A28" s="54" t="s">
        <v>79</v>
      </c>
      <c r="B28" s="85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88">
        <v>1015243</v>
      </c>
      <c r="C29" s="15" t="s">
        <v>0</v>
      </c>
      <c r="D29" s="12"/>
      <c r="E29" t="s">
        <v>123</v>
      </c>
      <c r="F29" s="103">
        <f>'[12]未収金（サロン保険請求）'!$AJ$37</f>
        <v>316516</v>
      </c>
      <c r="G29" s="103">
        <f>'[12]未収金（サロン利用者負担）'!$AJ$37</f>
        <v>21602</v>
      </c>
      <c r="H29" s="103">
        <f>'[12]未収金（サロン食費）'!$AJ$37</f>
        <v>31500</v>
      </c>
    </row>
    <row r="30" spans="1:11" ht="14.25" x14ac:dyDescent="0.15">
      <c r="A30" s="61" t="s">
        <v>96</v>
      </c>
      <c r="B30" s="71">
        <v>464750</v>
      </c>
      <c r="C30" s="15"/>
      <c r="D30" s="12"/>
    </row>
    <row r="31" spans="1:11" ht="14.25" x14ac:dyDescent="0.15">
      <c r="A31" s="61" t="s">
        <v>38</v>
      </c>
      <c r="B31" s="7"/>
      <c r="C31" s="77">
        <v>45250943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44213471</v>
      </c>
      <c r="C34" s="5"/>
      <c r="D34" s="12"/>
      <c r="E34" t="s">
        <v>146</v>
      </c>
      <c r="F34" s="105">
        <f>'[13]建物（ほっと本体）'!$AJ$5</f>
        <v>225002</v>
      </c>
      <c r="G34" s="105">
        <f>'[13]建物（ほっと2階）'!$AJ$5</f>
        <v>159976</v>
      </c>
      <c r="H34" s="105">
        <f>'[13]建物（新庄）'!$AJ$5</f>
        <v>14958933</v>
      </c>
      <c r="I34" s="105">
        <f>'[13]建物（ゆけむり）'!$AJ$5</f>
        <v>22564101</v>
      </c>
      <c r="J34" s="105">
        <f>'[13]建物（ほっと浴室）'!$AJ$5</f>
        <v>3600857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106">
        <f>'[13]附属建物（厨房）'!$AJ$5</f>
        <v>1</v>
      </c>
      <c r="G35" s="106">
        <f>'[13]附属建物（浴室）'!$AJ$5</f>
        <v>1</v>
      </c>
      <c r="H35" s="106">
        <f>'[13]附属建物（便所）'!$AJ$5</f>
        <v>1</v>
      </c>
      <c r="I35" s="106">
        <f>'[13]附属建物（廊下）'!$AJ$5</f>
        <v>1</v>
      </c>
      <c r="J35" s="106">
        <f>'[13]附属設備（電気設備その他）'!$AJ$5</f>
        <v>82438</v>
      </c>
      <c r="K35" s="106">
        <f>'[13]附属設備（給排水衛生設備）'!$AJ$5</f>
        <v>94536</v>
      </c>
      <c r="L35" s="106">
        <f>'[13]附属設備（消火排煙設備）'!$AJ$5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106">
        <f>'[13]附属設備（新庄電気設備）'!$AJ$5</f>
        <v>365715</v>
      </c>
      <c r="G36" s="106">
        <f>'[13]附属設備（新庄給排水設備）'!$AJ$5</f>
        <v>446005</v>
      </c>
      <c r="H36" s="106">
        <f>'[13]附属設備（電気設備）'!$AJ$5</f>
        <v>1028074</v>
      </c>
      <c r="I36" s="106">
        <f>'[13]附属設備（給排水設備）'!$AJ$5</f>
        <v>529605</v>
      </c>
      <c r="J36" s="106">
        <f>'[13]附属設備（新庄浴槽改装ガス給湯設備）'!$AJ$6</f>
        <v>513845</v>
      </c>
      <c r="K36" s="106">
        <f>'[13]附属設備（ほっと浴室移設電気工事）'!$AJ$5</f>
        <v>851136</v>
      </c>
      <c r="L36" s="106">
        <f>'[13]附属設備（ほっと浴室移設給排水設備）'!$AJ$5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107">
        <f>'[13]構築物（舗装工事）'!$AJ$5</f>
        <v>1</v>
      </c>
      <c r="G37" s="107">
        <f>'[13]構築物（ゆけむり）'!$AJ$5</f>
        <v>358351</v>
      </c>
      <c r="H37" s="107">
        <f>'[13]構築物（新庄駐車場舗装）'!$AJ$5</f>
        <v>821220</v>
      </c>
    </row>
    <row r="38" spans="1:12" ht="14.25" x14ac:dyDescent="0.15">
      <c r="A38" s="55" t="s">
        <v>40</v>
      </c>
      <c r="B38" s="71">
        <v>2556592</v>
      </c>
      <c r="C38" s="5"/>
      <c r="D38" s="12"/>
      <c r="E38" t="s">
        <v>149</v>
      </c>
      <c r="F38" s="108">
        <f>'[13]器具備品（新庄玄関エアコン）'!$AJ$5</f>
        <v>31800</v>
      </c>
      <c r="G38" s="108">
        <f>'[13]器具備品（新庄事務室エアコン）'!$AJ$5</f>
        <v>173084</v>
      </c>
    </row>
    <row r="39" spans="1:12" ht="14.25" x14ac:dyDescent="0.15">
      <c r="A39" s="55" t="s">
        <v>41</v>
      </c>
      <c r="B39" s="88">
        <v>110600</v>
      </c>
      <c r="C39" s="5"/>
      <c r="D39" s="12"/>
      <c r="E39" t="s">
        <v>150</v>
      </c>
      <c r="F39" s="94">
        <f>'[13]車両（タウンボックス）'!$AJ$5</f>
        <v>1</v>
      </c>
      <c r="G39" s="94">
        <f>'[13]車両（はとバン）'!$AJ$5</f>
        <v>1</v>
      </c>
      <c r="H39" s="94">
        <f>'[13]車両（ノア）'!$AJ$5</f>
        <v>1</v>
      </c>
      <c r="I39" s="94">
        <f>'[13]車両（セレナ）'!$AJ$5</f>
        <v>1</v>
      </c>
      <c r="J39" s="94">
        <f>'[13]車両（アトレー１）'!$AJ$5</f>
        <v>1</v>
      </c>
      <c r="K39" s="94">
        <f>'[13]車両（アトレー４）'!$AJ$5</f>
        <v>2078860</v>
      </c>
      <c r="L39" s="94">
        <f>'[13]車両（キャラ３）'!$AJ$5</f>
        <v>0</v>
      </c>
    </row>
    <row r="40" spans="1:12" ht="14.25" x14ac:dyDescent="0.15">
      <c r="A40" s="55" t="s">
        <v>42</v>
      </c>
      <c r="B40" s="88">
        <v>50000</v>
      </c>
      <c r="C40" s="11"/>
      <c r="D40" s="12"/>
      <c r="F40" s="94">
        <f>'[13]車両（フリード２）'!$AJ$5</f>
        <v>477725</v>
      </c>
      <c r="G40" s="94">
        <f>'[13]車両（セブン２）'!$AJ$5</f>
        <v>1</v>
      </c>
      <c r="H40" s="94">
        <f>'[13]車両（EK３）'!$AJ$5</f>
        <v>1</v>
      </c>
    </row>
    <row r="41" spans="1:12" ht="14.25" x14ac:dyDescent="0.15">
      <c r="A41" s="55" t="s">
        <v>66</v>
      </c>
      <c r="B41" s="88"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v>53508120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v>98759063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88">
        <v>4398253</v>
      </c>
      <c r="C48" s="5"/>
      <c r="D48" s="78"/>
    </row>
    <row r="49" spans="1:7" ht="14.25" x14ac:dyDescent="0.15">
      <c r="A49" s="55" t="s">
        <v>33</v>
      </c>
      <c r="B49" s="71">
        <v>5000000</v>
      </c>
      <c r="C49" s="5"/>
      <c r="D49" s="12"/>
    </row>
    <row r="50" spans="1:7" ht="6.75" customHeight="1" x14ac:dyDescent="0.15">
      <c r="A50" s="59"/>
      <c r="B50" s="79"/>
      <c r="C50" s="11"/>
      <c r="D50" s="12"/>
    </row>
    <row r="51" spans="1:7" ht="14.25" x14ac:dyDescent="0.15">
      <c r="A51" s="55" t="s">
        <v>31</v>
      </c>
      <c r="B51" s="80"/>
      <c r="C51" s="37">
        <v>9398253</v>
      </c>
      <c r="D51" s="23"/>
      <c r="E51" t="s">
        <v>108</v>
      </c>
    </row>
    <row r="52" spans="1:7" ht="11.25" customHeight="1" x14ac:dyDescent="0.15">
      <c r="A52" s="3"/>
      <c r="B52" s="14"/>
      <c r="C52" s="34"/>
      <c r="D52" s="25"/>
    </row>
    <row r="53" spans="1:7" ht="14.25" x14ac:dyDescent="0.15">
      <c r="A53" s="55" t="s">
        <v>22</v>
      </c>
      <c r="B53" s="19"/>
      <c r="C53" s="81"/>
      <c r="D53" s="23"/>
    </row>
    <row r="54" spans="1:7" ht="14.25" x14ac:dyDescent="0.15">
      <c r="A54" s="55" t="s">
        <v>30</v>
      </c>
      <c r="B54" s="88">
        <v>19842000</v>
      </c>
      <c r="C54" s="11"/>
      <c r="D54" s="25"/>
    </row>
    <row r="55" spans="1:7" ht="14.25" x14ac:dyDescent="0.15">
      <c r="A55" s="9"/>
      <c r="B55" s="19"/>
      <c r="C55" s="11"/>
      <c r="D55" s="25"/>
      <c r="G55" t="s">
        <v>108</v>
      </c>
    </row>
    <row r="56" spans="1:7" ht="14.25" x14ac:dyDescent="0.15">
      <c r="A56" s="61" t="s">
        <v>29</v>
      </c>
      <c r="B56" s="10"/>
      <c r="C56" s="37">
        <v>19842000</v>
      </c>
      <c r="D56" s="23"/>
    </row>
    <row r="57" spans="1:7" ht="6.75" customHeight="1" x14ac:dyDescent="0.15">
      <c r="A57" s="3"/>
      <c r="B57" s="19"/>
      <c r="C57" s="11"/>
      <c r="D57" s="23"/>
    </row>
    <row r="58" spans="1:7" ht="14.25" x14ac:dyDescent="0.15">
      <c r="A58" s="58" t="s">
        <v>24</v>
      </c>
      <c r="B58" s="40"/>
      <c r="C58" s="40"/>
      <c r="D58" s="38">
        <v>29240253</v>
      </c>
    </row>
    <row r="59" spans="1:7" ht="11.25" customHeight="1" x14ac:dyDescent="0.15">
      <c r="A59" s="3"/>
      <c r="B59" s="19"/>
      <c r="C59" s="11"/>
      <c r="D59" s="23"/>
    </row>
    <row r="60" spans="1:7" ht="14.25" x14ac:dyDescent="0.15">
      <c r="A60" s="55" t="s">
        <v>3</v>
      </c>
      <c r="B60" s="30"/>
      <c r="C60" s="35"/>
      <c r="D60" s="31"/>
    </row>
    <row r="61" spans="1:7" ht="15" customHeight="1" x14ac:dyDescent="0.15">
      <c r="A61" s="55" t="s">
        <v>27</v>
      </c>
      <c r="B61" s="10"/>
      <c r="C61" s="39"/>
      <c r="D61" s="39">
        <v>0</v>
      </c>
    </row>
    <row r="62" spans="1:7" ht="15.75" customHeight="1" x14ac:dyDescent="0.15">
      <c r="A62" s="55" t="s">
        <v>28</v>
      </c>
      <c r="B62" s="47"/>
      <c r="C62" s="9"/>
      <c r="D62" s="43">
        <v>69518810</v>
      </c>
      <c r="F62" s="100" t="s">
        <v>124</v>
      </c>
    </row>
    <row r="63" spans="1:7" ht="15.75" customHeight="1" x14ac:dyDescent="0.15">
      <c r="A63" s="59" t="s">
        <v>11</v>
      </c>
      <c r="B63" s="9"/>
      <c r="D63" s="70">
        <v>-2626183</v>
      </c>
      <c r="F63" s="92">
        <f>D63-[10]令和６年度!$P$74</f>
        <v>2143867</v>
      </c>
    </row>
    <row r="64" spans="1:7" ht="16.5" customHeight="1" x14ac:dyDescent="0.15">
      <c r="A64" s="55" t="s">
        <v>26</v>
      </c>
      <c r="B64" s="22"/>
      <c r="C64" s="48"/>
      <c r="D64" s="44">
        <v>69518810</v>
      </c>
      <c r="F64" s="91"/>
    </row>
    <row r="65" spans="1:6" ht="14.25" x14ac:dyDescent="0.15">
      <c r="A65" s="55" t="s">
        <v>25</v>
      </c>
      <c r="B65" s="22"/>
      <c r="C65" s="9"/>
      <c r="D65" s="69">
        <v>98759063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E7BDB-63B6-41E2-BF24-AB29FE8A1FC9}">
  <sheetPr>
    <pageSetUpPr fitToPage="1"/>
  </sheetPr>
  <dimension ref="A1:L109"/>
  <sheetViews>
    <sheetView topLeftCell="A48" zoomScaleNormal="100" workbookViewId="0">
      <selection activeCell="G55" sqref="G55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194</v>
      </c>
      <c r="B1" s="122"/>
      <c r="C1" s="122"/>
      <c r="D1" s="122"/>
    </row>
    <row r="2" spans="1:11" ht="17.25" customHeight="1" x14ac:dyDescent="0.15">
      <c r="A2" s="116" t="s">
        <v>199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13030746</v>
      </c>
      <c r="C9" s="5"/>
      <c r="D9" s="12"/>
      <c r="F9" s="101">
        <f>'[11]0138359'!$AJ$37</f>
        <v>4981376</v>
      </c>
      <c r="G9" s="101">
        <f>'[11]0138642（居宅）'!$AJ$37</f>
        <v>154091</v>
      </c>
      <c r="H9" s="101">
        <f>'[11]0138655（通所）'!$AJ$37</f>
        <v>5711</v>
      </c>
      <c r="I9" s="101">
        <f>'[11]0156560（新庄）'!$AJ$37</f>
        <v>99191</v>
      </c>
      <c r="J9" s="101">
        <f>'[11]0158313（ゆけむり）'!$AJ$37</f>
        <v>50444</v>
      </c>
      <c r="K9" s="101">
        <f>'[11]0139101（ちゃれんじ）'!$AJ$37</f>
        <v>583296</v>
      </c>
    </row>
    <row r="10" spans="1:11" ht="14.25" x14ac:dyDescent="0.15">
      <c r="A10" s="53" t="s">
        <v>102</v>
      </c>
      <c r="B10" s="73">
        <v>4349580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6551070</v>
      </c>
      <c r="C11" s="5"/>
      <c r="D11" s="23"/>
      <c r="F11" s="101">
        <f>'[11]2253865（助け合い）'!$AJ$37</f>
        <v>222641</v>
      </c>
      <c r="G11" s="102">
        <f>'[11]2253871（通所）'!$AJ$37</f>
        <v>484375</v>
      </c>
      <c r="H11" s="103">
        <f>'[11]2254321（ミニ）'!$AJ$37</f>
        <v>6886188</v>
      </c>
    </row>
    <row r="12" spans="1:11" ht="14.25" x14ac:dyDescent="0.15">
      <c r="A12" s="53" t="s">
        <v>128</v>
      </c>
      <c r="B12" s="74">
        <v>893636</v>
      </c>
      <c r="C12" s="5"/>
      <c r="D12" s="23"/>
    </row>
    <row r="13" spans="1:11" ht="14.25" x14ac:dyDescent="0.15">
      <c r="A13" s="53" t="s">
        <v>129</v>
      </c>
      <c r="B13" s="75">
        <v>1061845</v>
      </c>
      <c r="C13" s="5"/>
      <c r="D13" s="12"/>
      <c r="E13" s="93" t="s">
        <v>142</v>
      </c>
      <c r="F13" s="104">
        <f>[11]JA0034628!$AJ$37</f>
        <v>568938</v>
      </c>
      <c r="G13" s="93" t="s">
        <v>143</v>
      </c>
      <c r="H13" s="104">
        <f>[11]ゆうちょ6473091!$AJ$37</f>
        <v>173053</v>
      </c>
      <c r="I13" s="93" t="s">
        <v>144</v>
      </c>
      <c r="J13" s="104">
        <f>[11]しま信0116975!$AJ$37</f>
        <v>289801</v>
      </c>
    </row>
    <row r="14" spans="1:11" ht="14.25" x14ac:dyDescent="0.15">
      <c r="A14" s="53" t="s">
        <v>130</v>
      </c>
      <c r="B14" s="75">
        <v>174615</v>
      </c>
      <c r="C14" s="5"/>
      <c r="D14" s="12"/>
    </row>
    <row r="15" spans="1:11" ht="14.25" x14ac:dyDescent="0.15">
      <c r="A15" s="55" t="s">
        <v>36</v>
      </c>
      <c r="B15" s="71">
        <v>26212604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5265660</v>
      </c>
      <c r="C16" s="11"/>
      <c r="D16" s="12"/>
      <c r="E16" t="s">
        <v>112</v>
      </c>
      <c r="F16" s="103">
        <f>'[12]未収金（認定調査委託料）'!$AJ$37</f>
        <v>9240</v>
      </c>
      <c r="G16" s="103">
        <f>'[12]未収金（居宅支援介護報酬）'!$AJ$37</f>
        <v>5110490</v>
      </c>
      <c r="H16" s="83"/>
    </row>
    <row r="17" spans="1:11" ht="14.25" x14ac:dyDescent="0.15">
      <c r="A17" s="54" t="s">
        <v>15</v>
      </c>
      <c r="B17" s="109">
        <v>14709169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14257</v>
      </c>
      <c r="C18" s="11"/>
      <c r="D18" s="12"/>
      <c r="E18" t="s">
        <v>115</v>
      </c>
      <c r="F18" s="103">
        <f>'[12]未収金（通所保険請求）'!$AJ$37</f>
        <v>11757712</v>
      </c>
      <c r="G18" s="103">
        <f>'[12]未収金（通所利用者負担）'!$AJ$37</f>
        <v>1233924</v>
      </c>
      <c r="H18" s="103">
        <f>'[12]未収金（通所食費）'!$AJ$37</f>
        <v>733900</v>
      </c>
    </row>
    <row r="19" spans="1:11" ht="14.25" x14ac:dyDescent="0.15">
      <c r="A19" s="54" t="s">
        <v>16</v>
      </c>
      <c r="B19" s="73">
        <v>1724326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1436224</v>
      </c>
      <c r="C20" s="5"/>
      <c r="D20" s="12"/>
      <c r="E20" t="s">
        <v>119</v>
      </c>
      <c r="F20" s="103">
        <f>'[12]未収金（ゆけむり保険請求）'!$AJ$37</f>
        <v>0</v>
      </c>
      <c r="G20" s="103">
        <f>'[12]未収金（ゆけむり利用者負担）'!$AJ$37</f>
        <v>14257</v>
      </c>
      <c r="H20" s="103">
        <f>'[12]未収金（ゆけむり食費）'!$AJ$37</f>
        <v>0</v>
      </c>
    </row>
    <row r="21" spans="1:11" ht="14.25" x14ac:dyDescent="0.15">
      <c r="A21" s="54" t="s">
        <v>167</v>
      </c>
      <c r="B21" s="73">
        <v>3289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192</v>
      </c>
      <c r="B22" s="73">
        <v>541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85">
        <v>16600</v>
      </c>
      <c r="C23" s="5"/>
      <c r="D23" s="12"/>
      <c r="E23" t="s">
        <v>120</v>
      </c>
      <c r="F23" s="103">
        <f>'[12]未収金（予防通所保険請求）'!$AJ$37</f>
        <v>1344043</v>
      </c>
      <c r="G23" s="103">
        <f>'[12]未収金（予防通所利用者負担）'!$AJ$37</f>
        <v>78798</v>
      </c>
      <c r="H23" s="103">
        <f>'[12]未収金（予防通所食費）'!$AJ$37</f>
        <v>104300</v>
      </c>
    </row>
    <row r="24" spans="1:11" ht="14.25" x14ac:dyDescent="0.15">
      <c r="A24" s="54" t="s">
        <v>81</v>
      </c>
      <c r="B24" s="73">
        <v>382018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85">
        <v>71400</v>
      </c>
      <c r="C25" s="5"/>
      <c r="D25" s="12"/>
      <c r="E25" t="s">
        <v>121</v>
      </c>
      <c r="F25" s="103">
        <f>'[12]未収金（処遇改善保険請求）'!$AJ$37</f>
        <v>1210522</v>
      </c>
      <c r="G25" s="103">
        <f>'[12]未収金（処遇改善利用者負担）'!$AJ$37</f>
        <v>116787</v>
      </c>
      <c r="H25" s="83"/>
      <c r="I25" s="99" t="s">
        <v>169</v>
      </c>
      <c r="J25" s="104">
        <f>'[12]未収金（ベースアップ加算保険請求）'!$AJ$37</f>
        <v>198</v>
      </c>
      <c r="K25" s="104">
        <f>'[12]未収金（ベースアップ加算利用者負担）'!$AJ$37</f>
        <v>343</v>
      </c>
    </row>
    <row r="26" spans="1:11" ht="14.25" x14ac:dyDescent="0.15">
      <c r="A26" s="54" t="s">
        <v>17</v>
      </c>
      <c r="B26" s="86">
        <v>2572300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87">
        <v>16820</v>
      </c>
      <c r="C27" s="5"/>
      <c r="D27" s="12"/>
      <c r="E27" t="s">
        <v>122</v>
      </c>
      <c r="F27" s="103">
        <f>'[12]未収金（特定処遇改善保険請求）'!$AJ$37</f>
        <v>0</v>
      </c>
      <c r="G27" s="103">
        <f>'[12]未収金（特定処遇改善利用者負担）'!$AJ$37</f>
        <v>3289</v>
      </c>
      <c r="H27" s="83"/>
    </row>
    <row r="28" spans="1:11" ht="14.25" x14ac:dyDescent="0.15">
      <c r="A28" s="54" t="s">
        <v>79</v>
      </c>
      <c r="B28" s="85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88">
        <v>1099124</v>
      </c>
      <c r="C29" s="15" t="s">
        <v>0</v>
      </c>
      <c r="D29" s="12"/>
      <c r="E29" t="s">
        <v>123</v>
      </c>
      <c r="F29" s="103">
        <f>'[12]未収金（サロン保険請求）'!$AJ$37</f>
        <v>316516</v>
      </c>
      <c r="G29" s="103">
        <f>'[12]未収金（サロン利用者負担）'!$AJ$37</f>
        <v>21602</v>
      </c>
      <c r="H29" s="103">
        <f>'[12]未収金（サロン食費）'!$AJ$37</f>
        <v>31500</v>
      </c>
    </row>
    <row r="30" spans="1:11" ht="14.25" x14ac:dyDescent="0.15">
      <c r="A30" s="61" t="s">
        <v>96</v>
      </c>
      <c r="B30" s="71">
        <v>464750</v>
      </c>
      <c r="C30" s="15"/>
      <c r="D30" s="12"/>
    </row>
    <row r="31" spans="1:11" ht="14.25" x14ac:dyDescent="0.15">
      <c r="A31" s="61" t="s">
        <v>38</v>
      </c>
      <c r="B31" s="7"/>
      <c r="C31" s="77">
        <v>40809609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44213471</v>
      </c>
      <c r="C34" s="5"/>
      <c r="D34" s="12"/>
      <c r="E34" t="s">
        <v>146</v>
      </c>
      <c r="F34" s="105">
        <f>'[13]建物（ほっと本体）'!$AJ$5</f>
        <v>225002</v>
      </c>
      <c r="G34" s="105">
        <f>'[13]建物（ほっと2階）'!$AJ$5</f>
        <v>159976</v>
      </c>
      <c r="H34" s="105">
        <f>'[13]建物（新庄）'!$AJ$5</f>
        <v>14958933</v>
      </c>
      <c r="I34" s="105">
        <f>'[13]建物（ゆけむり）'!$AJ$5</f>
        <v>22564101</v>
      </c>
      <c r="J34" s="105">
        <f>'[13]建物（ほっと浴室）'!$AJ$5</f>
        <v>3600857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106">
        <f>'[13]附属建物（厨房）'!$AJ$5</f>
        <v>1</v>
      </c>
      <c r="G35" s="106">
        <f>'[13]附属建物（浴室）'!$AJ$5</f>
        <v>1</v>
      </c>
      <c r="H35" s="106">
        <f>'[13]附属建物（便所）'!$AJ$5</f>
        <v>1</v>
      </c>
      <c r="I35" s="106">
        <f>'[13]附属建物（廊下）'!$AJ$5</f>
        <v>1</v>
      </c>
      <c r="J35" s="106">
        <f>'[13]附属設備（電気設備その他）'!$AJ$5</f>
        <v>82438</v>
      </c>
      <c r="K35" s="106">
        <f>'[13]附属設備（給排水衛生設備）'!$AJ$5</f>
        <v>94536</v>
      </c>
      <c r="L35" s="106">
        <f>'[13]附属設備（消火排煙設備）'!$AJ$5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106">
        <f>'[13]附属設備（新庄電気設備）'!$AJ$5</f>
        <v>365715</v>
      </c>
      <c r="G36" s="106">
        <f>'[13]附属設備（新庄給排水設備）'!$AJ$5</f>
        <v>446005</v>
      </c>
      <c r="H36" s="106">
        <f>'[13]附属設備（電気設備）'!$AJ$5</f>
        <v>1028074</v>
      </c>
      <c r="I36" s="106">
        <f>'[13]附属設備（給排水設備）'!$AJ$5</f>
        <v>529605</v>
      </c>
      <c r="J36" s="106">
        <f>'[13]附属設備（新庄浴槽改装ガス給湯設備）'!$AJ$6</f>
        <v>513845</v>
      </c>
      <c r="K36" s="106">
        <f>'[13]附属設備（ほっと浴室移設電気工事）'!$AJ$5</f>
        <v>851136</v>
      </c>
      <c r="L36" s="106">
        <f>'[13]附属設備（ほっと浴室移設給排水設備）'!$AJ$5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107">
        <f>'[13]構築物（舗装工事）'!$AJ$5</f>
        <v>1</v>
      </c>
      <c r="G37" s="107">
        <f>'[13]構築物（ゆけむり）'!$AJ$5</f>
        <v>358351</v>
      </c>
      <c r="H37" s="107">
        <f>'[13]構築物（新庄駐車場舗装）'!$AJ$5</f>
        <v>821220</v>
      </c>
    </row>
    <row r="38" spans="1:12" ht="14.25" x14ac:dyDescent="0.15">
      <c r="A38" s="55" t="s">
        <v>40</v>
      </c>
      <c r="B38" s="71">
        <v>2556592</v>
      </c>
      <c r="C38" s="5"/>
      <c r="D38" s="12"/>
      <c r="E38" t="s">
        <v>149</v>
      </c>
      <c r="F38" s="108">
        <f>'[13]器具備品（新庄玄関エアコン）'!$AJ$5</f>
        <v>31800</v>
      </c>
      <c r="G38" s="108">
        <f>'[13]器具備品（新庄事務室エアコン）'!$AJ$5</f>
        <v>173084</v>
      </c>
    </row>
    <row r="39" spans="1:12" ht="14.25" x14ac:dyDescent="0.15">
      <c r="A39" s="55" t="s">
        <v>41</v>
      </c>
      <c r="B39" s="88">
        <v>110600</v>
      </c>
      <c r="C39" s="5"/>
      <c r="D39" s="12"/>
      <c r="E39" t="s">
        <v>150</v>
      </c>
      <c r="F39" s="94">
        <f>'[13]車両（タウンボックス）'!$AJ$5</f>
        <v>1</v>
      </c>
      <c r="G39" s="94">
        <f>'[13]車両（はとバン）'!$AJ$5</f>
        <v>1</v>
      </c>
      <c r="H39" s="94">
        <f>'[13]車両（ノア）'!$AJ$5</f>
        <v>1</v>
      </c>
      <c r="I39" s="94">
        <f>'[13]車両（セレナ）'!$AJ$5</f>
        <v>1</v>
      </c>
      <c r="J39" s="94">
        <f>'[13]車両（アトレー１）'!$AJ$5</f>
        <v>1</v>
      </c>
      <c r="K39" s="94">
        <f>'[13]車両（アトレー４）'!$AJ$5</f>
        <v>2078860</v>
      </c>
      <c r="L39" s="94">
        <f>'[13]車両（キャラ３）'!$AJ$5</f>
        <v>0</v>
      </c>
    </row>
    <row r="40" spans="1:12" ht="14.25" x14ac:dyDescent="0.15">
      <c r="A40" s="55" t="s">
        <v>42</v>
      </c>
      <c r="B40" s="88">
        <v>50000</v>
      </c>
      <c r="C40" s="11"/>
      <c r="D40" s="12"/>
      <c r="F40" s="94">
        <f>'[13]車両（フリード２）'!$AJ$5</f>
        <v>477725</v>
      </c>
      <c r="G40" s="94">
        <f>'[13]車両（セブン２）'!$AJ$5</f>
        <v>1</v>
      </c>
      <c r="H40" s="94">
        <f>'[13]車両（EK３）'!$AJ$5</f>
        <v>1</v>
      </c>
    </row>
    <row r="41" spans="1:12" ht="14.25" x14ac:dyDescent="0.15">
      <c r="A41" s="55" t="s">
        <v>66</v>
      </c>
      <c r="B41" s="88"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v>53508120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v>94317729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88">
        <v>1422674</v>
      </c>
      <c r="C48" s="5"/>
      <c r="D48" s="78"/>
    </row>
    <row r="49" spans="1:7" ht="14.25" x14ac:dyDescent="0.15">
      <c r="A49" s="55" t="s">
        <v>33</v>
      </c>
      <c r="B49" s="71">
        <v>4000000</v>
      </c>
      <c r="C49" s="5"/>
      <c r="D49" s="12"/>
    </row>
    <row r="50" spans="1:7" ht="6.75" customHeight="1" x14ac:dyDescent="0.15">
      <c r="A50" s="59"/>
      <c r="B50" s="79"/>
      <c r="C50" s="11"/>
      <c r="D50" s="12"/>
    </row>
    <row r="51" spans="1:7" ht="14.25" x14ac:dyDescent="0.15">
      <c r="A51" s="55" t="s">
        <v>31</v>
      </c>
      <c r="B51" s="80"/>
      <c r="C51" s="37">
        <v>5422674</v>
      </c>
      <c r="D51" s="23"/>
      <c r="E51" t="s">
        <v>108</v>
      </c>
    </row>
    <row r="52" spans="1:7" ht="11.25" customHeight="1" x14ac:dyDescent="0.15">
      <c r="A52" s="3"/>
      <c r="B52" s="14"/>
      <c r="C52" s="34"/>
      <c r="D52" s="25"/>
    </row>
    <row r="53" spans="1:7" ht="14.25" x14ac:dyDescent="0.15">
      <c r="A53" s="55" t="s">
        <v>22</v>
      </c>
      <c r="B53" s="19"/>
      <c r="C53" s="81"/>
      <c r="D53" s="23"/>
    </row>
    <row r="54" spans="1:7" ht="14.25" x14ac:dyDescent="0.15">
      <c r="A54" s="55" t="s">
        <v>30</v>
      </c>
      <c r="B54" s="88">
        <v>19521000</v>
      </c>
      <c r="C54" s="11"/>
      <c r="D54" s="25"/>
    </row>
    <row r="55" spans="1:7" ht="14.25" x14ac:dyDescent="0.15">
      <c r="A55" s="9"/>
      <c r="B55" s="19"/>
      <c r="C55" s="11"/>
      <c r="D55" s="25"/>
      <c r="G55" t="s">
        <v>108</v>
      </c>
    </row>
    <row r="56" spans="1:7" ht="14.25" x14ac:dyDescent="0.15">
      <c r="A56" s="61" t="s">
        <v>29</v>
      </c>
      <c r="B56" s="10"/>
      <c r="C56" s="37">
        <v>19521000</v>
      </c>
      <c r="D56" s="23"/>
    </row>
    <row r="57" spans="1:7" ht="6.75" customHeight="1" x14ac:dyDescent="0.15">
      <c r="A57" s="3"/>
      <c r="B57" s="19"/>
      <c r="C57" s="11"/>
      <c r="D57" s="23"/>
    </row>
    <row r="58" spans="1:7" ht="14.25" x14ac:dyDescent="0.15">
      <c r="A58" s="58" t="s">
        <v>24</v>
      </c>
      <c r="B58" s="40"/>
      <c r="C58" s="40"/>
      <c r="D58" s="38">
        <v>24943674</v>
      </c>
    </row>
    <row r="59" spans="1:7" ht="11.25" customHeight="1" x14ac:dyDescent="0.15">
      <c r="A59" s="3"/>
      <c r="B59" s="19"/>
      <c r="C59" s="11"/>
      <c r="D59" s="23"/>
    </row>
    <row r="60" spans="1:7" ht="14.25" x14ac:dyDescent="0.15">
      <c r="A60" s="55" t="s">
        <v>3</v>
      </c>
      <c r="B60" s="30"/>
      <c r="C60" s="35"/>
      <c r="D60" s="31"/>
    </row>
    <row r="61" spans="1:7" ht="15" customHeight="1" x14ac:dyDescent="0.15">
      <c r="A61" s="55" t="s">
        <v>27</v>
      </c>
      <c r="B61" s="10"/>
      <c r="C61" s="39"/>
      <c r="D61" s="39">
        <v>0</v>
      </c>
    </row>
    <row r="62" spans="1:7" ht="15.75" customHeight="1" x14ac:dyDescent="0.15">
      <c r="A62" s="55" t="s">
        <v>28</v>
      </c>
      <c r="B62" s="47"/>
      <c r="C62" s="9"/>
      <c r="D62" s="43">
        <v>69374055</v>
      </c>
      <c r="F62" s="100" t="s">
        <v>124</v>
      </c>
    </row>
    <row r="63" spans="1:7" ht="15.75" customHeight="1" x14ac:dyDescent="0.15">
      <c r="A63" s="59" t="s">
        <v>11</v>
      </c>
      <c r="B63" s="9"/>
      <c r="D63" s="70">
        <v>-2770938</v>
      </c>
      <c r="F63" s="92">
        <f>D63-[10]令和６年度!$P$74</f>
        <v>1999112</v>
      </c>
    </row>
    <row r="64" spans="1:7" ht="16.5" customHeight="1" x14ac:dyDescent="0.15">
      <c r="A64" s="55" t="s">
        <v>26</v>
      </c>
      <c r="B64" s="22"/>
      <c r="C64" s="48"/>
      <c r="D64" s="44">
        <v>69374055</v>
      </c>
      <c r="F64" s="91"/>
    </row>
    <row r="65" spans="1:6" ht="14.25" x14ac:dyDescent="0.15">
      <c r="A65" s="55" t="s">
        <v>25</v>
      </c>
      <c r="B65" s="22"/>
      <c r="C65" s="9"/>
      <c r="D65" s="69">
        <v>94317729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833D1-FE16-4515-90A3-1A4AF6A8F61C}">
  <dimension ref="A1:G104"/>
  <sheetViews>
    <sheetView zoomScaleNormal="100" workbookViewId="0">
      <selection activeCell="D58" sqref="D58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</cols>
  <sheetData>
    <row r="1" spans="1:7" ht="17.25" x14ac:dyDescent="0.2">
      <c r="A1" s="1" t="s">
        <v>77</v>
      </c>
      <c r="B1" s="1"/>
    </row>
    <row r="2" spans="1:7" ht="17.25" customHeight="1" x14ac:dyDescent="0.15">
      <c r="A2" s="111" t="s">
        <v>78</v>
      </c>
      <c r="B2" s="111"/>
      <c r="C2" s="111"/>
      <c r="D2" s="111"/>
    </row>
    <row r="3" spans="1:7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7" ht="15" customHeight="1" x14ac:dyDescent="0.15">
      <c r="C4" s="115" t="s">
        <v>49</v>
      </c>
      <c r="D4" s="115"/>
      <c r="F4" s="46"/>
    </row>
    <row r="5" spans="1:7" ht="17.25" x14ac:dyDescent="0.2">
      <c r="A5" s="56" t="s">
        <v>5</v>
      </c>
      <c r="B5" s="50"/>
      <c r="C5" s="49" t="s">
        <v>4</v>
      </c>
      <c r="D5" s="49"/>
    </row>
    <row r="6" spans="1:7" ht="14.25" x14ac:dyDescent="0.15">
      <c r="A6" s="55" t="s">
        <v>2</v>
      </c>
      <c r="B6" s="24"/>
      <c r="C6" s="4"/>
      <c r="D6" s="28"/>
    </row>
    <row r="7" spans="1:7" ht="14.25" x14ac:dyDescent="0.15">
      <c r="A7" s="55" t="s">
        <v>19</v>
      </c>
      <c r="B7" s="14"/>
      <c r="C7" s="5"/>
      <c r="D7" s="12"/>
    </row>
    <row r="8" spans="1:7" ht="14.25" x14ac:dyDescent="0.15">
      <c r="A8" s="55" t="s">
        <v>34</v>
      </c>
      <c r="B8" s="51">
        <v>2445</v>
      </c>
      <c r="C8" s="5"/>
      <c r="D8" s="12"/>
    </row>
    <row r="9" spans="1:7" ht="14.25" x14ac:dyDescent="0.15">
      <c r="A9" s="55" t="s">
        <v>35</v>
      </c>
      <c r="B9" s="27">
        <f>SUM(B10:B14)</f>
        <v>13182155</v>
      </c>
      <c r="C9" s="5"/>
      <c r="D9" s="12"/>
    </row>
    <row r="10" spans="1:7" ht="14.25" x14ac:dyDescent="0.15">
      <c r="A10" s="53" t="s">
        <v>13</v>
      </c>
      <c r="B10" s="67">
        <f>9693969+7146+5994+322954+332202+161653</f>
        <v>10523918</v>
      </c>
      <c r="C10" s="5"/>
      <c r="D10" s="23"/>
    </row>
    <row r="11" spans="1:7" ht="14.25" x14ac:dyDescent="0.15">
      <c r="A11" s="54" t="s">
        <v>12</v>
      </c>
      <c r="B11" s="67">
        <f>204404+655105+114327</f>
        <v>973836</v>
      </c>
      <c r="C11" s="5"/>
      <c r="D11" s="23"/>
    </row>
    <row r="12" spans="1:7" ht="14.25" x14ac:dyDescent="0.15">
      <c r="A12" s="53" t="s">
        <v>45</v>
      </c>
      <c r="B12" s="32">
        <v>780751</v>
      </c>
      <c r="C12" s="5"/>
      <c r="D12" s="23"/>
    </row>
    <row r="13" spans="1:7" ht="14.25" x14ac:dyDescent="0.15">
      <c r="A13" s="53" t="s">
        <v>44</v>
      </c>
      <c r="B13" s="41">
        <v>396272</v>
      </c>
      <c r="C13" s="5"/>
      <c r="D13" s="12"/>
    </row>
    <row r="14" spans="1:7" ht="14.25" x14ac:dyDescent="0.15">
      <c r="A14" s="53" t="s">
        <v>46</v>
      </c>
      <c r="B14" s="41">
        <v>507378</v>
      </c>
      <c r="C14" s="5"/>
      <c r="D14" s="12"/>
    </row>
    <row r="15" spans="1:7" ht="14.25" x14ac:dyDescent="0.15">
      <c r="A15" s="55" t="s">
        <v>36</v>
      </c>
      <c r="B15" s="27">
        <f>SUM(B16:B24)</f>
        <v>31364063</v>
      </c>
      <c r="C15" s="6"/>
      <c r="D15" s="12"/>
    </row>
    <row r="16" spans="1:7" ht="14.25" x14ac:dyDescent="0.15">
      <c r="A16" s="54" t="s">
        <v>14</v>
      </c>
      <c r="B16" s="32">
        <f>40500+5474960</f>
        <v>5515460</v>
      </c>
      <c r="C16" s="11"/>
      <c r="D16" s="12"/>
    </row>
    <row r="17" spans="1:4" ht="14.25" x14ac:dyDescent="0.15">
      <c r="A17" s="54" t="s">
        <v>15</v>
      </c>
      <c r="B17" s="67">
        <f>13356728+1471029+731800</f>
        <v>15559557</v>
      </c>
      <c r="C17" s="5"/>
      <c r="D17" s="12"/>
    </row>
    <row r="18" spans="1:4" ht="14.25" x14ac:dyDescent="0.15">
      <c r="A18" s="53" t="s">
        <v>58</v>
      </c>
      <c r="B18" s="32">
        <f>3929094+697011+141600</f>
        <v>4767705</v>
      </c>
      <c r="C18" s="11"/>
      <c r="D18" s="12"/>
    </row>
    <row r="19" spans="1:4" ht="14.25" x14ac:dyDescent="0.15">
      <c r="A19" s="54" t="s">
        <v>16</v>
      </c>
      <c r="B19" s="67">
        <f>1905114+119702+137300</f>
        <v>2162116</v>
      </c>
      <c r="C19" s="5"/>
      <c r="D19" s="12"/>
    </row>
    <row r="20" spans="1:4" ht="14.25" x14ac:dyDescent="0.15">
      <c r="A20" s="54" t="s">
        <v>67</v>
      </c>
      <c r="B20" s="67">
        <f>877808+111781</f>
        <v>989589</v>
      </c>
      <c r="C20" s="5"/>
      <c r="D20" s="12"/>
    </row>
    <row r="21" spans="1:4" ht="14.25" x14ac:dyDescent="0.15">
      <c r="A21" s="54" t="s">
        <v>72</v>
      </c>
      <c r="B21" s="67">
        <v>16800</v>
      </c>
      <c r="C21" s="5"/>
      <c r="D21" s="12"/>
    </row>
    <row r="22" spans="1:4" ht="14.25" x14ac:dyDescent="0.15">
      <c r="A22" s="54" t="s">
        <v>17</v>
      </c>
      <c r="B22" s="32">
        <v>1339836</v>
      </c>
      <c r="C22" s="5"/>
      <c r="D22" s="12"/>
    </row>
    <row r="23" spans="1:4" ht="14.25" x14ac:dyDescent="0.15">
      <c r="A23" s="54" t="s">
        <v>71</v>
      </c>
      <c r="B23" s="41">
        <v>33000</v>
      </c>
      <c r="C23" s="5"/>
      <c r="D23" s="12"/>
    </row>
    <row r="24" spans="1:4" ht="14.25" x14ac:dyDescent="0.15">
      <c r="A24" s="54" t="s">
        <v>79</v>
      </c>
      <c r="B24" s="41">
        <v>980000</v>
      </c>
      <c r="C24" s="5"/>
      <c r="D24" s="12"/>
    </row>
    <row r="25" spans="1:4" ht="14.25" x14ac:dyDescent="0.15">
      <c r="A25" s="55" t="s">
        <v>37</v>
      </c>
      <c r="B25" s="27">
        <v>568819</v>
      </c>
      <c r="C25" s="15" t="s">
        <v>0</v>
      </c>
      <c r="D25" s="12"/>
    </row>
    <row r="26" spans="1:4" ht="14.25" x14ac:dyDescent="0.15">
      <c r="A26" s="61" t="s">
        <v>38</v>
      </c>
      <c r="B26" s="7"/>
      <c r="C26" s="36">
        <f>B8+B9+B15+B25</f>
        <v>45117482</v>
      </c>
      <c r="D26" s="12"/>
    </row>
    <row r="27" spans="1:4" ht="11.25" customHeight="1" x14ac:dyDescent="0.15">
      <c r="A27" s="11"/>
      <c r="B27" s="14"/>
      <c r="C27" s="5"/>
      <c r="D27" s="29" t="s">
        <v>0</v>
      </c>
    </row>
    <row r="28" spans="1:4" ht="14.25" x14ac:dyDescent="0.15">
      <c r="A28" s="55" t="s">
        <v>20</v>
      </c>
      <c r="B28" s="26" t="s">
        <v>0</v>
      </c>
      <c r="C28" s="5"/>
      <c r="D28" s="25"/>
    </row>
    <row r="29" spans="1:4" ht="14.25" x14ac:dyDescent="0.15">
      <c r="A29" s="55" t="s">
        <v>39</v>
      </c>
      <c r="B29" s="27">
        <f>1258500+1038285+22570185+27423807</f>
        <v>52290777</v>
      </c>
      <c r="C29" s="5"/>
      <c r="D29" s="12"/>
    </row>
    <row r="30" spans="1:4" ht="14.25" x14ac:dyDescent="0.15">
      <c r="A30" s="55" t="s">
        <v>54</v>
      </c>
      <c r="B30" s="27">
        <f>76003+43502+44101+50401+163739+187768+19412+958064+1168400+2156324+1110812+909657</f>
        <v>6888183</v>
      </c>
      <c r="C30" s="5"/>
      <c r="D30" s="12"/>
    </row>
    <row r="31" spans="1:4" ht="14.25" x14ac:dyDescent="0.15">
      <c r="A31" s="55" t="s">
        <v>55</v>
      </c>
      <c r="B31" s="27">
        <f>49269+845568+1556926</f>
        <v>2451763</v>
      </c>
      <c r="C31" s="5"/>
      <c r="D31" s="12"/>
    </row>
    <row r="32" spans="1:4" ht="14.25" x14ac:dyDescent="0.15">
      <c r="A32" s="55" t="s">
        <v>75</v>
      </c>
      <c r="B32" s="27">
        <v>258292</v>
      </c>
      <c r="C32" s="5"/>
      <c r="D32" s="12"/>
    </row>
    <row r="33" spans="1:4" ht="14.25" x14ac:dyDescent="0.15">
      <c r="A33" s="55" t="s">
        <v>40</v>
      </c>
      <c r="B33" s="27">
        <f>1+21994+880537+1+1+1+1+1+1+1995116</f>
        <v>2897654</v>
      </c>
      <c r="C33" s="5"/>
      <c r="D33" s="12"/>
    </row>
    <row r="34" spans="1:4" ht="14.25" x14ac:dyDescent="0.15">
      <c r="A34" s="55" t="s">
        <v>41</v>
      </c>
      <c r="B34" s="27">
        <v>110600</v>
      </c>
      <c r="C34" s="5"/>
      <c r="D34" s="12"/>
    </row>
    <row r="35" spans="1:4" ht="14.25" x14ac:dyDescent="0.15">
      <c r="A35" s="55" t="s">
        <v>42</v>
      </c>
      <c r="B35" s="27">
        <v>50000</v>
      </c>
      <c r="C35" s="11"/>
      <c r="D35" s="12"/>
    </row>
    <row r="36" spans="1:4" ht="14.25" x14ac:dyDescent="0.15">
      <c r="A36" s="55" t="s">
        <v>66</v>
      </c>
      <c r="B36" s="27">
        <v>59900</v>
      </c>
      <c r="C36" s="6"/>
      <c r="D36" s="12"/>
    </row>
    <row r="37" spans="1:4" ht="14.25" x14ac:dyDescent="0.15">
      <c r="A37" s="61" t="s">
        <v>43</v>
      </c>
      <c r="B37" s="8"/>
      <c r="C37" s="37">
        <f>SUM(B29:B36)</f>
        <v>65007169</v>
      </c>
      <c r="D37" s="12"/>
    </row>
    <row r="38" spans="1:4" ht="14.25" x14ac:dyDescent="0.15">
      <c r="A38" s="11"/>
      <c r="B38" s="19"/>
      <c r="C38" s="5"/>
      <c r="D38" s="12"/>
    </row>
    <row r="39" spans="1:4" ht="14.25" x14ac:dyDescent="0.15">
      <c r="A39" s="58" t="s">
        <v>23</v>
      </c>
      <c r="B39" s="8"/>
      <c r="C39" s="10"/>
      <c r="D39" s="38">
        <f>C26+C37</f>
        <v>110124651</v>
      </c>
    </row>
    <row r="40" spans="1:4" ht="11.25" customHeight="1" x14ac:dyDescent="0.15">
      <c r="A40" s="9"/>
      <c r="B40" s="62"/>
      <c r="C40" s="62"/>
      <c r="D40" s="62"/>
    </row>
    <row r="41" spans="1:4" ht="14.25" x14ac:dyDescent="0.15">
      <c r="A41" s="60" t="s">
        <v>18</v>
      </c>
      <c r="B41" s="26"/>
      <c r="C41" s="5"/>
      <c r="D41" s="12"/>
    </row>
    <row r="42" spans="1:4" ht="14.25" x14ac:dyDescent="0.15">
      <c r="A42" s="55" t="s">
        <v>21</v>
      </c>
      <c r="B42" s="26"/>
      <c r="C42" s="5"/>
      <c r="D42" s="23"/>
    </row>
    <row r="43" spans="1:4" ht="14.25" x14ac:dyDescent="0.15">
      <c r="A43" s="55" t="s">
        <v>32</v>
      </c>
      <c r="B43" s="27">
        <v>524875</v>
      </c>
      <c r="C43" s="5"/>
      <c r="D43" s="29"/>
    </row>
    <row r="44" spans="1:4" ht="14.25" x14ac:dyDescent="0.15">
      <c r="A44" s="55" t="s">
        <v>33</v>
      </c>
      <c r="B44" s="27">
        <v>5000000</v>
      </c>
      <c r="C44" s="5"/>
      <c r="D44" s="12"/>
    </row>
    <row r="45" spans="1:4" ht="14.25" x14ac:dyDescent="0.15">
      <c r="A45" s="59"/>
      <c r="B45" s="26"/>
      <c r="C45" s="11"/>
      <c r="D45" s="12"/>
    </row>
    <row r="46" spans="1:4" ht="14.25" x14ac:dyDescent="0.15">
      <c r="A46" s="55" t="s">
        <v>31</v>
      </c>
      <c r="B46" s="8"/>
      <c r="C46" s="37">
        <f>B43+B44</f>
        <v>5524875</v>
      </c>
      <c r="D46" s="23"/>
    </row>
    <row r="47" spans="1:4" ht="11.25" customHeight="1" x14ac:dyDescent="0.15">
      <c r="A47" s="3"/>
      <c r="B47" s="14"/>
      <c r="C47" s="34"/>
      <c r="D47" s="25"/>
    </row>
    <row r="48" spans="1:4" ht="14.25" x14ac:dyDescent="0.15">
      <c r="A48" s="55" t="s">
        <v>22</v>
      </c>
      <c r="B48" s="19"/>
      <c r="C48" s="33"/>
      <c r="D48" s="23"/>
    </row>
    <row r="49" spans="1:4" ht="14.25" x14ac:dyDescent="0.15">
      <c r="A49" s="55" t="s">
        <v>30</v>
      </c>
      <c r="B49" s="27">
        <f>6000000+6886000</f>
        <v>12886000</v>
      </c>
      <c r="C49" s="11"/>
      <c r="D49" s="25"/>
    </row>
    <row r="50" spans="1:4" ht="14.25" x14ac:dyDescent="0.15">
      <c r="A50" s="9"/>
      <c r="B50" s="19"/>
      <c r="C50" s="11"/>
      <c r="D50" s="25"/>
    </row>
    <row r="51" spans="1:4" ht="14.25" x14ac:dyDescent="0.15">
      <c r="A51" s="61" t="s">
        <v>29</v>
      </c>
      <c r="B51" s="10"/>
      <c r="C51" s="37">
        <f>B49</f>
        <v>12886000</v>
      </c>
      <c r="D51" s="23"/>
    </row>
    <row r="52" spans="1:4" ht="14.25" x14ac:dyDescent="0.15">
      <c r="A52" s="3"/>
      <c r="B52" s="19"/>
      <c r="C52" s="11"/>
      <c r="D52" s="23"/>
    </row>
    <row r="53" spans="1:4" ht="14.25" x14ac:dyDescent="0.15">
      <c r="A53" s="58" t="s">
        <v>24</v>
      </c>
      <c r="B53" s="40"/>
      <c r="C53" s="40"/>
      <c r="D53" s="38">
        <f>C46+C51</f>
        <v>18410875</v>
      </c>
    </row>
    <row r="54" spans="1:4" ht="11.25" customHeight="1" x14ac:dyDescent="0.15">
      <c r="A54" s="3"/>
      <c r="B54" s="19"/>
      <c r="C54" s="11"/>
      <c r="D54" s="23"/>
    </row>
    <row r="55" spans="1:4" ht="14.25" x14ac:dyDescent="0.15">
      <c r="A55" s="55" t="s">
        <v>3</v>
      </c>
      <c r="B55" s="30"/>
      <c r="C55" s="35"/>
      <c r="D55" s="31"/>
    </row>
    <row r="56" spans="1:4" ht="15" customHeight="1" x14ac:dyDescent="0.15">
      <c r="A56" s="55" t="s">
        <v>27</v>
      </c>
      <c r="B56" s="10"/>
      <c r="C56" s="39"/>
      <c r="D56" s="39">
        <v>0</v>
      </c>
    </row>
    <row r="57" spans="1:4" ht="15.75" customHeight="1" x14ac:dyDescent="0.15">
      <c r="A57" s="55" t="s">
        <v>28</v>
      </c>
      <c r="B57" s="47"/>
      <c r="C57" s="9"/>
      <c r="D57" s="43">
        <f>D39-D53</f>
        <v>91713776</v>
      </c>
    </row>
    <row r="58" spans="1:4" ht="15.75" customHeight="1" x14ac:dyDescent="0.15">
      <c r="A58" s="59" t="s">
        <v>11</v>
      </c>
      <c r="B58" s="9"/>
      <c r="D58" s="42">
        <f>D57-'28.3月'!D56</f>
        <v>947523</v>
      </c>
    </row>
    <row r="59" spans="1:4" ht="16.5" customHeight="1" x14ac:dyDescent="0.15">
      <c r="A59" s="55" t="s">
        <v>26</v>
      </c>
      <c r="B59" s="22"/>
      <c r="C59" s="48"/>
      <c r="D59" s="44">
        <f>D57</f>
        <v>91713776</v>
      </c>
    </row>
    <row r="60" spans="1:4" ht="14.25" x14ac:dyDescent="0.15">
      <c r="A60" s="55" t="s">
        <v>25</v>
      </c>
      <c r="B60" s="22"/>
      <c r="C60" s="9"/>
      <c r="D60" s="69">
        <f>D53+D59</f>
        <v>110124651</v>
      </c>
    </row>
    <row r="61" spans="1:4" x14ac:dyDescent="0.15">
      <c r="B61" s="2"/>
      <c r="D61" s="68"/>
    </row>
    <row r="62" spans="1:4" ht="12.75" customHeight="1" x14ac:dyDescent="0.2">
      <c r="A62" s="1"/>
    </row>
    <row r="63" spans="1:4" x14ac:dyDescent="0.15">
      <c r="A63" s="45"/>
      <c r="B63" s="45"/>
      <c r="D63" s="68"/>
    </row>
    <row r="64" spans="1:4" x14ac:dyDescent="0.15">
      <c r="C64" s="52"/>
      <c r="D64" s="45"/>
    </row>
    <row r="66" spans="1:4" x14ac:dyDescent="0.15">
      <c r="C66" s="52"/>
    </row>
    <row r="68" spans="1:4" ht="13.5" customHeight="1" x14ac:dyDescent="0.2">
      <c r="A68" s="21"/>
    </row>
    <row r="69" spans="1:4" ht="14.25" x14ac:dyDescent="0.15">
      <c r="A69" s="17"/>
    </row>
    <row r="70" spans="1:4" ht="14.25" x14ac:dyDescent="0.15">
      <c r="A70" s="17"/>
    </row>
    <row r="71" spans="1:4" ht="14.25" x14ac:dyDescent="0.15">
      <c r="A71" s="17"/>
    </row>
    <row r="72" spans="1:4" ht="14.25" x14ac:dyDescent="0.15">
      <c r="A72" s="17"/>
      <c r="B72" s="13"/>
      <c r="C72" s="17"/>
      <c r="D72" s="17"/>
    </row>
    <row r="73" spans="1:4" ht="14.25" x14ac:dyDescent="0.15">
      <c r="A73" s="17"/>
      <c r="B73" s="13"/>
      <c r="C73" s="17"/>
      <c r="D73" s="17"/>
    </row>
    <row r="74" spans="1:4" ht="14.25" x14ac:dyDescent="0.15">
      <c r="A74" s="17"/>
      <c r="B74" s="20"/>
      <c r="C74" s="17"/>
      <c r="D74" s="17"/>
    </row>
    <row r="75" spans="1:4" ht="14.25" x14ac:dyDescent="0.15">
      <c r="A75" s="17"/>
      <c r="B75" s="13"/>
      <c r="C75" s="17"/>
      <c r="D75" s="17"/>
    </row>
    <row r="76" spans="1:4" ht="14.25" x14ac:dyDescent="0.15">
      <c r="A76" s="17"/>
      <c r="B76" s="13"/>
      <c r="C76" s="13"/>
      <c r="D76" s="17"/>
    </row>
    <row r="77" spans="1:4" ht="14.25" x14ac:dyDescent="0.15">
      <c r="B77" s="17"/>
      <c r="C77" s="18"/>
      <c r="D77" s="17"/>
    </row>
    <row r="78" spans="1:4" ht="14.25" x14ac:dyDescent="0.15">
      <c r="A78" s="17"/>
      <c r="B78" s="17"/>
      <c r="C78" s="18"/>
      <c r="D78" s="17"/>
    </row>
    <row r="79" spans="1:4" ht="14.25" x14ac:dyDescent="0.15">
      <c r="C79" s="17"/>
      <c r="D79" s="17"/>
    </row>
    <row r="80" spans="1:4" ht="14.25" x14ac:dyDescent="0.15">
      <c r="A80" s="17"/>
      <c r="C80" s="17"/>
      <c r="D80" s="17"/>
    </row>
    <row r="81" spans="1:4" ht="14.25" x14ac:dyDescent="0.15">
      <c r="A81" s="17"/>
      <c r="B81" s="20"/>
      <c r="C81" s="18"/>
      <c r="D81" s="17"/>
    </row>
    <row r="82" spans="1:4" ht="14.25" x14ac:dyDescent="0.15">
      <c r="A82" s="17"/>
      <c r="B82" s="13"/>
      <c r="D82" s="17"/>
    </row>
    <row r="83" spans="1:4" ht="14.25" x14ac:dyDescent="0.15">
      <c r="B83" s="17"/>
      <c r="C83" s="17"/>
      <c r="D83" s="13"/>
    </row>
    <row r="84" spans="1:4" ht="14.25" x14ac:dyDescent="0.15">
      <c r="A84" s="17"/>
      <c r="B84" s="13"/>
      <c r="C84" s="13"/>
      <c r="D84" s="18"/>
    </row>
    <row r="85" spans="1:4" ht="14.25" x14ac:dyDescent="0.15">
      <c r="B85" s="13"/>
      <c r="C85" s="17"/>
      <c r="D85" s="17"/>
    </row>
    <row r="86" spans="1:4" ht="14.25" x14ac:dyDescent="0.15">
      <c r="A86" s="17"/>
      <c r="B86" s="13"/>
      <c r="C86" s="17"/>
      <c r="D86" s="18"/>
    </row>
    <row r="87" spans="1:4" ht="14.25" x14ac:dyDescent="0.15">
      <c r="C87" s="17"/>
      <c r="D87" s="17"/>
    </row>
    <row r="88" spans="1:4" ht="14.25" x14ac:dyDescent="0.15">
      <c r="A88" s="17"/>
      <c r="C88" s="17"/>
      <c r="D88" s="17"/>
    </row>
    <row r="89" spans="1:4" ht="14.25" x14ac:dyDescent="0.15">
      <c r="A89" s="17"/>
      <c r="B89" s="13"/>
      <c r="D89" s="17"/>
    </row>
    <row r="90" spans="1:4" ht="14.25" x14ac:dyDescent="0.15">
      <c r="A90" s="17"/>
      <c r="B90" s="13"/>
      <c r="D90" s="17"/>
    </row>
    <row r="91" spans="1:4" ht="14.25" x14ac:dyDescent="0.15">
      <c r="A91" s="17"/>
      <c r="B91" s="13"/>
      <c r="C91" s="17"/>
      <c r="D91" s="17"/>
    </row>
    <row r="92" spans="1:4" ht="14.25" x14ac:dyDescent="0.15">
      <c r="A92" s="17"/>
      <c r="C92" s="13"/>
      <c r="D92" s="17"/>
    </row>
    <row r="93" spans="1:4" ht="14.25" x14ac:dyDescent="0.15">
      <c r="A93" s="17"/>
      <c r="B93" s="13"/>
      <c r="D93" s="17"/>
    </row>
    <row r="94" spans="1:4" ht="14.25" x14ac:dyDescent="0.15">
      <c r="A94" s="17"/>
      <c r="B94" s="13"/>
      <c r="C94" s="17"/>
      <c r="D94" s="17"/>
    </row>
    <row r="95" spans="1:4" ht="14.25" x14ac:dyDescent="0.15">
      <c r="A95" s="17"/>
      <c r="B95" s="13"/>
      <c r="C95" s="17"/>
    </row>
    <row r="96" spans="1:4" ht="14.25" x14ac:dyDescent="0.15">
      <c r="A96" s="17"/>
      <c r="B96" s="13"/>
      <c r="C96" s="17"/>
    </row>
    <row r="97" spans="1:4" ht="14.25" x14ac:dyDescent="0.15">
      <c r="A97" s="17"/>
      <c r="B97" s="13"/>
      <c r="C97" s="17"/>
      <c r="D97" s="17"/>
    </row>
    <row r="98" spans="1:4" ht="14.25" x14ac:dyDescent="0.15">
      <c r="A98" s="17"/>
      <c r="B98" s="13"/>
      <c r="D98" s="13"/>
    </row>
    <row r="99" spans="1:4" ht="14.25" x14ac:dyDescent="0.15">
      <c r="A99" s="17"/>
      <c r="B99" s="13"/>
      <c r="C99" s="17"/>
    </row>
    <row r="100" spans="1:4" ht="14.25" x14ac:dyDescent="0.15">
      <c r="A100" s="17"/>
      <c r="B100" s="17"/>
      <c r="D100" s="18"/>
    </row>
    <row r="101" spans="1:4" ht="14.25" x14ac:dyDescent="0.15">
      <c r="A101" s="17"/>
    </row>
    <row r="102" spans="1:4" ht="14.25" x14ac:dyDescent="0.15">
      <c r="A102" s="17" t="s">
        <v>0</v>
      </c>
      <c r="C102" s="18" t="s">
        <v>0</v>
      </c>
      <c r="D102" s="18" t="s">
        <v>0</v>
      </c>
    </row>
    <row r="103" spans="1:4" x14ac:dyDescent="0.15">
      <c r="A103" t="s">
        <v>0</v>
      </c>
    </row>
    <row r="104" spans="1:4" ht="14.25" x14ac:dyDescent="0.15">
      <c r="A104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39370078740157483" bottom="0.19685039370078741" header="0.51181102362204722" footer="0.51181102362204722"/>
  <pageSetup paperSize="9" orientation="portrait" horizontalDpi="4294967293" verticalDpi="4294967293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0E84-699B-4C4F-96F9-A963A16B4770}">
  <sheetPr>
    <pageSetUpPr fitToPage="1"/>
  </sheetPr>
  <dimension ref="A1:L109"/>
  <sheetViews>
    <sheetView zoomScaleNormal="100" workbookViewId="0">
      <selection activeCell="B54" sqref="B54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194</v>
      </c>
      <c r="B1" s="122"/>
      <c r="C1" s="122"/>
      <c r="D1" s="122"/>
    </row>
    <row r="2" spans="1:11" ht="17.25" customHeight="1" x14ac:dyDescent="0.15">
      <c r="A2" s="116" t="s">
        <v>200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14643861</v>
      </c>
      <c r="C9" s="5"/>
      <c r="D9" s="12"/>
      <c r="F9" s="101">
        <f>'[11]0138359'!$AJ$37</f>
        <v>4981376</v>
      </c>
      <c r="G9" s="101">
        <f>'[11]0138642（居宅）'!$AJ$37</f>
        <v>154091</v>
      </c>
      <c r="H9" s="101">
        <f>'[11]0138655（通所）'!$AJ$37</f>
        <v>5711</v>
      </c>
      <c r="I9" s="101">
        <f>'[11]0156560（新庄）'!$AJ$37</f>
        <v>99191</v>
      </c>
      <c r="J9" s="101">
        <f>'[11]0158313（ゆけむり）'!$AJ$37</f>
        <v>50444</v>
      </c>
      <c r="K9" s="101">
        <f>'[11]0139101（ちゃれんじ）'!$AJ$37</f>
        <v>583296</v>
      </c>
    </row>
    <row r="10" spans="1:11" ht="14.25" x14ac:dyDescent="0.15">
      <c r="A10" s="53" t="s">
        <v>102</v>
      </c>
      <c r="B10" s="73">
        <v>4367497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7082581</v>
      </c>
      <c r="C11" s="5"/>
      <c r="D11" s="23"/>
      <c r="F11" s="101">
        <f>'[11]2253865（助け合い）'!$AJ$37</f>
        <v>222641</v>
      </c>
      <c r="G11" s="102">
        <f>'[11]2253871（通所）'!$AJ$37</f>
        <v>484375</v>
      </c>
      <c r="H11" s="103">
        <f>'[11]2254321（ミニ）'!$AJ$37</f>
        <v>6886188</v>
      </c>
    </row>
    <row r="12" spans="1:11" ht="14.25" x14ac:dyDescent="0.15">
      <c r="A12" s="53" t="s">
        <v>128</v>
      </c>
      <c r="B12" s="74">
        <v>1403405</v>
      </c>
      <c r="C12" s="5"/>
      <c r="D12" s="23"/>
    </row>
    <row r="13" spans="1:11" ht="14.25" x14ac:dyDescent="0.15">
      <c r="A13" s="53" t="s">
        <v>129</v>
      </c>
      <c r="B13" s="75">
        <v>1543831</v>
      </c>
      <c r="C13" s="5"/>
      <c r="D13" s="12"/>
      <c r="E13" s="93" t="s">
        <v>142</v>
      </c>
      <c r="F13" s="104">
        <f>[11]JA0034628!$AJ$37</f>
        <v>568938</v>
      </c>
      <c r="G13" s="93" t="s">
        <v>143</v>
      </c>
      <c r="H13" s="104">
        <f>[11]ゆうちょ6473091!$AJ$37</f>
        <v>173053</v>
      </c>
      <c r="I13" s="93" t="s">
        <v>144</v>
      </c>
      <c r="J13" s="104">
        <f>[11]しま信0116975!$AJ$37</f>
        <v>289801</v>
      </c>
    </row>
    <row r="14" spans="1:11" ht="14.25" x14ac:dyDescent="0.15">
      <c r="A14" s="53" t="s">
        <v>130</v>
      </c>
      <c r="B14" s="75">
        <v>246547</v>
      </c>
      <c r="C14" s="5"/>
      <c r="D14" s="12"/>
    </row>
    <row r="15" spans="1:11" ht="14.25" x14ac:dyDescent="0.15">
      <c r="A15" s="55" t="s">
        <v>36</v>
      </c>
      <c r="B15" s="71">
        <v>24526497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5170860</v>
      </c>
      <c r="C16" s="11"/>
      <c r="D16" s="12"/>
      <c r="E16" t="s">
        <v>112</v>
      </c>
      <c r="F16" s="103">
        <f>'[12]未収金（認定調査委託料）'!$AJ$37</f>
        <v>9240</v>
      </c>
      <c r="G16" s="103">
        <f>'[12]未収金（居宅支援介護報酬）'!$AJ$37</f>
        <v>5110490</v>
      </c>
      <c r="H16" s="83"/>
    </row>
    <row r="17" spans="1:11" ht="14.25" x14ac:dyDescent="0.15">
      <c r="A17" s="54" t="s">
        <v>15</v>
      </c>
      <c r="B17" s="73">
        <v>13292904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14257</v>
      </c>
      <c r="C18" s="11"/>
      <c r="D18" s="12"/>
      <c r="E18" t="s">
        <v>115</v>
      </c>
      <c r="F18" s="103">
        <f>'[12]未収金（通所保険請求）'!$AJ$37</f>
        <v>11757712</v>
      </c>
      <c r="G18" s="103">
        <f>'[12]未収金（通所利用者負担）'!$AJ$37</f>
        <v>1233924</v>
      </c>
      <c r="H18" s="103">
        <f>'[12]未収金（通所食費）'!$AJ$37</f>
        <v>733900</v>
      </c>
    </row>
    <row r="19" spans="1:11" ht="14.25" x14ac:dyDescent="0.15">
      <c r="A19" s="54" t="s">
        <v>16</v>
      </c>
      <c r="B19" s="73">
        <v>1640555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1306053</v>
      </c>
      <c r="C20" s="5"/>
      <c r="D20" s="12"/>
      <c r="E20" t="s">
        <v>119</v>
      </c>
      <c r="F20" s="103">
        <f>'[12]未収金（ゆけむり保険請求）'!$AJ$37</f>
        <v>0</v>
      </c>
      <c r="G20" s="103">
        <f>'[12]未収金（ゆけむり利用者負担）'!$AJ$37</f>
        <v>14257</v>
      </c>
      <c r="H20" s="103">
        <f>'[12]未収金（ゆけむり食費）'!$AJ$37</f>
        <v>0</v>
      </c>
    </row>
    <row r="21" spans="1:11" ht="14.25" x14ac:dyDescent="0.15">
      <c r="A21" s="54" t="s">
        <v>167</v>
      </c>
      <c r="B21" s="73">
        <v>3289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192</v>
      </c>
      <c r="B22" s="73">
        <v>541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73">
        <v>11000</v>
      </c>
      <c r="C23" s="5"/>
      <c r="D23" s="12"/>
      <c r="E23" t="s">
        <v>120</v>
      </c>
      <c r="F23" s="103">
        <f>'[12]未収金（予防通所保険請求）'!$AJ$37</f>
        <v>1344043</v>
      </c>
      <c r="G23" s="103">
        <f>'[12]未収金（予防通所利用者負担）'!$AJ$37</f>
        <v>78798</v>
      </c>
      <c r="H23" s="103">
        <f>'[12]未収金（予防通所食費）'!$AJ$37</f>
        <v>104300</v>
      </c>
    </row>
    <row r="24" spans="1:11" ht="14.25" x14ac:dyDescent="0.15">
      <c r="A24" s="54" t="s">
        <v>81</v>
      </c>
      <c r="B24" s="73">
        <v>360518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73">
        <v>49000</v>
      </c>
      <c r="C25" s="5"/>
      <c r="D25" s="12"/>
      <c r="E25" t="s">
        <v>121</v>
      </c>
      <c r="F25" s="103">
        <f>'[12]未収金（処遇改善保険請求）'!$AJ$37</f>
        <v>1210522</v>
      </c>
      <c r="G25" s="103">
        <f>'[12]未収金（処遇改善利用者負担）'!$AJ$37</f>
        <v>116787</v>
      </c>
      <c r="H25" s="83"/>
      <c r="I25" s="99" t="s">
        <v>169</v>
      </c>
      <c r="J25" s="104">
        <f>'[12]未収金（ベースアップ加算保険請求）'!$AJ$37</f>
        <v>198</v>
      </c>
      <c r="K25" s="104">
        <f>'[12]未収金（ベースアップ加算利用者負担）'!$AJ$37</f>
        <v>343</v>
      </c>
    </row>
    <row r="26" spans="1:11" ht="14.25" x14ac:dyDescent="0.15">
      <c r="A26" s="54" t="s">
        <v>17</v>
      </c>
      <c r="B26" s="74">
        <v>2663200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75">
        <v>14320</v>
      </c>
      <c r="C27" s="5"/>
      <c r="D27" s="12"/>
      <c r="E27" t="s">
        <v>122</v>
      </c>
      <c r="F27" s="103">
        <f>'[12]未収金（特定処遇改善保険請求）'!$AJ$37</f>
        <v>0</v>
      </c>
      <c r="G27" s="103">
        <f>'[12]未収金（特定処遇改善利用者負担）'!$AJ$37</f>
        <v>3289</v>
      </c>
      <c r="H27" s="83"/>
    </row>
    <row r="28" spans="1:11" ht="14.25" x14ac:dyDescent="0.15">
      <c r="A28" s="54" t="s">
        <v>79</v>
      </c>
      <c r="B28" s="73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71">
        <v>1090058</v>
      </c>
      <c r="C29" s="15" t="s">
        <v>0</v>
      </c>
      <c r="D29" s="12"/>
      <c r="E29" t="s">
        <v>123</v>
      </c>
      <c r="F29" s="103">
        <f>'[12]未収金（サロン保険請求）'!$AJ$37</f>
        <v>316516</v>
      </c>
      <c r="G29" s="103">
        <f>'[12]未収金（サロン利用者負担）'!$AJ$37</f>
        <v>21602</v>
      </c>
      <c r="H29" s="103">
        <f>'[12]未収金（サロン食費）'!$AJ$37</f>
        <v>31500</v>
      </c>
    </row>
    <row r="30" spans="1:11" ht="14.25" x14ac:dyDescent="0.15">
      <c r="A30" s="61" t="s">
        <v>96</v>
      </c>
      <c r="B30" s="71">
        <v>464750</v>
      </c>
      <c r="C30" s="15"/>
      <c r="D30" s="12"/>
    </row>
    <row r="31" spans="1:11" ht="14.25" x14ac:dyDescent="0.15">
      <c r="A31" s="61" t="s">
        <v>38</v>
      </c>
      <c r="B31" s="7"/>
      <c r="C31" s="77">
        <v>40727551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44213471</v>
      </c>
      <c r="C34" s="5"/>
      <c r="D34" s="12"/>
      <c r="E34" t="s">
        <v>146</v>
      </c>
      <c r="F34" s="105">
        <f>'[13]建物（ほっと本体）'!$AJ$5</f>
        <v>225002</v>
      </c>
      <c r="G34" s="105">
        <f>'[13]建物（ほっと2階）'!$AJ$5</f>
        <v>159976</v>
      </c>
      <c r="H34" s="105">
        <f>'[13]建物（新庄）'!$AJ$5</f>
        <v>14958933</v>
      </c>
      <c r="I34" s="105">
        <f>'[13]建物（ゆけむり）'!$AJ$5</f>
        <v>22564101</v>
      </c>
      <c r="J34" s="105">
        <f>'[13]建物（ほっと浴室）'!$AJ$5</f>
        <v>3600857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106">
        <f>'[13]附属建物（厨房）'!$AJ$5</f>
        <v>1</v>
      </c>
      <c r="G35" s="106">
        <f>'[13]附属建物（浴室）'!$AJ$5</f>
        <v>1</v>
      </c>
      <c r="H35" s="106">
        <f>'[13]附属建物（便所）'!$AJ$5</f>
        <v>1</v>
      </c>
      <c r="I35" s="106">
        <f>'[13]附属建物（廊下）'!$AJ$5</f>
        <v>1</v>
      </c>
      <c r="J35" s="106">
        <f>'[13]附属設備（電気設備その他）'!$AJ$5</f>
        <v>82438</v>
      </c>
      <c r="K35" s="106">
        <f>'[13]附属設備（給排水衛生設備）'!$AJ$5</f>
        <v>94536</v>
      </c>
      <c r="L35" s="106">
        <f>'[13]附属設備（消火排煙設備）'!$AJ$5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106">
        <f>'[13]附属設備（新庄電気設備）'!$AJ$5</f>
        <v>365715</v>
      </c>
      <c r="G36" s="106">
        <f>'[13]附属設備（新庄給排水設備）'!$AJ$5</f>
        <v>446005</v>
      </c>
      <c r="H36" s="106">
        <f>'[13]附属設備（電気設備）'!$AJ$5</f>
        <v>1028074</v>
      </c>
      <c r="I36" s="106">
        <f>'[13]附属設備（給排水設備）'!$AJ$5</f>
        <v>529605</v>
      </c>
      <c r="J36" s="106">
        <f>'[13]附属設備（新庄浴槽改装ガス給湯設備）'!$AJ$6</f>
        <v>513845</v>
      </c>
      <c r="K36" s="106">
        <f>'[13]附属設備（ほっと浴室移設電気工事）'!$AJ$5</f>
        <v>851136</v>
      </c>
      <c r="L36" s="106">
        <f>'[13]附属設備（ほっと浴室移設給排水設備）'!$AJ$5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107">
        <f>'[13]構築物（舗装工事）'!$AJ$5</f>
        <v>1</v>
      </c>
      <c r="G37" s="107">
        <f>'[13]構築物（ゆけむり）'!$AJ$5</f>
        <v>358351</v>
      </c>
      <c r="H37" s="107">
        <f>'[13]構築物（新庄駐車場舗装）'!$AJ$5</f>
        <v>821220</v>
      </c>
    </row>
    <row r="38" spans="1:12" ht="14.25" x14ac:dyDescent="0.15">
      <c r="A38" s="55" t="s">
        <v>40</v>
      </c>
      <c r="B38" s="71">
        <v>2556592</v>
      </c>
      <c r="C38" s="5"/>
      <c r="D38" s="12"/>
      <c r="E38" t="s">
        <v>149</v>
      </c>
      <c r="F38" s="108">
        <f>'[13]器具備品（新庄玄関エアコン）'!$AJ$5</f>
        <v>31800</v>
      </c>
      <c r="G38" s="108">
        <f>'[13]器具備品（新庄事務室エアコン）'!$AJ$5</f>
        <v>173084</v>
      </c>
    </row>
    <row r="39" spans="1:12" ht="14.25" x14ac:dyDescent="0.15">
      <c r="A39" s="55" t="s">
        <v>41</v>
      </c>
      <c r="B39" s="71">
        <v>110600</v>
      </c>
      <c r="C39" s="5"/>
      <c r="D39" s="12"/>
      <c r="E39" t="s">
        <v>150</v>
      </c>
      <c r="F39" s="94">
        <f>'[13]車両（タウンボックス）'!$AJ$5</f>
        <v>1</v>
      </c>
      <c r="G39" s="94">
        <f>'[13]車両（はとバン）'!$AJ$5</f>
        <v>1</v>
      </c>
      <c r="H39" s="94">
        <f>'[13]車両（ノア）'!$AJ$5</f>
        <v>1</v>
      </c>
      <c r="I39" s="94">
        <f>'[13]車両（セレナ）'!$AJ$5</f>
        <v>1</v>
      </c>
      <c r="J39" s="94">
        <f>'[13]車両（アトレー１）'!$AJ$5</f>
        <v>1</v>
      </c>
      <c r="K39" s="94">
        <f>'[13]車両（アトレー４）'!$AJ$5</f>
        <v>2078860</v>
      </c>
      <c r="L39" s="94">
        <f>'[13]車両（キャラ３）'!$AJ$5</f>
        <v>0</v>
      </c>
    </row>
    <row r="40" spans="1:12" ht="14.25" x14ac:dyDescent="0.15">
      <c r="A40" s="55" t="s">
        <v>42</v>
      </c>
      <c r="B40" s="71">
        <v>50000</v>
      </c>
      <c r="C40" s="11"/>
      <c r="D40" s="12"/>
      <c r="F40" s="94">
        <f>'[13]車両（フリード２）'!$AJ$5</f>
        <v>477725</v>
      </c>
      <c r="G40" s="94">
        <f>'[13]車両（セブン２）'!$AJ$5</f>
        <v>1</v>
      </c>
      <c r="H40" s="94">
        <f>'[13]車両（EK３）'!$AJ$5</f>
        <v>1</v>
      </c>
    </row>
    <row r="41" spans="1:12" ht="14.25" x14ac:dyDescent="0.15">
      <c r="A41" s="55" t="s">
        <v>66</v>
      </c>
      <c r="B41" s="71"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v>53508120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v>94235671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71">
        <v>1608743</v>
      </c>
      <c r="C48" s="5"/>
      <c r="D48" s="78"/>
    </row>
    <row r="49" spans="1:7" ht="14.25" x14ac:dyDescent="0.15">
      <c r="A49" s="55" t="s">
        <v>33</v>
      </c>
      <c r="B49" s="71">
        <v>4000000</v>
      </c>
      <c r="C49" s="5"/>
      <c r="D49" s="12"/>
    </row>
    <row r="50" spans="1:7" ht="6.75" customHeight="1" x14ac:dyDescent="0.15">
      <c r="A50" s="59"/>
      <c r="B50" s="79"/>
      <c r="C50" s="11"/>
      <c r="D50" s="12"/>
    </row>
    <row r="51" spans="1:7" ht="14.25" x14ac:dyDescent="0.15">
      <c r="A51" s="55" t="s">
        <v>31</v>
      </c>
      <c r="B51" s="80"/>
      <c r="C51" s="37">
        <v>5608743</v>
      </c>
      <c r="D51" s="23"/>
      <c r="E51" t="s">
        <v>108</v>
      </c>
    </row>
    <row r="52" spans="1:7" ht="11.25" customHeight="1" x14ac:dyDescent="0.15">
      <c r="A52" s="3"/>
      <c r="B52" s="14"/>
      <c r="C52" s="34"/>
      <c r="D52" s="25"/>
    </row>
    <row r="53" spans="1:7" ht="14.25" x14ac:dyDescent="0.15">
      <c r="A53" s="55" t="s">
        <v>22</v>
      </c>
      <c r="B53" s="19"/>
      <c r="C53" s="81"/>
      <c r="D53" s="23"/>
    </row>
    <row r="54" spans="1:7" ht="14.25" x14ac:dyDescent="0.15">
      <c r="A54" s="55" t="s">
        <v>30</v>
      </c>
      <c r="B54" s="71">
        <v>19200000</v>
      </c>
      <c r="C54" s="11"/>
      <c r="D54" s="25"/>
    </row>
    <row r="55" spans="1:7" ht="14.25" x14ac:dyDescent="0.15">
      <c r="A55" s="9"/>
      <c r="B55" s="19"/>
      <c r="C55" s="11"/>
      <c r="D55" s="25"/>
      <c r="G55" t="s">
        <v>108</v>
      </c>
    </row>
    <row r="56" spans="1:7" ht="14.25" x14ac:dyDescent="0.15">
      <c r="A56" s="61" t="s">
        <v>29</v>
      </c>
      <c r="B56" s="10"/>
      <c r="C56" s="37">
        <v>19200000</v>
      </c>
      <c r="D56" s="23"/>
    </row>
    <row r="57" spans="1:7" ht="6.75" customHeight="1" x14ac:dyDescent="0.15">
      <c r="A57" s="3"/>
      <c r="B57" s="19"/>
      <c r="C57" s="11"/>
      <c r="D57" s="23"/>
    </row>
    <row r="58" spans="1:7" ht="14.25" x14ac:dyDescent="0.15">
      <c r="A58" s="58" t="s">
        <v>24</v>
      </c>
      <c r="B58" s="40"/>
      <c r="C58" s="40"/>
      <c r="D58" s="38">
        <v>24808743</v>
      </c>
    </row>
    <row r="59" spans="1:7" ht="11.25" customHeight="1" x14ac:dyDescent="0.15">
      <c r="A59" s="3"/>
      <c r="B59" s="19"/>
      <c r="C59" s="11"/>
      <c r="D59" s="23"/>
    </row>
    <row r="60" spans="1:7" ht="14.25" x14ac:dyDescent="0.15">
      <c r="A60" s="55" t="s">
        <v>3</v>
      </c>
      <c r="B60" s="30"/>
      <c r="C60" s="35"/>
      <c r="D60" s="31"/>
    </row>
    <row r="61" spans="1:7" ht="15" customHeight="1" x14ac:dyDescent="0.15">
      <c r="A61" s="55" t="s">
        <v>27</v>
      </c>
      <c r="B61" s="10"/>
      <c r="C61" s="39"/>
      <c r="D61" s="39">
        <v>0</v>
      </c>
    </row>
    <row r="62" spans="1:7" ht="15.75" customHeight="1" x14ac:dyDescent="0.15">
      <c r="A62" s="55" t="s">
        <v>28</v>
      </c>
      <c r="B62" s="47"/>
      <c r="C62" s="9"/>
      <c r="D62" s="43">
        <v>69426928</v>
      </c>
      <c r="F62" s="100" t="s">
        <v>124</v>
      </c>
    </row>
    <row r="63" spans="1:7" ht="15.75" customHeight="1" x14ac:dyDescent="0.15">
      <c r="A63" s="59" t="s">
        <v>11</v>
      </c>
      <c r="B63" s="9"/>
      <c r="D63" s="70">
        <v>-2718065</v>
      </c>
      <c r="F63" s="92">
        <f>D63-[10]令和６年度!$P$74</f>
        <v>2051985</v>
      </c>
    </row>
    <row r="64" spans="1:7" ht="16.5" customHeight="1" x14ac:dyDescent="0.15">
      <c r="A64" s="55" t="s">
        <v>26</v>
      </c>
      <c r="B64" s="22"/>
      <c r="C64" s="48"/>
      <c r="D64" s="44">
        <v>69426928</v>
      </c>
      <c r="F64" s="91"/>
    </row>
    <row r="65" spans="1:6" ht="14.25" x14ac:dyDescent="0.15">
      <c r="A65" s="55" t="s">
        <v>25</v>
      </c>
      <c r="B65" s="22"/>
      <c r="C65" s="9"/>
      <c r="D65" s="69">
        <v>94235671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84FC3-F27C-4336-8FCC-86DC3016875A}">
  <sheetPr>
    <tabColor rgb="FFFF0000"/>
    <pageSetUpPr fitToPage="1"/>
  </sheetPr>
  <dimension ref="A1:L109"/>
  <sheetViews>
    <sheetView tabSelected="1" zoomScaleNormal="100" workbookViewId="0">
      <selection activeCell="A3" sqref="A3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194</v>
      </c>
      <c r="B1" s="122"/>
      <c r="C1" s="122"/>
      <c r="D1" s="122"/>
    </row>
    <row r="2" spans="1:11" ht="17.25" customHeight="1" x14ac:dyDescent="0.15">
      <c r="A2" s="116" t="s">
        <v>201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14499105</v>
      </c>
      <c r="C9" s="5"/>
      <c r="D9" s="12"/>
      <c r="F9" s="101">
        <f>'[11]0138359'!$AJ$37</f>
        <v>4981376</v>
      </c>
      <c r="G9" s="101">
        <f>'[11]0138642（居宅）'!$AJ$37</f>
        <v>154091</v>
      </c>
      <c r="H9" s="101">
        <f>'[11]0138655（通所）'!$AJ$37</f>
        <v>5711</v>
      </c>
      <c r="I9" s="101">
        <f>'[11]0156560（新庄）'!$AJ$37</f>
        <v>99191</v>
      </c>
      <c r="J9" s="101">
        <f>'[11]0158313（ゆけむり）'!$AJ$37</f>
        <v>50444</v>
      </c>
      <c r="K9" s="101">
        <f>'[11]0139101（ちゃれんじ）'!$AJ$37</f>
        <v>583296</v>
      </c>
    </row>
    <row r="10" spans="1:11" ht="14.25" x14ac:dyDescent="0.15">
      <c r="A10" s="53" t="s">
        <v>102</v>
      </c>
      <c r="B10" s="73">
        <v>5874109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7593204</v>
      </c>
      <c r="C11" s="5"/>
      <c r="D11" s="23"/>
      <c r="F11" s="101">
        <f>'[11]2253865（助け合い）'!$AJ$37</f>
        <v>222641</v>
      </c>
      <c r="G11" s="102">
        <f>'[11]2253871（通所）'!$AJ$37</f>
        <v>484375</v>
      </c>
      <c r="H11" s="103">
        <f>'[11]2254321（ミニ）'!$AJ$37</f>
        <v>6886188</v>
      </c>
    </row>
    <row r="12" spans="1:11" ht="14.25" x14ac:dyDescent="0.15">
      <c r="A12" s="53" t="s">
        <v>128</v>
      </c>
      <c r="B12" s="74">
        <v>568938</v>
      </c>
      <c r="C12" s="5"/>
      <c r="D12" s="23"/>
    </row>
    <row r="13" spans="1:11" ht="14.25" x14ac:dyDescent="0.15">
      <c r="A13" s="53" t="s">
        <v>129</v>
      </c>
      <c r="B13" s="75">
        <v>173053</v>
      </c>
      <c r="C13" s="5"/>
      <c r="D13" s="12"/>
      <c r="E13" s="93" t="s">
        <v>142</v>
      </c>
      <c r="F13" s="104">
        <f>[11]JA0034628!$AJ$37</f>
        <v>568938</v>
      </c>
      <c r="G13" s="93" t="s">
        <v>143</v>
      </c>
      <c r="H13" s="104">
        <f>[11]ゆうちょ6473091!$AJ$37</f>
        <v>173053</v>
      </c>
      <c r="I13" s="93" t="s">
        <v>144</v>
      </c>
      <c r="J13" s="104">
        <f>[11]しま信0116975!$AJ$37</f>
        <v>289801</v>
      </c>
    </row>
    <row r="14" spans="1:11" ht="14.25" x14ac:dyDescent="0.15">
      <c r="A14" s="53" t="s">
        <v>130</v>
      </c>
      <c r="B14" s="75">
        <v>289801</v>
      </c>
      <c r="C14" s="5"/>
      <c r="D14" s="12"/>
    </row>
    <row r="15" spans="1:11" ht="14.25" x14ac:dyDescent="0.15">
      <c r="A15" s="55" t="s">
        <v>36</v>
      </c>
      <c r="B15" s="71">
        <v>23947421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5119730</v>
      </c>
      <c r="C16" s="11"/>
      <c r="D16" s="12"/>
      <c r="E16" t="s">
        <v>112</v>
      </c>
      <c r="F16" s="103">
        <f>'[12]未収金（認定調査委託料）'!$AJ$37</f>
        <v>9240</v>
      </c>
      <c r="G16" s="103">
        <f>'[12]未収金（居宅支援介護報酬）'!$AJ$37</f>
        <v>5110490</v>
      </c>
      <c r="H16" s="83"/>
    </row>
    <row r="17" spans="1:11" ht="14.25" x14ac:dyDescent="0.15">
      <c r="A17" s="54" t="s">
        <v>15</v>
      </c>
      <c r="B17" s="73">
        <v>13725536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14257</v>
      </c>
      <c r="C18" s="11"/>
      <c r="D18" s="12"/>
      <c r="E18" t="s">
        <v>115</v>
      </c>
      <c r="F18" s="103">
        <f>'[12]未収金（通所保険請求）'!$AJ$37</f>
        <v>11757712</v>
      </c>
      <c r="G18" s="103">
        <f>'[12]未収金（通所利用者負担）'!$AJ$37</f>
        <v>1233924</v>
      </c>
      <c r="H18" s="103">
        <f>'[12]未収金（通所食費）'!$AJ$37</f>
        <v>733900</v>
      </c>
    </row>
    <row r="19" spans="1:11" ht="14.25" x14ac:dyDescent="0.15">
      <c r="A19" s="54" t="s">
        <v>16</v>
      </c>
      <c r="B19" s="73">
        <v>1527141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1327309</v>
      </c>
      <c r="C20" s="5"/>
      <c r="D20" s="12"/>
      <c r="E20" t="s">
        <v>119</v>
      </c>
      <c r="F20" s="103">
        <f>'[12]未収金（ゆけむり保険請求）'!$AJ$37</f>
        <v>0</v>
      </c>
      <c r="G20" s="103">
        <f>'[12]未収金（ゆけむり利用者負担）'!$AJ$37</f>
        <v>14257</v>
      </c>
      <c r="H20" s="103">
        <f>'[12]未収金（ゆけむり食費）'!$AJ$37</f>
        <v>0</v>
      </c>
    </row>
    <row r="21" spans="1:11" ht="14.25" x14ac:dyDescent="0.15">
      <c r="A21" s="54" t="s">
        <v>167</v>
      </c>
      <c r="B21" s="73">
        <v>3289</v>
      </c>
      <c r="C21" s="5"/>
      <c r="D21" s="12"/>
      <c r="F21" s="83" t="s">
        <v>116</v>
      </c>
      <c r="G21" s="83" t="s">
        <v>117</v>
      </c>
      <c r="H21" s="83" t="s">
        <v>118</v>
      </c>
    </row>
    <row r="22" spans="1:11" ht="14.25" x14ac:dyDescent="0.15">
      <c r="A22" s="54" t="s">
        <v>192</v>
      </c>
      <c r="B22" s="73">
        <v>541</v>
      </c>
      <c r="C22" s="5"/>
      <c r="D22" s="12"/>
      <c r="F22" s="83"/>
      <c r="G22" s="83"/>
      <c r="H22" s="83"/>
    </row>
    <row r="23" spans="1:11" ht="14.25" x14ac:dyDescent="0.15">
      <c r="A23" s="54" t="s">
        <v>72</v>
      </c>
      <c r="B23" s="73">
        <v>23600</v>
      </c>
      <c r="C23" s="5"/>
      <c r="D23" s="12"/>
      <c r="E23" t="s">
        <v>120</v>
      </c>
      <c r="F23" s="103">
        <f>'[12]未収金（予防通所保険請求）'!$AJ$37</f>
        <v>1344043</v>
      </c>
      <c r="G23" s="103">
        <f>'[12]未収金（予防通所利用者負担）'!$AJ$37</f>
        <v>78798</v>
      </c>
      <c r="H23" s="103">
        <f>'[12]未収金（予防通所食費）'!$AJ$37</f>
        <v>104300</v>
      </c>
    </row>
    <row r="24" spans="1:11" ht="14.25" x14ac:dyDescent="0.15">
      <c r="A24" s="54" t="s">
        <v>81</v>
      </c>
      <c r="B24" s="73">
        <v>369618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73">
        <v>72800</v>
      </c>
      <c r="C25" s="5"/>
      <c r="D25" s="12"/>
      <c r="E25" t="s">
        <v>121</v>
      </c>
      <c r="F25" s="103">
        <f>'[12]未収金（処遇改善保険請求）'!$AJ$37</f>
        <v>1210522</v>
      </c>
      <c r="G25" s="103">
        <f>'[12]未収金（処遇改善利用者負担）'!$AJ$37</f>
        <v>116787</v>
      </c>
      <c r="H25" s="83"/>
      <c r="I25" s="99" t="s">
        <v>169</v>
      </c>
      <c r="J25" s="104">
        <f>'[12]未収金（ベースアップ加算保険請求）'!$AJ$37</f>
        <v>198</v>
      </c>
      <c r="K25" s="104">
        <f>'[12]未収金（ベースアップ加算利用者負担）'!$AJ$37</f>
        <v>343</v>
      </c>
    </row>
    <row r="26" spans="1:11" ht="14.25" x14ac:dyDescent="0.15">
      <c r="A26" s="54" t="s">
        <v>17</v>
      </c>
      <c r="B26" s="74">
        <v>1737100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75">
        <v>26500</v>
      </c>
      <c r="C27" s="5"/>
      <c r="D27" s="12"/>
      <c r="E27" t="s">
        <v>122</v>
      </c>
      <c r="F27" s="103">
        <f>'[12]未収金（特定処遇改善保険請求）'!$AJ$37</f>
        <v>0</v>
      </c>
      <c r="G27" s="103">
        <f>'[12]未収金（特定処遇改善利用者負担）'!$AJ$37</f>
        <v>3289</v>
      </c>
      <c r="H27" s="83"/>
    </row>
    <row r="28" spans="1:11" ht="14.25" x14ac:dyDescent="0.15">
      <c r="A28" s="54" t="s">
        <v>79</v>
      </c>
      <c r="B28" s="73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71">
        <v>1279291</v>
      </c>
      <c r="C29" s="15" t="s">
        <v>0</v>
      </c>
      <c r="D29" s="12"/>
      <c r="E29" t="s">
        <v>123</v>
      </c>
      <c r="F29" s="103">
        <f>'[12]未収金（サロン保険請求）'!$AJ$37</f>
        <v>316516</v>
      </c>
      <c r="G29" s="103">
        <f>'[12]未収金（サロン利用者負担）'!$AJ$37</f>
        <v>21602</v>
      </c>
      <c r="H29" s="103">
        <f>'[12]未収金（サロン食費）'!$AJ$37</f>
        <v>31500</v>
      </c>
    </row>
    <row r="30" spans="1:11" ht="14.25" x14ac:dyDescent="0.15">
      <c r="A30" s="61" t="s">
        <v>96</v>
      </c>
      <c r="B30" s="71">
        <v>393250</v>
      </c>
      <c r="C30" s="15"/>
      <c r="D30" s="12"/>
    </row>
    <row r="31" spans="1:11" ht="14.25" x14ac:dyDescent="0.15">
      <c r="A31" s="61" t="s">
        <v>38</v>
      </c>
      <c r="B31" s="7"/>
      <c r="C31" s="77">
        <v>40121452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41508869</v>
      </c>
      <c r="C34" s="5"/>
      <c r="D34" s="12"/>
      <c r="E34" t="s">
        <v>146</v>
      </c>
      <c r="F34" s="105">
        <f>'[13]建物（ほっと本体）'!$AJ$5</f>
        <v>225002</v>
      </c>
      <c r="G34" s="105">
        <f>'[13]建物（ほっと2階）'!$AJ$5</f>
        <v>159976</v>
      </c>
      <c r="H34" s="105">
        <f>'[13]建物（新庄）'!$AJ$5</f>
        <v>14958933</v>
      </c>
      <c r="I34" s="105">
        <f>'[13]建物（ゆけむり）'!$AJ$5</f>
        <v>22564101</v>
      </c>
      <c r="J34" s="105">
        <f>'[13]建物（ほっと浴室）'!$AJ$5</f>
        <v>3600857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106">
        <f>'[13]附属建物（厨房）'!$AJ$5</f>
        <v>1</v>
      </c>
      <c r="G35" s="106">
        <f>'[13]附属建物（浴室）'!$AJ$5</f>
        <v>1</v>
      </c>
      <c r="H35" s="106">
        <f>'[13]附属建物（便所）'!$AJ$5</f>
        <v>1</v>
      </c>
      <c r="I35" s="106">
        <f>'[13]附属建物（廊下）'!$AJ$5</f>
        <v>1</v>
      </c>
      <c r="J35" s="106">
        <f>'[13]附属設備（電気設備その他）'!$AJ$5</f>
        <v>82438</v>
      </c>
      <c r="K35" s="106">
        <f>'[13]附属設備（給排水衛生設備）'!$AJ$5</f>
        <v>94536</v>
      </c>
      <c r="L35" s="106">
        <f>'[13]附属設備（消火排煙設備）'!$AJ$5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106">
        <f>'[13]附属設備（新庄電気設備）'!$AJ$5</f>
        <v>365715</v>
      </c>
      <c r="G36" s="106">
        <f>'[13]附属設備（新庄給排水設備）'!$AJ$5</f>
        <v>446005</v>
      </c>
      <c r="H36" s="106">
        <f>'[13]附属設備（電気設備）'!$AJ$5</f>
        <v>1028074</v>
      </c>
      <c r="I36" s="106">
        <f>'[13]附属設備（給排水設備）'!$AJ$5</f>
        <v>529605</v>
      </c>
      <c r="J36" s="106">
        <f>'[13]附属設備（新庄浴槽改装ガス給湯設備）'!$AJ$6</f>
        <v>513845</v>
      </c>
      <c r="K36" s="106">
        <f>'[13]附属設備（ほっと浴室移設電気工事）'!$AJ$5</f>
        <v>851136</v>
      </c>
      <c r="L36" s="106">
        <f>'[13]附属設備（ほっと浴室移設給排水設備）'!$AJ$5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107">
        <f>'[13]構築物（舗装工事）'!$AJ$5</f>
        <v>1</v>
      </c>
      <c r="G37" s="107">
        <f>'[13]構築物（ゆけむり）'!$AJ$5</f>
        <v>358351</v>
      </c>
      <c r="H37" s="107">
        <f>'[13]構築物（新庄駐車場舗装）'!$AJ$5</f>
        <v>821220</v>
      </c>
    </row>
    <row r="38" spans="1:12" ht="14.25" x14ac:dyDescent="0.15">
      <c r="A38" s="55" t="s">
        <v>40</v>
      </c>
      <c r="B38" s="71">
        <v>2556592</v>
      </c>
      <c r="C38" s="5"/>
      <c r="D38" s="12"/>
      <c r="E38" t="s">
        <v>149</v>
      </c>
      <c r="F38" s="108">
        <f>'[13]器具備品（新庄玄関エアコン）'!$AJ$5</f>
        <v>31800</v>
      </c>
      <c r="G38" s="108">
        <f>'[13]器具備品（新庄事務室エアコン）'!$AJ$5</f>
        <v>173084</v>
      </c>
    </row>
    <row r="39" spans="1:12" ht="14.25" x14ac:dyDescent="0.15">
      <c r="A39" s="55" t="s">
        <v>41</v>
      </c>
      <c r="B39" s="71">
        <v>110600</v>
      </c>
      <c r="C39" s="5"/>
      <c r="D39" s="12"/>
      <c r="E39" t="s">
        <v>150</v>
      </c>
      <c r="F39" s="94">
        <f>'[13]車両（タウンボックス）'!$AJ$5</f>
        <v>1</v>
      </c>
      <c r="G39" s="94">
        <f>'[13]車両（はとバン）'!$AJ$5</f>
        <v>1</v>
      </c>
      <c r="H39" s="94">
        <f>'[13]車両（ノア）'!$AJ$5</f>
        <v>1</v>
      </c>
      <c r="I39" s="94">
        <f>'[13]車両（セレナ）'!$AJ$5</f>
        <v>1</v>
      </c>
      <c r="J39" s="94">
        <f>'[13]車両（アトレー１）'!$AJ$5</f>
        <v>1</v>
      </c>
      <c r="K39" s="94">
        <f>'[13]車両（アトレー４）'!$AJ$5</f>
        <v>2078860</v>
      </c>
      <c r="L39" s="94">
        <f>'[13]車両（キャラ３）'!$AJ$5</f>
        <v>0</v>
      </c>
    </row>
    <row r="40" spans="1:12" ht="14.25" x14ac:dyDescent="0.15">
      <c r="A40" s="55" t="s">
        <v>42</v>
      </c>
      <c r="B40" s="71">
        <v>50000</v>
      </c>
      <c r="C40" s="11"/>
      <c r="D40" s="12"/>
      <c r="F40" s="94">
        <f>'[13]車両（フリード２）'!$AJ$5</f>
        <v>477725</v>
      </c>
      <c r="G40" s="94">
        <f>'[13]車両（セブン２）'!$AJ$5</f>
        <v>1</v>
      </c>
      <c r="H40" s="94">
        <f>'[13]車両（EK３）'!$AJ$5</f>
        <v>1</v>
      </c>
    </row>
    <row r="41" spans="1:12" ht="14.25" x14ac:dyDescent="0.15">
      <c r="A41" s="55" t="s">
        <v>66</v>
      </c>
      <c r="B41" s="71"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v>50803518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v>90924970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71">
        <v>671027</v>
      </c>
      <c r="C48" s="5"/>
      <c r="D48" s="78"/>
    </row>
    <row r="49" spans="1:7" ht="14.25" x14ac:dyDescent="0.15">
      <c r="A49" s="55" t="s">
        <v>33</v>
      </c>
      <c r="B49" s="71">
        <v>4000000</v>
      </c>
      <c r="C49" s="5"/>
      <c r="D49" s="12"/>
    </row>
    <row r="50" spans="1:7" ht="6.75" customHeight="1" x14ac:dyDescent="0.15">
      <c r="A50" s="59"/>
      <c r="B50" s="79"/>
      <c r="C50" s="11"/>
      <c r="D50" s="12"/>
    </row>
    <row r="51" spans="1:7" ht="14.25" x14ac:dyDescent="0.15">
      <c r="A51" s="55" t="s">
        <v>31</v>
      </c>
      <c r="B51" s="80"/>
      <c r="C51" s="37">
        <v>4671027</v>
      </c>
      <c r="D51" s="23"/>
      <c r="E51" t="s">
        <v>108</v>
      </c>
    </row>
    <row r="52" spans="1:7" ht="11.25" customHeight="1" x14ac:dyDescent="0.15">
      <c r="A52" s="3"/>
      <c r="B52" s="14"/>
      <c r="C52" s="34"/>
      <c r="D52" s="25"/>
    </row>
    <row r="53" spans="1:7" ht="14.25" x14ac:dyDescent="0.15">
      <c r="A53" s="55" t="s">
        <v>22</v>
      </c>
      <c r="B53" s="19"/>
      <c r="C53" s="81"/>
      <c r="D53" s="23"/>
    </row>
    <row r="54" spans="1:7" ht="14.25" x14ac:dyDescent="0.15">
      <c r="A54" s="55" t="s">
        <v>30</v>
      </c>
      <c r="B54" s="71">
        <v>18879000</v>
      </c>
      <c r="C54" s="11"/>
      <c r="D54" s="25"/>
    </row>
    <row r="55" spans="1:7" ht="14.25" x14ac:dyDescent="0.15">
      <c r="A55" s="9"/>
      <c r="B55" s="19"/>
      <c r="C55" s="11"/>
      <c r="D55" s="25"/>
      <c r="G55" t="s">
        <v>108</v>
      </c>
    </row>
    <row r="56" spans="1:7" ht="14.25" x14ac:dyDescent="0.15">
      <c r="A56" s="61" t="s">
        <v>29</v>
      </c>
      <c r="B56" s="10"/>
      <c r="C56" s="37">
        <v>18879000</v>
      </c>
      <c r="D56" s="23"/>
    </row>
    <row r="57" spans="1:7" ht="6.75" customHeight="1" x14ac:dyDescent="0.15">
      <c r="A57" s="3"/>
      <c r="B57" s="19"/>
      <c r="C57" s="11"/>
      <c r="D57" s="23"/>
    </row>
    <row r="58" spans="1:7" ht="14.25" x14ac:dyDescent="0.15">
      <c r="A58" s="58" t="s">
        <v>24</v>
      </c>
      <c r="B58" s="40"/>
      <c r="C58" s="40"/>
      <c r="D58" s="38">
        <v>23550027</v>
      </c>
    </row>
    <row r="59" spans="1:7" ht="11.25" customHeight="1" x14ac:dyDescent="0.15">
      <c r="A59" s="3"/>
      <c r="B59" s="19"/>
      <c r="C59" s="11"/>
      <c r="D59" s="23"/>
    </row>
    <row r="60" spans="1:7" ht="14.25" x14ac:dyDescent="0.15">
      <c r="A60" s="55" t="s">
        <v>3</v>
      </c>
      <c r="B60" s="30"/>
      <c r="C60" s="35"/>
      <c r="D60" s="31"/>
    </row>
    <row r="61" spans="1:7" ht="15" customHeight="1" x14ac:dyDescent="0.15">
      <c r="A61" s="55" t="s">
        <v>27</v>
      </c>
      <c r="B61" s="10"/>
      <c r="C61" s="39"/>
      <c r="D61" s="39">
        <v>0</v>
      </c>
    </row>
    <row r="62" spans="1:7" ht="15.75" customHeight="1" x14ac:dyDescent="0.15">
      <c r="A62" s="55" t="s">
        <v>28</v>
      </c>
      <c r="B62" s="47"/>
      <c r="C62" s="9"/>
      <c r="D62" s="43">
        <v>67374943</v>
      </c>
      <c r="F62" s="100" t="s">
        <v>124</v>
      </c>
    </row>
    <row r="63" spans="1:7" ht="15.75" customHeight="1" x14ac:dyDescent="0.15">
      <c r="A63" s="59" t="s">
        <v>11</v>
      </c>
      <c r="B63" s="9"/>
      <c r="D63" s="70">
        <v>-4770050</v>
      </c>
      <c r="F63" s="92">
        <f>D63-[10]令和６年度!$P$74</f>
        <v>0</v>
      </c>
    </row>
    <row r="64" spans="1:7" ht="16.5" customHeight="1" x14ac:dyDescent="0.15">
      <c r="A64" s="55" t="s">
        <v>26</v>
      </c>
      <c r="B64" s="22"/>
      <c r="C64" s="48"/>
      <c r="D64" s="44">
        <v>67374943</v>
      </c>
      <c r="F64" s="91"/>
    </row>
    <row r="65" spans="1:6" ht="14.25" x14ac:dyDescent="0.15">
      <c r="A65" s="55" t="s">
        <v>25</v>
      </c>
      <c r="B65" s="22"/>
      <c r="C65" s="9"/>
      <c r="D65" s="69">
        <v>90924970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8400-DB04-4CFD-9DFF-E9B431518206}">
  <sheetPr>
    <pageSetUpPr fitToPage="1"/>
  </sheetPr>
  <dimension ref="A1:L109"/>
  <sheetViews>
    <sheetView zoomScaleNormal="100" workbookViewId="0">
      <selection activeCell="F9" sqref="F9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194</v>
      </c>
      <c r="B1" s="122"/>
      <c r="C1" s="122"/>
      <c r="D1" s="122"/>
    </row>
    <row r="2" spans="1:11" ht="17.25" customHeight="1" x14ac:dyDescent="0.15">
      <c r="A2" s="116" t="s">
        <v>202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v>14659979</v>
      </c>
      <c r="C9" s="5"/>
      <c r="D9" s="12"/>
      <c r="F9" s="101">
        <f>'[14]0138359'!$AJ$37</f>
        <v>0</v>
      </c>
      <c r="G9" s="101">
        <f>'[14]0138642（居宅）'!$AJ$37</f>
        <v>247971</v>
      </c>
      <c r="H9" s="101">
        <f>'[14]0138655（通所）'!$AJ$37</f>
        <v>5019</v>
      </c>
      <c r="I9" s="101">
        <f>'[14]0156560（新庄）'!$AJ$37</f>
        <v>208826</v>
      </c>
      <c r="J9" s="101">
        <f>'[14]0158313（ゆけむり）'!$AJ$37</f>
        <v>28997</v>
      </c>
      <c r="K9" s="101">
        <f>'[14]0139101（ちゃれんじ）'!$AJ$37</f>
        <v>796379</v>
      </c>
    </row>
    <row r="10" spans="1:11" ht="14.25" x14ac:dyDescent="0.15">
      <c r="A10" s="53" t="s">
        <v>102</v>
      </c>
      <c r="B10" s="73">
        <v>4548024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v>8096596</v>
      </c>
      <c r="C11" s="5"/>
      <c r="D11" s="23"/>
      <c r="F11" s="101">
        <f>'[14]2253865（助け合い）'!$AJ$37</f>
        <v>239820</v>
      </c>
      <c r="G11" s="102">
        <f>'[14]2253871（通所）'!$AJ$37</f>
        <v>929649</v>
      </c>
      <c r="H11" s="103">
        <f>'[14]2254321（ミニ）'!$AJ$37</f>
        <v>8685267</v>
      </c>
    </row>
    <row r="12" spans="1:11" ht="14.25" x14ac:dyDescent="0.15">
      <c r="A12" s="53" t="s">
        <v>128</v>
      </c>
      <c r="B12" s="74">
        <v>1073713</v>
      </c>
      <c r="C12" s="5"/>
      <c r="D12" s="23"/>
    </row>
    <row r="13" spans="1:11" ht="14.25" x14ac:dyDescent="0.15">
      <c r="A13" s="53" t="s">
        <v>129</v>
      </c>
      <c r="B13" s="75">
        <v>585328</v>
      </c>
      <c r="C13" s="5"/>
      <c r="D13" s="12"/>
      <c r="E13" s="93" t="s">
        <v>142</v>
      </c>
      <c r="F13" s="104">
        <f>[14]JA0034628!$AJ$37</f>
        <v>591808</v>
      </c>
      <c r="G13" s="93" t="s">
        <v>143</v>
      </c>
      <c r="H13" s="104">
        <f>[14]ゆうちょ6473091!$AJ$37</f>
        <v>612212</v>
      </c>
      <c r="I13" s="93" t="s">
        <v>144</v>
      </c>
      <c r="J13" s="104">
        <f>[14]しま信0116975!$AJ$37</f>
        <v>114000</v>
      </c>
    </row>
    <row r="14" spans="1:11" ht="14.25" x14ac:dyDescent="0.15">
      <c r="A14" s="53" t="s">
        <v>130</v>
      </c>
      <c r="B14" s="75">
        <v>356318</v>
      </c>
      <c r="C14" s="5"/>
      <c r="D14" s="12"/>
    </row>
    <row r="15" spans="1:11" ht="14.25" x14ac:dyDescent="0.15">
      <c r="A15" s="55" t="s">
        <v>36</v>
      </c>
      <c r="B15" s="71">
        <v>23485087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v>5089250</v>
      </c>
      <c r="C16" s="11"/>
      <c r="D16" s="12"/>
      <c r="E16" t="s">
        <v>112</v>
      </c>
      <c r="F16" s="103">
        <f>'[15]未収金（認定調査委託料）'!$AJ$37</f>
        <v>27720</v>
      </c>
      <c r="G16" s="103">
        <f>'[15]未収金（居宅支援介護報酬）'!$AJ$37</f>
        <v>5061530</v>
      </c>
      <c r="H16" s="83"/>
    </row>
    <row r="17" spans="1:11" ht="14.25" x14ac:dyDescent="0.15">
      <c r="A17" s="54" t="s">
        <v>15</v>
      </c>
      <c r="B17" s="73">
        <v>14493334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v>14257</v>
      </c>
      <c r="C18" s="11"/>
      <c r="D18" s="12"/>
      <c r="E18" t="s">
        <v>115</v>
      </c>
      <c r="F18" s="103">
        <f>'[15]未収金（通所保険請求）'!$AJ$37</f>
        <v>12522920</v>
      </c>
      <c r="G18" s="103">
        <f>'[15]未収金（通所利用者負担）'!$AJ$37</f>
        <v>1221783</v>
      </c>
      <c r="H18" s="103">
        <f>'[15]未収金（通所食費）'!$AJ$37</f>
        <v>725600</v>
      </c>
    </row>
    <row r="19" spans="1:11" ht="14.25" x14ac:dyDescent="0.15">
      <c r="A19" s="54" t="s">
        <v>16</v>
      </c>
      <c r="B19" s="73">
        <v>1505408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v>1396090</v>
      </c>
      <c r="C20" s="5"/>
      <c r="D20" s="12"/>
      <c r="E20" t="s">
        <v>119</v>
      </c>
      <c r="F20" s="103">
        <f>'[15]未収金（ゆけむり保険請求）'!$AJ$37</f>
        <v>0</v>
      </c>
      <c r="G20" s="103">
        <f>'[15]未収金（ゆけむり利用者負担）'!$AJ$37</f>
        <v>14257</v>
      </c>
      <c r="H20" s="103">
        <f>'[15]未収金（ゆけむり食費）'!$AJ$37</f>
        <v>0</v>
      </c>
    </row>
    <row r="21" spans="1:11" ht="14.25" x14ac:dyDescent="0.15">
      <c r="A21" s="54" t="s">
        <v>167</v>
      </c>
      <c r="B21" s="73">
        <v>3289</v>
      </c>
      <c r="C21" s="5"/>
      <c r="D21" s="12"/>
      <c r="F21" s="83"/>
      <c r="G21" s="83"/>
      <c r="H21" s="83"/>
    </row>
    <row r="22" spans="1:11" ht="14.25" x14ac:dyDescent="0.15">
      <c r="A22" s="54" t="s">
        <v>192</v>
      </c>
      <c r="B22" s="73">
        <v>541</v>
      </c>
      <c r="C22" s="5"/>
      <c r="D22" s="12"/>
      <c r="F22" s="83" t="s">
        <v>116</v>
      </c>
      <c r="G22" s="83" t="s">
        <v>117</v>
      </c>
      <c r="H22" s="83" t="s">
        <v>118</v>
      </c>
    </row>
    <row r="23" spans="1:11" ht="14.25" x14ac:dyDescent="0.15">
      <c r="A23" s="54" t="s">
        <v>72</v>
      </c>
      <c r="B23" s="73">
        <v>10300</v>
      </c>
      <c r="C23" s="5"/>
      <c r="D23" s="12"/>
      <c r="E23" t="s">
        <v>120</v>
      </c>
      <c r="F23" s="103">
        <f>'[15]未収金（予防通所保険請求）'!$AJ$37</f>
        <v>1316899</v>
      </c>
      <c r="G23" s="103">
        <f>'[15]未収金（予防通所利用者負担）'!$AJ$37</f>
        <v>77209</v>
      </c>
      <c r="H23" s="103">
        <f>'[15]未収金（予防通所食費）'!$AJ$37</f>
        <v>111300</v>
      </c>
    </row>
    <row r="24" spans="1:11" ht="14.25" x14ac:dyDescent="0.15">
      <c r="A24" s="54" t="s">
        <v>81</v>
      </c>
      <c r="B24" s="73">
        <v>369618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73">
        <v>74900</v>
      </c>
      <c r="C25" s="5"/>
      <c r="D25" s="12"/>
      <c r="E25" t="s">
        <v>121</v>
      </c>
      <c r="F25" s="103">
        <f>'[15]未収金（処遇改善保険請求）'!$AJ$37</f>
        <v>1278416</v>
      </c>
      <c r="G25" s="103">
        <f>'[15]未収金（処遇改善利用者負担）'!$AJ$37</f>
        <v>115550</v>
      </c>
      <c r="H25" s="83"/>
      <c r="I25" s="99" t="s">
        <v>169</v>
      </c>
      <c r="J25" s="104">
        <f>'[15]未収金（ベースアップ加算保険請求）'!$AJ$37</f>
        <v>198</v>
      </c>
      <c r="K25" s="104">
        <f>'[15]未収金（ベースアップ加算利用者負担）'!$AJ$37</f>
        <v>343</v>
      </c>
    </row>
    <row r="26" spans="1:11" ht="14.25" x14ac:dyDescent="0.15">
      <c r="A26" s="54" t="s">
        <v>17</v>
      </c>
      <c r="B26" s="74">
        <v>526100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75">
        <v>2000</v>
      </c>
      <c r="C27" s="5"/>
      <c r="D27" s="12"/>
      <c r="E27" t="s">
        <v>122</v>
      </c>
      <c r="F27" s="103">
        <f>'[15]未収金（特定処遇改善保険請求）'!$AJ$37</f>
        <v>0</v>
      </c>
      <c r="G27" s="103">
        <f>'[15]未収金（特定処遇改善利用者負担）'!$AJ$37</f>
        <v>3289</v>
      </c>
      <c r="H27" s="83"/>
    </row>
    <row r="28" spans="1:11" ht="14.25" x14ac:dyDescent="0.15">
      <c r="A28" s="54" t="s">
        <v>79</v>
      </c>
      <c r="B28" s="73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71">
        <v>1159665</v>
      </c>
      <c r="C29" s="15" t="s">
        <v>0</v>
      </c>
      <c r="D29" s="12"/>
      <c r="E29" t="s">
        <v>123</v>
      </c>
      <c r="F29" s="103">
        <f>'[15]未収金（サロン保険請求）'!$AJ$37</f>
        <v>158258</v>
      </c>
      <c r="G29" s="103">
        <f>'[15]未収金（サロン利用者負担）'!$AJ$37</f>
        <v>20902</v>
      </c>
      <c r="H29" s="103">
        <f>'[15]未収金（サロン食費）'!$AJ$37</f>
        <v>32200</v>
      </c>
    </row>
    <row r="30" spans="1:11" ht="14.25" x14ac:dyDescent="0.15">
      <c r="A30" s="61" t="s">
        <v>96</v>
      </c>
      <c r="B30" s="71">
        <v>393250</v>
      </c>
      <c r="C30" s="15"/>
      <c r="D30" s="12"/>
    </row>
    <row r="31" spans="1:11" ht="14.25" x14ac:dyDescent="0.15">
      <c r="A31" s="61" t="s">
        <v>38</v>
      </c>
      <c r="B31" s="7"/>
      <c r="C31" s="77">
        <v>39700366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v>41508869</v>
      </c>
      <c r="C34" s="5"/>
      <c r="D34" s="12"/>
      <c r="E34" t="s">
        <v>146</v>
      </c>
      <c r="F34" s="105">
        <f>'[16]建物（ほっと本体）'!$AJ$5</f>
        <v>225002</v>
      </c>
      <c r="G34" s="105">
        <f>'[16]建物（ほっと2階）'!$AJ$5</f>
        <v>159976</v>
      </c>
      <c r="H34" s="105">
        <f>'[16]建物（新庄）'!$AJ$5</f>
        <v>14958933</v>
      </c>
      <c r="I34" s="105">
        <f>'[16]建物（ゆけむり）'!$AJ$5</f>
        <v>22564101</v>
      </c>
      <c r="J34" s="105">
        <f>'[16]建物（ほっと浴室）'!$AJ$5</f>
        <v>3600857</v>
      </c>
    </row>
    <row r="35" spans="1:12" ht="14.25" x14ac:dyDescent="0.15">
      <c r="A35" s="55" t="s">
        <v>54</v>
      </c>
      <c r="B35" s="71">
        <v>5044881</v>
      </c>
      <c r="C35" s="5"/>
      <c r="D35" s="12"/>
      <c r="E35" t="s">
        <v>147</v>
      </c>
      <c r="F35" s="106">
        <f>'[16]附属建物（厨房）'!$AJ$5</f>
        <v>1</v>
      </c>
      <c r="G35" s="106">
        <f>'[16]附属建物（浴室）'!$AJ$5</f>
        <v>1</v>
      </c>
      <c r="H35" s="106">
        <f>'[16]附属建物（便所）'!$AJ$5</f>
        <v>1</v>
      </c>
      <c r="I35" s="106">
        <f>'[16]附属建物（廊下）'!$AJ$5</f>
        <v>1</v>
      </c>
      <c r="J35" s="106">
        <f>'[16]附属設備（電気設備その他）'!$AJ$5</f>
        <v>82438</v>
      </c>
      <c r="K35" s="106">
        <f>'[16]附属設備（給排水衛生設備）'!$AJ$5</f>
        <v>94536</v>
      </c>
      <c r="L35" s="106">
        <f>'[16]附属設備（消火排煙設備）'!$AJ$5</f>
        <v>5047</v>
      </c>
    </row>
    <row r="36" spans="1:12" ht="14.25" x14ac:dyDescent="0.15">
      <c r="A36" s="55" t="s">
        <v>55</v>
      </c>
      <c r="B36" s="71">
        <v>1179572</v>
      </c>
      <c r="C36" s="5"/>
      <c r="D36" s="12"/>
      <c r="F36" s="106">
        <f>'[16]附属設備（新庄電気設備）'!$AJ$5</f>
        <v>365715</v>
      </c>
      <c r="G36" s="106">
        <f>'[16]附属設備（新庄給排水設備）'!$AJ$5</f>
        <v>446005</v>
      </c>
      <c r="H36" s="106">
        <f>'[16]附属設備（電気設備）'!$AJ$5</f>
        <v>1028074</v>
      </c>
      <c r="I36" s="106">
        <f>'[16]附属設備（給排水設備）'!$AJ$5</f>
        <v>529605</v>
      </c>
      <c r="J36" s="106">
        <f>'[16]附属設備（新庄浴槽改装ガス給湯設備）'!$AJ$6</f>
        <v>513845</v>
      </c>
      <c r="K36" s="106">
        <f>'[16]附属設備（ほっと浴室移設電気工事）'!$AJ$5</f>
        <v>851136</v>
      </c>
      <c r="L36" s="106">
        <f>'[16]附属設備（ほっと浴室移設給排水設備）'!$AJ$5</f>
        <v>1128476</v>
      </c>
    </row>
    <row r="37" spans="1:12" ht="14.25" x14ac:dyDescent="0.15">
      <c r="A37" s="55" t="s">
        <v>75</v>
      </c>
      <c r="B37" s="71">
        <v>204884</v>
      </c>
      <c r="C37" s="5"/>
      <c r="D37" s="12"/>
      <c r="E37" t="s">
        <v>148</v>
      </c>
      <c r="F37" s="107">
        <f>'[16]構築物（舗装工事）'!$AJ$5</f>
        <v>1</v>
      </c>
      <c r="G37" s="107">
        <f>'[16]構築物（ゆけむり）'!$AJ$5</f>
        <v>358351</v>
      </c>
      <c r="H37" s="107">
        <f>'[16]構築物（新庄駐車場舗装）'!$AJ$5</f>
        <v>821220</v>
      </c>
    </row>
    <row r="38" spans="1:12" ht="14.25" x14ac:dyDescent="0.15">
      <c r="A38" s="55" t="s">
        <v>40</v>
      </c>
      <c r="B38" s="71">
        <v>2556592</v>
      </c>
      <c r="C38" s="5"/>
      <c r="D38" s="12"/>
      <c r="E38" t="s">
        <v>149</v>
      </c>
      <c r="F38" s="108">
        <f>'[16]器具備品（新庄玄関エアコン）'!$AJ$5</f>
        <v>31800</v>
      </c>
      <c r="G38" s="108">
        <f>'[16]器具備品（新庄事務室エアコン）'!$AJ$5</f>
        <v>173084</v>
      </c>
    </row>
    <row r="39" spans="1:12" ht="14.25" x14ac:dyDescent="0.15">
      <c r="A39" s="55" t="s">
        <v>41</v>
      </c>
      <c r="B39" s="71">
        <v>110600</v>
      </c>
      <c r="C39" s="5"/>
      <c r="D39" s="12"/>
      <c r="E39" t="s">
        <v>150</v>
      </c>
      <c r="F39" s="94">
        <f>'[16]車両（タウンボックス）'!$AJ$5</f>
        <v>1</v>
      </c>
      <c r="G39" s="94">
        <f>'[16]車両（はとバン）'!$AJ$5</f>
        <v>1</v>
      </c>
      <c r="H39" s="94">
        <f>'[16]車両（ノア）'!$AJ$5</f>
        <v>1</v>
      </c>
      <c r="I39" s="94">
        <f>'[16]車両（セレナ）'!$AJ$5</f>
        <v>1</v>
      </c>
      <c r="J39" s="94">
        <f>'[16]車両（アトレー１）'!$AJ$5</f>
        <v>1</v>
      </c>
      <c r="K39" s="94">
        <f>'[16]車両（アトレー４）'!$AJ$5</f>
        <v>2078860</v>
      </c>
      <c r="L39" s="94">
        <f>'[16]車両（キャラ３）'!$AJ$5</f>
        <v>0</v>
      </c>
    </row>
    <row r="40" spans="1:12" ht="14.25" x14ac:dyDescent="0.15">
      <c r="A40" s="55" t="s">
        <v>42</v>
      </c>
      <c r="B40" s="71">
        <v>50000</v>
      </c>
      <c r="C40" s="11"/>
      <c r="D40" s="12"/>
      <c r="F40" s="94">
        <f>'[16]車両（フリード２）'!$AJ$5</f>
        <v>477725</v>
      </c>
      <c r="G40" s="94">
        <f>'[16]車両（セブン２）'!$AJ$5</f>
        <v>1</v>
      </c>
      <c r="H40" s="94">
        <f>'[16]車両（EK３）'!$AJ$5</f>
        <v>1</v>
      </c>
    </row>
    <row r="41" spans="1:12" ht="14.25" x14ac:dyDescent="0.15">
      <c r="A41" s="55" t="s">
        <v>66</v>
      </c>
      <c r="B41" s="71"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v>50803518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v>90503884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71">
        <v>891444</v>
      </c>
      <c r="C48" s="5"/>
      <c r="D48" s="78"/>
    </row>
    <row r="49" spans="1:7" ht="14.25" x14ac:dyDescent="0.15">
      <c r="A49" s="55" t="s">
        <v>33</v>
      </c>
      <c r="B49" s="71">
        <v>3000000</v>
      </c>
      <c r="C49" s="5"/>
      <c r="D49" s="12"/>
    </row>
    <row r="50" spans="1:7" ht="6.75" customHeight="1" x14ac:dyDescent="0.15">
      <c r="A50" s="59"/>
      <c r="B50" s="79"/>
      <c r="C50" s="11"/>
      <c r="D50" s="12"/>
    </row>
    <row r="51" spans="1:7" ht="14.25" x14ac:dyDescent="0.15">
      <c r="A51" s="55" t="s">
        <v>31</v>
      </c>
      <c r="B51" s="80"/>
      <c r="C51" s="37">
        <v>3891444</v>
      </c>
      <c r="D51" s="23"/>
      <c r="E51" t="s">
        <v>108</v>
      </c>
    </row>
    <row r="52" spans="1:7" ht="11.25" customHeight="1" x14ac:dyDescent="0.15">
      <c r="A52" s="3"/>
      <c r="B52" s="14"/>
      <c r="C52" s="34"/>
      <c r="D52" s="25"/>
    </row>
    <row r="53" spans="1:7" ht="14.25" x14ac:dyDescent="0.15">
      <c r="A53" s="55" t="s">
        <v>22</v>
      </c>
      <c r="B53" s="19"/>
      <c r="C53" s="81"/>
      <c r="D53" s="23"/>
    </row>
    <row r="54" spans="1:7" ht="14.25" x14ac:dyDescent="0.15">
      <c r="A54" s="55" t="s">
        <v>30</v>
      </c>
      <c r="B54" s="71">
        <v>18558000</v>
      </c>
      <c r="C54" s="11"/>
      <c r="D54" s="25"/>
    </row>
    <row r="55" spans="1:7" ht="14.25" x14ac:dyDescent="0.15">
      <c r="A55" s="9"/>
      <c r="B55" s="19"/>
      <c r="C55" s="11"/>
      <c r="D55" s="25"/>
      <c r="G55" t="s">
        <v>108</v>
      </c>
    </row>
    <row r="56" spans="1:7" ht="14.25" x14ac:dyDescent="0.15">
      <c r="A56" s="61" t="s">
        <v>29</v>
      </c>
      <c r="B56" s="10"/>
      <c r="C56" s="37">
        <v>18558000</v>
      </c>
      <c r="D56" s="23"/>
    </row>
    <row r="57" spans="1:7" ht="6.75" customHeight="1" x14ac:dyDescent="0.15">
      <c r="A57" s="3"/>
      <c r="B57" s="19"/>
      <c r="C57" s="11"/>
      <c r="D57" s="23"/>
    </row>
    <row r="58" spans="1:7" ht="14.25" x14ac:dyDescent="0.15">
      <c r="A58" s="58" t="s">
        <v>24</v>
      </c>
      <c r="B58" s="40"/>
      <c r="C58" s="40"/>
      <c r="D58" s="38">
        <v>22449444</v>
      </c>
    </row>
    <row r="59" spans="1:7" ht="11.25" customHeight="1" x14ac:dyDescent="0.15">
      <c r="A59" s="3"/>
      <c r="B59" s="19"/>
      <c r="C59" s="11"/>
      <c r="D59" s="23"/>
    </row>
    <row r="60" spans="1:7" ht="14.25" x14ac:dyDescent="0.15">
      <c r="A60" s="55" t="s">
        <v>3</v>
      </c>
      <c r="B60" s="30"/>
      <c r="C60" s="35"/>
      <c r="D60" s="31"/>
    </row>
    <row r="61" spans="1:7" ht="15" customHeight="1" x14ac:dyDescent="0.15">
      <c r="A61" s="55" t="s">
        <v>27</v>
      </c>
      <c r="B61" s="10"/>
      <c r="C61" s="39"/>
      <c r="D61" s="39">
        <v>0</v>
      </c>
    </row>
    <row r="62" spans="1:7" ht="15.75" customHeight="1" x14ac:dyDescent="0.15">
      <c r="A62" s="55" t="s">
        <v>28</v>
      </c>
      <c r="B62" s="47"/>
      <c r="C62" s="9"/>
      <c r="D62" s="43">
        <v>68054440</v>
      </c>
      <c r="F62" s="100" t="s">
        <v>124</v>
      </c>
    </row>
    <row r="63" spans="1:7" ht="15.75" customHeight="1" x14ac:dyDescent="0.15">
      <c r="A63" s="59" t="s">
        <v>11</v>
      </c>
      <c r="B63" s="9"/>
      <c r="D63" s="70">
        <v>679497</v>
      </c>
      <c r="F63" s="92">
        <f>D63-[10]令和７年度!$P$74</f>
        <v>-318417</v>
      </c>
    </row>
    <row r="64" spans="1:7" ht="16.5" customHeight="1" x14ac:dyDescent="0.15">
      <c r="A64" s="55" t="s">
        <v>26</v>
      </c>
      <c r="B64" s="22"/>
      <c r="C64" s="48"/>
      <c r="D64" s="44">
        <v>68054440</v>
      </c>
      <c r="F64" s="91"/>
    </row>
    <row r="65" spans="1:6" ht="14.25" x14ac:dyDescent="0.15">
      <c r="A65" s="55" t="s">
        <v>25</v>
      </c>
      <c r="B65" s="22"/>
      <c r="C65" s="9"/>
      <c r="D65" s="69">
        <v>90503884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B2640-D34E-4797-982D-A5AFBD289002}">
  <sheetPr>
    <pageSetUpPr fitToPage="1"/>
  </sheetPr>
  <dimension ref="A1:L109"/>
  <sheetViews>
    <sheetView zoomScaleNormal="100" workbookViewId="0">
      <selection activeCell="F9" sqref="F9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194</v>
      </c>
      <c r="B1" s="122"/>
      <c r="C1" s="122"/>
      <c r="D1" s="122"/>
    </row>
    <row r="2" spans="1:11" ht="17.25" customHeight="1" x14ac:dyDescent="0.15">
      <c r="A2" s="116" t="s">
        <v>203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12459948</v>
      </c>
      <c r="C9" s="5"/>
      <c r="D9" s="12"/>
      <c r="F9" s="101">
        <f>'[14]0138359'!$AJ$37</f>
        <v>0</v>
      </c>
      <c r="G9" s="101">
        <f>'[14]0138642（居宅）'!$AJ$37</f>
        <v>247971</v>
      </c>
      <c r="H9" s="101">
        <f>'[14]0138655（通所）'!$AJ$37</f>
        <v>5019</v>
      </c>
      <c r="I9" s="101">
        <f>'[14]0156560（新庄）'!$AJ$37</f>
        <v>208826</v>
      </c>
      <c r="J9" s="101">
        <f>'[14]0158313（ゆけむり）'!$AJ$37</f>
        <v>28997</v>
      </c>
      <c r="K9" s="101">
        <f>'[14]0139101（ちゃれんじ）'!$AJ$37</f>
        <v>796379</v>
      </c>
    </row>
    <row r="10" spans="1:11" ht="14.25" x14ac:dyDescent="0.15">
      <c r="A10" s="53" t="s">
        <v>102</v>
      </c>
      <c r="B10" s="73">
        <f>SUM(F9:K9)</f>
        <v>1287192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f>SUM(F11:H11)</f>
        <v>9854736</v>
      </c>
      <c r="C11" s="5"/>
      <c r="D11" s="23"/>
      <c r="F11" s="101">
        <f>'[14]2253865（助け合い）'!$AJ$37</f>
        <v>239820</v>
      </c>
      <c r="G11" s="102">
        <f>'[14]2253871（通所）'!$AJ$37</f>
        <v>929649</v>
      </c>
      <c r="H11" s="103">
        <f>'[14]2254321（ミニ）'!$AJ$37</f>
        <v>8685267</v>
      </c>
    </row>
    <row r="12" spans="1:11" ht="14.25" x14ac:dyDescent="0.15">
      <c r="A12" s="53" t="s">
        <v>128</v>
      </c>
      <c r="B12" s="74">
        <f>SUM(F13)</f>
        <v>591808</v>
      </c>
      <c r="C12" s="5"/>
      <c r="D12" s="23"/>
    </row>
    <row r="13" spans="1:11" ht="14.25" x14ac:dyDescent="0.15">
      <c r="A13" s="53" t="s">
        <v>129</v>
      </c>
      <c r="B13" s="75">
        <f>SUM(H13)</f>
        <v>612212</v>
      </c>
      <c r="C13" s="5"/>
      <c r="D13" s="12"/>
      <c r="E13" s="93" t="s">
        <v>142</v>
      </c>
      <c r="F13" s="104">
        <f>[14]JA0034628!$AJ$37</f>
        <v>591808</v>
      </c>
      <c r="G13" s="93" t="s">
        <v>143</v>
      </c>
      <c r="H13" s="104">
        <f>[14]ゆうちょ6473091!$AJ$37</f>
        <v>612212</v>
      </c>
      <c r="I13" s="93" t="s">
        <v>144</v>
      </c>
      <c r="J13" s="104">
        <f>[14]しま信0116975!$AJ$37</f>
        <v>114000</v>
      </c>
    </row>
    <row r="14" spans="1:11" ht="14.25" x14ac:dyDescent="0.15">
      <c r="A14" s="53" t="s">
        <v>130</v>
      </c>
      <c r="B14" s="75">
        <f>SUM(J13)</f>
        <v>114000</v>
      </c>
      <c r="C14" s="5"/>
      <c r="D14" s="12"/>
    </row>
    <row r="15" spans="1:11" ht="14.25" x14ac:dyDescent="0.15">
      <c r="A15" s="55" t="s">
        <v>36</v>
      </c>
      <c r="B15" s="71">
        <f>SUM(B16:B28)</f>
        <v>24325222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f>SUM(F16:G16)</f>
        <v>5391910</v>
      </c>
      <c r="C16" s="11"/>
      <c r="D16" s="12"/>
      <c r="E16" t="s">
        <v>112</v>
      </c>
      <c r="F16" s="103">
        <f>'[17]未収金（認定調査委託料）'!$AJ$37</f>
        <v>6160</v>
      </c>
      <c r="G16" s="103">
        <f>'[17]未収金（居宅支援介護報酬）'!$AJ$37</f>
        <v>5385750</v>
      </c>
      <c r="H16" s="83"/>
    </row>
    <row r="17" spans="1:11" ht="14.25" x14ac:dyDescent="0.15">
      <c r="A17" s="54" t="s">
        <v>15</v>
      </c>
      <c r="B17" s="73">
        <f>SUM(F18:H18)</f>
        <v>14820188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f>SUM(F20:H20)</f>
        <v>14257</v>
      </c>
      <c r="C18" s="11"/>
      <c r="D18" s="12"/>
      <c r="E18" t="s">
        <v>115</v>
      </c>
      <c r="F18" s="103">
        <f>'[17]未収金（通所保険請求）'!$AJ$37</f>
        <v>12904206</v>
      </c>
      <c r="G18" s="103">
        <f>'[17]未収金（通所利用者負担）'!$AJ$37</f>
        <v>1192982</v>
      </c>
      <c r="H18" s="103">
        <f>'[17]未収金（通所食費）'!$AJ$37</f>
        <v>723000</v>
      </c>
    </row>
    <row r="19" spans="1:11" ht="14.25" x14ac:dyDescent="0.15">
      <c r="A19" s="54" t="s">
        <v>16</v>
      </c>
      <c r="B19" s="73">
        <f>SUM(F23:H23)</f>
        <v>1359218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f>SUM(F25:G25)</f>
        <v>1410068</v>
      </c>
      <c r="C20" s="5"/>
      <c r="D20" s="12"/>
      <c r="E20" t="s">
        <v>119</v>
      </c>
      <c r="F20" s="103">
        <f>'[17]未収金（ゆけむり保険請求）'!$AJ$37</f>
        <v>0</v>
      </c>
      <c r="G20" s="103">
        <f>'[17]未収金（ゆけむり利用者負担）'!$AJ$37</f>
        <v>14257</v>
      </c>
      <c r="H20" s="103">
        <f>'[17]未収金（ゆけむり食費）'!$AJ$37</f>
        <v>0</v>
      </c>
    </row>
    <row r="21" spans="1:11" ht="14.25" x14ac:dyDescent="0.15">
      <c r="A21" s="54" t="s">
        <v>167</v>
      </c>
      <c r="B21" s="73">
        <f>SUM(F27:G27)</f>
        <v>3289</v>
      </c>
      <c r="C21" s="5"/>
      <c r="D21" s="12"/>
      <c r="F21" s="83"/>
      <c r="G21" s="83"/>
      <c r="H21" s="83"/>
    </row>
    <row r="22" spans="1:11" ht="14.25" x14ac:dyDescent="0.15">
      <c r="A22" s="54" t="s">
        <v>192</v>
      </c>
      <c r="B22" s="73">
        <f>SUM(J25:K25)</f>
        <v>541</v>
      </c>
      <c r="C22" s="5"/>
      <c r="D22" s="12"/>
      <c r="F22" s="83" t="s">
        <v>116</v>
      </c>
      <c r="G22" s="83" t="s">
        <v>117</v>
      </c>
      <c r="H22" s="83" t="s">
        <v>118</v>
      </c>
    </row>
    <row r="23" spans="1:11" ht="14.25" x14ac:dyDescent="0.15">
      <c r="A23" s="54" t="s">
        <v>72</v>
      </c>
      <c r="B23" s="73">
        <f>'[17]未収金（通所キャンセル）'!$AJ$37</f>
        <v>14500</v>
      </c>
      <c r="C23" s="5"/>
      <c r="D23" s="12"/>
      <c r="E23" t="s">
        <v>120</v>
      </c>
      <c r="F23" s="103">
        <f>'[17]未収金（予防通所保険請求）'!$AJ$37</f>
        <v>1200466</v>
      </c>
      <c r="G23" s="103">
        <f>'[17]未収金（予防通所利用者負担）'!$AJ$37</f>
        <v>66152</v>
      </c>
      <c r="H23" s="103">
        <f>'[17]未収金（予防通所食費）'!$AJ$37</f>
        <v>92600</v>
      </c>
    </row>
    <row r="24" spans="1:11" ht="14.25" x14ac:dyDescent="0.15">
      <c r="A24" s="54" t="s">
        <v>81</v>
      </c>
      <c r="B24" s="73">
        <f>SUM(F29:H29)</f>
        <v>339151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73">
        <f>'[17]未収金（ミニデイ）'!$AJ$37</f>
        <v>71400</v>
      </c>
      <c r="C25" s="5"/>
      <c r="D25" s="12"/>
      <c r="E25" t="s">
        <v>121</v>
      </c>
      <c r="F25" s="103">
        <f>'[17]未収金（処遇改善保険請求）'!$AJ$37</f>
        <v>1302771</v>
      </c>
      <c r="G25" s="103">
        <f>'[17]未収金（処遇改善利用者負担）'!$AJ$37</f>
        <v>107297</v>
      </c>
      <c r="H25" s="83"/>
      <c r="I25" s="99" t="s">
        <v>169</v>
      </c>
      <c r="J25" s="104">
        <f>'[17]未収金（ベースアップ加算保険請求）'!$AJ$37</f>
        <v>198</v>
      </c>
      <c r="K25" s="104">
        <f>'[17]未収金（ベースアップ加算利用者負担）'!$AJ$37</f>
        <v>343</v>
      </c>
    </row>
    <row r="26" spans="1:11" ht="14.25" x14ac:dyDescent="0.15">
      <c r="A26" s="54" t="s">
        <v>17</v>
      </c>
      <c r="B26" s="74">
        <f>'[17]未収金（ちゃれんじ）'!$AJ$37</f>
        <v>878200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75">
        <f>'[17]未収金（福祉タクシー）'!$AJ$37</f>
        <v>22500</v>
      </c>
      <c r="C27" s="5"/>
      <c r="D27" s="12"/>
      <c r="E27" t="s">
        <v>122</v>
      </c>
      <c r="F27" s="103">
        <f>'[17]未収金（特定処遇改善保険請求）'!$AJ$37</f>
        <v>0</v>
      </c>
      <c r="G27" s="103">
        <f>'[17]未収金（特定処遇改善利用者負担）'!$AJ$37</f>
        <v>3289</v>
      </c>
      <c r="H27" s="83"/>
    </row>
    <row r="28" spans="1:11" ht="14.25" x14ac:dyDescent="0.15">
      <c r="A28" s="54" t="s">
        <v>79</v>
      </c>
      <c r="B28" s="73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71">
        <f>[18]仮払金!$AJ$37</f>
        <v>840448</v>
      </c>
      <c r="C29" s="15" t="s">
        <v>0</v>
      </c>
      <c r="D29" s="12"/>
      <c r="E29" t="s">
        <v>123</v>
      </c>
      <c r="F29" s="103">
        <f>'[17]未収金（サロン保険請求）'!$AJ$37</f>
        <v>289642</v>
      </c>
      <c r="G29" s="103">
        <f>'[17]未収金（サロン利用者負担）'!$AJ$37</f>
        <v>19409</v>
      </c>
      <c r="H29" s="103">
        <f>'[17]未収金（サロン食費）'!$AJ$37</f>
        <v>30100</v>
      </c>
    </row>
    <row r="30" spans="1:11" ht="14.25" x14ac:dyDescent="0.15">
      <c r="A30" s="61" t="s">
        <v>96</v>
      </c>
      <c r="B30" s="71">
        <f>[18]前払費用!$AA$37</f>
        <v>393250</v>
      </c>
      <c r="C30" s="15"/>
      <c r="D30" s="12"/>
    </row>
    <row r="31" spans="1:11" ht="14.25" x14ac:dyDescent="0.15">
      <c r="A31" s="61" t="s">
        <v>38</v>
      </c>
      <c r="B31" s="7"/>
      <c r="C31" s="77">
        <f>B8+B9+B15+B29+B30</f>
        <v>38021253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f>SUM(F34:J34)</f>
        <v>41508869</v>
      </c>
      <c r="C34" s="5"/>
      <c r="D34" s="12"/>
      <c r="E34" t="s">
        <v>146</v>
      </c>
      <c r="F34" s="105">
        <f>'[18]建物（ほっと本体）'!$AJ$5</f>
        <v>225002</v>
      </c>
      <c r="G34" s="105">
        <f>'[18]建物（ほっと2階）'!$AJ$5</f>
        <v>159976</v>
      </c>
      <c r="H34" s="105">
        <f>'[18]建物（新庄）'!$AJ$5</f>
        <v>14958933</v>
      </c>
      <c r="I34" s="105">
        <f>'[18]建物（ゆけむり）'!$AJ$5</f>
        <v>22564101</v>
      </c>
      <c r="J34" s="105">
        <f>'[18]建物（ほっと浴室）'!$AJ$5</f>
        <v>3600857</v>
      </c>
    </row>
    <row r="35" spans="1:12" ht="14.25" x14ac:dyDescent="0.15">
      <c r="A35" s="55" t="s">
        <v>54</v>
      </c>
      <c r="B35" s="71">
        <f>SUM(F35:L36)</f>
        <v>5044881</v>
      </c>
      <c r="C35" s="5"/>
      <c r="D35" s="12"/>
      <c r="E35" t="s">
        <v>147</v>
      </c>
      <c r="F35" s="106">
        <f>'[18]附属建物（厨房）'!$AJ$5</f>
        <v>1</v>
      </c>
      <c r="G35" s="106">
        <f>'[18]附属建物（浴室）'!$AJ$5</f>
        <v>1</v>
      </c>
      <c r="H35" s="106">
        <f>'[18]附属建物（便所）'!$AJ$5</f>
        <v>1</v>
      </c>
      <c r="I35" s="106">
        <f>'[18]附属建物（廊下）'!$AJ$5</f>
        <v>1</v>
      </c>
      <c r="J35" s="106">
        <f>'[18]附属設備（電気設備その他）'!$AJ$5</f>
        <v>82438</v>
      </c>
      <c r="K35" s="106">
        <f>'[18]附属設備（給排水衛生設備）'!$AJ$5</f>
        <v>94536</v>
      </c>
      <c r="L35" s="106">
        <f>'[18]附属設備（消火排煙設備）'!$AJ$5</f>
        <v>5047</v>
      </c>
    </row>
    <row r="36" spans="1:12" ht="14.25" x14ac:dyDescent="0.15">
      <c r="A36" s="55" t="s">
        <v>55</v>
      </c>
      <c r="B36" s="71">
        <f>SUM(F37:H37)</f>
        <v>1179572</v>
      </c>
      <c r="C36" s="5"/>
      <c r="D36" s="12"/>
      <c r="F36" s="106">
        <f>'[18]附属設備（新庄電気設備）'!$AJ$5</f>
        <v>365715</v>
      </c>
      <c r="G36" s="106">
        <f>'[18]附属設備（新庄給排水設備）'!$AJ$5</f>
        <v>446005</v>
      </c>
      <c r="H36" s="106">
        <f>'[18]附属設備（電気設備）'!$AJ$5</f>
        <v>1028074</v>
      </c>
      <c r="I36" s="106">
        <f>'[18]附属設備（給排水設備）'!$AJ$5</f>
        <v>529605</v>
      </c>
      <c r="J36" s="106">
        <f>'[18]附属設備（新庄浴槽改装ガス給湯設備）'!$AJ$6</f>
        <v>513845</v>
      </c>
      <c r="K36" s="106">
        <f>'[18]附属設備（ほっと浴室移設電気工事）'!$AJ$5</f>
        <v>851136</v>
      </c>
      <c r="L36" s="106">
        <f>'[18]附属設備（ほっと浴室移設給排水設備）'!$AJ$5</f>
        <v>1128476</v>
      </c>
    </row>
    <row r="37" spans="1:12" ht="14.25" x14ac:dyDescent="0.15">
      <c r="A37" s="55" t="s">
        <v>75</v>
      </c>
      <c r="B37" s="71">
        <f>SUM(F38:G38)</f>
        <v>204884</v>
      </c>
      <c r="C37" s="5"/>
      <c r="D37" s="12"/>
      <c r="E37" t="s">
        <v>148</v>
      </c>
      <c r="F37" s="107">
        <f>'[18]構築物（舗装工事）'!$AJ$5</f>
        <v>1</v>
      </c>
      <c r="G37" s="107">
        <f>'[18]構築物（ゆけむり）'!$AJ$5</f>
        <v>358351</v>
      </c>
      <c r="H37" s="107">
        <f>'[18]構築物（新庄駐車場舗装）'!$AJ$5</f>
        <v>821220</v>
      </c>
    </row>
    <row r="38" spans="1:12" ht="14.25" x14ac:dyDescent="0.15">
      <c r="A38" s="55" t="s">
        <v>40</v>
      </c>
      <c r="B38" s="71">
        <f>SUM(F39:L40)</f>
        <v>2556592</v>
      </c>
      <c r="C38" s="5"/>
      <c r="D38" s="12"/>
      <c r="E38" t="s">
        <v>149</v>
      </c>
      <c r="F38" s="108">
        <f>'[18]器具備品（新庄玄関エアコン）'!$AJ$5</f>
        <v>31800</v>
      </c>
      <c r="G38" s="108">
        <f>'[18]器具備品（新庄事務室エアコン）'!$AJ$5</f>
        <v>173084</v>
      </c>
    </row>
    <row r="39" spans="1:12" ht="14.25" x14ac:dyDescent="0.15">
      <c r="A39" s="55" t="s">
        <v>41</v>
      </c>
      <c r="B39" s="71">
        <f>[18]電話加入権!$AJ$5</f>
        <v>110600</v>
      </c>
      <c r="C39" s="5"/>
      <c r="D39" s="12"/>
      <c r="E39" t="s">
        <v>150</v>
      </c>
      <c r="F39" s="94">
        <f>'[18]車両（タウンボックス）'!$AJ$5</f>
        <v>1</v>
      </c>
      <c r="G39" s="94">
        <f>'[18]車両（はとバン）'!$AJ$5</f>
        <v>1</v>
      </c>
      <c r="H39" s="94">
        <f>'[18]車両（ノア）'!$AJ$5</f>
        <v>1</v>
      </c>
      <c r="I39" s="94">
        <f>'[18]車両（セレナ）'!$AJ$5</f>
        <v>1</v>
      </c>
      <c r="J39" s="94">
        <f>'[18]車両（アトレー１）'!$AJ$5</f>
        <v>1</v>
      </c>
      <c r="K39" s="94">
        <f>'[18]車両（アトレー４）'!$AJ$5</f>
        <v>2078860</v>
      </c>
      <c r="L39" s="94">
        <f>'[18]車両（キャラ３）'!$AJ$5</f>
        <v>0</v>
      </c>
    </row>
    <row r="40" spans="1:12" ht="14.25" x14ac:dyDescent="0.15">
      <c r="A40" s="55" t="s">
        <v>42</v>
      </c>
      <c r="B40" s="71">
        <f>[18]敷金保証金!$AJ$5</f>
        <v>50000</v>
      </c>
      <c r="C40" s="11"/>
      <c r="D40" s="12"/>
      <c r="F40" s="94">
        <f>'[18]車両（フリード２）'!$AJ$5</f>
        <v>477725</v>
      </c>
      <c r="G40" s="94">
        <f>'[18]車両（セブン２）'!$AJ$5</f>
        <v>1</v>
      </c>
      <c r="H40" s="94">
        <f>'[18]車両（EK３）'!$AJ$5</f>
        <v>1</v>
      </c>
    </row>
    <row r="41" spans="1:12" ht="14.25" x14ac:dyDescent="0.15">
      <c r="A41" s="55" t="s">
        <v>66</v>
      </c>
      <c r="B41" s="71">
        <f>[18]預託金!$AJ$5</f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f>SUM(B34:B41)</f>
        <v>50803518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f>C31+C42</f>
        <v>88824771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71">
        <f>[18]預り金!$AJ$37</f>
        <v>4035059</v>
      </c>
      <c r="C48" s="5"/>
      <c r="D48" s="78"/>
    </row>
    <row r="49" spans="1:7" ht="14.25" x14ac:dyDescent="0.15">
      <c r="A49" s="55" t="s">
        <v>33</v>
      </c>
      <c r="B49" s="71">
        <f>[18]短期借入金!$AA$37</f>
        <v>5000000</v>
      </c>
      <c r="C49" s="5"/>
      <c r="D49" s="12"/>
    </row>
    <row r="50" spans="1:7" ht="6.75" customHeight="1" x14ac:dyDescent="0.15">
      <c r="A50" s="59"/>
      <c r="B50" s="79"/>
      <c r="C50" s="11"/>
      <c r="D50" s="12"/>
    </row>
    <row r="51" spans="1:7" ht="14.25" x14ac:dyDescent="0.15">
      <c r="A51" s="55" t="s">
        <v>31</v>
      </c>
      <c r="B51" s="80"/>
      <c r="C51" s="37">
        <f>B48+B49</f>
        <v>9035059</v>
      </c>
      <c r="D51" s="23"/>
      <c r="E51" t="s">
        <v>108</v>
      </c>
    </row>
    <row r="52" spans="1:7" ht="11.25" customHeight="1" x14ac:dyDescent="0.15">
      <c r="A52" s="3"/>
      <c r="B52" s="14"/>
      <c r="C52" s="34"/>
      <c r="D52" s="25"/>
    </row>
    <row r="53" spans="1:7" ht="14.25" x14ac:dyDescent="0.15">
      <c r="A53" s="55" t="s">
        <v>22</v>
      </c>
      <c r="B53" s="19"/>
      <c r="C53" s="81"/>
      <c r="D53" s="23"/>
    </row>
    <row r="54" spans="1:7" ht="14.25" x14ac:dyDescent="0.15">
      <c r="A54" s="55" t="s">
        <v>30</v>
      </c>
      <c r="B54" s="71">
        <f>[18]長期借入金!$AA$37</f>
        <v>17274000</v>
      </c>
      <c r="C54" s="11"/>
      <c r="D54" s="25"/>
    </row>
    <row r="55" spans="1:7" ht="14.25" x14ac:dyDescent="0.15">
      <c r="A55" s="9"/>
      <c r="B55" s="19"/>
      <c r="C55" s="11"/>
      <c r="D55" s="25"/>
      <c r="G55" t="s">
        <v>108</v>
      </c>
    </row>
    <row r="56" spans="1:7" ht="14.25" x14ac:dyDescent="0.15">
      <c r="A56" s="61" t="s">
        <v>29</v>
      </c>
      <c r="B56" s="10"/>
      <c r="C56" s="37">
        <f>B54</f>
        <v>17274000</v>
      </c>
      <c r="D56" s="23"/>
    </row>
    <row r="57" spans="1:7" ht="6.75" customHeight="1" x14ac:dyDescent="0.15">
      <c r="A57" s="3"/>
      <c r="B57" s="19"/>
      <c r="C57" s="11"/>
      <c r="D57" s="23"/>
    </row>
    <row r="58" spans="1:7" ht="14.25" x14ac:dyDescent="0.15">
      <c r="A58" s="58" t="s">
        <v>24</v>
      </c>
      <c r="B58" s="40"/>
      <c r="C58" s="40"/>
      <c r="D58" s="38">
        <f>C51+C56</f>
        <v>26309059</v>
      </c>
    </row>
    <row r="59" spans="1:7" ht="11.25" customHeight="1" x14ac:dyDescent="0.15">
      <c r="A59" s="3"/>
      <c r="B59" s="19"/>
      <c r="C59" s="11"/>
      <c r="D59" s="23"/>
    </row>
    <row r="60" spans="1:7" ht="14.25" x14ac:dyDescent="0.15">
      <c r="A60" s="55" t="s">
        <v>3</v>
      </c>
      <c r="B60" s="30"/>
      <c r="C60" s="35"/>
      <c r="D60" s="31"/>
    </row>
    <row r="61" spans="1:7" ht="15" customHeight="1" x14ac:dyDescent="0.15">
      <c r="A61" s="55" t="s">
        <v>27</v>
      </c>
      <c r="B61" s="10"/>
      <c r="C61" s="39"/>
      <c r="D61" s="39">
        <v>0</v>
      </c>
    </row>
    <row r="62" spans="1:7" ht="15.75" customHeight="1" x14ac:dyDescent="0.15">
      <c r="A62" s="55" t="s">
        <v>28</v>
      </c>
      <c r="B62" s="47"/>
      <c r="C62" s="9"/>
      <c r="D62" s="43">
        <f>D44-D58</f>
        <v>62515712</v>
      </c>
      <c r="F62" s="100" t="s">
        <v>124</v>
      </c>
    </row>
    <row r="63" spans="1:7" ht="15.75" customHeight="1" x14ac:dyDescent="0.15">
      <c r="A63" s="59" t="s">
        <v>11</v>
      </c>
      <c r="B63" s="9"/>
      <c r="D63" s="70">
        <f>D64-'7.3月'!D64</f>
        <v>-4859231</v>
      </c>
      <c r="F63" s="92">
        <f>D63-[19]令和７年度!$P$74</f>
        <v>-4718043</v>
      </c>
    </row>
    <row r="64" spans="1:7" ht="16.5" customHeight="1" x14ac:dyDescent="0.15">
      <c r="A64" s="55" t="s">
        <v>26</v>
      </c>
      <c r="B64" s="22"/>
      <c r="C64" s="48"/>
      <c r="D64" s="44">
        <f>D62</f>
        <v>62515712</v>
      </c>
      <c r="F64" s="91"/>
    </row>
    <row r="65" spans="1:6" ht="14.25" x14ac:dyDescent="0.15">
      <c r="A65" s="55" t="s">
        <v>25</v>
      </c>
      <c r="B65" s="22"/>
      <c r="C65" s="9"/>
      <c r="D65" s="69">
        <f>D58+D64</f>
        <v>88824771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861E8-3084-4821-BD04-C0240C2261BE}">
  <sheetPr>
    <pageSetUpPr fitToPage="1"/>
  </sheetPr>
  <dimension ref="A1:L109"/>
  <sheetViews>
    <sheetView zoomScaleNormal="100" workbookViewId="0">
      <selection activeCell="F9" sqref="F9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204</v>
      </c>
      <c r="B1" s="122"/>
      <c r="C1" s="122"/>
      <c r="D1" s="122"/>
    </row>
    <row r="2" spans="1:11" ht="17.25" customHeight="1" x14ac:dyDescent="0.15">
      <c r="A2" s="116" t="s">
        <v>205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12459948</v>
      </c>
      <c r="C9" s="5"/>
      <c r="D9" s="12"/>
      <c r="F9" s="101">
        <f>'[14]0138359'!$AJ$37</f>
        <v>0</v>
      </c>
      <c r="G9" s="101">
        <f>'[14]0138642（居宅）'!$AJ$37</f>
        <v>247971</v>
      </c>
      <c r="H9" s="101">
        <f>'[14]0138655（通所）'!$AJ$37</f>
        <v>5019</v>
      </c>
      <c r="I9" s="101">
        <f>'[14]0156560（新庄）'!$AJ$37</f>
        <v>208826</v>
      </c>
      <c r="J9" s="101">
        <f>'[14]0158313（ゆけむり）'!$AJ$37</f>
        <v>28997</v>
      </c>
      <c r="K9" s="101">
        <f>'[14]0139101（ちゃれんじ）'!$AJ$37</f>
        <v>796379</v>
      </c>
    </row>
    <row r="10" spans="1:11" ht="14.25" x14ac:dyDescent="0.15">
      <c r="A10" s="53" t="s">
        <v>102</v>
      </c>
      <c r="B10" s="73">
        <f>SUM(F9:K9)</f>
        <v>1287192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f>SUM(F11:H11)</f>
        <v>9854736</v>
      </c>
      <c r="C11" s="5"/>
      <c r="D11" s="23"/>
      <c r="F11" s="101">
        <f>'[14]2253865（助け合い）'!$AJ$37</f>
        <v>239820</v>
      </c>
      <c r="G11" s="102">
        <f>'[14]2253871（通所）'!$AJ$37</f>
        <v>929649</v>
      </c>
      <c r="H11" s="103">
        <f>'[14]2254321（ミニ）'!$AJ$37</f>
        <v>8685267</v>
      </c>
    </row>
    <row r="12" spans="1:11" ht="14.25" x14ac:dyDescent="0.15">
      <c r="A12" s="53" t="s">
        <v>128</v>
      </c>
      <c r="B12" s="74">
        <f>SUM(F13)</f>
        <v>591808</v>
      </c>
      <c r="C12" s="5"/>
      <c r="D12" s="23"/>
    </row>
    <row r="13" spans="1:11" ht="14.25" x14ac:dyDescent="0.15">
      <c r="A13" s="53" t="s">
        <v>129</v>
      </c>
      <c r="B13" s="75">
        <f>SUM(H13)</f>
        <v>612212</v>
      </c>
      <c r="C13" s="5"/>
      <c r="D13" s="12"/>
      <c r="E13" s="93" t="s">
        <v>142</v>
      </c>
      <c r="F13" s="104">
        <f>[14]JA0034628!$AJ$37</f>
        <v>591808</v>
      </c>
      <c r="G13" s="93" t="s">
        <v>143</v>
      </c>
      <c r="H13" s="104">
        <f>[14]ゆうちょ6473091!$AJ$37</f>
        <v>612212</v>
      </c>
      <c r="I13" s="93" t="s">
        <v>144</v>
      </c>
      <c r="J13" s="104">
        <f>[14]しま信0116975!$AJ$37</f>
        <v>114000</v>
      </c>
    </row>
    <row r="14" spans="1:11" ht="14.25" x14ac:dyDescent="0.15">
      <c r="A14" s="53" t="s">
        <v>130</v>
      </c>
      <c r="B14" s="75">
        <f>SUM(J13)</f>
        <v>114000</v>
      </c>
      <c r="C14" s="5"/>
      <c r="D14" s="12"/>
    </row>
    <row r="15" spans="1:11" ht="14.25" x14ac:dyDescent="0.15">
      <c r="A15" s="55" t="s">
        <v>36</v>
      </c>
      <c r="B15" s="71">
        <f>SUM(B16:B28)</f>
        <v>24325222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f>SUM(F16:G16)</f>
        <v>5391910</v>
      </c>
      <c r="C16" s="11"/>
      <c r="D16" s="12"/>
      <c r="E16" t="s">
        <v>112</v>
      </c>
      <c r="F16" s="103">
        <f>'[17]未収金（認定調査委託料）'!$AJ$37</f>
        <v>6160</v>
      </c>
      <c r="G16" s="103">
        <f>'[17]未収金（居宅支援介護報酬）'!$AJ$37</f>
        <v>5385750</v>
      </c>
      <c r="H16" s="83"/>
    </row>
    <row r="17" spans="1:11" ht="14.25" x14ac:dyDescent="0.15">
      <c r="A17" s="54" t="s">
        <v>15</v>
      </c>
      <c r="B17" s="73">
        <f>SUM(F18:H18)</f>
        <v>14820188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f>SUM(F20:H20)</f>
        <v>14257</v>
      </c>
      <c r="C18" s="11"/>
      <c r="D18" s="12"/>
      <c r="E18" t="s">
        <v>115</v>
      </c>
      <c r="F18" s="103">
        <f>'[17]未収金（通所保険請求）'!$AJ$37</f>
        <v>12904206</v>
      </c>
      <c r="G18" s="103">
        <f>'[17]未収金（通所利用者負担）'!$AJ$37</f>
        <v>1192982</v>
      </c>
      <c r="H18" s="103">
        <f>'[17]未収金（通所食費）'!$AJ$37</f>
        <v>723000</v>
      </c>
    </row>
    <row r="19" spans="1:11" ht="14.25" x14ac:dyDescent="0.15">
      <c r="A19" s="54" t="s">
        <v>16</v>
      </c>
      <c r="B19" s="73">
        <f>SUM(F23:H23)</f>
        <v>1359218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f>SUM(F25:G25)</f>
        <v>1410068</v>
      </c>
      <c r="C20" s="5"/>
      <c r="D20" s="12"/>
      <c r="E20" t="s">
        <v>119</v>
      </c>
      <c r="F20" s="103">
        <f>'[17]未収金（ゆけむり保険請求）'!$AJ$37</f>
        <v>0</v>
      </c>
      <c r="G20" s="103">
        <f>'[17]未収金（ゆけむり利用者負担）'!$AJ$37</f>
        <v>14257</v>
      </c>
      <c r="H20" s="103">
        <f>'[17]未収金（ゆけむり食費）'!$AJ$37</f>
        <v>0</v>
      </c>
    </row>
    <row r="21" spans="1:11" ht="14.25" x14ac:dyDescent="0.15">
      <c r="A21" s="54" t="s">
        <v>167</v>
      </c>
      <c r="B21" s="73">
        <f>SUM(F27:G27)</f>
        <v>3289</v>
      </c>
      <c r="C21" s="5"/>
      <c r="D21" s="12"/>
      <c r="F21" s="83"/>
      <c r="G21" s="83"/>
      <c r="H21" s="83"/>
    </row>
    <row r="22" spans="1:11" ht="14.25" x14ac:dyDescent="0.15">
      <c r="A22" s="54" t="s">
        <v>192</v>
      </c>
      <c r="B22" s="73">
        <f>SUM(J25:K25)</f>
        <v>541</v>
      </c>
      <c r="C22" s="5"/>
      <c r="D22" s="12"/>
      <c r="F22" s="83" t="s">
        <v>116</v>
      </c>
      <c r="G22" s="83" t="s">
        <v>117</v>
      </c>
      <c r="H22" s="83" t="s">
        <v>118</v>
      </c>
    </row>
    <row r="23" spans="1:11" ht="14.25" x14ac:dyDescent="0.15">
      <c r="A23" s="54" t="s">
        <v>72</v>
      </c>
      <c r="B23" s="73">
        <f>'[17]未収金（通所キャンセル）'!$AJ$37</f>
        <v>14500</v>
      </c>
      <c r="C23" s="5"/>
      <c r="D23" s="12"/>
      <c r="E23" t="s">
        <v>120</v>
      </c>
      <c r="F23" s="103">
        <f>'[17]未収金（予防通所保険請求）'!$AJ$37</f>
        <v>1200466</v>
      </c>
      <c r="G23" s="103">
        <f>'[17]未収金（予防通所利用者負担）'!$AJ$37</f>
        <v>66152</v>
      </c>
      <c r="H23" s="103">
        <f>'[17]未収金（予防通所食費）'!$AJ$37</f>
        <v>92600</v>
      </c>
    </row>
    <row r="24" spans="1:11" ht="14.25" x14ac:dyDescent="0.15">
      <c r="A24" s="54" t="s">
        <v>81</v>
      </c>
      <c r="B24" s="73">
        <f>SUM(F29:H29)</f>
        <v>339151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73">
        <f>'[17]未収金（ミニデイ）'!$AJ$37</f>
        <v>71400</v>
      </c>
      <c r="C25" s="5"/>
      <c r="D25" s="12"/>
      <c r="E25" t="s">
        <v>121</v>
      </c>
      <c r="F25" s="103">
        <f>'[17]未収金（処遇改善保険請求）'!$AJ$37</f>
        <v>1302771</v>
      </c>
      <c r="G25" s="103">
        <f>'[17]未収金（処遇改善利用者負担）'!$AJ$37</f>
        <v>107297</v>
      </c>
      <c r="H25" s="83"/>
      <c r="I25" s="99" t="s">
        <v>169</v>
      </c>
      <c r="J25" s="104">
        <f>'[17]未収金（ベースアップ加算保険請求）'!$AJ$37</f>
        <v>198</v>
      </c>
      <c r="K25" s="104">
        <f>'[17]未収金（ベースアップ加算利用者負担）'!$AJ$37</f>
        <v>343</v>
      </c>
    </row>
    <row r="26" spans="1:11" ht="14.25" x14ac:dyDescent="0.15">
      <c r="A26" s="54" t="s">
        <v>17</v>
      </c>
      <c r="B26" s="74">
        <f>'[17]未収金（ちゃれんじ）'!$AJ$37</f>
        <v>878200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75">
        <f>'[17]未収金（福祉タクシー）'!$AJ$37</f>
        <v>22500</v>
      </c>
      <c r="C27" s="5"/>
      <c r="D27" s="12"/>
      <c r="E27" t="s">
        <v>122</v>
      </c>
      <c r="F27" s="103">
        <f>'[17]未収金（特定処遇改善保険請求）'!$AJ$37</f>
        <v>0</v>
      </c>
      <c r="G27" s="103">
        <f>'[17]未収金（特定処遇改善利用者負担）'!$AJ$37</f>
        <v>3289</v>
      </c>
      <c r="H27" s="83"/>
    </row>
    <row r="28" spans="1:11" ht="14.25" x14ac:dyDescent="0.15">
      <c r="A28" s="54" t="s">
        <v>79</v>
      </c>
      <c r="B28" s="73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71">
        <f>[18]仮払金!$AJ$37</f>
        <v>840448</v>
      </c>
      <c r="C29" s="15" t="s">
        <v>0</v>
      </c>
      <c r="D29" s="12"/>
      <c r="E29" t="s">
        <v>123</v>
      </c>
      <c r="F29" s="103">
        <f>'[17]未収金（サロン保険請求）'!$AJ$37</f>
        <v>289642</v>
      </c>
      <c r="G29" s="103">
        <f>'[17]未収金（サロン利用者負担）'!$AJ$37</f>
        <v>19409</v>
      </c>
      <c r="H29" s="103">
        <f>'[17]未収金（サロン食費）'!$AJ$37</f>
        <v>30100</v>
      </c>
    </row>
    <row r="30" spans="1:11" ht="14.25" x14ac:dyDescent="0.15">
      <c r="A30" s="61" t="s">
        <v>96</v>
      </c>
      <c r="B30" s="71">
        <f>[18]前払費用!$AA$37</f>
        <v>393250</v>
      </c>
      <c r="C30" s="15"/>
      <c r="D30" s="12"/>
    </row>
    <row r="31" spans="1:11" ht="14.25" x14ac:dyDescent="0.15">
      <c r="A31" s="61" t="s">
        <v>38</v>
      </c>
      <c r="B31" s="7"/>
      <c r="C31" s="77">
        <f>B8+B9+B15+B29+B30</f>
        <v>38021253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f>SUM(F34:J34)</f>
        <v>41508869</v>
      </c>
      <c r="C34" s="5"/>
      <c r="D34" s="12"/>
      <c r="E34" t="s">
        <v>146</v>
      </c>
      <c r="F34" s="105">
        <f>'[18]建物（ほっと本体）'!$AJ$5</f>
        <v>225002</v>
      </c>
      <c r="G34" s="105">
        <f>'[18]建物（ほっと2階）'!$AJ$5</f>
        <v>159976</v>
      </c>
      <c r="H34" s="105">
        <f>'[18]建物（新庄）'!$AJ$5</f>
        <v>14958933</v>
      </c>
      <c r="I34" s="105">
        <f>'[18]建物（ゆけむり）'!$AJ$5</f>
        <v>22564101</v>
      </c>
      <c r="J34" s="105">
        <f>'[18]建物（ほっと浴室）'!$AJ$5</f>
        <v>3600857</v>
      </c>
    </row>
    <row r="35" spans="1:12" ht="14.25" x14ac:dyDescent="0.15">
      <c r="A35" s="55" t="s">
        <v>54</v>
      </c>
      <c r="B35" s="71">
        <f>SUM(F35:L36)</f>
        <v>5044881</v>
      </c>
      <c r="C35" s="5"/>
      <c r="D35" s="12"/>
      <c r="E35" t="s">
        <v>147</v>
      </c>
      <c r="F35" s="106">
        <f>'[18]附属建物（厨房）'!$AJ$5</f>
        <v>1</v>
      </c>
      <c r="G35" s="106">
        <f>'[18]附属建物（浴室）'!$AJ$5</f>
        <v>1</v>
      </c>
      <c r="H35" s="106">
        <f>'[18]附属建物（便所）'!$AJ$5</f>
        <v>1</v>
      </c>
      <c r="I35" s="106">
        <f>'[18]附属建物（廊下）'!$AJ$5</f>
        <v>1</v>
      </c>
      <c r="J35" s="106">
        <f>'[18]附属設備（電気設備その他）'!$AJ$5</f>
        <v>82438</v>
      </c>
      <c r="K35" s="106">
        <f>'[18]附属設備（給排水衛生設備）'!$AJ$5</f>
        <v>94536</v>
      </c>
      <c r="L35" s="106">
        <f>'[18]附属設備（消火排煙設備）'!$AJ$5</f>
        <v>5047</v>
      </c>
    </row>
    <row r="36" spans="1:12" ht="14.25" x14ac:dyDescent="0.15">
      <c r="A36" s="55" t="s">
        <v>55</v>
      </c>
      <c r="B36" s="71">
        <f>SUM(F37:H37)</f>
        <v>1179572</v>
      </c>
      <c r="C36" s="5"/>
      <c r="D36" s="12"/>
      <c r="F36" s="106">
        <f>'[18]附属設備（新庄電気設備）'!$AJ$5</f>
        <v>365715</v>
      </c>
      <c r="G36" s="106">
        <f>'[18]附属設備（新庄給排水設備）'!$AJ$5</f>
        <v>446005</v>
      </c>
      <c r="H36" s="106">
        <f>'[18]附属設備（電気設備）'!$AJ$5</f>
        <v>1028074</v>
      </c>
      <c r="I36" s="106">
        <f>'[18]附属設備（給排水設備）'!$AJ$5</f>
        <v>529605</v>
      </c>
      <c r="J36" s="106">
        <f>'[18]附属設備（新庄浴槽改装ガス給湯設備）'!$AJ$6</f>
        <v>513845</v>
      </c>
      <c r="K36" s="106">
        <f>'[18]附属設備（ほっと浴室移設電気工事）'!$AJ$5</f>
        <v>851136</v>
      </c>
      <c r="L36" s="106">
        <f>'[18]附属設備（ほっと浴室移設給排水設備）'!$AJ$5</f>
        <v>1128476</v>
      </c>
    </row>
    <row r="37" spans="1:12" ht="14.25" x14ac:dyDescent="0.15">
      <c r="A37" s="55" t="s">
        <v>75</v>
      </c>
      <c r="B37" s="71">
        <f>SUM(F38:G38)</f>
        <v>204884</v>
      </c>
      <c r="C37" s="5"/>
      <c r="D37" s="12"/>
      <c r="E37" t="s">
        <v>148</v>
      </c>
      <c r="F37" s="107">
        <f>'[18]構築物（舗装工事）'!$AJ$5</f>
        <v>1</v>
      </c>
      <c r="G37" s="107">
        <f>'[18]構築物（ゆけむり）'!$AJ$5</f>
        <v>358351</v>
      </c>
      <c r="H37" s="107">
        <f>'[18]構築物（新庄駐車場舗装）'!$AJ$5</f>
        <v>821220</v>
      </c>
    </row>
    <row r="38" spans="1:12" ht="14.25" x14ac:dyDescent="0.15">
      <c r="A38" s="55" t="s">
        <v>40</v>
      </c>
      <c r="B38" s="71">
        <f>SUM(F39:L40)</f>
        <v>2556592</v>
      </c>
      <c r="C38" s="5"/>
      <c r="D38" s="12"/>
      <c r="E38" t="s">
        <v>149</v>
      </c>
      <c r="F38" s="108">
        <f>'[18]器具備品（新庄玄関エアコン）'!$AJ$5</f>
        <v>31800</v>
      </c>
      <c r="G38" s="108">
        <f>'[18]器具備品（新庄事務室エアコン）'!$AJ$5</f>
        <v>173084</v>
      </c>
    </row>
    <row r="39" spans="1:12" ht="14.25" x14ac:dyDescent="0.15">
      <c r="A39" s="55" t="s">
        <v>41</v>
      </c>
      <c r="B39" s="71">
        <f>[18]電話加入権!$AJ$5</f>
        <v>110600</v>
      </c>
      <c r="C39" s="5"/>
      <c r="D39" s="12"/>
      <c r="E39" t="s">
        <v>150</v>
      </c>
      <c r="F39" s="94">
        <f>'[18]車両（タウンボックス）'!$AJ$5</f>
        <v>1</v>
      </c>
      <c r="G39" s="94">
        <f>'[18]車両（はとバン）'!$AJ$5</f>
        <v>1</v>
      </c>
      <c r="H39" s="94">
        <f>'[18]車両（ノア）'!$AJ$5</f>
        <v>1</v>
      </c>
      <c r="I39" s="94">
        <f>'[18]車両（セレナ）'!$AJ$5</f>
        <v>1</v>
      </c>
      <c r="J39" s="94">
        <f>'[18]車両（アトレー１）'!$AJ$5</f>
        <v>1</v>
      </c>
      <c r="K39" s="94">
        <f>'[18]車両（アトレー４）'!$AJ$5</f>
        <v>2078860</v>
      </c>
      <c r="L39" s="94">
        <f>'[18]車両（キャラ３）'!$AJ$5</f>
        <v>0</v>
      </c>
    </row>
    <row r="40" spans="1:12" ht="14.25" x14ac:dyDescent="0.15">
      <c r="A40" s="55" t="s">
        <v>42</v>
      </c>
      <c r="B40" s="71">
        <f>[18]敷金保証金!$AJ$5</f>
        <v>50000</v>
      </c>
      <c r="C40" s="11"/>
      <c r="D40" s="12"/>
      <c r="F40" s="94">
        <f>'[18]車両（フリード２）'!$AJ$5</f>
        <v>477725</v>
      </c>
      <c r="G40" s="94">
        <f>'[18]車両（セブン２）'!$AJ$5</f>
        <v>1</v>
      </c>
      <c r="H40" s="94">
        <f>'[18]車両（EK３）'!$AJ$5</f>
        <v>1</v>
      </c>
    </row>
    <row r="41" spans="1:12" ht="14.25" x14ac:dyDescent="0.15">
      <c r="A41" s="55" t="s">
        <v>66</v>
      </c>
      <c r="B41" s="71">
        <f>[18]預託金!$AJ$5</f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f>SUM(B34:B41)</f>
        <v>50803518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f>C31+C42</f>
        <v>88824771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71">
        <f>[18]預り金!$AJ$37</f>
        <v>4035059</v>
      </c>
      <c r="C48" s="5"/>
      <c r="D48" s="78"/>
    </row>
    <row r="49" spans="1:7" ht="14.25" x14ac:dyDescent="0.15">
      <c r="A49" s="55" t="s">
        <v>33</v>
      </c>
      <c r="B49" s="71">
        <f>[18]短期借入金!$AA$37</f>
        <v>5000000</v>
      </c>
      <c r="C49" s="5"/>
      <c r="D49" s="12"/>
    </row>
    <row r="50" spans="1:7" ht="6.75" customHeight="1" x14ac:dyDescent="0.15">
      <c r="A50" s="59"/>
      <c r="B50" s="79"/>
      <c r="C50" s="11"/>
      <c r="D50" s="12"/>
    </row>
    <row r="51" spans="1:7" ht="14.25" x14ac:dyDescent="0.15">
      <c r="A51" s="55" t="s">
        <v>31</v>
      </c>
      <c r="B51" s="80"/>
      <c r="C51" s="37">
        <f>B48+B49</f>
        <v>9035059</v>
      </c>
      <c r="D51" s="23"/>
      <c r="E51" t="s">
        <v>108</v>
      </c>
    </row>
    <row r="52" spans="1:7" ht="11.25" customHeight="1" x14ac:dyDescent="0.15">
      <c r="A52" s="3"/>
      <c r="B52" s="14"/>
      <c r="C52" s="34"/>
      <c r="D52" s="25"/>
    </row>
    <row r="53" spans="1:7" ht="14.25" x14ac:dyDescent="0.15">
      <c r="A53" s="55" t="s">
        <v>22</v>
      </c>
      <c r="B53" s="19"/>
      <c r="C53" s="81"/>
      <c r="D53" s="23"/>
    </row>
    <row r="54" spans="1:7" ht="14.25" x14ac:dyDescent="0.15">
      <c r="A54" s="55" t="s">
        <v>30</v>
      </c>
      <c r="B54" s="71">
        <f>[18]長期借入金!$AA$37</f>
        <v>17274000</v>
      </c>
      <c r="C54" s="11"/>
      <c r="D54" s="25"/>
    </row>
    <row r="55" spans="1:7" ht="14.25" x14ac:dyDescent="0.15">
      <c r="A55" s="9"/>
      <c r="B55" s="19"/>
      <c r="C55" s="11"/>
      <c r="D55" s="25"/>
      <c r="G55" t="s">
        <v>108</v>
      </c>
    </row>
    <row r="56" spans="1:7" ht="14.25" x14ac:dyDescent="0.15">
      <c r="A56" s="61" t="s">
        <v>29</v>
      </c>
      <c r="B56" s="10"/>
      <c r="C56" s="37">
        <f>B54</f>
        <v>17274000</v>
      </c>
      <c r="D56" s="23"/>
    </row>
    <row r="57" spans="1:7" ht="6.75" customHeight="1" x14ac:dyDescent="0.15">
      <c r="A57" s="3"/>
      <c r="B57" s="19"/>
      <c r="C57" s="11"/>
      <c r="D57" s="23"/>
    </row>
    <row r="58" spans="1:7" ht="14.25" x14ac:dyDescent="0.15">
      <c r="A58" s="58" t="s">
        <v>24</v>
      </c>
      <c r="B58" s="40"/>
      <c r="C58" s="40"/>
      <c r="D58" s="38">
        <f>C51+C56</f>
        <v>26309059</v>
      </c>
    </row>
    <row r="59" spans="1:7" ht="11.25" customHeight="1" x14ac:dyDescent="0.15">
      <c r="A59" s="3"/>
      <c r="B59" s="19"/>
      <c r="C59" s="11"/>
      <c r="D59" s="23"/>
    </row>
    <row r="60" spans="1:7" ht="14.25" x14ac:dyDescent="0.15">
      <c r="A60" s="55" t="s">
        <v>3</v>
      </c>
      <c r="B60" s="30"/>
      <c r="C60" s="35"/>
      <c r="D60" s="31"/>
    </row>
    <row r="61" spans="1:7" ht="15" customHeight="1" x14ac:dyDescent="0.15">
      <c r="A61" s="55" t="s">
        <v>27</v>
      </c>
      <c r="B61" s="10"/>
      <c r="C61" s="39"/>
      <c r="D61" s="39">
        <v>0</v>
      </c>
    </row>
    <row r="62" spans="1:7" ht="15.75" customHeight="1" x14ac:dyDescent="0.15">
      <c r="A62" s="55" t="s">
        <v>28</v>
      </c>
      <c r="B62" s="47"/>
      <c r="C62" s="9"/>
      <c r="D62" s="43">
        <f>D44-D58</f>
        <v>62515712</v>
      </c>
      <c r="F62" s="100" t="s">
        <v>124</v>
      </c>
    </row>
    <row r="63" spans="1:7" ht="15.75" customHeight="1" x14ac:dyDescent="0.15">
      <c r="A63" s="59" t="s">
        <v>11</v>
      </c>
      <c r="B63" s="9"/>
      <c r="D63" s="70">
        <f>D64-'7.3月'!D64</f>
        <v>-4859231</v>
      </c>
      <c r="F63" s="92">
        <f>D63-[19]令和７年度!$P$74</f>
        <v>-4718043</v>
      </c>
    </row>
    <row r="64" spans="1:7" ht="16.5" customHeight="1" x14ac:dyDescent="0.15">
      <c r="A64" s="55" t="s">
        <v>26</v>
      </c>
      <c r="B64" s="22"/>
      <c r="C64" s="48"/>
      <c r="D64" s="44">
        <f>D62</f>
        <v>62515712</v>
      </c>
      <c r="F64" s="91"/>
    </row>
    <row r="65" spans="1:6" ht="14.25" x14ac:dyDescent="0.15">
      <c r="A65" s="55" t="s">
        <v>25</v>
      </c>
      <c r="B65" s="22"/>
      <c r="C65" s="9"/>
      <c r="D65" s="69">
        <f>D58+D64</f>
        <v>88824771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079EE-F863-4204-B0D9-6A500A24E9F9}">
  <sheetPr>
    <pageSetUpPr fitToPage="1"/>
  </sheetPr>
  <dimension ref="A1:L109"/>
  <sheetViews>
    <sheetView zoomScaleNormal="100" workbookViewId="0">
      <selection activeCell="E61" sqref="E61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204</v>
      </c>
      <c r="B1" s="122"/>
      <c r="C1" s="122"/>
      <c r="D1" s="122"/>
    </row>
    <row r="2" spans="1:11" ht="17.25" customHeight="1" x14ac:dyDescent="0.15">
      <c r="A2" s="116" t="s">
        <v>206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17597431</v>
      </c>
      <c r="C9" s="5"/>
      <c r="D9" s="12"/>
      <c r="F9" s="101">
        <v>5137483</v>
      </c>
      <c r="G9" s="101">
        <f>'[14]0138642（居宅）'!$AJ$37</f>
        <v>247971</v>
      </c>
      <c r="H9" s="101">
        <f>'[14]0138655（通所）'!$AJ$37</f>
        <v>5019</v>
      </c>
      <c r="I9" s="101">
        <f>'[14]0156560（新庄）'!$AJ$37</f>
        <v>208826</v>
      </c>
      <c r="J9" s="101">
        <f>'[14]0158313（ゆけむり）'!$AJ$37</f>
        <v>28997</v>
      </c>
      <c r="K9" s="101">
        <f>'[14]0139101（ちゃれんじ）'!$AJ$37</f>
        <v>796379</v>
      </c>
    </row>
    <row r="10" spans="1:11" ht="14.25" x14ac:dyDescent="0.15">
      <c r="A10" s="53" t="s">
        <v>102</v>
      </c>
      <c r="B10" s="73">
        <f>SUM(F9:K9)</f>
        <v>6424675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f>SUM(F11:H11)</f>
        <v>9854736</v>
      </c>
      <c r="C11" s="5"/>
      <c r="D11" s="23"/>
      <c r="F11" s="101">
        <f>'[14]2253865（助け合い）'!$AJ$37</f>
        <v>239820</v>
      </c>
      <c r="G11" s="102">
        <f>'[14]2253871（通所）'!$AJ$37</f>
        <v>929649</v>
      </c>
      <c r="H11" s="103">
        <f>'[14]2254321（ミニ）'!$AJ$37</f>
        <v>8685267</v>
      </c>
    </row>
    <row r="12" spans="1:11" ht="14.25" x14ac:dyDescent="0.15">
      <c r="A12" s="53" t="s">
        <v>128</v>
      </c>
      <c r="B12" s="74">
        <f>SUM(F13)</f>
        <v>591808</v>
      </c>
      <c r="C12" s="5"/>
      <c r="D12" s="23"/>
    </row>
    <row r="13" spans="1:11" ht="14.25" x14ac:dyDescent="0.15">
      <c r="A13" s="53" t="s">
        <v>129</v>
      </c>
      <c r="B13" s="75">
        <f>SUM(H13)</f>
        <v>612212</v>
      </c>
      <c r="C13" s="5"/>
      <c r="D13" s="12"/>
      <c r="E13" s="93" t="s">
        <v>142</v>
      </c>
      <c r="F13" s="104">
        <f>[14]JA0034628!$AJ$37</f>
        <v>591808</v>
      </c>
      <c r="G13" s="93" t="s">
        <v>143</v>
      </c>
      <c r="H13" s="104">
        <f>[14]ゆうちょ6473091!$AJ$37</f>
        <v>612212</v>
      </c>
      <c r="I13" s="93" t="s">
        <v>144</v>
      </c>
      <c r="J13" s="104">
        <f>[14]しま信0116975!$AJ$37</f>
        <v>114000</v>
      </c>
    </row>
    <row r="14" spans="1:11" ht="14.25" x14ac:dyDescent="0.15">
      <c r="A14" s="53" t="s">
        <v>130</v>
      </c>
      <c r="B14" s="75">
        <f>SUM(J13)</f>
        <v>114000</v>
      </c>
      <c r="C14" s="5"/>
      <c r="D14" s="12"/>
    </row>
    <row r="15" spans="1:11" ht="14.25" x14ac:dyDescent="0.15">
      <c r="A15" s="55" t="s">
        <v>36</v>
      </c>
      <c r="B15" s="71">
        <f>SUM(B16:B28)</f>
        <v>24325222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f>SUM(F16:G16)</f>
        <v>5391910</v>
      </c>
      <c r="C16" s="11"/>
      <c r="D16" s="12"/>
      <c r="E16" t="s">
        <v>112</v>
      </c>
      <c r="F16" s="103">
        <f>'[17]未収金（認定調査委託料）'!$AJ$37</f>
        <v>6160</v>
      </c>
      <c r="G16" s="103">
        <f>'[17]未収金（居宅支援介護報酬）'!$AJ$37</f>
        <v>5385750</v>
      </c>
      <c r="H16" s="83"/>
    </row>
    <row r="17" spans="1:11" ht="14.25" x14ac:dyDescent="0.15">
      <c r="A17" s="54" t="s">
        <v>15</v>
      </c>
      <c r="B17" s="73">
        <f>SUM(F18:H18)</f>
        <v>14820188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f>SUM(F20:H20)</f>
        <v>14257</v>
      </c>
      <c r="C18" s="11"/>
      <c r="D18" s="12"/>
      <c r="E18" t="s">
        <v>115</v>
      </c>
      <c r="F18" s="103">
        <f>'[17]未収金（通所保険請求）'!$AJ$37</f>
        <v>12904206</v>
      </c>
      <c r="G18" s="103">
        <f>'[17]未収金（通所利用者負担）'!$AJ$37</f>
        <v>1192982</v>
      </c>
      <c r="H18" s="103">
        <f>'[17]未収金（通所食費）'!$AJ$37</f>
        <v>723000</v>
      </c>
    </row>
    <row r="19" spans="1:11" ht="14.25" x14ac:dyDescent="0.15">
      <c r="A19" s="54" t="s">
        <v>16</v>
      </c>
      <c r="B19" s="73">
        <f>SUM(F23:H23)</f>
        <v>1359218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f>SUM(F25:G25)</f>
        <v>1410068</v>
      </c>
      <c r="C20" s="5"/>
      <c r="D20" s="12"/>
      <c r="E20" t="s">
        <v>119</v>
      </c>
      <c r="F20" s="103">
        <f>'[17]未収金（ゆけむり保険請求）'!$AJ$37</f>
        <v>0</v>
      </c>
      <c r="G20" s="103">
        <f>'[17]未収金（ゆけむり利用者負担）'!$AJ$37</f>
        <v>14257</v>
      </c>
      <c r="H20" s="103">
        <f>'[17]未収金（ゆけむり食費）'!$AJ$37</f>
        <v>0</v>
      </c>
    </row>
    <row r="21" spans="1:11" ht="14.25" x14ac:dyDescent="0.15">
      <c r="A21" s="54" t="s">
        <v>167</v>
      </c>
      <c r="B21" s="73">
        <f>SUM(F27:G27)</f>
        <v>3289</v>
      </c>
      <c r="C21" s="5"/>
      <c r="D21" s="12"/>
      <c r="F21" s="83"/>
      <c r="G21" s="83"/>
      <c r="H21" s="83"/>
    </row>
    <row r="22" spans="1:11" ht="14.25" x14ac:dyDescent="0.15">
      <c r="A22" s="54" t="s">
        <v>192</v>
      </c>
      <c r="B22" s="73">
        <f>SUM(J25:K25)</f>
        <v>541</v>
      </c>
      <c r="C22" s="5"/>
      <c r="D22" s="12"/>
      <c r="F22" s="83" t="s">
        <v>116</v>
      </c>
      <c r="G22" s="83" t="s">
        <v>117</v>
      </c>
      <c r="H22" s="83" t="s">
        <v>118</v>
      </c>
    </row>
    <row r="23" spans="1:11" ht="14.25" x14ac:dyDescent="0.15">
      <c r="A23" s="54" t="s">
        <v>72</v>
      </c>
      <c r="B23" s="73">
        <f>'[17]未収金（通所キャンセル）'!$AJ$37</f>
        <v>14500</v>
      </c>
      <c r="C23" s="5"/>
      <c r="D23" s="12"/>
      <c r="E23" t="s">
        <v>120</v>
      </c>
      <c r="F23" s="103">
        <f>'[17]未収金（予防通所保険請求）'!$AJ$37</f>
        <v>1200466</v>
      </c>
      <c r="G23" s="103">
        <f>'[17]未収金（予防通所利用者負担）'!$AJ$37</f>
        <v>66152</v>
      </c>
      <c r="H23" s="103">
        <f>'[17]未収金（予防通所食費）'!$AJ$37</f>
        <v>92600</v>
      </c>
    </row>
    <row r="24" spans="1:11" ht="14.25" x14ac:dyDescent="0.15">
      <c r="A24" s="54" t="s">
        <v>81</v>
      </c>
      <c r="B24" s="73">
        <f>SUM(F29:H29)</f>
        <v>339151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73">
        <f>'[17]未収金（ミニデイ）'!$AJ$37</f>
        <v>71400</v>
      </c>
      <c r="C25" s="5"/>
      <c r="D25" s="12"/>
      <c r="E25" t="s">
        <v>121</v>
      </c>
      <c r="F25" s="103">
        <f>'[17]未収金（処遇改善保険請求）'!$AJ$37</f>
        <v>1302771</v>
      </c>
      <c r="G25" s="103">
        <f>'[17]未収金（処遇改善利用者負担）'!$AJ$37</f>
        <v>107297</v>
      </c>
      <c r="H25" s="83"/>
      <c r="I25" s="99" t="s">
        <v>169</v>
      </c>
      <c r="J25" s="104">
        <f>'[17]未収金（ベースアップ加算保険請求）'!$AJ$37</f>
        <v>198</v>
      </c>
      <c r="K25" s="104">
        <f>'[17]未収金（ベースアップ加算利用者負担）'!$AJ$37</f>
        <v>343</v>
      </c>
    </row>
    <row r="26" spans="1:11" ht="14.25" x14ac:dyDescent="0.15">
      <c r="A26" s="54" t="s">
        <v>17</v>
      </c>
      <c r="B26" s="74">
        <f>'[17]未収金（ちゃれんじ）'!$AJ$37</f>
        <v>878200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75">
        <f>'[17]未収金（福祉タクシー）'!$AJ$37</f>
        <v>22500</v>
      </c>
      <c r="C27" s="5"/>
      <c r="D27" s="12"/>
      <c r="E27" t="s">
        <v>122</v>
      </c>
      <c r="F27" s="103">
        <f>'[17]未収金（特定処遇改善保険請求）'!$AJ$37</f>
        <v>0</v>
      </c>
      <c r="G27" s="103">
        <f>'[17]未収金（特定処遇改善利用者負担）'!$AJ$37</f>
        <v>3289</v>
      </c>
      <c r="H27" s="83"/>
    </row>
    <row r="28" spans="1:11" ht="14.25" x14ac:dyDescent="0.15">
      <c r="A28" s="54" t="s">
        <v>79</v>
      </c>
      <c r="B28" s="73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71">
        <f>[18]仮払金!$AJ$37</f>
        <v>840448</v>
      </c>
      <c r="C29" s="15" t="s">
        <v>0</v>
      </c>
      <c r="D29" s="12"/>
      <c r="E29" t="s">
        <v>123</v>
      </c>
      <c r="F29" s="103">
        <f>'[17]未収金（サロン保険請求）'!$AJ$37</f>
        <v>289642</v>
      </c>
      <c r="G29" s="103">
        <f>'[17]未収金（サロン利用者負担）'!$AJ$37</f>
        <v>19409</v>
      </c>
      <c r="H29" s="103">
        <f>'[17]未収金（サロン食費）'!$AJ$37</f>
        <v>30100</v>
      </c>
    </row>
    <row r="30" spans="1:11" ht="14.25" x14ac:dyDescent="0.15">
      <c r="A30" s="61" t="s">
        <v>96</v>
      </c>
      <c r="B30" s="71">
        <f>[18]前払費用!$AA$37</f>
        <v>393250</v>
      </c>
      <c r="C30" s="15"/>
      <c r="D30" s="12"/>
    </row>
    <row r="31" spans="1:11" ht="14.25" x14ac:dyDescent="0.15">
      <c r="A31" s="61" t="s">
        <v>38</v>
      </c>
      <c r="B31" s="7"/>
      <c r="C31" s="77">
        <f>B8+B9+B15+B29+B30</f>
        <v>43158736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f>SUM(F34:J34)</f>
        <v>41508869</v>
      </c>
      <c r="C34" s="5"/>
      <c r="D34" s="12"/>
      <c r="E34" t="s">
        <v>146</v>
      </c>
      <c r="F34" s="105">
        <f>'[18]建物（ほっと本体）'!$AJ$5</f>
        <v>225002</v>
      </c>
      <c r="G34" s="105">
        <f>'[18]建物（ほっと2階）'!$AJ$5</f>
        <v>159976</v>
      </c>
      <c r="H34" s="105">
        <f>'[18]建物（新庄）'!$AJ$5</f>
        <v>14958933</v>
      </c>
      <c r="I34" s="105">
        <f>'[18]建物（ゆけむり）'!$AJ$5</f>
        <v>22564101</v>
      </c>
      <c r="J34" s="105">
        <f>'[18]建物（ほっと浴室）'!$AJ$5</f>
        <v>3600857</v>
      </c>
    </row>
    <row r="35" spans="1:12" ht="14.25" x14ac:dyDescent="0.15">
      <c r="A35" s="55" t="s">
        <v>54</v>
      </c>
      <c r="B35" s="71">
        <f>SUM(F35:L36)</f>
        <v>5044881</v>
      </c>
      <c r="C35" s="5"/>
      <c r="D35" s="12"/>
      <c r="E35" t="s">
        <v>147</v>
      </c>
      <c r="F35" s="106">
        <f>'[18]附属建物（厨房）'!$AJ$5</f>
        <v>1</v>
      </c>
      <c r="G35" s="106">
        <f>'[18]附属建物（浴室）'!$AJ$5</f>
        <v>1</v>
      </c>
      <c r="H35" s="106">
        <f>'[18]附属建物（便所）'!$AJ$5</f>
        <v>1</v>
      </c>
      <c r="I35" s="106">
        <f>'[18]附属建物（廊下）'!$AJ$5</f>
        <v>1</v>
      </c>
      <c r="J35" s="106">
        <f>'[18]附属設備（電気設備その他）'!$AJ$5</f>
        <v>82438</v>
      </c>
      <c r="K35" s="106">
        <f>'[18]附属設備（給排水衛生設備）'!$AJ$5</f>
        <v>94536</v>
      </c>
      <c r="L35" s="106">
        <f>'[18]附属設備（消火排煙設備）'!$AJ$5</f>
        <v>5047</v>
      </c>
    </row>
    <row r="36" spans="1:12" ht="14.25" x14ac:dyDescent="0.15">
      <c r="A36" s="55" t="s">
        <v>55</v>
      </c>
      <c r="B36" s="71">
        <f>SUM(F37:H37)</f>
        <v>1179572</v>
      </c>
      <c r="C36" s="5"/>
      <c r="D36" s="12"/>
      <c r="F36" s="106">
        <f>'[18]附属設備（新庄電気設備）'!$AJ$5</f>
        <v>365715</v>
      </c>
      <c r="G36" s="106">
        <f>'[18]附属設備（新庄給排水設備）'!$AJ$5</f>
        <v>446005</v>
      </c>
      <c r="H36" s="106">
        <f>'[18]附属設備（電気設備）'!$AJ$5</f>
        <v>1028074</v>
      </c>
      <c r="I36" s="106">
        <f>'[18]附属設備（給排水設備）'!$AJ$5</f>
        <v>529605</v>
      </c>
      <c r="J36" s="106">
        <f>'[18]附属設備（新庄浴槽改装ガス給湯設備）'!$AJ$6</f>
        <v>513845</v>
      </c>
      <c r="K36" s="106">
        <f>'[18]附属設備（ほっと浴室移設電気工事）'!$AJ$5</f>
        <v>851136</v>
      </c>
      <c r="L36" s="106">
        <f>'[18]附属設備（ほっと浴室移設給排水設備）'!$AJ$5</f>
        <v>1128476</v>
      </c>
    </row>
    <row r="37" spans="1:12" ht="14.25" x14ac:dyDescent="0.15">
      <c r="A37" s="55" t="s">
        <v>75</v>
      </c>
      <c r="B37" s="71">
        <f>SUM(F38:G38)</f>
        <v>204884</v>
      </c>
      <c r="C37" s="5"/>
      <c r="D37" s="12"/>
      <c r="E37" t="s">
        <v>148</v>
      </c>
      <c r="F37" s="107">
        <f>'[18]構築物（舗装工事）'!$AJ$5</f>
        <v>1</v>
      </c>
      <c r="G37" s="107">
        <f>'[18]構築物（ゆけむり）'!$AJ$5</f>
        <v>358351</v>
      </c>
      <c r="H37" s="107">
        <f>'[18]構築物（新庄駐車場舗装）'!$AJ$5</f>
        <v>821220</v>
      </c>
    </row>
    <row r="38" spans="1:12" ht="14.25" x14ac:dyDescent="0.15">
      <c r="A38" s="55" t="s">
        <v>40</v>
      </c>
      <c r="B38" s="71">
        <f>SUM(F39:L40)</f>
        <v>2556592</v>
      </c>
      <c r="C38" s="5"/>
      <c r="D38" s="12"/>
      <c r="E38" t="s">
        <v>149</v>
      </c>
      <c r="F38" s="108">
        <f>'[18]器具備品（新庄玄関エアコン）'!$AJ$5</f>
        <v>31800</v>
      </c>
      <c r="G38" s="108">
        <f>'[18]器具備品（新庄事務室エアコン）'!$AJ$5</f>
        <v>173084</v>
      </c>
    </row>
    <row r="39" spans="1:12" ht="14.25" x14ac:dyDescent="0.15">
      <c r="A39" s="55" t="s">
        <v>41</v>
      </c>
      <c r="B39" s="71">
        <f>[18]電話加入権!$AJ$5</f>
        <v>110600</v>
      </c>
      <c r="C39" s="5"/>
      <c r="D39" s="12"/>
      <c r="E39" t="s">
        <v>150</v>
      </c>
      <c r="F39" s="94">
        <f>'[18]車両（タウンボックス）'!$AJ$5</f>
        <v>1</v>
      </c>
      <c r="G39" s="94">
        <f>'[18]車両（はとバン）'!$AJ$5</f>
        <v>1</v>
      </c>
      <c r="H39" s="94">
        <f>'[18]車両（ノア）'!$AJ$5</f>
        <v>1</v>
      </c>
      <c r="I39" s="94">
        <f>'[18]車両（セレナ）'!$AJ$5</f>
        <v>1</v>
      </c>
      <c r="J39" s="94">
        <f>'[18]車両（アトレー１）'!$AJ$5</f>
        <v>1</v>
      </c>
      <c r="K39" s="94">
        <f>'[18]車両（アトレー４）'!$AJ$5</f>
        <v>2078860</v>
      </c>
      <c r="L39" s="94">
        <f>'[18]車両（キャラ３）'!$AJ$5</f>
        <v>0</v>
      </c>
    </row>
    <row r="40" spans="1:12" ht="14.25" x14ac:dyDescent="0.15">
      <c r="A40" s="55" t="s">
        <v>42</v>
      </c>
      <c r="B40" s="71">
        <f>[18]敷金保証金!$AJ$5</f>
        <v>50000</v>
      </c>
      <c r="C40" s="11"/>
      <c r="D40" s="12"/>
      <c r="F40" s="94">
        <f>'[18]車両（フリード２）'!$AJ$5</f>
        <v>477725</v>
      </c>
      <c r="G40" s="94">
        <f>'[18]車両（セブン２）'!$AJ$5</f>
        <v>1</v>
      </c>
      <c r="H40" s="94">
        <f>'[18]車両（EK３）'!$AJ$5</f>
        <v>1</v>
      </c>
    </row>
    <row r="41" spans="1:12" ht="14.25" x14ac:dyDescent="0.15">
      <c r="A41" s="55" t="s">
        <v>66</v>
      </c>
      <c r="B41" s="71">
        <f>[18]預託金!$AJ$5</f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f>SUM(B34:B41)</f>
        <v>50803518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f>C31+C42</f>
        <v>93962254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71">
        <f>[18]預り金!$AJ$37</f>
        <v>4035059</v>
      </c>
      <c r="C48" s="5"/>
      <c r="D48" s="78"/>
    </row>
    <row r="49" spans="1:7" ht="14.25" x14ac:dyDescent="0.15">
      <c r="A49" s="55" t="s">
        <v>33</v>
      </c>
      <c r="B49" s="71">
        <f>[18]短期借入金!$AA$37</f>
        <v>5000000</v>
      </c>
      <c r="C49" s="5"/>
      <c r="D49" s="12"/>
    </row>
    <row r="50" spans="1:7" ht="6.75" customHeight="1" x14ac:dyDescent="0.15">
      <c r="A50" s="59"/>
      <c r="B50" s="79"/>
      <c r="C50" s="11"/>
      <c r="D50" s="12"/>
    </row>
    <row r="51" spans="1:7" ht="14.25" x14ac:dyDescent="0.15">
      <c r="A51" s="55" t="s">
        <v>31</v>
      </c>
      <c r="B51" s="80"/>
      <c r="C51" s="37">
        <f>B48+B49</f>
        <v>9035059</v>
      </c>
      <c r="D51" s="23"/>
      <c r="E51" t="s">
        <v>108</v>
      </c>
    </row>
    <row r="52" spans="1:7" ht="11.25" customHeight="1" x14ac:dyDescent="0.15">
      <c r="A52" s="3"/>
      <c r="B52" s="14"/>
      <c r="C52" s="34"/>
      <c r="D52" s="25"/>
    </row>
    <row r="53" spans="1:7" ht="14.25" x14ac:dyDescent="0.15">
      <c r="A53" s="55" t="s">
        <v>22</v>
      </c>
      <c r="B53" s="19"/>
      <c r="C53" s="81"/>
      <c r="D53" s="23"/>
    </row>
    <row r="54" spans="1:7" ht="14.25" x14ac:dyDescent="0.15">
      <c r="A54" s="55" t="s">
        <v>30</v>
      </c>
      <c r="B54" s="71">
        <f>[18]長期借入金!$AA$37</f>
        <v>17274000</v>
      </c>
      <c r="C54" s="11"/>
      <c r="D54" s="25"/>
    </row>
    <row r="55" spans="1:7" ht="14.25" x14ac:dyDescent="0.15">
      <c r="A55" s="9"/>
      <c r="B55" s="19"/>
      <c r="C55" s="11"/>
      <c r="D55" s="25"/>
      <c r="G55" t="s">
        <v>108</v>
      </c>
    </row>
    <row r="56" spans="1:7" ht="14.25" x14ac:dyDescent="0.15">
      <c r="A56" s="61" t="s">
        <v>29</v>
      </c>
      <c r="B56" s="10"/>
      <c r="C56" s="37">
        <f>B54</f>
        <v>17274000</v>
      </c>
      <c r="D56" s="23"/>
    </row>
    <row r="57" spans="1:7" ht="6.75" customHeight="1" x14ac:dyDescent="0.15">
      <c r="A57" s="3"/>
      <c r="B57" s="19"/>
      <c r="C57" s="11"/>
      <c r="D57" s="23"/>
    </row>
    <row r="58" spans="1:7" ht="14.25" x14ac:dyDescent="0.15">
      <c r="A58" s="58" t="s">
        <v>24</v>
      </c>
      <c r="B58" s="40"/>
      <c r="C58" s="40"/>
      <c r="D58" s="38">
        <f>C51+C56</f>
        <v>26309059</v>
      </c>
    </row>
    <row r="59" spans="1:7" ht="11.25" customHeight="1" x14ac:dyDescent="0.15">
      <c r="A59" s="3"/>
      <c r="B59" s="19"/>
      <c r="C59" s="11"/>
      <c r="D59" s="23"/>
    </row>
    <row r="60" spans="1:7" ht="14.25" x14ac:dyDescent="0.15">
      <c r="A60" s="55" t="s">
        <v>3</v>
      </c>
      <c r="B60" s="30"/>
      <c r="C60" s="35"/>
      <c r="D60" s="31"/>
    </row>
    <row r="61" spans="1:7" ht="15" customHeight="1" x14ac:dyDescent="0.15">
      <c r="A61" s="55" t="s">
        <v>27</v>
      </c>
      <c r="B61" s="10"/>
      <c r="C61" s="39"/>
      <c r="D61" s="39">
        <v>0</v>
      </c>
    </row>
    <row r="62" spans="1:7" ht="15.75" customHeight="1" x14ac:dyDescent="0.15">
      <c r="A62" s="55" t="s">
        <v>28</v>
      </c>
      <c r="B62" s="47"/>
      <c r="C62" s="9"/>
      <c r="D62" s="43">
        <f>D44-D58</f>
        <v>67653195</v>
      </c>
      <c r="F62" s="100" t="s">
        <v>124</v>
      </c>
    </row>
    <row r="63" spans="1:7" ht="15.75" customHeight="1" x14ac:dyDescent="0.15">
      <c r="A63" s="59" t="s">
        <v>11</v>
      </c>
      <c r="B63" s="9"/>
      <c r="D63" s="70">
        <f>D64-'7.3月'!D64</f>
        <v>278252</v>
      </c>
      <c r="F63" s="92">
        <f>D63-[19]令和７年度!$P$74</f>
        <v>419440</v>
      </c>
    </row>
    <row r="64" spans="1:7" ht="16.5" customHeight="1" x14ac:dyDescent="0.15">
      <c r="A64" s="55" t="s">
        <v>26</v>
      </c>
      <c r="B64" s="22"/>
      <c r="C64" s="48"/>
      <c r="D64" s="44">
        <f>D62</f>
        <v>67653195</v>
      </c>
      <c r="F64" s="91"/>
    </row>
    <row r="65" spans="1:6" ht="14.25" x14ac:dyDescent="0.15">
      <c r="A65" s="55" t="s">
        <v>25</v>
      </c>
      <c r="B65" s="22"/>
      <c r="C65" s="9"/>
      <c r="D65" s="69">
        <f>D58+D64</f>
        <v>93962254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FEE88-02A7-4859-9D51-90BC07307D0D}">
  <sheetPr>
    <pageSetUpPr fitToPage="1"/>
  </sheetPr>
  <dimension ref="A1:L109"/>
  <sheetViews>
    <sheetView zoomScale="120" zoomScaleNormal="120" workbookViewId="0">
      <selection activeCell="B4" sqref="B4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  <col min="6" max="6" width="10.25" bestFit="1" customWidth="1"/>
    <col min="7" max="7" width="9.25" bestFit="1" customWidth="1"/>
    <col min="8" max="8" width="10.25" bestFit="1" customWidth="1"/>
    <col min="9" max="9" width="9.25" customWidth="1"/>
    <col min="10" max="12" width="9.25" bestFit="1" customWidth="1"/>
  </cols>
  <sheetData>
    <row r="1" spans="1:11" ht="17.25" x14ac:dyDescent="0.15">
      <c r="A1" s="122" t="s">
        <v>204</v>
      </c>
      <c r="B1" s="122"/>
      <c r="C1" s="122"/>
      <c r="D1" s="122"/>
    </row>
    <row r="2" spans="1:11" ht="17.25" customHeight="1" x14ac:dyDescent="0.15">
      <c r="A2" s="116" t="s">
        <v>207</v>
      </c>
      <c r="B2" s="116"/>
      <c r="C2" s="116"/>
      <c r="D2" s="116"/>
    </row>
    <row r="3" spans="1:11" ht="19.5" customHeight="1" x14ac:dyDescent="0.15">
      <c r="B3" s="2" t="s">
        <v>0</v>
      </c>
      <c r="C3" s="117" t="s">
        <v>48</v>
      </c>
      <c r="D3" s="118"/>
      <c r="G3" t="s">
        <v>0</v>
      </c>
    </row>
    <row r="4" spans="1:11" ht="15" customHeight="1" x14ac:dyDescent="0.15">
      <c r="C4" s="115" t="s">
        <v>49</v>
      </c>
      <c r="D4" s="115"/>
      <c r="F4" s="46"/>
    </row>
    <row r="5" spans="1:11" ht="17.25" x14ac:dyDescent="0.2">
      <c r="A5" s="56" t="s">
        <v>5</v>
      </c>
      <c r="B5" s="119" t="s">
        <v>4</v>
      </c>
      <c r="C5" s="120"/>
      <c r="D5" s="121"/>
    </row>
    <row r="6" spans="1:11" ht="14.25" x14ac:dyDescent="0.15">
      <c r="A6" s="55" t="s">
        <v>2</v>
      </c>
      <c r="B6" s="24"/>
      <c r="C6" s="4"/>
      <c r="D6" s="28"/>
    </row>
    <row r="7" spans="1:11" ht="14.25" x14ac:dyDescent="0.15">
      <c r="A7" s="55" t="s">
        <v>19</v>
      </c>
      <c r="B7" s="14"/>
      <c r="C7" s="5"/>
      <c r="D7" s="12"/>
    </row>
    <row r="8" spans="1:11" ht="14.25" x14ac:dyDescent="0.15">
      <c r="A8" s="55" t="s">
        <v>34</v>
      </c>
      <c r="B8" s="72">
        <v>2385</v>
      </c>
      <c r="C8" s="5"/>
      <c r="D8" s="12"/>
      <c r="E8" t="s">
        <v>110</v>
      </c>
      <c r="F8">
        <v>138359</v>
      </c>
      <c r="G8">
        <v>138642</v>
      </c>
      <c r="H8">
        <v>138655</v>
      </c>
      <c r="I8">
        <v>156560</v>
      </c>
      <c r="J8">
        <v>158313</v>
      </c>
      <c r="K8">
        <v>139101</v>
      </c>
    </row>
    <row r="9" spans="1:11" ht="14.25" x14ac:dyDescent="0.15">
      <c r="A9" s="55" t="s">
        <v>35</v>
      </c>
      <c r="B9" s="71">
        <f>SUM(B10:B14)</f>
        <v>18551498</v>
      </c>
      <c r="C9" s="5"/>
      <c r="D9" s="12"/>
      <c r="F9" s="101">
        <f>'[14]0138359'!$AI$37</f>
        <v>6091550</v>
      </c>
      <c r="G9" s="101">
        <f>'[14]0138642（居宅）'!$AJ$37</f>
        <v>247971</v>
      </c>
      <c r="H9" s="101">
        <f>'[14]0138655（通所）'!$AJ$37</f>
        <v>5019</v>
      </c>
      <c r="I9" s="101">
        <f>'[14]0156560（新庄）'!$AJ$37</f>
        <v>208826</v>
      </c>
      <c r="J9" s="101">
        <f>'[14]0158313（ゆけむり）'!$AJ$37</f>
        <v>28997</v>
      </c>
      <c r="K9" s="101">
        <f>'[14]0139101（ちゃれんじ）'!$AJ$37</f>
        <v>796379</v>
      </c>
    </row>
    <row r="10" spans="1:11" ht="14.25" x14ac:dyDescent="0.15">
      <c r="A10" s="53" t="s">
        <v>102</v>
      </c>
      <c r="B10" s="73">
        <f>SUM(F9:K9)</f>
        <v>7378742</v>
      </c>
      <c r="C10" s="5"/>
      <c r="D10" s="23"/>
      <c r="E10" t="s">
        <v>111</v>
      </c>
      <c r="F10">
        <v>2253865</v>
      </c>
      <c r="G10">
        <v>2253871</v>
      </c>
      <c r="H10">
        <v>2254321</v>
      </c>
      <c r="K10" t="s">
        <v>108</v>
      </c>
    </row>
    <row r="11" spans="1:11" ht="14.25" x14ac:dyDescent="0.15">
      <c r="A11" s="54" t="s">
        <v>12</v>
      </c>
      <c r="B11" s="73">
        <f>SUM(F11:H11)</f>
        <v>9854736</v>
      </c>
      <c r="C11" s="5"/>
      <c r="D11" s="23"/>
      <c r="F11" s="101">
        <f>'[14]2253865（助け合い）'!$AJ$37</f>
        <v>239820</v>
      </c>
      <c r="G11" s="102">
        <f>'[14]2253871（通所）'!$AJ$37</f>
        <v>929649</v>
      </c>
      <c r="H11" s="103">
        <f>'[14]2254321（ミニ）'!$AJ$37</f>
        <v>8685267</v>
      </c>
    </row>
    <row r="12" spans="1:11" ht="14.25" x14ac:dyDescent="0.15">
      <c r="A12" s="53" t="s">
        <v>128</v>
      </c>
      <c r="B12" s="74">
        <f>SUM(F13)</f>
        <v>591808</v>
      </c>
      <c r="C12" s="5"/>
      <c r="D12" s="23"/>
    </row>
    <row r="13" spans="1:11" ht="14.25" x14ac:dyDescent="0.15">
      <c r="A13" s="53" t="s">
        <v>129</v>
      </c>
      <c r="B13" s="75">
        <f>SUM(H13)</f>
        <v>612212</v>
      </c>
      <c r="C13" s="5"/>
      <c r="D13" s="12"/>
      <c r="E13" s="93" t="s">
        <v>142</v>
      </c>
      <c r="F13" s="104">
        <f>[14]JA0034628!$AJ$37</f>
        <v>591808</v>
      </c>
      <c r="G13" s="93" t="s">
        <v>143</v>
      </c>
      <c r="H13" s="104">
        <f>[14]ゆうちょ6473091!$AJ$37</f>
        <v>612212</v>
      </c>
      <c r="I13" s="93" t="s">
        <v>144</v>
      </c>
      <c r="J13" s="104">
        <f>[14]しま信0116975!$AJ$37</f>
        <v>114000</v>
      </c>
    </row>
    <row r="14" spans="1:11" ht="14.25" x14ac:dyDescent="0.15">
      <c r="A14" s="53" t="s">
        <v>130</v>
      </c>
      <c r="B14" s="75">
        <f>SUM(J13)</f>
        <v>114000</v>
      </c>
      <c r="C14" s="5"/>
      <c r="D14" s="12"/>
    </row>
    <row r="15" spans="1:11" ht="14.25" x14ac:dyDescent="0.15">
      <c r="A15" s="55" t="s">
        <v>36</v>
      </c>
      <c r="B15" s="71">
        <f>SUM(B16:B28)</f>
        <v>24325222</v>
      </c>
      <c r="C15" s="76"/>
      <c r="D15" s="12"/>
      <c r="F15" t="s">
        <v>113</v>
      </c>
      <c r="G15" t="s">
        <v>114</v>
      </c>
    </row>
    <row r="16" spans="1:11" ht="14.25" x14ac:dyDescent="0.15">
      <c r="A16" s="54" t="s">
        <v>14</v>
      </c>
      <c r="B16" s="74">
        <f>SUM(F16:G16)</f>
        <v>5391910</v>
      </c>
      <c r="C16" s="11"/>
      <c r="D16" s="12"/>
      <c r="E16" t="s">
        <v>112</v>
      </c>
      <c r="F16" s="103">
        <f>'[17]未収金（認定調査委託料）'!$AJ$37</f>
        <v>6160</v>
      </c>
      <c r="G16" s="103">
        <f>'[17]未収金（居宅支援介護報酬）'!$AJ$37</f>
        <v>5385750</v>
      </c>
      <c r="H16" s="83"/>
    </row>
    <row r="17" spans="1:11" ht="14.25" x14ac:dyDescent="0.15">
      <c r="A17" s="54" t="s">
        <v>15</v>
      </c>
      <c r="B17" s="73">
        <f>SUM(F18:H18)</f>
        <v>14820188</v>
      </c>
      <c r="C17" s="5"/>
      <c r="D17" s="12"/>
      <c r="F17" s="83" t="s">
        <v>116</v>
      </c>
      <c r="G17" s="83" t="s">
        <v>117</v>
      </c>
      <c r="H17" s="83" t="s">
        <v>118</v>
      </c>
    </row>
    <row r="18" spans="1:11" ht="14.25" x14ac:dyDescent="0.15">
      <c r="A18" s="53" t="s">
        <v>58</v>
      </c>
      <c r="B18" s="74">
        <f>SUM(F20:H20)</f>
        <v>14257</v>
      </c>
      <c r="C18" s="11"/>
      <c r="D18" s="12"/>
      <c r="E18" t="s">
        <v>115</v>
      </c>
      <c r="F18" s="103">
        <f>'[17]未収金（通所保険請求）'!$AJ$37</f>
        <v>12904206</v>
      </c>
      <c r="G18" s="103">
        <f>'[17]未収金（通所利用者負担）'!$AJ$37</f>
        <v>1192982</v>
      </c>
      <c r="H18" s="103">
        <f>'[17]未収金（通所食費）'!$AJ$37</f>
        <v>723000</v>
      </c>
    </row>
    <row r="19" spans="1:11" ht="14.25" x14ac:dyDescent="0.15">
      <c r="A19" s="54" t="s">
        <v>16</v>
      </c>
      <c r="B19" s="73">
        <f>SUM(F23:H23)</f>
        <v>1359218</v>
      </c>
      <c r="C19" s="5"/>
      <c r="D19" s="12"/>
      <c r="F19" s="83" t="s">
        <v>116</v>
      </c>
      <c r="G19" s="83" t="s">
        <v>117</v>
      </c>
      <c r="H19" s="83" t="s">
        <v>118</v>
      </c>
    </row>
    <row r="20" spans="1:11" ht="14.25" x14ac:dyDescent="0.15">
      <c r="A20" s="54" t="s">
        <v>67</v>
      </c>
      <c r="B20" s="73">
        <f>SUM(F25:G25)</f>
        <v>1410068</v>
      </c>
      <c r="C20" s="5"/>
      <c r="D20" s="12"/>
      <c r="E20" t="s">
        <v>119</v>
      </c>
      <c r="F20" s="103">
        <f>'[17]未収金（ゆけむり保険請求）'!$AJ$37</f>
        <v>0</v>
      </c>
      <c r="G20" s="103">
        <f>'[17]未収金（ゆけむり利用者負担）'!$AJ$37</f>
        <v>14257</v>
      </c>
      <c r="H20" s="103">
        <f>'[17]未収金（ゆけむり食費）'!$AJ$37</f>
        <v>0</v>
      </c>
    </row>
    <row r="21" spans="1:11" ht="14.25" x14ac:dyDescent="0.15">
      <c r="A21" s="54" t="s">
        <v>167</v>
      </c>
      <c r="B21" s="73">
        <f>SUM(F27:G27)</f>
        <v>3289</v>
      </c>
      <c r="C21" s="5"/>
      <c r="D21" s="12"/>
      <c r="F21" s="83"/>
      <c r="G21" s="83"/>
      <c r="H21" s="83"/>
    </row>
    <row r="22" spans="1:11" ht="14.25" x14ac:dyDescent="0.15">
      <c r="A22" s="54" t="s">
        <v>192</v>
      </c>
      <c r="B22" s="73">
        <f>SUM(J25:K25)</f>
        <v>541</v>
      </c>
      <c r="C22" s="5"/>
      <c r="D22" s="12"/>
      <c r="F22" s="83" t="s">
        <v>116</v>
      </c>
      <c r="G22" s="83" t="s">
        <v>117</v>
      </c>
      <c r="H22" s="83" t="s">
        <v>118</v>
      </c>
    </row>
    <row r="23" spans="1:11" ht="14.25" x14ac:dyDescent="0.15">
      <c r="A23" s="54" t="s">
        <v>72</v>
      </c>
      <c r="B23" s="73">
        <f>'[17]未収金（通所キャンセル）'!$AJ$37</f>
        <v>14500</v>
      </c>
      <c r="C23" s="5"/>
      <c r="D23" s="12"/>
      <c r="E23" t="s">
        <v>120</v>
      </c>
      <c r="F23" s="103">
        <f>'[17]未収金（予防通所保険請求）'!$AJ$37</f>
        <v>1200466</v>
      </c>
      <c r="G23" s="103">
        <f>'[17]未収金（予防通所利用者負担）'!$AJ$37</f>
        <v>66152</v>
      </c>
      <c r="H23" s="103">
        <f>'[17]未収金（予防通所食費）'!$AJ$37</f>
        <v>92600</v>
      </c>
    </row>
    <row r="24" spans="1:11" ht="14.25" x14ac:dyDescent="0.15">
      <c r="A24" s="54" t="s">
        <v>81</v>
      </c>
      <c r="B24" s="73">
        <f>SUM(F29:H29)</f>
        <v>339151</v>
      </c>
      <c r="C24" s="5"/>
      <c r="D24" s="12"/>
      <c r="F24" s="83" t="s">
        <v>131</v>
      </c>
      <c r="G24" s="83" t="s">
        <v>117</v>
      </c>
      <c r="H24" s="83"/>
      <c r="J24" s="83" t="s">
        <v>131</v>
      </c>
      <c r="K24" s="83" t="s">
        <v>117</v>
      </c>
    </row>
    <row r="25" spans="1:11" ht="14.25" x14ac:dyDescent="0.15">
      <c r="A25" s="54" t="s">
        <v>82</v>
      </c>
      <c r="B25" s="73">
        <f>'[17]未収金（ミニデイ）'!$AJ$37</f>
        <v>71400</v>
      </c>
      <c r="C25" s="5"/>
      <c r="D25" s="12"/>
      <c r="E25" t="s">
        <v>121</v>
      </c>
      <c r="F25" s="103">
        <f>'[17]未収金（処遇改善保険請求）'!$AJ$37</f>
        <v>1302771</v>
      </c>
      <c r="G25" s="103">
        <f>'[17]未収金（処遇改善利用者負担）'!$AJ$37</f>
        <v>107297</v>
      </c>
      <c r="H25" s="83"/>
      <c r="I25" s="99" t="s">
        <v>169</v>
      </c>
      <c r="J25" s="104">
        <f>'[17]未収金（ベースアップ加算保険請求）'!$AJ$37</f>
        <v>198</v>
      </c>
      <c r="K25" s="104">
        <f>'[17]未収金（ベースアップ加算利用者負担）'!$AJ$37</f>
        <v>343</v>
      </c>
    </row>
    <row r="26" spans="1:11" ht="14.25" x14ac:dyDescent="0.15">
      <c r="A26" s="54" t="s">
        <v>17</v>
      </c>
      <c r="B26" s="74">
        <f>'[17]未収金（ちゃれんじ）'!$AJ$37</f>
        <v>878200</v>
      </c>
      <c r="C26" s="5"/>
      <c r="D26" s="12"/>
      <c r="F26" s="83" t="s">
        <v>116</v>
      </c>
      <c r="G26" s="83" t="s">
        <v>117</v>
      </c>
      <c r="H26" s="83"/>
      <c r="K26" t="s">
        <v>108</v>
      </c>
    </row>
    <row r="27" spans="1:11" ht="14.25" x14ac:dyDescent="0.15">
      <c r="A27" s="54" t="s">
        <v>71</v>
      </c>
      <c r="B27" s="75">
        <f>'[17]未収金（福祉タクシー）'!$AJ$37</f>
        <v>22500</v>
      </c>
      <c r="C27" s="5"/>
      <c r="D27" s="12"/>
      <c r="E27" t="s">
        <v>122</v>
      </c>
      <c r="F27" s="103">
        <f>'[17]未収金（特定処遇改善保険請求）'!$AJ$37</f>
        <v>0</v>
      </c>
      <c r="G27" s="103">
        <f>'[17]未収金（特定処遇改善利用者負担）'!$AJ$37</f>
        <v>3289</v>
      </c>
      <c r="H27" s="83"/>
    </row>
    <row r="28" spans="1:11" ht="14.25" x14ac:dyDescent="0.15">
      <c r="A28" s="54" t="s">
        <v>79</v>
      </c>
      <c r="B28" s="73">
        <v>0</v>
      </c>
      <c r="C28" s="5"/>
      <c r="D28" s="12"/>
      <c r="F28" s="83" t="s">
        <v>131</v>
      </c>
      <c r="G28" s="83" t="s">
        <v>135</v>
      </c>
      <c r="H28" s="83" t="s">
        <v>118</v>
      </c>
    </row>
    <row r="29" spans="1:11" ht="14.25" x14ac:dyDescent="0.15">
      <c r="A29" s="55" t="s">
        <v>37</v>
      </c>
      <c r="B29" s="71">
        <f>[18]仮払金!$AJ$37</f>
        <v>840448</v>
      </c>
      <c r="C29" s="15" t="s">
        <v>0</v>
      </c>
      <c r="D29" s="12"/>
      <c r="E29" t="s">
        <v>123</v>
      </c>
      <c r="F29" s="103">
        <f>'[17]未収金（サロン保険請求）'!$AJ$37</f>
        <v>289642</v>
      </c>
      <c r="G29" s="103">
        <f>'[17]未収金（サロン利用者負担）'!$AJ$37</f>
        <v>19409</v>
      </c>
      <c r="H29" s="103">
        <f>'[17]未収金（サロン食費）'!$AJ$37</f>
        <v>30100</v>
      </c>
    </row>
    <row r="30" spans="1:11" ht="14.25" x14ac:dyDescent="0.15">
      <c r="A30" s="61" t="s">
        <v>96</v>
      </c>
      <c r="B30" s="71">
        <f>[18]前払費用!$AA$37</f>
        <v>393250</v>
      </c>
      <c r="C30" s="15"/>
      <c r="D30" s="12"/>
    </row>
    <row r="31" spans="1:11" ht="14.25" x14ac:dyDescent="0.15">
      <c r="A31" s="61" t="s">
        <v>38</v>
      </c>
      <c r="B31" s="7"/>
      <c r="C31" s="77">
        <f>B8+B9+B15+B29+B30</f>
        <v>44112803</v>
      </c>
      <c r="D31" s="12"/>
    </row>
    <row r="32" spans="1:11" ht="11.25" customHeight="1" x14ac:dyDescent="0.15">
      <c r="A32" s="11"/>
      <c r="B32" s="14"/>
      <c r="C32" s="5"/>
      <c r="D32" s="78" t="s">
        <v>0</v>
      </c>
    </row>
    <row r="33" spans="1:12" ht="14.25" x14ac:dyDescent="0.15">
      <c r="A33" s="55" t="s">
        <v>20</v>
      </c>
      <c r="B33" s="79" t="s">
        <v>0</v>
      </c>
      <c r="C33" s="5"/>
      <c r="D33" s="25"/>
    </row>
    <row r="34" spans="1:12" ht="14.25" x14ac:dyDescent="0.15">
      <c r="A34" s="55" t="s">
        <v>39</v>
      </c>
      <c r="B34" s="71">
        <f>SUM(F34:J34)</f>
        <v>41508869</v>
      </c>
      <c r="C34" s="5"/>
      <c r="D34" s="12"/>
      <c r="E34" t="s">
        <v>146</v>
      </c>
      <c r="F34" s="105">
        <f>'[18]建物（ほっと本体）'!$AJ$5</f>
        <v>225002</v>
      </c>
      <c r="G34" s="105">
        <f>'[18]建物（ほっと2階）'!$AJ$5</f>
        <v>159976</v>
      </c>
      <c r="H34" s="105">
        <f>'[18]建物（新庄）'!$AJ$5</f>
        <v>14958933</v>
      </c>
      <c r="I34" s="105">
        <f>'[18]建物（ゆけむり）'!$AJ$5</f>
        <v>22564101</v>
      </c>
      <c r="J34" s="105">
        <f>'[18]建物（ほっと浴室）'!$AJ$5</f>
        <v>3600857</v>
      </c>
    </row>
    <row r="35" spans="1:12" ht="14.25" x14ac:dyDescent="0.15">
      <c r="A35" s="55" t="s">
        <v>54</v>
      </c>
      <c r="B35" s="71">
        <f>SUM(F35:L36)</f>
        <v>5044881</v>
      </c>
      <c r="C35" s="5"/>
      <c r="D35" s="12"/>
      <c r="E35" t="s">
        <v>147</v>
      </c>
      <c r="F35" s="106">
        <f>'[18]附属建物（厨房）'!$AJ$5</f>
        <v>1</v>
      </c>
      <c r="G35" s="106">
        <f>'[18]附属建物（浴室）'!$AJ$5</f>
        <v>1</v>
      </c>
      <c r="H35" s="106">
        <f>'[18]附属建物（便所）'!$AJ$5</f>
        <v>1</v>
      </c>
      <c r="I35" s="106">
        <f>'[18]附属建物（廊下）'!$AJ$5</f>
        <v>1</v>
      </c>
      <c r="J35" s="106">
        <f>'[18]附属設備（電気設備その他）'!$AJ$5</f>
        <v>82438</v>
      </c>
      <c r="K35" s="106">
        <f>'[18]附属設備（給排水衛生設備）'!$AJ$5</f>
        <v>94536</v>
      </c>
      <c r="L35" s="106">
        <f>'[18]附属設備（消火排煙設備）'!$AJ$5</f>
        <v>5047</v>
      </c>
    </row>
    <row r="36" spans="1:12" ht="14.25" x14ac:dyDescent="0.15">
      <c r="A36" s="55" t="s">
        <v>55</v>
      </c>
      <c r="B36" s="71">
        <f>SUM(F37:H37)</f>
        <v>1179572</v>
      </c>
      <c r="C36" s="5"/>
      <c r="D36" s="12"/>
      <c r="F36" s="106">
        <f>'[18]附属設備（新庄電気設備）'!$AJ$5</f>
        <v>365715</v>
      </c>
      <c r="G36" s="106">
        <f>'[18]附属設備（新庄給排水設備）'!$AJ$5</f>
        <v>446005</v>
      </c>
      <c r="H36" s="106">
        <f>'[18]附属設備（電気設備）'!$AJ$5</f>
        <v>1028074</v>
      </c>
      <c r="I36" s="106">
        <f>'[18]附属設備（給排水設備）'!$AJ$5</f>
        <v>529605</v>
      </c>
      <c r="J36" s="106">
        <f>'[18]附属設備（新庄浴槽改装ガス給湯設備）'!$AJ$6</f>
        <v>513845</v>
      </c>
      <c r="K36" s="106">
        <f>'[18]附属設備（ほっと浴室移設電気工事）'!$AJ$5</f>
        <v>851136</v>
      </c>
      <c r="L36" s="106">
        <f>'[18]附属設備（ほっと浴室移設給排水設備）'!$AJ$5</f>
        <v>1128476</v>
      </c>
    </row>
    <row r="37" spans="1:12" ht="14.25" x14ac:dyDescent="0.15">
      <c r="A37" s="55" t="s">
        <v>75</v>
      </c>
      <c r="B37" s="71">
        <f>SUM(F38:G38)</f>
        <v>204884</v>
      </c>
      <c r="C37" s="5"/>
      <c r="D37" s="12"/>
      <c r="E37" t="s">
        <v>148</v>
      </c>
      <c r="F37" s="107">
        <f>'[18]構築物（舗装工事）'!$AJ$5</f>
        <v>1</v>
      </c>
      <c r="G37" s="107">
        <f>'[18]構築物（ゆけむり）'!$AJ$5</f>
        <v>358351</v>
      </c>
      <c r="H37" s="107">
        <f>'[18]構築物（新庄駐車場舗装）'!$AJ$5</f>
        <v>821220</v>
      </c>
    </row>
    <row r="38" spans="1:12" ht="14.25" x14ac:dyDescent="0.15">
      <c r="A38" s="55" t="s">
        <v>40</v>
      </c>
      <c r="B38" s="71">
        <f>SUM(F39:L40)</f>
        <v>2556592</v>
      </c>
      <c r="C38" s="5"/>
      <c r="D38" s="12"/>
      <c r="E38" t="s">
        <v>149</v>
      </c>
      <c r="F38" s="108">
        <f>'[18]器具備品（新庄玄関エアコン）'!$AJ$5</f>
        <v>31800</v>
      </c>
      <c r="G38" s="108">
        <f>'[18]器具備品（新庄事務室エアコン）'!$AJ$5</f>
        <v>173084</v>
      </c>
    </row>
    <row r="39" spans="1:12" ht="14.25" x14ac:dyDescent="0.15">
      <c r="A39" s="55" t="s">
        <v>41</v>
      </c>
      <c r="B39" s="71">
        <f>[18]電話加入権!$AJ$5</f>
        <v>110600</v>
      </c>
      <c r="C39" s="5"/>
      <c r="D39" s="12"/>
      <c r="E39" t="s">
        <v>150</v>
      </c>
      <c r="F39" s="94">
        <f>'[18]車両（タウンボックス）'!$AJ$5</f>
        <v>1</v>
      </c>
      <c r="G39" s="94">
        <f>'[18]車両（はとバン）'!$AJ$5</f>
        <v>1</v>
      </c>
      <c r="H39" s="94">
        <f>'[18]車両（ノア）'!$AJ$5</f>
        <v>1</v>
      </c>
      <c r="I39" s="94">
        <f>'[18]車両（セレナ）'!$AJ$5</f>
        <v>1</v>
      </c>
      <c r="J39" s="94">
        <f>'[18]車両（アトレー１）'!$AJ$5</f>
        <v>1</v>
      </c>
      <c r="K39" s="94">
        <f>'[18]車両（アトレー４）'!$AJ$5</f>
        <v>2078860</v>
      </c>
      <c r="L39" s="94">
        <f>'[18]車両（キャラ３）'!$AJ$5</f>
        <v>0</v>
      </c>
    </row>
    <row r="40" spans="1:12" ht="14.25" x14ac:dyDescent="0.15">
      <c r="A40" s="55" t="s">
        <v>42</v>
      </c>
      <c r="B40" s="71">
        <f>[18]敷金保証金!$AJ$5</f>
        <v>50000</v>
      </c>
      <c r="C40" s="11"/>
      <c r="D40" s="12"/>
      <c r="F40" s="94">
        <f>'[18]車両（フリード２）'!$AJ$5</f>
        <v>477725</v>
      </c>
      <c r="G40" s="94">
        <f>'[18]車両（セブン２）'!$AJ$5</f>
        <v>1</v>
      </c>
      <c r="H40" s="94">
        <f>'[18]車両（EK３）'!$AJ$5</f>
        <v>1</v>
      </c>
    </row>
    <row r="41" spans="1:12" ht="14.25" x14ac:dyDescent="0.15">
      <c r="A41" s="55" t="s">
        <v>66</v>
      </c>
      <c r="B41" s="71">
        <f>[18]預託金!$AJ$5</f>
        <v>148120</v>
      </c>
      <c r="C41" s="76"/>
      <c r="D41" s="12"/>
    </row>
    <row r="42" spans="1:12" ht="14.25" x14ac:dyDescent="0.15">
      <c r="A42" s="61" t="s">
        <v>43</v>
      </c>
      <c r="B42" s="80"/>
      <c r="C42" s="37">
        <f>SUM(B34:B41)</f>
        <v>50803518</v>
      </c>
      <c r="D42" s="12"/>
    </row>
    <row r="43" spans="1:12" ht="8.25" customHeight="1" x14ac:dyDescent="0.15">
      <c r="A43" s="11"/>
      <c r="B43" s="19"/>
      <c r="C43" s="5"/>
      <c r="D43" s="12"/>
    </row>
    <row r="44" spans="1:12" ht="14.25" x14ac:dyDescent="0.15">
      <c r="A44" s="58" t="s">
        <v>23</v>
      </c>
      <c r="B44" s="80"/>
      <c r="C44" s="10"/>
      <c r="D44" s="38">
        <f>C31+C42</f>
        <v>94916321</v>
      </c>
    </row>
    <row r="45" spans="1:12" ht="11.25" customHeight="1" x14ac:dyDescent="0.15">
      <c r="A45" s="9"/>
      <c r="B45" s="62"/>
      <c r="C45" s="62"/>
      <c r="D45" s="62"/>
    </row>
    <row r="46" spans="1:12" ht="14.25" x14ac:dyDescent="0.15">
      <c r="A46" s="60" t="s">
        <v>18</v>
      </c>
      <c r="B46" s="79"/>
      <c r="C46" s="5"/>
      <c r="D46" s="12"/>
    </row>
    <row r="47" spans="1:12" ht="14.25" x14ac:dyDescent="0.15">
      <c r="A47" s="55" t="s">
        <v>21</v>
      </c>
      <c r="B47" s="79"/>
      <c r="C47" s="5"/>
      <c r="D47" s="23"/>
    </row>
    <row r="48" spans="1:12" ht="14.25" x14ac:dyDescent="0.15">
      <c r="A48" s="55" t="s">
        <v>32</v>
      </c>
      <c r="B48" s="71">
        <v>4035059</v>
      </c>
      <c r="C48" s="5"/>
      <c r="D48" s="78"/>
    </row>
    <row r="49" spans="1:7" ht="14.25" x14ac:dyDescent="0.15">
      <c r="A49" s="55" t="s">
        <v>33</v>
      </c>
      <c r="B49" s="71">
        <f>[18]短期借入金!$AA$37</f>
        <v>5000000</v>
      </c>
      <c r="C49" s="5"/>
      <c r="D49" s="12"/>
    </row>
    <row r="50" spans="1:7" ht="6.75" customHeight="1" x14ac:dyDescent="0.15">
      <c r="A50" s="59"/>
      <c r="B50" s="79"/>
      <c r="C50" s="11"/>
      <c r="D50" s="12"/>
    </row>
    <row r="51" spans="1:7" ht="14.25" x14ac:dyDescent="0.15">
      <c r="A51" s="55" t="s">
        <v>31</v>
      </c>
      <c r="B51" s="80"/>
      <c r="C51" s="37">
        <f>B48+B49</f>
        <v>9035059</v>
      </c>
      <c r="D51" s="23"/>
      <c r="E51" t="s">
        <v>108</v>
      </c>
    </row>
    <row r="52" spans="1:7" ht="11.25" customHeight="1" x14ac:dyDescent="0.15">
      <c r="A52" s="3"/>
      <c r="B52" s="14"/>
      <c r="C52" s="34"/>
      <c r="D52" s="25"/>
    </row>
    <row r="53" spans="1:7" ht="14.25" x14ac:dyDescent="0.15">
      <c r="A53" s="55" t="s">
        <v>22</v>
      </c>
      <c r="B53" s="19"/>
      <c r="C53" s="81"/>
      <c r="D53" s="23"/>
    </row>
    <row r="54" spans="1:7" ht="14.25" x14ac:dyDescent="0.15">
      <c r="A54" s="55" t="s">
        <v>30</v>
      </c>
      <c r="B54" s="71">
        <v>17274000</v>
      </c>
      <c r="C54" s="11"/>
      <c r="D54" s="25"/>
    </row>
    <row r="55" spans="1:7" ht="14.25" x14ac:dyDescent="0.15">
      <c r="A55" s="9"/>
      <c r="B55" s="19"/>
      <c r="C55" s="11"/>
      <c r="D55" s="25"/>
      <c r="G55" t="s">
        <v>108</v>
      </c>
    </row>
    <row r="56" spans="1:7" ht="14.25" x14ac:dyDescent="0.15">
      <c r="A56" s="61" t="s">
        <v>29</v>
      </c>
      <c r="B56" s="10"/>
      <c r="C56" s="37">
        <f>B54</f>
        <v>17274000</v>
      </c>
      <c r="D56" s="23"/>
    </row>
    <row r="57" spans="1:7" ht="6.75" customHeight="1" x14ac:dyDescent="0.15">
      <c r="A57" s="3"/>
      <c r="B57" s="19"/>
      <c r="C57" s="11"/>
      <c r="D57" s="23"/>
    </row>
    <row r="58" spans="1:7" ht="14.25" x14ac:dyDescent="0.15">
      <c r="A58" s="58" t="s">
        <v>24</v>
      </c>
      <c r="B58" s="40"/>
      <c r="C58" s="40"/>
      <c r="D58" s="38">
        <f>C51+C56</f>
        <v>26309059</v>
      </c>
    </row>
    <row r="59" spans="1:7" ht="11.25" customHeight="1" x14ac:dyDescent="0.15">
      <c r="A59" s="3"/>
      <c r="B59" s="19"/>
      <c r="C59" s="11"/>
      <c r="D59" s="23"/>
    </row>
    <row r="60" spans="1:7" ht="14.25" x14ac:dyDescent="0.15">
      <c r="A60" s="55" t="s">
        <v>3</v>
      </c>
      <c r="B60" s="30"/>
      <c r="C60" s="35"/>
      <c r="D60" s="31"/>
    </row>
    <row r="61" spans="1:7" ht="15" customHeight="1" x14ac:dyDescent="0.15">
      <c r="A61" s="55" t="s">
        <v>27</v>
      </c>
      <c r="B61" s="10"/>
      <c r="C61" s="39"/>
      <c r="D61" s="39">
        <v>0</v>
      </c>
    </row>
    <row r="62" spans="1:7" ht="15.75" customHeight="1" x14ac:dyDescent="0.15">
      <c r="A62" s="55" t="s">
        <v>28</v>
      </c>
      <c r="B62" s="47"/>
      <c r="C62" s="9"/>
      <c r="D62" s="43">
        <f>D44-D58</f>
        <v>68607262</v>
      </c>
      <c r="F62" s="100" t="s">
        <v>124</v>
      </c>
    </row>
    <row r="63" spans="1:7" ht="15.75" customHeight="1" x14ac:dyDescent="0.15">
      <c r="A63" s="59" t="s">
        <v>11</v>
      </c>
      <c r="B63" s="9"/>
      <c r="D63" s="70">
        <f>D64-'7.3月'!D64</f>
        <v>1232319</v>
      </c>
      <c r="F63" s="92">
        <f>D63-[19]令和７年度!$P$74</f>
        <v>1373507</v>
      </c>
    </row>
    <row r="64" spans="1:7" ht="16.5" customHeight="1" x14ac:dyDescent="0.15">
      <c r="A64" s="55" t="s">
        <v>26</v>
      </c>
      <c r="B64" s="22"/>
      <c r="C64" s="48"/>
      <c r="D64" s="44">
        <f>D62</f>
        <v>68607262</v>
      </c>
      <c r="F64" s="91"/>
    </row>
    <row r="65" spans="1:6" ht="14.25" x14ac:dyDescent="0.15">
      <c r="A65" s="55" t="s">
        <v>25</v>
      </c>
      <c r="B65" s="22"/>
      <c r="C65" s="9"/>
      <c r="D65" s="69">
        <f>D58+D64</f>
        <v>94916321</v>
      </c>
      <c r="F65" s="68"/>
    </row>
    <row r="66" spans="1:6" x14ac:dyDescent="0.15">
      <c r="B66" s="2"/>
      <c r="D66" s="68"/>
    </row>
    <row r="67" spans="1:6" ht="12.75" customHeight="1" x14ac:dyDescent="0.2">
      <c r="A67" s="1"/>
    </row>
    <row r="68" spans="1:6" x14ac:dyDescent="0.15">
      <c r="A68" s="45"/>
      <c r="B68" s="45"/>
      <c r="D68" s="68"/>
    </row>
    <row r="69" spans="1:6" x14ac:dyDescent="0.15">
      <c r="C69" s="52"/>
      <c r="D69" s="45"/>
    </row>
    <row r="71" spans="1:6" x14ac:dyDescent="0.15">
      <c r="C71" s="52"/>
    </row>
    <row r="73" spans="1:6" ht="13.5" customHeight="1" x14ac:dyDescent="0.2">
      <c r="A73" s="21"/>
    </row>
    <row r="74" spans="1:6" ht="14.25" x14ac:dyDescent="0.15">
      <c r="A74" s="17"/>
    </row>
    <row r="75" spans="1:6" ht="14.25" x14ac:dyDescent="0.15">
      <c r="A75" s="17"/>
    </row>
    <row r="76" spans="1:6" ht="14.25" x14ac:dyDescent="0.15">
      <c r="A76" s="17"/>
    </row>
    <row r="77" spans="1:6" ht="14.25" x14ac:dyDescent="0.15">
      <c r="A77" s="17"/>
      <c r="B77" s="82"/>
      <c r="C77" s="17"/>
      <c r="D77" s="17"/>
    </row>
    <row r="78" spans="1:6" ht="14.25" x14ac:dyDescent="0.15">
      <c r="A78" s="17"/>
      <c r="B78" s="82"/>
      <c r="C78" s="17"/>
      <c r="D78" s="17"/>
    </row>
    <row r="79" spans="1:6" ht="14.25" x14ac:dyDescent="0.15">
      <c r="A79" s="17"/>
      <c r="B79" s="83"/>
      <c r="C79" s="17"/>
      <c r="D79" s="17"/>
    </row>
    <row r="80" spans="1:6" ht="14.25" x14ac:dyDescent="0.15">
      <c r="A80" s="17"/>
      <c r="B80" s="82"/>
      <c r="C80" s="17"/>
      <c r="D80" s="17"/>
    </row>
    <row r="81" spans="1:4" ht="14.25" x14ac:dyDescent="0.15">
      <c r="A81" s="17"/>
      <c r="B81" s="82"/>
      <c r="C81" s="82"/>
      <c r="D81" s="17"/>
    </row>
    <row r="82" spans="1:4" ht="14.25" x14ac:dyDescent="0.15">
      <c r="B82" s="17"/>
      <c r="C82" s="18"/>
      <c r="D82" s="17"/>
    </row>
    <row r="83" spans="1:4" ht="14.25" x14ac:dyDescent="0.15">
      <c r="A83" s="17"/>
      <c r="B83" s="17"/>
      <c r="C83" s="18"/>
      <c r="D83" s="17"/>
    </row>
    <row r="84" spans="1:4" ht="14.25" x14ac:dyDescent="0.15">
      <c r="C84" s="17"/>
      <c r="D84" s="17"/>
    </row>
    <row r="85" spans="1:4" ht="14.25" x14ac:dyDescent="0.15">
      <c r="A85" s="17"/>
      <c r="C85" s="17"/>
      <c r="D85" s="17"/>
    </row>
    <row r="86" spans="1:4" ht="14.25" x14ac:dyDescent="0.15">
      <c r="A86" s="17"/>
      <c r="B86" s="83"/>
      <c r="C86" s="18"/>
      <c r="D86" s="17"/>
    </row>
    <row r="87" spans="1:4" ht="14.25" x14ac:dyDescent="0.15">
      <c r="A87" s="17"/>
      <c r="B87" s="82"/>
      <c r="D87" s="17"/>
    </row>
    <row r="88" spans="1:4" ht="14.25" x14ac:dyDescent="0.15">
      <c r="B88" s="17"/>
      <c r="C88" s="17"/>
      <c r="D88" s="82"/>
    </row>
    <row r="89" spans="1:4" ht="14.25" x14ac:dyDescent="0.15">
      <c r="A89" s="17"/>
      <c r="B89" s="82"/>
      <c r="C89" s="82"/>
      <c r="D89" s="18"/>
    </row>
    <row r="90" spans="1:4" ht="14.25" x14ac:dyDescent="0.15">
      <c r="B90" s="82"/>
      <c r="C90" s="17"/>
      <c r="D90" s="17"/>
    </row>
    <row r="91" spans="1:4" ht="14.25" x14ac:dyDescent="0.15">
      <c r="A91" s="17"/>
      <c r="B91" s="82"/>
      <c r="C91" s="17"/>
      <c r="D91" s="18"/>
    </row>
    <row r="92" spans="1:4" ht="14.25" x14ac:dyDescent="0.15">
      <c r="C92" s="17"/>
      <c r="D92" s="17"/>
    </row>
    <row r="93" spans="1:4" ht="14.25" x14ac:dyDescent="0.15">
      <c r="A93" s="17"/>
      <c r="C93" s="17"/>
      <c r="D93" s="17"/>
    </row>
    <row r="94" spans="1:4" ht="14.25" x14ac:dyDescent="0.15">
      <c r="A94" s="17"/>
      <c r="B94" s="82"/>
      <c r="D94" s="17"/>
    </row>
    <row r="95" spans="1:4" ht="14.25" x14ac:dyDescent="0.15">
      <c r="A95" s="17"/>
      <c r="B95" s="82"/>
      <c r="D95" s="17"/>
    </row>
    <row r="96" spans="1:4" ht="14.25" x14ac:dyDescent="0.15">
      <c r="A96" s="17"/>
      <c r="B96" s="82"/>
      <c r="C96" s="17"/>
      <c r="D96" s="17"/>
    </row>
    <row r="97" spans="1:4" ht="14.25" x14ac:dyDescent="0.15">
      <c r="A97" s="17"/>
      <c r="C97" s="82"/>
      <c r="D97" s="17"/>
    </row>
    <row r="98" spans="1:4" ht="14.25" x14ac:dyDescent="0.15">
      <c r="A98" s="17"/>
      <c r="B98" s="82"/>
      <c r="D98" s="17"/>
    </row>
    <row r="99" spans="1:4" ht="14.25" x14ac:dyDescent="0.15">
      <c r="A99" s="17"/>
      <c r="B99" s="82"/>
      <c r="C99" s="17"/>
      <c r="D99" s="17"/>
    </row>
    <row r="100" spans="1:4" ht="14.25" x14ac:dyDescent="0.15">
      <c r="A100" s="17"/>
      <c r="B100" s="82"/>
      <c r="C100" s="17"/>
    </row>
    <row r="101" spans="1:4" ht="14.25" x14ac:dyDescent="0.15">
      <c r="A101" s="17"/>
      <c r="B101" s="82"/>
      <c r="C101" s="17"/>
    </row>
    <row r="102" spans="1:4" ht="14.25" x14ac:dyDescent="0.15">
      <c r="A102" s="17"/>
      <c r="B102" s="82"/>
      <c r="C102" s="17"/>
      <c r="D102" s="17"/>
    </row>
    <row r="103" spans="1:4" ht="14.25" x14ac:dyDescent="0.15">
      <c r="A103" s="17"/>
      <c r="B103" s="82"/>
      <c r="D103" s="82"/>
    </row>
    <row r="104" spans="1:4" ht="14.25" x14ac:dyDescent="0.15">
      <c r="A104" s="17"/>
      <c r="B104" s="82"/>
      <c r="C104" s="17"/>
    </row>
    <row r="105" spans="1:4" ht="14.25" x14ac:dyDescent="0.15">
      <c r="A105" s="17"/>
      <c r="B105" s="17"/>
      <c r="D105" s="18"/>
    </row>
    <row r="106" spans="1:4" ht="14.25" x14ac:dyDescent="0.15">
      <c r="A106" s="17"/>
    </row>
    <row r="107" spans="1:4" ht="14.25" x14ac:dyDescent="0.15">
      <c r="A107" s="17" t="s">
        <v>0</v>
      </c>
      <c r="C107" s="18" t="s">
        <v>0</v>
      </c>
      <c r="D107" s="18" t="s">
        <v>0</v>
      </c>
    </row>
    <row r="108" spans="1:4" x14ac:dyDescent="0.15">
      <c r="A108" t="s">
        <v>0</v>
      </c>
    </row>
    <row r="109" spans="1:4" ht="14.25" x14ac:dyDescent="0.15">
      <c r="A109" s="17" t="s">
        <v>0</v>
      </c>
    </row>
  </sheetData>
  <mergeCells count="5">
    <mergeCell ref="A1:D1"/>
    <mergeCell ref="A2:D2"/>
    <mergeCell ref="C3:D3"/>
    <mergeCell ref="C4:D4"/>
    <mergeCell ref="B5:D5"/>
  </mergeCells>
  <phoneticPr fontId="3"/>
  <pageMargins left="0.78740157480314965" right="0.78740157480314965" top="0.19685039370078741" bottom="0" header="0.51181102362204722" footer="0.51181102362204722"/>
  <pageSetup paperSize="9" scale="98" fitToWidth="0" orientation="portrait" r:id="rId1"/>
  <headerFooter alignWithMargins="0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9549D-9331-404A-99A3-02477CB9EC38}">
  <dimension ref="A1"/>
  <sheetViews>
    <sheetView workbookViewId="0">
      <selection activeCell="J21" sqref="J21"/>
    </sheetView>
  </sheetViews>
  <sheetFormatPr defaultRowHeight="13.5" x14ac:dyDescent="0.15"/>
  <sheetData/>
  <phoneticPr fontId="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6221C-7505-4FD2-B7EE-A4C69B194AFB}">
  <dimension ref="A1:G106"/>
  <sheetViews>
    <sheetView zoomScaleNormal="100" workbookViewId="0">
      <selection activeCell="B13" sqref="B13"/>
    </sheetView>
  </sheetViews>
  <sheetFormatPr defaultRowHeight="13.5" x14ac:dyDescent="0.15"/>
  <cols>
    <col min="1" max="1" width="39.5" customWidth="1"/>
    <col min="2" max="2" width="15.75" customWidth="1"/>
    <col min="3" max="4" width="15" customWidth="1"/>
    <col min="5" max="5" width="11.75" customWidth="1"/>
  </cols>
  <sheetData>
    <row r="1" spans="1:7" ht="17.25" x14ac:dyDescent="0.2">
      <c r="A1" s="1" t="s">
        <v>80</v>
      </c>
      <c r="B1" s="1"/>
    </row>
    <row r="2" spans="1:7" ht="17.25" customHeight="1" x14ac:dyDescent="0.15">
      <c r="A2" s="111" t="s">
        <v>83</v>
      </c>
      <c r="B2" s="111"/>
      <c r="C2" s="111"/>
      <c r="D2" s="111"/>
    </row>
    <row r="3" spans="1:7" ht="19.5" customHeight="1" x14ac:dyDescent="0.15">
      <c r="B3" s="2" t="s">
        <v>0</v>
      </c>
      <c r="C3" s="113" t="s">
        <v>48</v>
      </c>
      <c r="D3" s="114"/>
      <c r="G3" t="s">
        <v>0</v>
      </c>
    </row>
    <row r="4" spans="1:7" ht="15" customHeight="1" x14ac:dyDescent="0.15">
      <c r="C4" s="115" t="s">
        <v>49</v>
      </c>
      <c r="D4" s="115"/>
      <c r="F4" s="46"/>
    </row>
    <row r="5" spans="1:7" ht="17.25" x14ac:dyDescent="0.2">
      <c r="A5" s="56" t="s">
        <v>5</v>
      </c>
      <c r="B5" s="50"/>
      <c r="C5" s="49" t="s">
        <v>4</v>
      </c>
      <c r="D5" s="49"/>
    </row>
    <row r="6" spans="1:7" ht="14.25" x14ac:dyDescent="0.15">
      <c r="A6" s="55" t="s">
        <v>2</v>
      </c>
      <c r="B6" s="24"/>
      <c r="C6" s="4"/>
      <c r="D6" s="28"/>
    </row>
    <row r="7" spans="1:7" ht="14.25" x14ac:dyDescent="0.15">
      <c r="A7" s="55" t="s">
        <v>19</v>
      </c>
      <c r="B7" s="14"/>
      <c r="C7" s="5"/>
      <c r="D7" s="12"/>
    </row>
    <row r="8" spans="1:7" ht="14.25" x14ac:dyDescent="0.15">
      <c r="A8" s="55" t="s">
        <v>34</v>
      </c>
      <c r="B8" s="51">
        <v>2385</v>
      </c>
      <c r="C8" s="5"/>
      <c r="D8" s="12"/>
    </row>
    <row r="9" spans="1:7" ht="14.25" x14ac:dyDescent="0.15">
      <c r="A9" s="55" t="s">
        <v>35</v>
      </c>
      <c r="B9" s="27">
        <f>SUM(B10:B14)</f>
        <v>16796612</v>
      </c>
      <c r="C9" s="5"/>
      <c r="D9" s="12"/>
    </row>
    <row r="10" spans="1:7" ht="14.25" x14ac:dyDescent="0.15">
      <c r="A10" s="53" t="s">
        <v>13</v>
      </c>
      <c r="B10" s="67">
        <f>13771223+18336+8740+296753+262716+102490</f>
        <v>14460258</v>
      </c>
      <c r="C10" s="5"/>
      <c r="D10" s="23"/>
    </row>
    <row r="11" spans="1:7" ht="14.25" x14ac:dyDescent="0.15">
      <c r="A11" s="54" t="s">
        <v>12</v>
      </c>
      <c r="B11" s="67">
        <f>248106+476445+2727</f>
        <v>727278</v>
      </c>
      <c r="C11" s="5"/>
      <c r="D11" s="23"/>
    </row>
    <row r="12" spans="1:7" ht="14.25" x14ac:dyDescent="0.15">
      <c r="A12" s="53" t="s">
        <v>45</v>
      </c>
      <c r="B12" s="32">
        <v>811691</v>
      </c>
      <c r="C12" s="5"/>
      <c r="D12" s="23"/>
    </row>
    <row r="13" spans="1:7" ht="14.25" x14ac:dyDescent="0.15">
      <c r="A13" s="53" t="s">
        <v>44</v>
      </c>
      <c r="B13" s="41">
        <v>455391</v>
      </c>
      <c r="C13" s="5"/>
      <c r="D13" s="12"/>
    </row>
    <row r="14" spans="1:7" ht="14.25" x14ac:dyDescent="0.15">
      <c r="A14" s="53" t="s">
        <v>46</v>
      </c>
      <c r="B14" s="41">
        <v>341994</v>
      </c>
      <c r="C14" s="5"/>
      <c r="D14" s="12"/>
    </row>
    <row r="15" spans="1:7" ht="14.25" x14ac:dyDescent="0.15">
      <c r="A15" s="55" t="s">
        <v>36</v>
      </c>
      <c r="B15" s="27">
        <f>SUM(B16:B26)</f>
        <v>30444151</v>
      </c>
      <c r="C15" s="6"/>
      <c r="D15" s="12"/>
    </row>
    <row r="16" spans="1:7" ht="14.25" x14ac:dyDescent="0.15">
      <c r="A16" s="54" t="s">
        <v>14</v>
      </c>
      <c r="B16" s="32">
        <f>35100+5613000</f>
        <v>5648100</v>
      </c>
      <c r="C16" s="11"/>
      <c r="D16" s="12"/>
    </row>
    <row r="17" spans="1:4" ht="14.25" x14ac:dyDescent="0.15">
      <c r="A17" s="54" t="s">
        <v>15</v>
      </c>
      <c r="B17" s="67">
        <f>14617376+1271962+744800</f>
        <v>16634138</v>
      </c>
      <c r="C17" s="5"/>
      <c r="D17" s="12"/>
    </row>
    <row r="18" spans="1:4" ht="14.25" x14ac:dyDescent="0.15">
      <c r="A18" s="53" t="s">
        <v>58</v>
      </c>
      <c r="B18" s="32">
        <f>2981484+512503+104400</f>
        <v>3598387</v>
      </c>
      <c r="C18" s="11"/>
      <c r="D18" s="12"/>
    </row>
    <row r="19" spans="1:4" ht="14.25" x14ac:dyDescent="0.15">
      <c r="A19" s="54" t="s">
        <v>16</v>
      </c>
      <c r="B19" s="67">
        <f>1250378+83301+96500</f>
        <v>1430179</v>
      </c>
      <c r="C19" s="5"/>
      <c r="D19" s="12"/>
    </row>
    <row r="20" spans="1:4" ht="14.25" x14ac:dyDescent="0.15">
      <c r="A20" s="54" t="s">
        <v>67</v>
      </c>
      <c r="B20" s="67">
        <f>908948+91569</f>
        <v>1000517</v>
      </c>
      <c r="C20" s="5"/>
      <c r="D20" s="12"/>
    </row>
    <row r="21" spans="1:4" ht="14.25" x14ac:dyDescent="0.15">
      <c r="A21" s="54" t="s">
        <v>72</v>
      </c>
      <c r="B21" s="67">
        <v>18400</v>
      </c>
      <c r="C21" s="5"/>
      <c r="D21" s="12"/>
    </row>
    <row r="22" spans="1:4" ht="14.25" x14ac:dyDescent="0.15">
      <c r="A22" s="54" t="s">
        <v>81</v>
      </c>
      <c r="B22" s="67">
        <f>437440+27940+40200</f>
        <v>505580</v>
      </c>
      <c r="C22" s="5"/>
      <c r="D22" s="12"/>
    </row>
    <row r="23" spans="1:4" ht="14.25" x14ac:dyDescent="0.15">
      <c r="A23" s="54" t="s">
        <v>82</v>
      </c>
      <c r="B23" s="67">
        <v>95400</v>
      </c>
      <c r="C23" s="5"/>
      <c r="D23" s="12"/>
    </row>
    <row r="24" spans="1:4" ht="14.25" x14ac:dyDescent="0.15">
      <c r="A24" s="54" t="s">
        <v>17</v>
      </c>
      <c r="B24" s="32">
        <v>1475950</v>
      </c>
      <c r="C24" s="5"/>
      <c r="D24" s="12"/>
    </row>
    <row r="25" spans="1:4" ht="14.25" x14ac:dyDescent="0.15">
      <c r="A25" s="54" t="s">
        <v>71</v>
      </c>
      <c r="B25" s="41">
        <v>37500</v>
      </c>
      <c r="C25" s="5"/>
      <c r="D25" s="12"/>
    </row>
    <row r="26" spans="1:4" ht="14.25" x14ac:dyDescent="0.15">
      <c r="A26" s="54" t="s">
        <v>79</v>
      </c>
      <c r="B26" s="41">
        <v>0</v>
      </c>
      <c r="C26" s="5"/>
      <c r="D26" s="12"/>
    </row>
    <row r="27" spans="1:4" ht="14.25" x14ac:dyDescent="0.15">
      <c r="A27" s="55" t="s">
        <v>37</v>
      </c>
      <c r="B27" s="27">
        <v>702499</v>
      </c>
      <c r="C27" s="15" t="s">
        <v>0</v>
      </c>
      <c r="D27" s="12"/>
    </row>
    <row r="28" spans="1:4" ht="14.25" x14ac:dyDescent="0.15">
      <c r="A28" s="61" t="s">
        <v>38</v>
      </c>
      <c r="B28" s="7"/>
      <c r="C28" s="36">
        <f>B8+B9+B15+B27</f>
        <v>47945647</v>
      </c>
      <c r="D28" s="12"/>
    </row>
    <row r="29" spans="1:4" ht="11.25" customHeight="1" x14ac:dyDescent="0.15">
      <c r="A29" s="11"/>
      <c r="B29" s="14"/>
      <c r="C29" s="5"/>
      <c r="D29" s="29" t="s">
        <v>0</v>
      </c>
    </row>
    <row r="30" spans="1:4" ht="14.25" x14ac:dyDescent="0.15">
      <c r="A30" s="55" t="s">
        <v>20</v>
      </c>
      <c r="B30" s="26" t="s">
        <v>0</v>
      </c>
      <c r="C30" s="5"/>
      <c r="D30" s="25"/>
    </row>
    <row r="31" spans="1:4" ht="14.25" x14ac:dyDescent="0.15">
      <c r="A31" s="55" t="s">
        <v>39</v>
      </c>
      <c r="B31" s="27">
        <f>745500+819438+21186321+26540224+5568054</f>
        <v>54859537</v>
      </c>
      <c r="C31" s="5"/>
      <c r="D31" s="12"/>
    </row>
    <row r="32" spans="1:4" ht="14.25" x14ac:dyDescent="0.15">
      <c r="A32" s="55" t="s">
        <v>54</v>
      </c>
      <c r="B32" s="27">
        <f>38004+29003+33077+37802+140489+161105+16821+798068+973278+1796218+925307+788673+1069836+1418434</f>
        <v>8226115</v>
      </c>
      <c r="C32" s="5"/>
      <c r="D32" s="12"/>
    </row>
    <row r="33" spans="1:4" ht="14.25" x14ac:dyDescent="0.15">
      <c r="A33" s="55" t="s">
        <v>55</v>
      </c>
      <c r="B33" s="27">
        <f>24561+704359+1349855</f>
        <v>2078775</v>
      </c>
      <c r="C33" s="5"/>
      <c r="D33" s="12"/>
    </row>
    <row r="34" spans="1:4" ht="14.25" x14ac:dyDescent="0.15">
      <c r="A34" s="55" t="s">
        <v>75</v>
      </c>
      <c r="B34" s="27">
        <v>172281</v>
      </c>
      <c r="C34" s="5"/>
      <c r="D34" s="12"/>
    </row>
    <row r="35" spans="1:4" ht="14.25" x14ac:dyDescent="0.15">
      <c r="A35" s="55" t="s">
        <v>40</v>
      </c>
      <c r="B35" s="27">
        <f>5+438947+1+1+1+1+1+997558+74526+1934396</f>
        <v>3445437</v>
      </c>
      <c r="C35" s="5"/>
      <c r="D35" s="12"/>
    </row>
    <row r="36" spans="1:4" ht="14.25" x14ac:dyDescent="0.15">
      <c r="A36" s="55" t="s">
        <v>41</v>
      </c>
      <c r="B36" s="27">
        <v>110600</v>
      </c>
      <c r="C36" s="5"/>
      <c r="D36" s="12"/>
    </row>
    <row r="37" spans="1:4" ht="14.25" x14ac:dyDescent="0.15">
      <c r="A37" s="55" t="s">
        <v>42</v>
      </c>
      <c r="B37" s="27">
        <v>50000</v>
      </c>
      <c r="C37" s="11"/>
      <c r="D37" s="12"/>
    </row>
    <row r="38" spans="1:4" ht="14.25" x14ac:dyDescent="0.15">
      <c r="A38" s="55" t="s">
        <v>66</v>
      </c>
      <c r="B38" s="27">
        <v>96990</v>
      </c>
      <c r="C38" s="6"/>
      <c r="D38" s="12"/>
    </row>
    <row r="39" spans="1:4" ht="14.25" x14ac:dyDescent="0.15">
      <c r="A39" s="61" t="s">
        <v>43</v>
      </c>
      <c r="B39" s="8"/>
      <c r="C39" s="37">
        <f>SUM(B31:B38)</f>
        <v>69039735</v>
      </c>
      <c r="D39" s="12"/>
    </row>
    <row r="40" spans="1:4" ht="14.25" x14ac:dyDescent="0.15">
      <c r="A40" s="11"/>
      <c r="B40" s="19"/>
      <c r="C40" s="5"/>
      <c r="D40" s="12"/>
    </row>
    <row r="41" spans="1:4" ht="14.25" x14ac:dyDescent="0.15">
      <c r="A41" s="58" t="s">
        <v>23</v>
      </c>
      <c r="B41" s="8"/>
      <c r="C41" s="10"/>
      <c r="D41" s="38">
        <f>C28+C39</f>
        <v>116985382</v>
      </c>
    </row>
    <row r="42" spans="1:4" ht="11.25" customHeight="1" x14ac:dyDescent="0.15">
      <c r="A42" s="9"/>
      <c r="B42" s="62"/>
      <c r="C42" s="62"/>
      <c r="D42" s="62"/>
    </row>
    <row r="43" spans="1:4" ht="14.25" x14ac:dyDescent="0.15">
      <c r="A43" s="60" t="s">
        <v>18</v>
      </c>
      <c r="B43" s="26"/>
      <c r="C43" s="5"/>
      <c r="D43" s="12"/>
    </row>
    <row r="44" spans="1:4" ht="14.25" x14ac:dyDescent="0.15">
      <c r="A44" s="55" t="s">
        <v>21</v>
      </c>
      <c r="B44" s="26"/>
      <c r="C44" s="5"/>
      <c r="D44" s="23"/>
    </row>
    <row r="45" spans="1:4" ht="14.25" x14ac:dyDescent="0.15">
      <c r="A45" s="55" t="s">
        <v>32</v>
      </c>
      <c r="B45" s="27">
        <v>2705779</v>
      </c>
      <c r="C45" s="5"/>
      <c r="D45" s="29"/>
    </row>
    <row r="46" spans="1:4" ht="14.25" x14ac:dyDescent="0.15">
      <c r="A46" s="55" t="s">
        <v>33</v>
      </c>
      <c r="B46" s="27">
        <v>5000000</v>
      </c>
      <c r="C46" s="5"/>
      <c r="D46" s="12"/>
    </row>
    <row r="47" spans="1:4" ht="14.25" x14ac:dyDescent="0.15">
      <c r="A47" s="59"/>
      <c r="B47" s="26"/>
      <c r="C47" s="11"/>
      <c r="D47" s="12"/>
    </row>
    <row r="48" spans="1:4" ht="14.25" x14ac:dyDescent="0.15">
      <c r="A48" s="55" t="s">
        <v>31</v>
      </c>
      <c r="B48" s="8"/>
      <c r="C48" s="37">
        <f>B45+B46</f>
        <v>7705779</v>
      </c>
      <c r="D48" s="23"/>
    </row>
    <row r="49" spans="1:4" ht="11.25" customHeight="1" x14ac:dyDescent="0.15">
      <c r="A49" s="3"/>
      <c r="B49" s="14"/>
      <c r="C49" s="34"/>
      <c r="D49" s="25"/>
    </row>
    <row r="50" spans="1:4" ht="14.25" x14ac:dyDescent="0.15">
      <c r="A50" s="55" t="s">
        <v>22</v>
      </c>
      <c r="B50" s="19"/>
      <c r="C50" s="33"/>
      <c r="D50" s="23"/>
    </row>
    <row r="51" spans="1:4" ht="14.25" x14ac:dyDescent="0.15">
      <c r="A51" s="55" t="s">
        <v>30</v>
      </c>
      <c r="B51" s="27">
        <v>16160000</v>
      </c>
      <c r="C51" s="11"/>
      <c r="D51" s="25"/>
    </row>
    <row r="52" spans="1:4" ht="14.25" x14ac:dyDescent="0.15">
      <c r="A52" s="9"/>
      <c r="B52" s="19"/>
      <c r="C52" s="11"/>
      <c r="D52" s="25"/>
    </row>
    <row r="53" spans="1:4" ht="14.25" x14ac:dyDescent="0.15">
      <c r="A53" s="61" t="s">
        <v>29</v>
      </c>
      <c r="B53" s="10"/>
      <c r="C53" s="37">
        <f>B51</f>
        <v>16160000</v>
      </c>
      <c r="D53" s="23"/>
    </row>
    <row r="54" spans="1:4" ht="14.25" x14ac:dyDescent="0.15">
      <c r="A54" s="3"/>
      <c r="B54" s="19"/>
      <c r="C54" s="11"/>
      <c r="D54" s="23"/>
    </row>
    <row r="55" spans="1:4" ht="14.25" x14ac:dyDescent="0.15">
      <c r="A55" s="58" t="s">
        <v>24</v>
      </c>
      <c r="B55" s="40"/>
      <c r="C55" s="40"/>
      <c r="D55" s="38">
        <f>C48+C53</f>
        <v>23865779</v>
      </c>
    </row>
    <row r="56" spans="1:4" ht="11.25" customHeight="1" x14ac:dyDescent="0.15">
      <c r="A56" s="3"/>
      <c r="B56" s="19"/>
      <c r="C56" s="11"/>
      <c r="D56" s="23"/>
    </row>
    <row r="57" spans="1:4" ht="14.25" x14ac:dyDescent="0.15">
      <c r="A57" s="55" t="s">
        <v>3</v>
      </c>
      <c r="B57" s="30"/>
      <c r="C57" s="35"/>
      <c r="D57" s="31"/>
    </row>
    <row r="58" spans="1:4" ht="15" customHeight="1" x14ac:dyDescent="0.15">
      <c r="A58" s="55" t="s">
        <v>27</v>
      </c>
      <c r="B58" s="10"/>
      <c r="C58" s="39"/>
      <c r="D58" s="39">
        <v>0</v>
      </c>
    </row>
    <row r="59" spans="1:4" ht="15.75" customHeight="1" x14ac:dyDescent="0.15">
      <c r="A59" s="55" t="s">
        <v>28</v>
      </c>
      <c r="B59" s="47"/>
      <c r="C59" s="9"/>
      <c r="D59" s="43">
        <f>D41-D55</f>
        <v>93119603</v>
      </c>
    </row>
    <row r="60" spans="1:4" ht="15.75" customHeight="1" x14ac:dyDescent="0.15">
      <c r="A60" s="59" t="s">
        <v>11</v>
      </c>
      <c r="B60" s="9"/>
      <c r="D60" s="42">
        <f>D59-'29.3月'!D57</f>
        <v>1405827</v>
      </c>
    </row>
    <row r="61" spans="1:4" ht="16.5" customHeight="1" x14ac:dyDescent="0.15">
      <c r="A61" s="55" t="s">
        <v>26</v>
      </c>
      <c r="B61" s="22"/>
      <c r="C61" s="48"/>
      <c r="D61" s="44">
        <f>D59</f>
        <v>93119603</v>
      </c>
    </row>
    <row r="62" spans="1:4" ht="14.25" x14ac:dyDescent="0.15">
      <c r="A62" s="55" t="s">
        <v>25</v>
      </c>
      <c r="B62" s="22"/>
      <c r="C62" s="9"/>
      <c r="D62" s="69">
        <f>D55+D61</f>
        <v>116985382</v>
      </c>
    </row>
    <row r="63" spans="1:4" x14ac:dyDescent="0.15">
      <c r="B63" s="2"/>
      <c r="D63" s="68"/>
    </row>
    <row r="64" spans="1:4" ht="12.75" customHeight="1" x14ac:dyDescent="0.2">
      <c r="A64" s="1"/>
    </row>
    <row r="65" spans="1:4" x14ac:dyDescent="0.15">
      <c r="A65" s="45"/>
      <c r="B65" s="45"/>
      <c r="D65" s="68"/>
    </row>
    <row r="66" spans="1:4" x14ac:dyDescent="0.15">
      <c r="C66" s="52"/>
      <c r="D66" s="45"/>
    </row>
    <row r="68" spans="1:4" x14ac:dyDescent="0.15">
      <c r="C68" s="52"/>
    </row>
    <row r="70" spans="1:4" ht="13.5" customHeight="1" x14ac:dyDescent="0.2">
      <c r="A70" s="21"/>
    </row>
    <row r="71" spans="1:4" ht="14.25" x14ac:dyDescent="0.15">
      <c r="A71" s="17"/>
    </row>
    <row r="72" spans="1:4" ht="14.25" x14ac:dyDescent="0.15">
      <c r="A72" s="17"/>
    </row>
    <row r="73" spans="1:4" ht="14.25" x14ac:dyDescent="0.15">
      <c r="A73" s="17"/>
    </row>
    <row r="74" spans="1:4" ht="14.25" x14ac:dyDescent="0.15">
      <c r="A74" s="17"/>
      <c r="B74" s="13"/>
      <c r="C74" s="17"/>
      <c r="D74" s="17"/>
    </row>
    <row r="75" spans="1:4" ht="14.25" x14ac:dyDescent="0.15">
      <c r="A75" s="17"/>
      <c r="B75" s="13"/>
      <c r="C75" s="17"/>
      <c r="D75" s="17"/>
    </row>
    <row r="76" spans="1:4" ht="14.25" x14ac:dyDescent="0.15">
      <c r="A76" s="17"/>
      <c r="B76" s="20"/>
      <c r="C76" s="17"/>
      <c r="D76" s="17"/>
    </row>
    <row r="77" spans="1:4" ht="14.25" x14ac:dyDescent="0.15">
      <c r="A77" s="17"/>
      <c r="B77" s="13"/>
      <c r="C77" s="17"/>
      <c r="D77" s="17"/>
    </row>
    <row r="78" spans="1:4" ht="14.25" x14ac:dyDescent="0.15">
      <c r="A78" s="17"/>
      <c r="B78" s="13"/>
      <c r="C78" s="13"/>
      <c r="D78" s="17"/>
    </row>
    <row r="79" spans="1:4" ht="14.25" x14ac:dyDescent="0.15">
      <c r="B79" s="17"/>
      <c r="C79" s="18"/>
      <c r="D79" s="17"/>
    </row>
    <row r="80" spans="1:4" ht="14.25" x14ac:dyDescent="0.15">
      <c r="A80" s="17"/>
      <c r="B80" s="17"/>
      <c r="C80" s="18"/>
      <c r="D80" s="17"/>
    </row>
    <row r="81" spans="1:4" ht="14.25" x14ac:dyDescent="0.15">
      <c r="C81" s="17"/>
      <c r="D81" s="17"/>
    </row>
    <row r="82" spans="1:4" ht="14.25" x14ac:dyDescent="0.15">
      <c r="A82" s="17"/>
      <c r="C82" s="17"/>
      <c r="D82" s="17"/>
    </row>
    <row r="83" spans="1:4" ht="14.25" x14ac:dyDescent="0.15">
      <c r="A83" s="17"/>
      <c r="B83" s="20"/>
      <c r="C83" s="18"/>
      <c r="D83" s="17"/>
    </row>
    <row r="84" spans="1:4" ht="14.25" x14ac:dyDescent="0.15">
      <c r="A84" s="17"/>
      <c r="B84" s="13"/>
      <c r="D84" s="17"/>
    </row>
    <row r="85" spans="1:4" ht="14.25" x14ac:dyDescent="0.15">
      <c r="B85" s="17"/>
      <c r="C85" s="17"/>
      <c r="D85" s="13"/>
    </row>
    <row r="86" spans="1:4" ht="14.25" x14ac:dyDescent="0.15">
      <c r="A86" s="17"/>
      <c r="B86" s="13"/>
      <c r="C86" s="13"/>
      <c r="D86" s="18"/>
    </row>
    <row r="87" spans="1:4" ht="14.25" x14ac:dyDescent="0.15">
      <c r="B87" s="13"/>
      <c r="C87" s="17"/>
      <c r="D87" s="17"/>
    </row>
    <row r="88" spans="1:4" ht="14.25" x14ac:dyDescent="0.15">
      <c r="A88" s="17"/>
      <c r="B88" s="13"/>
      <c r="C88" s="17"/>
      <c r="D88" s="18"/>
    </row>
    <row r="89" spans="1:4" ht="14.25" x14ac:dyDescent="0.15">
      <c r="C89" s="17"/>
      <c r="D89" s="17"/>
    </row>
    <row r="90" spans="1:4" ht="14.25" x14ac:dyDescent="0.15">
      <c r="A90" s="17"/>
      <c r="C90" s="17"/>
      <c r="D90" s="17"/>
    </row>
    <row r="91" spans="1:4" ht="14.25" x14ac:dyDescent="0.15">
      <c r="A91" s="17"/>
      <c r="B91" s="13"/>
      <c r="D91" s="17"/>
    </row>
    <row r="92" spans="1:4" ht="14.25" x14ac:dyDescent="0.15">
      <c r="A92" s="17"/>
      <c r="B92" s="13"/>
      <c r="D92" s="17"/>
    </row>
    <row r="93" spans="1:4" ht="14.25" x14ac:dyDescent="0.15">
      <c r="A93" s="17"/>
      <c r="B93" s="13"/>
      <c r="C93" s="17"/>
      <c r="D93" s="17"/>
    </row>
    <row r="94" spans="1:4" ht="14.25" x14ac:dyDescent="0.15">
      <c r="A94" s="17"/>
      <c r="C94" s="13"/>
      <c r="D94" s="17"/>
    </row>
    <row r="95" spans="1:4" ht="14.25" x14ac:dyDescent="0.15">
      <c r="A95" s="17"/>
      <c r="B95" s="13"/>
      <c r="D95" s="17"/>
    </row>
    <row r="96" spans="1:4" ht="14.25" x14ac:dyDescent="0.15">
      <c r="A96" s="17"/>
      <c r="B96" s="13"/>
      <c r="C96" s="17"/>
      <c r="D96" s="17"/>
    </row>
    <row r="97" spans="1:4" ht="14.25" x14ac:dyDescent="0.15">
      <c r="A97" s="17"/>
      <c r="B97" s="13"/>
      <c r="C97" s="17"/>
    </row>
    <row r="98" spans="1:4" ht="14.25" x14ac:dyDescent="0.15">
      <c r="A98" s="17"/>
      <c r="B98" s="13"/>
      <c r="C98" s="17"/>
    </row>
    <row r="99" spans="1:4" ht="14.25" x14ac:dyDescent="0.15">
      <c r="A99" s="17"/>
      <c r="B99" s="13"/>
      <c r="C99" s="17"/>
      <c r="D99" s="17"/>
    </row>
    <row r="100" spans="1:4" ht="14.25" x14ac:dyDescent="0.15">
      <c r="A100" s="17"/>
      <c r="B100" s="13"/>
      <c r="D100" s="13"/>
    </row>
    <row r="101" spans="1:4" ht="14.25" x14ac:dyDescent="0.15">
      <c r="A101" s="17"/>
      <c r="B101" s="13"/>
      <c r="C101" s="17"/>
    </row>
    <row r="102" spans="1:4" ht="14.25" x14ac:dyDescent="0.15">
      <c r="A102" s="17"/>
      <c r="B102" s="17"/>
      <c r="D102" s="18"/>
    </row>
    <row r="103" spans="1:4" ht="14.25" x14ac:dyDescent="0.15">
      <c r="A103" s="17"/>
    </row>
    <row r="104" spans="1:4" ht="14.25" x14ac:dyDescent="0.15">
      <c r="A104" s="17" t="s">
        <v>0</v>
      </c>
      <c r="C104" s="18" t="s">
        <v>0</v>
      </c>
      <c r="D104" s="18" t="s">
        <v>0</v>
      </c>
    </row>
    <row r="105" spans="1:4" x14ac:dyDescent="0.15">
      <c r="A105" t="s">
        <v>0</v>
      </c>
    </row>
    <row r="106" spans="1:4" ht="14.25" x14ac:dyDescent="0.15">
      <c r="A106" s="17" t="s">
        <v>0</v>
      </c>
    </row>
  </sheetData>
  <mergeCells count="3">
    <mergeCell ref="A2:D2"/>
    <mergeCell ref="C3:D3"/>
    <mergeCell ref="C4:D4"/>
  </mergeCells>
  <phoneticPr fontId="3"/>
  <pageMargins left="0.78740157480314965" right="0.78740157480314965" top="0.19685039370078741" bottom="0" header="0.51181102362204722" footer="0.51181102362204722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87</vt:i4>
      </vt:variant>
      <vt:variant>
        <vt:lpstr>名前付き一覧</vt:lpstr>
      </vt:variant>
      <vt:variant>
        <vt:i4>83</vt:i4>
      </vt:variant>
    </vt:vector>
  </HeadingPairs>
  <TitlesOfParts>
    <vt:vector size="170" baseType="lpstr">
      <vt:lpstr>22.3月</vt:lpstr>
      <vt:lpstr>23.3月</vt:lpstr>
      <vt:lpstr>24.3月 </vt:lpstr>
      <vt:lpstr>25.3月</vt:lpstr>
      <vt:lpstr>26.3月 </vt:lpstr>
      <vt:lpstr>27.3月</vt:lpstr>
      <vt:lpstr>28.3月</vt:lpstr>
      <vt:lpstr>29.3月</vt:lpstr>
      <vt:lpstr>30.3月 </vt:lpstr>
      <vt:lpstr>31.3月 </vt:lpstr>
      <vt:lpstr>31.4月</vt:lpstr>
      <vt:lpstr>令和1.5月</vt:lpstr>
      <vt:lpstr>1.6月 </vt:lpstr>
      <vt:lpstr>1.7月 </vt:lpstr>
      <vt:lpstr>1.8月 </vt:lpstr>
      <vt:lpstr>1.9月 </vt:lpstr>
      <vt:lpstr>1.10月 </vt:lpstr>
      <vt:lpstr>1.11月</vt:lpstr>
      <vt:lpstr>1.12月 </vt:lpstr>
      <vt:lpstr>2.1月</vt:lpstr>
      <vt:lpstr>2.2月 </vt:lpstr>
      <vt:lpstr>2.3月</vt:lpstr>
      <vt:lpstr>2.4月</vt:lpstr>
      <vt:lpstr>2.5月</vt:lpstr>
      <vt:lpstr>2.6月</vt:lpstr>
      <vt:lpstr>2.7月 </vt:lpstr>
      <vt:lpstr>2.8月</vt:lpstr>
      <vt:lpstr>2.9月 </vt:lpstr>
      <vt:lpstr>2.10月</vt:lpstr>
      <vt:lpstr>2.11月</vt:lpstr>
      <vt:lpstr>2.12月</vt:lpstr>
      <vt:lpstr>3.1月</vt:lpstr>
      <vt:lpstr>3.2月 </vt:lpstr>
      <vt:lpstr>3.3月</vt:lpstr>
      <vt:lpstr>3.4月</vt:lpstr>
      <vt:lpstr>3.5月 </vt:lpstr>
      <vt:lpstr>3.6月  </vt:lpstr>
      <vt:lpstr>3.7月</vt:lpstr>
      <vt:lpstr>3.8月</vt:lpstr>
      <vt:lpstr>3.9月 </vt:lpstr>
      <vt:lpstr>3.10月</vt:lpstr>
      <vt:lpstr>3.11月</vt:lpstr>
      <vt:lpstr>3.12月</vt:lpstr>
      <vt:lpstr>4.1月</vt:lpstr>
      <vt:lpstr>4.2月</vt:lpstr>
      <vt:lpstr>4.3月</vt:lpstr>
      <vt:lpstr>4.4月</vt:lpstr>
      <vt:lpstr>4.５月</vt:lpstr>
      <vt:lpstr>4.6月</vt:lpstr>
      <vt:lpstr>4.7月</vt:lpstr>
      <vt:lpstr>4.8月</vt:lpstr>
      <vt:lpstr>4.9月</vt:lpstr>
      <vt:lpstr>4.10月</vt:lpstr>
      <vt:lpstr>4.11月</vt:lpstr>
      <vt:lpstr>4.12月</vt:lpstr>
      <vt:lpstr>5.1月</vt:lpstr>
      <vt:lpstr>5.2月</vt:lpstr>
      <vt:lpstr>5.3月</vt:lpstr>
      <vt:lpstr>5.4月</vt:lpstr>
      <vt:lpstr>5.5月</vt:lpstr>
      <vt:lpstr>5.6月</vt:lpstr>
      <vt:lpstr>5.7月</vt:lpstr>
      <vt:lpstr>5.8月</vt:lpstr>
      <vt:lpstr>5.9月</vt:lpstr>
      <vt:lpstr>5.10月</vt:lpstr>
      <vt:lpstr>5.11月</vt:lpstr>
      <vt:lpstr>5.12月</vt:lpstr>
      <vt:lpstr>6.1月</vt:lpstr>
      <vt:lpstr>6.2月</vt:lpstr>
      <vt:lpstr>6.3月</vt:lpstr>
      <vt:lpstr>6.5月</vt:lpstr>
      <vt:lpstr>6.6月</vt:lpstr>
      <vt:lpstr>6.7月</vt:lpstr>
      <vt:lpstr>6.8月</vt:lpstr>
      <vt:lpstr>6.9月</vt:lpstr>
      <vt:lpstr>6.10月</vt:lpstr>
      <vt:lpstr>6.11月</vt:lpstr>
      <vt:lpstr>6.12月</vt:lpstr>
      <vt:lpstr>7.1月</vt:lpstr>
      <vt:lpstr>7.2月</vt:lpstr>
      <vt:lpstr>7.3月</vt:lpstr>
      <vt:lpstr>7.４月</vt:lpstr>
      <vt:lpstr>7.５月</vt:lpstr>
      <vt:lpstr>7.6月</vt:lpstr>
      <vt:lpstr>7.7月 </vt:lpstr>
      <vt:lpstr>7.8月 </vt:lpstr>
      <vt:lpstr>Sheet1</vt:lpstr>
      <vt:lpstr>'1.10月 '!Print_Area</vt:lpstr>
      <vt:lpstr>'1.11月'!Print_Area</vt:lpstr>
      <vt:lpstr>'1.12月 '!Print_Area</vt:lpstr>
      <vt:lpstr>'1.6月 '!Print_Area</vt:lpstr>
      <vt:lpstr>'1.7月 '!Print_Area</vt:lpstr>
      <vt:lpstr>'1.8月 '!Print_Area</vt:lpstr>
      <vt:lpstr>'1.9月 '!Print_Area</vt:lpstr>
      <vt:lpstr>'2.10月'!Print_Area</vt:lpstr>
      <vt:lpstr>'2.11月'!Print_Area</vt:lpstr>
      <vt:lpstr>'2.12月'!Print_Area</vt:lpstr>
      <vt:lpstr>'2.1月'!Print_Area</vt:lpstr>
      <vt:lpstr>'2.2月 '!Print_Area</vt:lpstr>
      <vt:lpstr>'2.3月'!Print_Area</vt:lpstr>
      <vt:lpstr>'2.4月'!Print_Area</vt:lpstr>
      <vt:lpstr>'2.5月'!Print_Area</vt:lpstr>
      <vt:lpstr>'2.6月'!Print_Area</vt:lpstr>
      <vt:lpstr>'2.7月 '!Print_Area</vt:lpstr>
      <vt:lpstr>'2.8月'!Print_Area</vt:lpstr>
      <vt:lpstr>'2.9月 '!Print_Area</vt:lpstr>
      <vt:lpstr>'25.3月'!Print_Area</vt:lpstr>
      <vt:lpstr>'26.3月 '!Print_Area</vt:lpstr>
      <vt:lpstr>'27.3月'!Print_Area</vt:lpstr>
      <vt:lpstr>'28.3月'!Print_Area</vt:lpstr>
      <vt:lpstr>'29.3月'!Print_Area</vt:lpstr>
      <vt:lpstr>'3.10月'!Print_Area</vt:lpstr>
      <vt:lpstr>'3.11月'!Print_Area</vt:lpstr>
      <vt:lpstr>'3.12月'!Print_Area</vt:lpstr>
      <vt:lpstr>'3.1月'!Print_Area</vt:lpstr>
      <vt:lpstr>'3.2月 '!Print_Area</vt:lpstr>
      <vt:lpstr>'3.3月'!Print_Area</vt:lpstr>
      <vt:lpstr>'3.4月'!Print_Area</vt:lpstr>
      <vt:lpstr>'3.5月 '!Print_Area</vt:lpstr>
      <vt:lpstr>'3.6月  '!Print_Area</vt:lpstr>
      <vt:lpstr>'3.7月'!Print_Area</vt:lpstr>
      <vt:lpstr>'3.8月'!Print_Area</vt:lpstr>
      <vt:lpstr>'3.9月 '!Print_Area</vt:lpstr>
      <vt:lpstr>'30.3月 '!Print_Area</vt:lpstr>
      <vt:lpstr>'31.3月 '!Print_Area</vt:lpstr>
      <vt:lpstr>'31.4月'!Print_Area</vt:lpstr>
      <vt:lpstr>'4.10月'!Print_Area</vt:lpstr>
      <vt:lpstr>'4.11月'!Print_Area</vt:lpstr>
      <vt:lpstr>'4.12月'!Print_Area</vt:lpstr>
      <vt:lpstr>'4.1月'!Print_Area</vt:lpstr>
      <vt:lpstr>'4.2月'!Print_Area</vt:lpstr>
      <vt:lpstr>'4.3月'!Print_Area</vt:lpstr>
      <vt:lpstr>'4.4月'!Print_Area</vt:lpstr>
      <vt:lpstr>'4.５月'!Print_Area</vt:lpstr>
      <vt:lpstr>'4.6月'!Print_Area</vt:lpstr>
      <vt:lpstr>'4.7月'!Print_Area</vt:lpstr>
      <vt:lpstr>'4.8月'!Print_Area</vt:lpstr>
      <vt:lpstr>'4.9月'!Print_Area</vt:lpstr>
      <vt:lpstr>'5.10月'!Print_Area</vt:lpstr>
      <vt:lpstr>'5.11月'!Print_Area</vt:lpstr>
      <vt:lpstr>'5.12月'!Print_Area</vt:lpstr>
      <vt:lpstr>'5.1月'!Print_Area</vt:lpstr>
      <vt:lpstr>'5.2月'!Print_Area</vt:lpstr>
      <vt:lpstr>'5.3月'!Print_Area</vt:lpstr>
      <vt:lpstr>'5.4月'!Print_Area</vt:lpstr>
      <vt:lpstr>'5.5月'!Print_Area</vt:lpstr>
      <vt:lpstr>'5.6月'!Print_Area</vt:lpstr>
      <vt:lpstr>'5.7月'!Print_Area</vt:lpstr>
      <vt:lpstr>'5.8月'!Print_Area</vt:lpstr>
      <vt:lpstr>'5.9月'!Print_Area</vt:lpstr>
      <vt:lpstr>'6.10月'!Print_Area</vt:lpstr>
      <vt:lpstr>'6.11月'!Print_Area</vt:lpstr>
      <vt:lpstr>'6.12月'!Print_Area</vt:lpstr>
      <vt:lpstr>'6.1月'!Print_Area</vt:lpstr>
      <vt:lpstr>'6.2月'!Print_Area</vt:lpstr>
      <vt:lpstr>'6.3月'!Print_Area</vt:lpstr>
      <vt:lpstr>'6.5月'!Print_Area</vt:lpstr>
      <vt:lpstr>'6.6月'!Print_Area</vt:lpstr>
      <vt:lpstr>'6.7月'!Print_Area</vt:lpstr>
      <vt:lpstr>'6.8月'!Print_Area</vt:lpstr>
      <vt:lpstr>'6.9月'!Print_Area</vt:lpstr>
      <vt:lpstr>'7.1月'!Print_Area</vt:lpstr>
      <vt:lpstr>'7.2月'!Print_Area</vt:lpstr>
      <vt:lpstr>'7.3月'!Print_Area</vt:lpstr>
      <vt:lpstr>'7.４月'!Print_Area</vt:lpstr>
      <vt:lpstr>'7.５月'!Print_Area</vt:lpstr>
      <vt:lpstr>'7.6月'!Print_Area</vt:lpstr>
      <vt:lpstr>'7.7月 '!Print_Area</vt:lpstr>
      <vt:lpstr>'7.8月 '!Print_Area</vt:lpstr>
      <vt:lpstr>令和1.5月!Print_Area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koyama yoshihiro</dc:creator>
  <cp:lastModifiedBy>hotto-h@hotaru.yoitoko.jp</cp:lastModifiedBy>
  <cp:lastPrinted>2025-10-05T22:59:46Z</cp:lastPrinted>
  <dcterms:created xsi:type="dcterms:W3CDTF">2001-05-03T13:25:57Z</dcterms:created>
  <dcterms:modified xsi:type="dcterms:W3CDTF">2025-10-27T04:27:07Z</dcterms:modified>
</cp:coreProperties>
</file>