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9510"/>
  </bookViews>
  <sheets>
    <sheet name="収入計画" sheetId="2" r:id="rId1"/>
    <sheet name="支出計画" sheetId="4" r:id="rId2"/>
  </sheets>
  <definedNames>
    <definedName name="FYMonthNo">IF(FYMonthStart="1 月",1,IF(FYMonthStart="2 月",2,IF(FYMonthStart="3 月",3,IF(FYMonthStart="4 月",4,IF(FYMonthStart="5 月",5,IF(FYMonthStart="6 月",6,IF(FYMonthStart="7 月",7,IF(FYMonthStart="8 月",8,IF(FYMonthStart="9 月",9,IF(FYMonthStart="10 月",10,IF(FYMonthStart="11 月",11,12)))))))))))</definedName>
    <definedName name="FYMonthStart">収入計画!$AC$2</definedName>
    <definedName name="FYStartYear">収入計画!$AD$2</definedName>
    <definedName name="_xlnm.Print_Area" localSheetId="1">支出計画!$A$1:$P$24</definedName>
    <definedName name="_xlnm.Print_Area" localSheetId="0">収入計画!$A$1:$P$14</definedName>
    <definedName name="_xlnm.Print_Titles" localSheetId="1">支出計画!$3:$4</definedName>
    <definedName name="_xlnm.Print_Titles" localSheetId="0">収入計画!$3:$4</definedName>
    <definedName name="Projection_Period_Title">収入計画!$B$1</definedName>
    <definedName name="Title1">収益[[#Headers],[収　　入]]</definedName>
    <definedName name="Title2">#REF!</definedName>
    <definedName name="Title3">tblExpenses[[#Headers],[経費]]</definedName>
    <definedName name="Wksht_Title">収入計画!$B$2</definedName>
    <definedName name="会社名">収入計画!$AD$1</definedName>
  </definedNames>
  <calcPr calcId="152511"/>
</workbook>
</file>

<file path=xl/calcChain.xml><?xml version="1.0" encoding="utf-8"?>
<calcChain xmlns="http://schemas.openxmlformats.org/spreadsheetml/2006/main">
  <c r="P6" i="2" l="1"/>
  <c r="P5" i="4" l="1"/>
  <c r="P6" i="4"/>
  <c r="P7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O8" i="4"/>
  <c r="N8" i="4"/>
  <c r="M8" i="4"/>
  <c r="L8" i="4"/>
  <c r="K8" i="4"/>
  <c r="J8" i="4"/>
  <c r="I8" i="4"/>
  <c r="H8" i="4"/>
  <c r="G8" i="4"/>
  <c r="P8" i="4" s="1"/>
  <c r="F8" i="4"/>
  <c r="E8" i="4"/>
  <c r="D8" i="4"/>
  <c r="P24" i="4" l="1"/>
  <c r="P7" i="2"/>
  <c r="P8" i="2"/>
  <c r="P9" i="2"/>
  <c r="P10" i="2"/>
  <c r="P11" i="2"/>
  <c r="P12" i="2"/>
  <c r="P5" i="2"/>
  <c r="Q24" i="4"/>
  <c r="E24" i="4"/>
  <c r="F24" i="4"/>
  <c r="G24" i="4"/>
  <c r="H24" i="4"/>
  <c r="I24" i="4"/>
  <c r="J24" i="4"/>
  <c r="K24" i="4"/>
  <c r="Y7" i="4" s="1"/>
  <c r="L24" i="4"/>
  <c r="M24" i="4"/>
  <c r="AA7" i="4" s="1"/>
  <c r="N24" i="4"/>
  <c r="O24" i="4"/>
  <c r="AC7" i="4" s="1"/>
  <c r="D24" i="4"/>
  <c r="D26" i="4" s="1"/>
  <c r="Q13" i="2"/>
  <c r="E13" i="2"/>
  <c r="S6" i="2" s="1"/>
  <c r="F13" i="2"/>
  <c r="G13" i="2"/>
  <c r="U6" i="2" s="1"/>
  <c r="H13" i="2"/>
  <c r="V6" i="2" s="1"/>
  <c r="I13" i="2"/>
  <c r="W6" i="2" s="1"/>
  <c r="J13" i="2"/>
  <c r="K13" i="2"/>
  <c r="Y6" i="2" s="1"/>
  <c r="L13" i="2"/>
  <c r="Z6" i="2" s="1"/>
  <c r="M13" i="2"/>
  <c r="AA6" i="2" s="1"/>
  <c r="N13" i="2"/>
  <c r="O13" i="2"/>
  <c r="AC6" i="2" s="1"/>
  <c r="D13" i="2"/>
  <c r="R6" i="2" s="1"/>
  <c r="AB5" i="2" l="1"/>
  <c r="AB6" i="2"/>
  <c r="T5" i="2"/>
  <c r="T6" i="2"/>
  <c r="X5" i="2"/>
  <c r="X6" i="2"/>
  <c r="W20" i="4"/>
  <c r="W7" i="4"/>
  <c r="S20" i="4"/>
  <c r="S7" i="4"/>
  <c r="R5" i="4"/>
  <c r="R7" i="4"/>
  <c r="Z5" i="4"/>
  <c r="Z7" i="4"/>
  <c r="V5" i="4"/>
  <c r="V7" i="4"/>
  <c r="U21" i="4"/>
  <c r="U7" i="4"/>
  <c r="AB9" i="4"/>
  <c r="AB7" i="4"/>
  <c r="X8" i="4"/>
  <c r="X7" i="4"/>
  <c r="T6" i="4"/>
  <c r="T7" i="4"/>
  <c r="T17" i="4"/>
  <c r="AB11" i="4"/>
  <c r="AB19" i="4"/>
  <c r="X14" i="4"/>
  <c r="T9" i="4"/>
  <c r="X18" i="4"/>
  <c r="AB15" i="4"/>
  <c r="T13" i="4"/>
  <c r="X10" i="4"/>
  <c r="AB6" i="4"/>
  <c r="U23" i="4"/>
  <c r="U22" i="4"/>
  <c r="W21" i="4"/>
  <c r="S21" i="4"/>
  <c r="U20" i="4"/>
  <c r="W23" i="4"/>
  <c r="S23" i="4"/>
  <c r="W22" i="4"/>
  <c r="S22" i="4"/>
  <c r="T19" i="4"/>
  <c r="AB17" i="4"/>
  <c r="X16" i="4"/>
  <c r="T15" i="4"/>
  <c r="AB13" i="4"/>
  <c r="X12" i="4"/>
  <c r="T11" i="4"/>
  <c r="O26" i="4"/>
  <c r="AC5" i="2"/>
  <c r="M26" i="4"/>
  <c r="AA5" i="2"/>
  <c r="K26" i="4"/>
  <c r="Y5" i="2"/>
  <c r="I26" i="4"/>
  <c r="W5" i="2"/>
  <c r="G26" i="4"/>
  <c r="U5" i="2"/>
  <c r="E26" i="4"/>
  <c r="S5" i="2"/>
  <c r="AC6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5" i="4"/>
  <c r="AA6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5" i="4"/>
  <c r="Y6" i="4"/>
  <c r="Y8" i="4"/>
  <c r="Y9" i="4"/>
  <c r="Y10" i="4"/>
  <c r="Y11" i="4"/>
  <c r="Y12" i="4"/>
  <c r="Y13" i="4"/>
  <c r="Y14" i="4"/>
  <c r="Y15" i="4"/>
  <c r="Y16" i="4"/>
  <c r="Y17" i="4"/>
  <c r="Y18" i="4"/>
  <c r="Y19" i="4"/>
  <c r="Y5" i="4"/>
  <c r="AA12" i="2"/>
  <c r="W12" i="2"/>
  <c r="S12" i="2"/>
  <c r="AA11" i="2"/>
  <c r="W11" i="2"/>
  <c r="S11" i="2"/>
  <c r="AA10" i="2"/>
  <c r="W10" i="2"/>
  <c r="S10" i="2"/>
  <c r="AA9" i="2"/>
  <c r="W9" i="2"/>
  <c r="S9" i="2"/>
  <c r="AA8" i="2"/>
  <c r="W8" i="2"/>
  <c r="S8" i="2"/>
  <c r="AA7" i="2"/>
  <c r="W7" i="2"/>
  <c r="S7" i="2"/>
  <c r="L26" i="4"/>
  <c r="H26" i="4"/>
  <c r="AC23" i="4"/>
  <c r="Y23" i="4"/>
  <c r="AC22" i="4"/>
  <c r="Y22" i="4"/>
  <c r="AC21" i="4"/>
  <c r="Y21" i="4"/>
  <c r="AC20" i="4"/>
  <c r="Y20" i="4"/>
  <c r="R7" i="2"/>
  <c r="R8" i="2"/>
  <c r="R9" i="2"/>
  <c r="R10" i="2"/>
  <c r="R11" i="2"/>
  <c r="R12" i="2"/>
  <c r="AB7" i="2"/>
  <c r="AB8" i="2"/>
  <c r="AB9" i="2"/>
  <c r="AB10" i="2"/>
  <c r="AB11" i="2"/>
  <c r="AB12" i="2"/>
  <c r="Z7" i="2"/>
  <c r="Z8" i="2"/>
  <c r="Z9" i="2"/>
  <c r="Z10" i="2"/>
  <c r="Z11" i="2"/>
  <c r="Z12" i="2"/>
  <c r="X7" i="2"/>
  <c r="X8" i="2"/>
  <c r="X9" i="2"/>
  <c r="X10" i="2"/>
  <c r="X11" i="2"/>
  <c r="X12" i="2"/>
  <c r="V7" i="2"/>
  <c r="V8" i="2"/>
  <c r="V9" i="2"/>
  <c r="V10" i="2"/>
  <c r="V11" i="2"/>
  <c r="V12" i="2"/>
  <c r="T7" i="2"/>
  <c r="T8" i="2"/>
  <c r="T9" i="2"/>
  <c r="T10" i="2"/>
  <c r="T11" i="2"/>
  <c r="T12" i="2"/>
  <c r="R6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AB20" i="4"/>
  <c r="AB21" i="4"/>
  <c r="AB22" i="4"/>
  <c r="AB23" i="4"/>
  <c r="Z6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X20" i="4"/>
  <c r="X21" i="4"/>
  <c r="X22" i="4"/>
  <c r="X23" i="4"/>
  <c r="V6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T20" i="4"/>
  <c r="T21" i="4"/>
  <c r="T22" i="4"/>
  <c r="T23" i="4"/>
  <c r="R5" i="2"/>
  <c r="V5" i="2"/>
  <c r="Z5" i="2"/>
  <c r="AC12" i="2"/>
  <c r="Y12" i="2"/>
  <c r="U12" i="2"/>
  <c r="AC11" i="2"/>
  <c r="Y11" i="2"/>
  <c r="U11" i="2"/>
  <c r="AC10" i="2"/>
  <c r="Y10" i="2"/>
  <c r="U10" i="2"/>
  <c r="AC9" i="2"/>
  <c r="Y9" i="2"/>
  <c r="U9" i="2"/>
  <c r="AC8" i="2"/>
  <c r="Y8" i="2"/>
  <c r="U8" i="2"/>
  <c r="AC7" i="2"/>
  <c r="Y7" i="2"/>
  <c r="U7" i="2"/>
  <c r="N26" i="4"/>
  <c r="J26" i="4"/>
  <c r="F26" i="4"/>
  <c r="T5" i="4"/>
  <c r="X5" i="4"/>
  <c r="AB5" i="4"/>
  <c r="AA23" i="4"/>
  <c r="AA22" i="4"/>
  <c r="AA21" i="4"/>
  <c r="AA20" i="4"/>
  <c r="X19" i="4"/>
  <c r="AB18" i="4"/>
  <c r="T18" i="4"/>
  <c r="X17" i="4"/>
  <c r="AB16" i="4"/>
  <c r="T16" i="4"/>
  <c r="X15" i="4"/>
  <c r="AB14" i="4"/>
  <c r="T14" i="4"/>
  <c r="X13" i="4"/>
  <c r="AB12" i="4"/>
  <c r="T12" i="4"/>
  <c r="X11" i="4"/>
  <c r="AB10" i="4"/>
  <c r="T10" i="4"/>
  <c r="X9" i="4"/>
  <c r="AB8" i="4"/>
  <c r="T8" i="4"/>
  <c r="X6" i="4"/>
  <c r="W6" i="4"/>
  <c r="W8" i="4"/>
  <c r="W9" i="4"/>
  <c r="W10" i="4"/>
  <c r="W11" i="4"/>
  <c r="W12" i="4"/>
  <c r="W13" i="4"/>
  <c r="W14" i="4"/>
  <c r="W15" i="4"/>
  <c r="W16" i="4"/>
  <c r="W17" i="4"/>
  <c r="W18" i="4"/>
  <c r="W19" i="4"/>
  <c r="U6" i="4"/>
  <c r="U8" i="4"/>
  <c r="U9" i="4"/>
  <c r="U10" i="4"/>
  <c r="U11" i="4"/>
  <c r="U12" i="4"/>
  <c r="U13" i="4"/>
  <c r="U14" i="4"/>
  <c r="U15" i="4"/>
  <c r="U16" i="4"/>
  <c r="U17" i="4"/>
  <c r="U18" i="4"/>
  <c r="U19" i="4"/>
  <c r="S6" i="4"/>
  <c r="S8" i="4"/>
  <c r="S9" i="4"/>
  <c r="S10" i="4"/>
  <c r="S11" i="4"/>
  <c r="S12" i="4"/>
  <c r="S13" i="4"/>
  <c r="S14" i="4"/>
  <c r="S15" i="4"/>
  <c r="S16" i="4"/>
  <c r="S17" i="4"/>
  <c r="S18" i="4"/>
  <c r="S19" i="4"/>
  <c r="S5" i="4"/>
  <c r="U5" i="4"/>
  <c r="W5" i="4"/>
  <c r="AD1" i="4"/>
  <c r="B1" i="4"/>
  <c r="AD2" i="2"/>
  <c r="O3" i="2" s="1"/>
  <c r="N3" i="2" l="1"/>
  <c r="AC3" i="2"/>
  <c r="M3" i="2"/>
  <c r="AA3" i="2" s="1"/>
  <c r="K3" i="2"/>
  <c r="Y3" i="2" s="1"/>
  <c r="L3" i="2"/>
  <c r="Z3" i="2" s="1"/>
  <c r="J3" i="2"/>
  <c r="X3" i="2" s="1"/>
  <c r="H3" i="2"/>
  <c r="V3" i="2" s="1"/>
  <c r="I3" i="2"/>
  <c r="W3" i="2" s="1"/>
  <c r="F3" i="2"/>
  <c r="T3" i="2" s="1"/>
  <c r="G3" i="2"/>
  <c r="U3" i="2" s="1"/>
  <c r="D3" i="2"/>
  <c r="R3" i="2" s="1"/>
  <c r="E3" i="2"/>
  <c r="S3" i="2" s="1"/>
  <c r="AB3" i="2"/>
  <c r="N3" i="4"/>
  <c r="AB3" i="4" s="1"/>
  <c r="L3" i="4"/>
  <c r="Z3" i="4" s="1"/>
  <c r="J3" i="4"/>
  <c r="X3" i="4" s="1"/>
  <c r="H3" i="4"/>
  <c r="V3" i="4" s="1"/>
  <c r="F3" i="4"/>
  <c r="T3" i="4" s="1"/>
  <c r="D3" i="4"/>
  <c r="R3" i="4" s="1"/>
  <c r="O3" i="4"/>
  <c r="AC3" i="4" s="1"/>
  <c r="M3" i="4"/>
  <c r="AA3" i="4" s="1"/>
  <c r="K3" i="4"/>
  <c r="Y3" i="4" s="1"/>
  <c r="I3" i="4"/>
  <c r="W3" i="4" s="1"/>
  <c r="G3" i="4"/>
  <c r="U3" i="4" s="1"/>
  <c r="E3" i="4"/>
  <c r="S3" i="4" s="1"/>
  <c r="AD2" i="4"/>
  <c r="AC2" i="4"/>
  <c r="AC24" i="4" l="1"/>
  <c r="AB24" i="4"/>
  <c r="Y24" i="4"/>
  <c r="X24" i="4"/>
  <c r="U24" i="4"/>
  <c r="T24" i="4"/>
  <c r="P13" i="2"/>
  <c r="AD6" i="2" s="1"/>
  <c r="AD5" i="2" l="1"/>
  <c r="AD9" i="2"/>
  <c r="AD12" i="2"/>
  <c r="AD8" i="2"/>
  <c r="AD11" i="2"/>
  <c r="AD7" i="2"/>
  <c r="AD10" i="2"/>
  <c r="Z24" i="4"/>
  <c r="V24" i="4"/>
  <c r="R24" i="4"/>
  <c r="S24" i="4"/>
  <c r="W24" i="4"/>
  <c r="AA24" i="4"/>
  <c r="Z13" i="2"/>
  <c r="R13" i="2"/>
  <c r="S13" i="2" l="1"/>
  <c r="W13" i="2"/>
  <c r="V13" i="2"/>
  <c r="Y13" i="2"/>
  <c r="AA13" i="2"/>
  <c r="T13" i="2"/>
  <c r="AB13" i="2"/>
  <c r="U13" i="2"/>
  <c r="AC13" i="2"/>
  <c r="X13" i="2"/>
  <c r="AD13" i="2" l="1"/>
  <c r="AD12" i="4" l="1"/>
  <c r="AD9" i="4"/>
  <c r="AD10" i="4"/>
  <c r="P26" i="4"/>
  <c r="AD13" i="4"/>
  <c r="AD14" i="4"/>
  <c r="AD11" i="4"/>
  <c r="AD19" i="4"/>
  <c r="AD7" i="4"/>
  <c r="AD18" i="4"/>
  <c r="AD15" i="4"/>
  <c r="AD16" i="4"/>
  <c r="AD6" i="4"/>
  <c r="AD8" i="4"/>
  <c r="AD5" i="4"/>
  <c r="AD17" i="4"/>
  <c r="AD20" i="4"/>
  <c r="AD21" i="4"/>
  <c r="AD22" i="4"/>
  <c r="AD23" i="4"/>
  <c r="AD24" i="4" l="1"/>
  <c r="X26" i="4"/>
  <c r="V26" i="4"/>
  <c r="S26" i="4"/>
  <c r="Y26" i="4"/>
  <c r="T26" i="4"/>
  <c r="AD26" i="4"/>
  <c r="Z26" i="4"/>
  <c r="R26" i="4"/>
  <c r="AC26" i="4"/>
  <c r="U26" i="4"/>
  <c r="AA26" i="4"/>
  <c r="AB26" i="4"/>
  <c r="W26" i="4"/>
</calcChain>
</file>

<file path=xl/sharedStrings.xml><?xml version="1.0" encoding="utf-8"?>
<sst xmlns="http://schemas.openxmlformats.org/spreadsheetml/2006/main" count="116" uniqueCount="69">
  <si>
    <t>トレンド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</si>
  <si>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</si>
  <si>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</si>
  <si>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</si>
  <si>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</si>
  <si>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</si>
  <si>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</si>
  <si>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</si>
  <si>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</si>
  <si>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</si>
  <si>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</si>
  <si>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</si>
  <si>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</si>
  <si>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年次</t>
  </si>
  <si>
    <t>インデックス %</t>
  </si>
  <si>
    <t>1 月 %</t>
  </si>
  <si>
    <t>2 月 %</t>
  </si>
  <si>
    <t>3 月 %</t>
  </si>
  <si>
    <t>4 月 %</t>
  </si>
  <si>
    <t>5 月 %</t>
  </si>
  <si>
    <t>6 月 %</t>
  </si>
  <si>
    <t>7 月 %</t>
  </si>
  <si>
    <t>8 月 %</t>
  </si>
  <si>
    <t>9 月 %</t>
  </si>
  <si>
    <t>10 月 %</t>
  </si>
  <si>
    <t>会計年度の開始:</t>
  </si>
  <si>
    <t>11 月 %</t>
  </si>
  <si>
    <t>12 月 %</t>
  </si>
  <si>
    <t>年 %</t>
  </si>
  <si>
    <t>会計年度:</t>
  </si>
  <si>
    <t>経費</t>
  </si>
  <si>
    <t>純利益</t>
  </si>
  <si>
    <t xml:space="preserve"> </t>
  </si>
  <si>
    <t>列 1</t>
  </si>
  <si>
    <t>経費合計</t>
    <phoneticPr fontId="4"/>
  </si>
  <si>
    <t>初年度(2018/10～2019/9)</t>
    <rPh sb="0" eb="3">
      <t>ショネンド</t>
    </rPh>
    <phoneticPr fontId="4"/>
  </si>
  <si>
    <t>会　　　費
　(協力金）</t>
    <rPh sb="0" eb="1">
      <t>カイ</t>
    </rPh>
    <rPh sb="4" eb="5">
      <t>ヒ</t>
    </rPh>
    <rPh sb="8" eb="11">
      <t>キョウリョクキン</t>
    </rPh>
    <phoneticPr fontId="4"/>
  </si>
  <si>
    <t>カフェ収入</t>
    <rPh sb="3" eb="5">
      <t>シュウニュウ</t>
    </rPh>
    <phoneticPr fontId="4"/>
  </si>
  <si>
    <t>漬物等
販売収入</t>
    <rPh sb="0" eb="2">
      <t>ツケモノ</t>
    </rPh>
    <rPh sb="2" eb="3">
      <t>トウ</t>
    </rPh>
    <rPh sb="4" eb="6">
      <t>ハンバイ</t>
    </rPh>
    <rPh sb="6" eb="8">
      <t>シュウニュウ</t>
    </rPh>
    <phoneticPr fontId="4"/>
  </si>
  <si>
    <t>料理教室等
部屋代収入</t>
    <rPh sb="0" eb="2">
      <t>リョウリ</t>
    </rPh>
    <rPh sb="2" eb="4">
      <t>キョウシツ</t>
    </rPh>
    <rPh sb="4" eb="5">
      <t>トウ</t>
    </rPh>
    <rPh sb="6" eb="9">
      <t>ヘヤダイ</t>
    </rPh>
    <rPh sb="9" eb="11">
      <t>シュウニュウ</t>
    </rPh>
    <phoneticPr fontId="4"/>
  </si>
  <si>
    <t>寄付金</t>
    <rPh sb="0" eb="2">
      <t>キフ</t>
    </rPh>
    <rPh sb="2" eb="3">
      <t>キン</t>
    </rPh>
    <phoneticPr fontId="4"/>
  </si>
  <si>
    <t>ワーカーズ
コープ助成金</t>
    <rPh sb="9" eb="12">
      <t>ジョセイキン</t>
    </rPh>
    <phoneticPr fontId="4"/>
  </si>
  <si>
    <t>ろうきんNPO助成</t>
    <rPh sb="7" eb="9">
      <t>ジョセイ</t>
    </rPh>
    <phoneticPr fontId="4"/>
  </si>
  <si>
    <t>10 月</t>
    <phoneticPr fontId="4"/>
  </si>
  <si>
    <t>みんなのおうち「ほわ～っと」</t>
    <phoneticPr fontId="4"/>
  </si>
  <si>
    <t>原材料費</t>
    <rPh sb="0" eb="3">
      <t>ゲンザイリョウ</t>
    </rPh>
    <rPh sb="3" eb="4">
      <t>ヒ</t>
    </rPh>
    <phoneticPr fontId="4"/>
  </si>
  <si>
    <t>給与</t>
    <rPh sb="0" eb="2">
      <t>キュウヨ</t>
    </rPh>
    <phoneticPr fontId="4"/>
  </si>
  <si>
    <t>事務用品</t>
    <rPh sb="0" eb="2">
      <t>ジム</t>
    </rPh>
    <rPh sb="2" eb="4">
      <t>ヨウヒン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</si>
  <si>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</si>
  <si>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印刷費</t>
    <rPh sb="0" eb="2">
      <t>インサツ</t>
    </rPh>
    <rPh sb="2" eb="3">
      <t>ヒ</t>
    </rPh>
    <phoneticPr fontId="4"/>
  </si>
  <si>
    <t>水光熱費</t>
    <rPh sb="0" eb="2">
      <t>スイコウ</t>
    </rPh>
    <rPh sb="2" eb="3">
      <t>ネツ</t>
    </rPh>
    <rPh sb="3" eb="4">
      <t>ヒ</t>
    </rPh>
    <phoneticPr fontId="4"/>
  </si>
  <si>
    <t>通信費</t>
    <rPh sb="0" eb="2">
      <t>ツウシン</t>
    </rPh>
    <rPh sb="2" eb="3">
      <t>ヒ</t>
    </rPh>
    <phoneticPr fontId="4"/>
  </si>
  <si>
    <t>賃貸料</t>
    <rPh sb="0" eb="3">
      <t>チンタイリョウ</t>
    </rPh>
    <phoneticPr fontId="4"/>
  </si>
  <si>
    <t>広告宣伝費</t>
    <rPh sb="0" eb="2">
      <t>コウコク</t>
    </rPh>
    <rPh sb="2" eb="5">
      <t>センデンヒ</t>
    </rPh>
    <phoneticPr fontId="4"/>
  </si>
  <si>
    <t>交通費</t>
    <rPh sb="0" eb="3">
      <t>コウツウヒ</t>
    </rPh>
    <phoneticPr fontId="4"/>
  </si>
  <si>
    <t>会議費</t>
    <rPh sb="0" eb="3">
      <t>カイギヒ</t>
    </rPh>
    <phoneticPr fontId="4"/>
  </si>
  <si>
    <t>図書資料費</t>
    <rPh sb="0" eb="2">
      <t>トショ</t>
    </rPh>
    <rPh sb="2" eb="4">
      <t>シリョウ</t>
    </rPh>
    <rPh sb="4" eb="5">
      <t>ヒ</t>
    </rPh>
    <phoneticPr fontId="4"/>
  </si>
  <si>
    <t>保守点検・メンテナンス費</t>
    <rPh sb="0" eb="2">
      <t>ホシュ</t>
    </rPh>
    <rPh sb="2" eb="4">
      <t>テンケン</t>
    </rPh>
    <rPh sb="11" eb="12">
      <t>ヒ</t>
    </rPh>
    <phoneticPr fontId="4"/>
  </si>
  <si>
    <t>備品費</t>
    <rPh sb="0" eb="2">
      <t>ビヒン</t>
    </rPh>
    <rPh sb="2" eb="3">
      <t>ヒ</t>
    </rPh>
    <phoneticPr fontId="4"/>
  </si>
  <si>
    <t>雑費</t>
    <rPh sb="0" eb="2">
      <t>ザッピ</t>
    </rPh>
    <phoneticPr fontId="4"/>
  </si>
  <si>
    <t>外注費</t>
    <rPh sb="0" eb="2">
      <t>ガイチュウ</t>
    </rPh>
    <rPh sb="2" eb="3">
      <t>ヒ</t>
    </rPh>
    <phoneticPr fontId="4"/>
  </si>
  <si>
    <t>通勤費</t>
    <rPh sb="0" eb="2">
      <t>ツウキン</t>
    </rPh>
    <rPh sb="2" eb="3">
      <t>ヒ</t>
    </rPh>
    <phoneticPr fontId="4"/>
  </si>
  <si>
    <t>人件費計</t>
    <rPh sb="0" eb="3">
      <t>ジンケンヒ</t>
    </rPh>
    <rPh sb="3" eb="4">
      <t>ケイ</t>
    </rPh>
    <phoneticPr fontId="4"/>
  </si>
  <si>
    <t>支払保険料</t>
    <rPh sb="0" eb="2">
      <t>シハラ</t>
    </rPh>
    <rPh sb="2" eb="5">
      <t>ホケンリョウ</t>
    </rPh>
    <phoneticPr fontId="4"/>
  </si>
  <si>
    <t>収入計画</t>
    <rPh sb="0" eb="2">
      <t>シュウニュウ</t>
    </rPh>
    <rPh sb="2" eb="4">
      <t>ケイカク</t>
    </rPh>
    <phoneticPr fontId="4"/>
  </si>
  <si>
    <t>収　　入</t>
    <rPh sb="0" eb="1">
      <t>オサム</t>
    </rPh>
    <rPh sb="3" eb="4">
      <t>イリ</t>
    </rPh>
    <phoneticPr fontId="4"/>
  </si>
  <si>
    <t>収入合計</t>
    <rPh sb="0" eb="2">
      <t>シュウニュウ</t>
    </rPh>
    <phoneticPr fontId="4"/>
  </si>
  <si>
    <t>支出計画</t>
    <rPh sb="0" eb="2">
      <t>シシュツ</t>
    </rPh>
    <rPh sb="2" eb="4">
      <t>ケイカク</t>
    </rPh>
    <phoneticPr fontId="4"/>
  </si>
  <si>
    <t>利用料･参加費</t>
    <rPh sb="0" eb="3">
      <t>リヨウリョウ</t>
    </rPh>
    <rPh sb="4" eb="7">
      <t>サンカヒ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</si>
</sst>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_(* #,##0_);_(* \(#,##0\);_(* &quot;-&quot;_);_(@_)"/>
    <numFmt numFmtId="177" formatCode="_(* #,##0.00_);_(* \(#,##0.00\);_(* &quot;-&quot;??_);_(@_)"/>
    <numFmt numFmtId="178" formatCode=";;;"/>
    <numFmt numFmtId="179" formatCode="yyyy&quot;年&quot;m&quot;月&quot;;@"/>
  </numFmts>
  <fonts count="18" x14ac:knownFonts="1">
    <font>
      <sz val="11"/>
      <color theme="1"/>
      <name val="Meiryo UI"/>
      <family val="3"/>
      <charset val="128"/>
    </font>
    <font>
      <sz val="11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1"/>
      <name val="Century Gothic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i/>
      <sz val="22"/>
      <color theme="7"/>
      <name val="ＭＳ 明朝"/>
      <family val="1"/>
      <charset val="128"/>
    </font>
    <font>
      <b/>
      <i/>
      <sz val="22"/>
      <color theme="7" tint="-0.24994659260841701"/>
      <name val="ＭＳ 明朝"/>
      <family val="1"/>
      <charset val="128"/>
    </font>
    <font>
      <b/>
      <sz val="12"/>
      <color theme="8"/>
      <name val="ＭＳ 明朝"/>
      <family val="1"/>
      <charset val="128"/>
    </font>
    <font>
      <b/>
      <sz val="11"/>
      <color theme="8"/>
      <name val="Meiryo UI"/>
      <family val="3"/>
      <charset val="128"/>
    </font>
    <font>
      <b/>
      <sz val="26"/>
      <color theme="3"/>
      <name val="Meiryo UI"/>
      <family val="3"/>
      <charset val="128"/>
    </font>
    <font>
      <b/>
      <sz val="22"/>
      <color theme="3"/>
      <name val="Meiryo UI"/>
      <family val="3"/>
      <charset val="128"/>
    </font>
    <font>
      <sz val="11"/>
      <color theme="3"/>
      <name val="ＭＳ 明朝"/>
      <family val="1"/>
      <charset val="128"/>
    </font>
    <font>
      <b/>
      <sz val="12"/>
      <color theme="3"/>
      <name val="Meiryo UI"/>
      <family val="3"/>
      <charset val="128"/>
    </font>
    <font>
      <sz val="1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i/>
      <sz val="16"/>
      <color theme="7" tint="-0.2499465926084170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4" fillId="0" borderId="0" applyFill="0" applyBorder="0" applyProtection="0">
      <alignment horizontal="right"/>
    </xf>
    <xf numFmtId="0" fontId="11" fillId="0" borderId="0" applyNumberFormat="0" applyFill="0" applyBorder="0" applyProtection="0">
      <alignment vertical="center"/>
    </xf>
    <xf numFmtId="0" fontId="17" fillId="0" borderId="3" applyProtection="0">
      <alignment vertical="center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4" fillId="0" borderId="0" applyFill="0" applyBorder="0" applyAlignment="0" applyProtection="0"/>
    <xf numFmtId="0" fontId="1" fillId="4" borderId="1" applyNumberFormat="0" applyFont="0" applyAlignment="0" applyProtection="0"/>
    <xf numFmtId="0" fontId="15" fillId="2" borderId="0">
      <alignment horizontal="right" vertical="center" indent="1"/>
    </xf>
    <xf numFmtId="42" fontId="16" fillId="2" borderId="0" applyBorder="0" applyAlignment="0" applyProtection="0"/>
    <xf numFmtId="9" fontId="16" fillId="2" borderId="0" applyBorder="0" applyAlignment="0" applyProtection="0"/>
    <xf numFmtId="0" fontId="5" fillId="0" borderId="0">
      <alignment horizontal="right" wrapText="1" indent="1"/>
    </xf>
    <xf numFmtId="0" fontId="7" fillId="0" borderId="0" applyFill="0" applyProtection="0">
      <alignment horizontal="right" vertical="center"/>
    </xf>
    <xf numFmtId="0" fontId="8" fillId="0" borderId="0" applyFill="0" applyProtection="0">
      <alignment horizontal="right" vertical="center"/>
    </xf>
    <xf numFmtId="179" fontId="12" fillId="0" borderId="2" applyFill="0" applyProtection="0">
      <alignment horizontal="center" vertical="center"/>
    </xf>
    <xf numFmtId="0" fontId="13" fillId="0" borderId="0">
      <alignment horizontal="right" indent="1"/>
    </xf>
    <xf numFmtId="42" fontId="5" fillId="5" borderId="4" applyNumberFormat="0" applyFont="0" applyAlignment="0">
      <alignment horizontal="center"/>
    </xf>
    <xf numFmtId="42" fontId="3" fillId="3" borderId="4" applyNumberFormat="0" applyFont="0" applyAlignment="0"/>
    <xf numFmtId="42" fontId="3" fillId="6" borderId="4" applyNumberFormat="0" applyFont="0" applyAlignment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1" fillId="0" borderId="0" xfId="2" applyBorder="1" applyAlignment="1">
      <alignment vertical="center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15" fillId="2" borderId="0" xfId="8">
      <alignment horizontal="right" vertical="center" indent="1"/>
    </xf>
    <xf numFmtId="42" fontId="16" fillId="2" borderId="0" xfId="9" applyFill="1" applyAlignment="1">
      <alignment horizontal="right" vertical="center" indent="1"/>
    </xf>
    <xf numFmtId="9" fontId="16" fillId="2" borderId="0" xfId="10" applyFill="1" applyAlignment="1">
      <alignment horizontal="right" vertical="center" indent="1"/>
    </xf>
    <xf numFmtId="42" fontId="14" fillId="0" borderId="0" xfId="6" applyFill="1" applyBorder="1"/>
    <xf numFmtId="0" fontId="0" fillId="0" borderId="0" xfId="0" applyAlignment="1">
      <alignment horizontal="center"/>
    </xf>
    <xf numFmtId="9" fontId="14" fillId="0" borderId="0" xfId="1" applyFill="1" applyBorder="1" applyAlignment="1">
      <alignment horizontal="right"/>
    </xf>
    <xf numFmtId="0" fontId="7" fillId="0" borderId="0" xfId="12">
      <alignment horizontal="right" vertical="center"/>
    </xf>
    <xf numFmtId="0" fontId="8" fillId="0" borderId="0" xfId="13">
      <alignment horizontal="right" vertical="center"/>
    </xf>
    <xf numFmtId="179" fontId="12" fillId="0" borderId="2" xfId="14">
      <alignment horizontal="center" vertical="center"/>
    </xf>
    <xf numFmtId="0" fontId="17" fillId="0" borderId="3" xfId="3">
      <alignment vertical="center"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right"/>
    </xf>
    <xf numFmtId="42" fontId="0" fillId="0" borderId="0" xfId="6" applyFont="1" applyFill="1" applyBorder="1"/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13" fillId="0" borderId="0" xfId="15">
      <alignment horizontal="right" indent="1"/>
    </xf>
    <xf numFmtId="0" fontId="2" fillId="5" borderId="4" xfId="16" applyNumberFormat="1" applyFont="1" applyAlignment="1">
      <alignment horizontal="center"/>
    </xf>
    <xf numFmtId="9" fontId="14" fillId="5" borderId="4" xfId="1" applyFill="1" applyBorder="1" applyAlignment="1">
      <alignment horizontal="right"/>
    </xf>
    <xf numFmtId="0" fontId="0" fillId="6" borderId="4" xfId="18" applyNumberFormat="1" applyFont="1" applyAlignment="1">
      <alignment horizontal="center"/>
    </xf>
    <xf numFmtId="42" fontId="14" fillId="6" borderId="4" xfId="6" applyFill="1" applyBorder="1"/>
    <xf numFmtId="9" fontId="14" fillId="6" borderId="4" xfId="1" applyFill="1" applyBorder="1" applyAlignment="1">
      <alignment horizontal="right"/>
    </xf>
    <xf numFmtId="0" fontId="8" fillId="0" borderId="0" xfId="13" applyNumberFormat="1">
      <alignment horizontal="right" vertical="center"/>
    </xf>
    <xf numFmtId="9" fontId="14" fillId="5" borderId="4" xfId="1" applyFill="1" applyBorder="1">
      <alignment horizontal="right"/>
    </xf>
    <xf numFmtId="0" fontId="6" fillId="0" borderId="0" xfId="0" applyFont="1" applyBorder="1" applyAlignment="1">
      <alignment horizontal="right" vertical="center"/>
    </xf>
    <xf numFmtId="0" fontId="7" fillId="0" borderId="0" xfId="12" applyFont="1">
      <alignment horizontal="right"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42" fontId="14" fillId="5" borderId="4" xfId="6" applyNumberFormat="1" applyFill="1" applyBorder="1" applyAlignment="1">
      <alignment horizontal="center"/>
    </xf>
    <xf numFmtId="42" fontId="0" fillId="0" borderId="0" xfId="0" applyNumberFormat="1" applyFont="1" applyFill="1" applyBorder="1"/>
    <xf numFmtId="179" fontId="12" fillId="0" borderId="2" xfId="14" applyNumberFormat="1">
      <alignment horizontal="center" vertical="center"/>
    </xf>
    <xf numFmtId="0" fontId="17" fillId="0" borderId="3" xfId="3" applyFont="1">
      <alignment vertical="center"/>
    </xf>
    <xf numFmtId="0" fontId="0" fillId="0" borderId="0" xfId="11" applyFont="1">
      <alignment horizontal="right" wrapText="1" indent="1"/>
    </xf>
    <xf numFmtId="42" fontId="14" fillId="7" borderId="4" xfId="6" applyFill="1" applyBorder="1"/>
    <xf numFmtId="0" fontId="0" fillId="8" borderId="0" xfId="11" applyFont="1" applyFill="1">
      <alignment horizontal="right" wrapText="1" indent="1"/>
    </xf>
    <xf numFmtId="0" fontId="0" fillId="8" borderId="4" xfId="18" applyNumberFormat="1" applyFont="1" applyFill="1" applyAlignment="1">
      <alignment horizontal="center"/>
    </xf>
    <xf numFmtId="42" fontId="0" fillId="8" borderId="0" xfId="6" applyFont="1" applyFill="1" applyBorder="1"/>
  </cellXfs>
  <cellStyles count="19">
    <cellStyle name="タイトル" xfId="2" builtinId="15" customBuiltin="1"/>
    <cellStyle name="パーセント" xfId="1" builtinId="5" customBuiltin="1"/>
    <cellStyle name="メモ" xfId="7" builtinId="10" customBuiltin="1"/>
    <cellStyle name="経費の入力" xfId="18"/>
    <cellStyle name="桁区切り" xfId="5" builtinId="6" customBuiltin="1"/>
    <cellStyle name="桁区切り [0.00]" xfId="4" builtinId="3" customBuiltin="1"/>
    <cellStyle name="見出し 1" xfId="3" builtinId="16" customBuiltin="1"/>
    <cellStyle name="見出し 2" xfId="12" builtinId="17" customBuiltin="1"/>
    <cellStyle name="見出し 3" xfId="13" builtinId="18" customBuiltin="1"/>
    <cellStyle name="見出し 4" xfId="14" builtinId="19" customBuiltin="1"/>
    <cellStyle name="収益の入力" xfId="16"/>
    <cellStyle name="通貨" xfId="6" builtinId="7" customBuiltin="1"/>
    <cellStyle name="売上原価の入力" xfId="17"/>
    <cellStyle name="標準" xfId="0" builtinId="0" customBuiltin="1"/>
    <cellStyle name="表の見出し 1" xfId="15"/>
    <cellStyle name="表の詳細" xfId="11"/>
    <cellStyle name="利益" xfId="8"/>
    <cellStyle name="利益額" xfId="9"/>
    <cellStyle name="利益率" xfId="10"/>
  </cellStyles>
  <dxfs count="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 &quot;¥&quot;* #,##0_ ;_ &quot;¥&quot;* \-#,##0_ ;_ &quot;¥&quot;* &quot;-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32" formatCode="_ &quot;¥&quot;* #,##0_ ;_ &quot;¥&quot;* \-#,##0_ ;_ &quot;¥&quot;* &quot;-&quot;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2" formatCode="_ &quot;¥&quot;* #,##0_ ;_ &quot;¥&quot;* \-#,##0_ ;_ &quot;¥&quot;* &quot;-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alignment horizontal="center" vertical="bottom" textRotation="0" wrapText="0" indent="0" justifyLastLine="0" shrinkToFit="0" readingOrder="0"/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利益/損失の収益" defaultPivotStyle="PivotStyleLight16">
    <tableStyle name="利益/損失の経費" pivot="0" count="5">
      <tableStyleElement type="wholeTable" dxfId="76"/>
      <tableStyleElement type="headerRow" dxfId="75"/>
      <tableStyleElement type="totalRow" dxfId="74"/>
      <tableStyleElement type="firstRowStripe" dxfId="73"/>
      <tableStyleElement type="secondRowStripe" dxfId="72"/>
    </tableStyle>
    <tableStyle name="利益/損失の収益" pivot="0" count="5">
      <tableStyleElement type="wholeTable" dxfId="71"/>
      <tableStyleElement type="headerRow" dxfId="70"/>
      <tableStyleElement type="totalRow" dxfId="69"/>
      <tableStyleElement type="firstRowStripe" dxfId="68"/>
      <tableStyleElement type="secondRowStripe" dxfId="67"/>
    </tableStyle>
    <tableStyle name="利益/損失の売上" pivot="0" count="5">
      <tableStyleElement type="wholeTable" dxfId="66"/>
      <tableStyleElement type="headerRow" dxfId="65"/>
      <tableStyleElement type="totalRow" dxfId="64"/>
      <tableStyleElement type="firstRowStripe" dxfId="63"/>
      <tableStyleElement type="secondRowStripe" dxfId="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収益" displayName="収益" ref="B4:AD13" totalsRowCount="1">
  <autoFilter ref="B4:AD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name="収　　入" totalsRowLabel="収入合計" totalsRowDxfId="28"/>
    <tableColumn id="29" name="トレンド" dataDxfId="61" totalsRowDxfId="27" dataCellStyle="収益の入力"/>
    <tableColumn id="2" name="1 月" totalsRowFunction="sum" totalsRowDxfId="26"/>
    <tableColumn id="3" name="2 月" totalsRowFunction="sum" totalsRowDxfId="25"/>
    <tableColumn id="4" name="3 月" totalsRowFunction="sum" totalsRowDxfId="24"/>
    <tableColumn id="5" name="4 月" totalsRowFunction="sum" totalsRowDxfId="23"/>
    <tableColumn id="6" name="5 月" totalsRowFunction="sum" totalsRowDxfId="22"/>
    <tableColumn id="7" name="6 月" totalsRowFunction="sum" totalsRowDxfId="21"/>
    <tableColumn id="8" name="7 月" totalsRowFunction="sum" totalsRowDxfId="20"/>
    <tableColumn id="9" name="8 月" totalsRowFunction="sum" totalsRowDxfId="19"/>
    <tableColumn id="10" name="9 月" totalsRowFunction="sum" totalsRowDxfId="18"/>
    <tableColumn id="11" name="10 月" totalsRowFunction="sum" totalsRowDxfId="17"/>
    <tableColumn id="12" name="11 月" totalsRowFunction="sum" totalsRowDxfId="16"/>
    <tableColumn id="13" name="12 月" totalsRowFunction="sum" totalsRowDxfId="15"/>
    <tableColumn id="14" name="年次" totalsRowFunction="sum" dataDxfId="60" totalsRowDxfId="14">
      <calculatedColumnFormula>SUM(収益[[#This Row],[1 月]:[12 月]])</calculatedColumnFormula>
    </tableColumn>
    <tableColumn id="15" name="インデックス %" totalsRowFunction="sum" totalsRowDxfId="13"/>
    <tableColumn id="16" name="1 月 %" totalsRowFunction="sum" totalsRowDxfId="12">
      <calculatedColumnFormula>IFERROR(収益[[#This Row],[1 月]]/収益[[#Totals],[1 月]],"-")</calculatedColumnFormula>
    </tableColumn>
    <tableColumn id="17" name="2 月 %" totalsRowFunction="sum" totalsRowDxfId="11">
      <calculatedColumnFormula>IFERROR(収益[[#This Row],[2 月]]/収益[[#Totals],[2 月]],"-")</calculatedColumnFormula>
    </tableColumn>
    <tableColumn id="18" name="3 月 %" totalsRowFunction="sum" totalsRowDxfId="10">
      <calculatedColumnFormula>IFERROR(収益[[#This Row],[3 月]]/収益[[#Totals],[3 月]],"-")</calculatedColumnFormula>
    </tableColumn>
    <tableColumn id="19" name="4 月 %" totalsRowFunction="sum" totalsRowDxfId="9">
      <calculatedColumnFormula>IFERROR(収益[[#This Row],[4 月]]/収益[[#Totals],[4 月]],"-")</calculatedColumnFormula>
    </tableColumn>
    <tableColumn id="20" name="5 月 %" totalsRowFunction="sum" totalsRowDxfId="8">
      <calculatedColumnFormula>IFERROR(収益[[#This Row],[5 月]]/収益[[#Totals],[5 月]],"-")</calculatedColumnFormula>
    </tableColumn>
    <tableColumn id="21" name="6 月 %" totalsRowFunction="sum" totalsRowDxfId="7">
      <calculatedColumnFormula>IFERROR(収益[[#This Row],[6 月]]/収益[[#Totals],[6 月]],"-")</calculatedColumnFormula>
    </tableColumn>
    <tableColumn id="22" name="7 月 %" totalsRowFunction="sum" totalsRowDxfId="6">
      <calculatedColumnFormula>IFERROR(収益[[#This Row],[7 月]]/収益[[#Totals],[7 月]],"-")</calculatedColumnFormula>
    </tableColumn>
    <tableColumn id="23" name="8 月 %" totalsRowFunction="sum" totalsRowDxfId="5">
      <calculatedColumnFormula>IFERROR(収益[[#This Row],[8 月]]/収益[[#Totals],[8 月]],"-")</calculatedColumnFormula>
    </tableColumn>
    <tableColumn id="24" name="9 月 %" totalsRowFunction="sum" totalsRowDxfId="4">
      <calculatedColumnFormula>IFERROR(収益[[#This Row],[9 月]]/収益[[#Totals],[9 月]],"-")</calculatedColumnFormula>
    </tableColumn>
    <tableColumn id="25" name="10 月 %" totalsRowFunction="sum" totalsRowDxfId="3">
      <calculatedColumnFormula>IFERROR(収益[[#This Row],[10 月]]/収益[[#Totals],[10 月]],"-")</calculatedColumnFormula>
    </tableColumn>
    <tableColumn id="26" name="11 月 %" totalsRowFunction="sum" totalsRowDxfId="2">
      <calculatedColumnFormula>IFERROR(収益[[#This Row],[11 月]]/収益[[#Totals],[11 月]],"-")</calculatedColumnFormula>
    </tableColumn>
    <tableColumn id="27" name="12 月 %" totalsRowFunction="sum" totalsRowDxfId="1">
      <calculatedColumnFormula>IFERROR(収益[[#This Row],[12 月]]/収益[[#Totals],[12 月]],"-")</calculatedColumnFormula>
    </tableColumn>
    <tableColumn id="28" name="年 %" totalsRowFunction="sum" totalsRowDxfId="0">
      <calculatedColumnFormula>IFERROR(収益[[#This Row],[年次]]/収益[[#Totals],[年次]],"-")</calculatedColumnFormula>
    </tableColumn>
  </tableColumns>
  <tableStyleInfo name="利益/損失の収益" showFirstColumn="0" showLastColumn="0" showRowStripes="1" showColumnStripes="0"/>
  <extLst>
    <ext xmlns:x14="http://schemas.microsoft.com/office/spreadsheetml/2009/9/main" uri="{504A1905-F514-4f6f-8877-14C23A59335A}">
      <x14:table altTextSummary="各収益項目の月間売上、年間合計、1 か月間の割合の概要"/>
    </ext>
  </extLst>
</table>
</file>

<file path=xl/tables/table2.xml><?xml version="1.0" encoding="utf-8"?>
<table xmlns="http://schemas.openxmlformats.org/spreadsheetml/2006/main" id="8" name="tblExpenses" displayName="tblExpenses" ref="B4:AD24" totalsRowCount="1">
  <tableColumns count="29">
    <tableColumn id="1" name="経費" totalsRowLabel="経費合計" totalsRowDxfId="59"/>
    <tableColumn id="2" name="トレンド" totalsRowLabel=" " dataDxfId="58" totalsRowDxfId="57" dataCellStyle="経費の入力"/>
    <tableColumn id="3" name="列 1" totalsRowFunction="sum" totalsRowDxfId="56"/>
    <tableColumn id="4" name="2 月" totalsRowFunction="sum" totalsRowDxfId="55"/>
    <tableColumn id="5" name="3 月" totalsRowFunction="sum" totalsRowDxfId="54"/>
    <tableColumn id="6" name="4 月" totalsRowFunction="sum" totalsRowDxfId="53"/>
    <tableColumn id="7" name="5 月" totalsRowFunction="sum" totalsRowDxfId="52"/>
    <tableColumn id="8" name="6 月" totalsRowFunction="sum" totalsRowDxfId="51"/>
    <tableColumn id="9" name="7 月" totalsRowFunction="sum" totalsRowDxfId="50"/>
    <tableColumn id="10" name="8 月" totalsRowFunction="sum" totalsRowDxfId="49"/>
    <tableColumn id="11" name="9 月" totalsRowFunction="sum" totalsRowDxfId="48"/>
    <tableColumn id="12" name="10 月" totalsRowFunction="sum" totalsRowDxfId="47"/>
    <tableColumn id="13" name="11 月" totalsRowFunction="sum" totalsRowDxfId="46"/>
    <tableColumn id="14" name="12 月" totalsRowFunction="sum" totalsRowDxfId="45"/>
    <tableColumn id="15" name="年次" totalsRowFunction="custom" dataDxfId="44" totalsRowDxfId="43">
      <calculatedColumnFormula>SUM(tblExpenses[[#This Row],[列 1]:[12 月]])</calculatedColumnFormula>
      <totalsRowFormula>SUM(P5,P8,P9:P23)</totalsRowFormula>
    </tableColumn>
    <tableColumn id="16" name="インデックス %" totalsRowFunction="sum" totalsRowDxfId="42"/>
    <tableColumn id="17" name="1 月 %" totalsRowFunction="sum" totalsRowDxfId="41">
      <calculatedColumnFormula>tblExpenses[[#This Row],[列 1]]/tblExpenses[[#Totals],[列 1]]</calculatedColumnFormula>
    </tableColumn>
    <tableColumn id="18" name="2 月 %" totalsRowFunction="sum" totalsRowDxfId="40">
      <calculatedColumnFormula>tblExpenses[[#This Row],[2 月]]/tblExpenses[[#Totals],[2 月]]</calculatedColumnFormula>
    </tableColumn>
    <tableColumn id="19" name="3 月 %" totalsRowFunction="sum" totalsRowDxfId="39">
      <calculatedColumnFormula>tblExpenses[[#This Row],[3 月]]/tblExpenses[[#Totals],[3 月]]</calculatedColumnFormula>
    </tableColumn>
    <tableColumn id="20" name="4 月 %" totalsRowFunction="sum" totalsRowDxfId="38">
      <calculatedColumnFormula>tblExpenses[[#This Row],[4 月]]/tblExpenses[[#Totals],[4 月]]</calculatedColumnFormula>
    </tableColumn>
    <tableColumn id="21" name="5 月 %" totalsRowFunction="sum" totalsRowDxfId="37">
      <calculatedColumnFormula>tblExpenses[[#This Row],[5 月]]/tblExpenses[[#Totals],[5 月]]</calculatedColumnFormula>
    </tableColumn>
    <tableColumn id="22" name="6 月 %" totalsRowFunction="sum" totalsRowDxfId="36">
      <calculatedColumnFormula>tblExpenses[[#This Row],[6 月]]/tblExpenses[[#Totals],[6 月]]</calculatedColumnFormula>
    </tableColumn>
    <tableColumn id="23" name="7 月 %" totalsRowFunction="sum" totalsRowDxfId="35">
      <calculatedColumnFormula>tblExpenses[[#This Row],[7 月]]/tblExpenses[[#Totals],[7 月]]</calculatedColumnFormula>
    </tableColumn>
    <tableColumn id="24" name="8 月 %" totalsRowFunction="sum" totalsRowDxfId="34">
      <calculatedColumnFormula>tblExpenses[[#This Row],[8 月]]/tblExpenses[[#Totals],[8 月]]</calculatedColumnFormula>
    </tableColumn>
    <tableColumn id="25" name="9 月 %" totalsRowFunction="sum" totalsRowDxfId="33">
      <calculatedColumnFormula>tblExpenses[[#This Row],[9 月]]/tblExpenses[[#Totals],[9 月]]</calculatedColumnFormula>
    </tableColumn>
    <tableColumn id="26" name="10 月 %" totalsRowFunction="sum" totalsRowDxfId="32">
      <calculatedColumnFormula>tblExpenses[[#This Row],[10 月]]/tblExpenses[[#Totals],[10 月]]</calculatedColumnFormula>
    </tableColumn>
    <tableColumn id="27" name="11 月 %" totalsRowFunction="sum" totalsRowDxfId="31">
      <calculatedColumnFormula>tblExpenses[[#This Row],[11 月]]/tblExpenses[[#Totals],[11 月]]</calculatedColumnFormula>
    </tableColumn>
    <tableColumn id="28" name="12 月 %" totalsRowFunction="sum" totalsRowDxfId="30">
      <calculatedColumnFormula>tblExpenses[[#This Row],[12 月]]/tblExpenses[[#Totals],[12 月]]</calculatedColumnFormula>
    </tableColumn>
    <tableColumn id="29" name="年 %" totalsRowFunction="sum" totalsRowDxfId="29">
      <calculatedColumnFormula>tblExpenses[[#This Row],[年次]]/tblExpenses[[#Totals],[年次]]</calculatedColumnFormula>
    </tableColumn>
  </tableColumns>
  <tableStyleInfo name="利益/損失の経費" showFirstColumn="0" showLastColumn="0" showRowStripes="1" showColumnStripes="0"/>
  <extLst>
    <ext xmlns:x14="http://schemas.microsoft.com/office/spreadsheetml/2009/9/main" uri="{504A1905-F514-4f6f-8877-14C23A59335A}">
      <x14:table altTextSummary="各経費項目の経費、年間の合計、月ごとの割合の概要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D18"/>
  <sheetViews>
    <sheetView showGridLines="0" tabSelected="1" zoomScaleNormal="100" workbookViewId="0">
      <pane ySplit="3" topLeftCell="A4" activePane="bottomLeft" state="frozen"/>
      <selection activeCell="D16" sqref="D16"/>
      <selection pane="bottomLeft" activeCell="J13" sqref="J13"/>
    </sheetView>
  </sheetViews>
  <sheetFormatPr defaultRowHeight="30" customHeight="1" x14ac:dyDescent="0.25"/>
  <cols>
    <col min="1" max="1" width="2.77734375" customWidth="1"/>
    <col min="2" max="2" width="14.44140625" customWidth="1"/>
    <col min="3" max="3" width="12.77734375" customWidth="1"/>
    <col min="4" max="4" width="10.5546875" customWidth="1"/>
    <col min="5" max="5" width="10.77734375" customWidth="1"/>
    <col min="6" max="15" width="11.77734375" customWidth="1"/>
    <col min="16" max="16" width="13.6640625" customWidth="1"/>
    <col min="17" max="17" width="13.88671875" customWidth="1"/>
    <col min="18" max="30" width="7.88671875" customWidth="1"/>
    <col min="31" max="31" width="2.77734375" customWidth="1"/>
  </cols>
  <sheetData>
    <row r="1" spans="1:30" ht="35.1" customHeight="1" x14ac:dyDescent="0.25">
      <c r="A1" s="4"/>
      <c r="B1" s="41" t="s">
        <v>35</v>
      </c>
      <c r="C1" s="8"/>
      <c r="J1" s="1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5" t="s">
        <v>44</v>
      </c>
    </row>
    <row r="2" spans="1:30" ht="60" customHeight="1" x14ac:dyDescent="0.25">
      <c r="B2" s="3" t="s">
        <v>64</v>
      </c>
      <c r="E2" s="37"/>
      <c r="G2" s="37"/>
      <c r="K2" s="37"/>
      <c r="L2" s="37"/>
      <c r="M2" s="37"/>
      <c r="N2" s="37"/>
      <c r="O2" s="37"/>
      <c r="X2" s="36"/>
      <c r="Y2" s="36"/>
      <c r="Z2" s="36"/>
      <c r="AA2" s="36"/>
      <c r="AB2" s="17" t="s">
        <v>25</v>
      </c>
      <c r="AC2" s="17" t="s">
        <v>43</v>
      </c>
      <c r="AD2" s="32">
        <f ca="1">YEAR(TODAY())</f>
        <v>2018</v>
      </c>
    </row>
    <row r="3" spans="1:30" ht="20.100000000000001" customHeight="1" x14ac:dyDescent="0.25">
      <c r="D3" s="40" t="str">
        <f ca="1">UPPER(TEXT(DATE(FYStartYear,FYMonthNo+0,1),"yyyy 年 m 月"))</f>
        <v>2018 年 10 月</v>
      </c>
      <c r="E3" s="40" t="str">
        <f ca="1">UPPER(TEXT(DATE(FYStartYear,FYMonthNo+1,1),"yyyy 年 m 月"))</f>
        <v>2018 年 11 月</v>
      </c>
      <c r="F3" s="40" t="str">
        <f ca="1">UPPER(TEXT(DATE(FYStartYear,FYMonthNo+2,1),"yyyy 年 m 月"))</f>
        <v>2018 年 12 月</v>
      </c>
      <c r="G3" s="40" t="str">
        <f ca="1">UPPER(TEXT(DATE(FYStartYear,FYMonthNo+3,1),"yyyy 年 m 月"))</f>
        <v>2019 年 1 月</v>
      </c>
      <c r="H3" s="40" t="str">
        <f ca="1">UPPER(TEXT(DATE(FYStartYear,FYMonthNo+4,1),"yyyy 年 m 月"))</f>
        <v>2019 年 2 月</v>
      </c>
      <c r="I3" s="40" t="str">
        <f ca="1">UPPER(TEXT(DATE(FYStartYear,FYMonthNo+5,1),"yyyy 年 m 月"))</f>
        <v>2019 年 3 月</v>
      </c>
      <c r="J3" s="40" t="str">
        <f ca="1">UPPER(TEXT(DATE(FYStartYear,FYMonthNo+6,1),"yyyy 年 m 月"))</f>
        <v>2019 年 4 月</v>
      </c>
      <c r="K3" s="40" t="str">
        <f ca="1">UPPER(TEXT(DATE(FYStartYear,FYMonthNo+7,1),"yyyy 年 m 月"))</f>
        <v>2019 年 5 月</v>
      </c>
      <c r="L3" s="40" t="str">
        <f ca="1">UPPER(TEXT(DATE(FYStartYear,FYMonthNo+8,1),"yyyy 年 m 月"))</f>
        <v>2019 年 6 月</v>
      </c>
      <c r="M3" s="40" t="str">
        <f ca="1">UPPER(TEXT(DATE(FYStartYear,FYMonthNo+9,1),"yyyy 年 m 月"))</f>
        <v>2019 年 7 月</v>
      </c>
      <c r="N3" s="40" t="str">
        <f ca="1">UPPER(TEXT(DATE(FYStartYear,FYMonthNo+10,1),"yyyy 年 m 月"))</f>
        <v>2019 年 8 月</v>
      </c>
      <c r="O3" s="40" t="str">
        <f ca="1">UPPER(TEXT(DATE(FYStartYear,FYMonthNo+11,1),"yyyy 年 m 月"))</f>
        <v>2019 年 9 月</v>
      </c>
      <c r="P3" s="40" t="s">
        <v>13</v>
      </c>
      <c r="Q3" s="40" t="s">
        <v>14</v>
      </c>
      <c r="R3" s="40" t="str">
        <f ca="1">IF(RIGHT(D3,4)&gt;"0",RIGHT(D3,4),RIGHT(D3,3))&amp;" %"</f>
        <v>10 月 %</v>
      </c>
      <c r="S3" s="40" t="str">
        <f t="shared" ref="S3:AC3" ca="1" si="0">IF(RIGHT(E3,4)&gt;"0",RIGHT(E3,4),RIGHT(E3,3))&amp;" %"</f>
        <v>11 月 %</v>
      </c>
      <c r="T3" s="40" t="str">
        <f t="shared" ca="1" si="0"/>
        <v>12 月 %</v>
      </c>
      <c r="U3" s="40" t="str">
        <f t="shared" ca="1" si="0"/>
        <v>1 月 %</v>
      </c>
      <c r="V3" s="40" t="str">
        <f t="shared" ca="1" si="0"/>
        <v>2 月 %</v>
      </c>
      <c r="W3" s="40" t="str">
        <f t="shared" ca="1" si="0"/>
        <v>3 月 %</v>
      </c>
      <c r="X3" s="40" t="str">
        <f t="shared" ca="1" si="0"/>
        <v>4 月 %</v>
      </c>
      <c r="Y3" s="40" t="str">
        <f t="shared" ca="1" si="0"/>
        <v>5 月 %</v>
      </c>
      <c r="Z3" s="40" t="str">
        <f t="shared" ca="1" si="0"/>
        <v>6 月 %</v>
      </c>
      <c r="AA3" s="40" t="str">
        <f t="shared" ca="1" si="0"/>
        <v>7 月 %</v>
      </c>
      <c r="AB3" s="40" t="str">
        <f t="shared" ca="1" si="0"/>
        <v>8 月 %</v>
      </c>
      <c r="AC3" s="40" t="str">
        <f t="shared" ca="1" si="0"/>
        <v>9 月 %</v>
      </c>
      <c r="AD3" s="40" t="s">
        <v>28</v>
      </c>
    </row>
    <row r="4" spans="1:30" ht="30" customHeight="1" x14ac:dyDescent="0.25">
      <c r="B4" s="26" t="s">
        <v>65</v>
      </c>
      <c r="C4" s="26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0" t="s">
        <v>11</v>
      </c>
      <c r="O4" s="20" t="s">
        <v>12</v>
      </c>
      <c r="P4" s="20" t="s">
        <v>13</v>
      </c>
      <c r="Q4" s="21" t="s">
        <v>14</v>
      </c>
      <c r="R4" s="21" t="s">
        <v>15</v>
      </c>
      <c r="S4" s="21" t="s">
        <v>16</v>
      </c>
      <c r="T4" s="21" t="s">
        <v>17</v>
      </c>
      <c r="U4" s="21" t="s">
        <v>18</v>
      </c>
      <c r="V4" s="21" t="s">
        <v>19</v>
      </c>
      <c r="W4" s="21" t="s">
        <v>20</v>
      </c>
      <c r="X4" s="21" t="s">
        <v>21</v>
      </c>
      <c r="Y4" s="21" t="s">
        <v>22</v>
      </c>
      <c r="Z4" s="21" t="s">
        <v>23</v>
      </c>
      <c r="AA4" s="21" t="s">
        <v>24</v>
      </c>
      <c r="AB4" s="21" t="s">
        <v>26</v>
      </c>
      <c r="AC4" s="21" t="s">
        <v>27</v>
      </c>
      <c r="AD4" s="20" t="s">
        <v>28</v>
      </c>
    </row>
    <row r="5" spans="1:30" ht="30" customHeight="1" x14ac:dyDescent="0.25">
      <c r="B5" s="42" t="s">
        <v>36</v>
      </c>
      <c r="C5" s="27"/>
      <c r="D5" s="13">
        <v>0</v>
      </c>
      <c r="E5" s="13">
        <v>20000</v>
      </c>
      <c r="F5" s="13">
        <v>40000</v>
      </c>
      <c r="G5" s="13">
        <v>30000</v>
      </c>
      <c r="H5" s="13">
        <v>20000</v>
      </c>
      <c r="I5" s="13">
        <v>40000</v>
      </c>
      <c r="J5" s="13">
        <v>20000</v>
      </c>
      <c r="K5" s="13">
        <v>40000</v>
      </c>
      <c r="L5" s="13">
        <v>30000</v>
      </c>
      <c r="M5" s="13">
        <v>30000</v>
      </c>
      <c r="N5" s="13">
        <v>30000</v>
      </c>
      <c r="O5" s="13">
        <v>50000</v>
      </c>
      <c r="P5" s="38">
        <f>SUM(収益[[#This Row],[1 月]:[12 月]])</f>
        <v>350000</v>
      </c>
      <c r="Q5" s="15">
        <v>0.12</v>
      </c>
      <c r="R5" s="28">
        <f>IFERROR(収益[[#This Row],[1 月]]/収益[[#Totals],[1 月]],"-")</f>
        <v>0</v>
      </c>
      <c r="S5" s="28">
        <f>IFERROR(収益[[#This Row],[2 月]]/収益[[#Totals],[2 月]],"-")</f>
        <v>0.31746031746031744</v>
      </c>
      <c r="T5" s="28">
        <f>IFERROR(収益[[#This Row],[3 月]]/収益[[#Totals],[3 月]],"-")</f>
        <v>0.24691358024691357</v>
      </c>
      <c r="U5" s="28">
        <f>IFERROR(収益[[#This Row],[4 月]]/収益[[#Totals],[4 月]],"-")</f>
        <v>0.23622047244094488</v>
      </c>
      <c r="V5" s="28">
        <f>IFERROR(収益[[#This Row],[5 月]]/収益[[#Totals],[5 月]],"-")</f>
        <v>0.17094017094017094</v>
      </c>
      <c r="W5" s="28">
        <f>IFERROR(収益[[#This Row],[6 月]]/収益[[#Totals],[6 月]],"-")</f>
        <v>0.20202020202020202</v>
      </c>
      <c r="X5" s="28">
        <f>IFERROR(収益[[#This Row],[7 月]]/収益[[#Totals],[7 月]],"-")</f>
        <v>2.2148394241417499E-2</v>
      </c>
      <c r="Y5" s="28">
        <f>IFERROR(収益[[#This Row],[8 月]]/収益[[#Totals],[8 月]],"-")</f>
        <v>0.2</v>
      </c>
      <c r="Z5" s="28">
        <f>IFERROR(収益[[#This Row],[9 月]]/収益[[#Totals],[9 月]],"-")</f>
        <v>6.5934065934065936E-2</v>
      </c>
      <c r="AA5" s="28">
        <f>IFERROR(収益[[#This Row],[10 月]]/収益[[#Totals],[10 月]],"-")</f>
        <v>0.1875</v>
      </c>
      <c r="AB5" s="28">
        <f>IFERROR(収益[[#This Row],[11 月]]/収益[[#Totals],[11 月]],"-")</f>
        <v>0.15384615384615385</v>
      </c>
      <c r="AC5" s="28">
        <f>IFERROR(収益[[#This Row],[12 月]]/収益[[#Totals],[12 月]],"-")</f>
        <v>0.23809523809523808</v>
      </c>
      <c r="AD5" s="33">
        <f>IFERROR(収益[[#This Row],[年次]]/収益[[#Totals],[年次]],"-")</f>
        <v>9.9150141643059492E-2</v>
      </c>
    </row>
    <row r="6" spans="1:30" s="8" customFormat="1" ht="30" customHeight="1" x14ac:dyDescent="0.25">
      <c r="B6" s="42" t="s">
        <v>68</v>
      </c>
      <c r="C6" s="27"/>
      <c r="D6" s="13">
        <v>0</v>
      </c>
      <c r="E6" s="13">
        <v>15000</v>
      </c>
      <c r="F6" s="13">
        <v>20000</v>
      </c>
      <c r="G6" s="13">
        <v>15000</v>
      </c>
      <c r="H6" s="13">
        <v>15000</v>
      </c>
      <c r="I6" s="13">
        <v>25000</v>
      </c>
      <c r="J6" s="13">
        <v>20000</v>
      </c>
      <c r="K6" s="13">
        <v>25000</v>
      </c>
      <c r="L6" s="13">
        <v>20000</v>
      </c>
      <c r="M6" s="13">
        <v>25000</v>
      </c>
      <c r="N6" s="13">
        <v>25000</v>
      </c>
      <c r="O6" s="13">
        <v>25000</v>
      </c>
      <c r="P6" s="38">
        <f>SUM(収益[[#This Row],[1 月]:[12 月]])</f>
        <v>230000</v>
      </c>
      <c r="Q6" s="15"/>
      <c r="R6" s="28">
        <f>IFERROR(収益[[#This Row],[1 月]]/収益[[#Totals],[1 月]],"-")</f>
        <v>0</v>
      </c>
      <c r="S6" s="28">
        <f>IFERROR(収益[[#This Row],[2 月]]/収益[[#Totals],[2 月]],"-")</f>
        <v>0.23809523809523808</v>
      </c>
      <c r="T6" s="28">
        <f>IFERROR(収益[[#This Row],[3 月]]/収益[[#Totals],[3 月]],"-")</f>
        <v>0.12345679012345678</v>
      </c>
      <c r="U6" s="28">
        <f>IFERROR(収益[[#This Row],[4 月]]/収益[[#Totals],[4 月]],"-")</f>
        <v>0.11811023622047244</v>
      </c>
      <c r="V6" s="28">
        <f>IFERROR(収益[[#This Row],[5 月]]/収益[[#Totals],[5 月]],"-")</f>
        <v>0.12820512820512819</v>
      </c>
      <c r="W6" s="28">
        <f>IFERROR(収益[[#This Row],[6 月]]/収益[[#Totals],[6 月]],"-")</f>
        <v>0.12626262626262627</v>
      </c>
      <c r="X6" s="28">
        <f>IFERROR(収益[[#This Row],[7 月]]/収益[[#Totals],[7 月]],"-")</f>
        <v>2.2148394241417499E-2</v>
      </c>
      <c r="Y6" s="28">
        <f>IFERROR(収益[[#This Row],[8 月]]/収益[[#Totals],[8 月]],"-")</f>
        <v>0.125</v>
      </c>
      <c r="Z6" s="28">
        <f>IFERROR(収益[[#This Row],[9 月]]/収益[[#Totals],[9 月]],"-")</f>
        <v>4.3956043956043959E-2</v>
      </c>
      <c r="AA6" s="28">
        <f>IFERROR(収益[[#This Row],[10 月]]/収益[[#Totals],[10 月]],"-")</f>
        <v>0.15625</v>
      </c>
      <c r="AB6" s="28">
        <f>IFERROR(収益[[#This Row],[11 月]]/収益[[#Totals],[11 月]],"-")</f>
        <v>0.12820512820512819</v>
      </c>
      <c r="AC6" s="28">
        <f>IFERROR(収益[[#This Row],[12 月]]/収益[[#Totals],[12 月]],"-")</f>
        <v>0.11904761904761904</v>
      </c>
      <c r="AD6" s="33">
        <f>IFERROR(収益[[#This Row],[年次]]/収益[[#Totals],[年次]],"-")</f>
        <v>6.5155807365439092E-2</v>
      </c>
    </row>
    <row r="7" spans="1:30" ht="30" customHeight="1" x14ac:dyDescent="0.25">
      <c r="B7" s="42" t="s">
        <v>37</v>
      </c>
      <c r="C7" s="27"/>
      <c r="D7" s="13">
        <v>0</v>
      </c>
      <c r="E7" s="13">
        <v>18000</v>
      </c>
      <c r="F7" s="13">
        <v>50000</v>
      </c>
      <c r="G7" s="13">
        <v>30000</v>
      </c>
      <c r="H7" s="13">
        <v>30000</v>
      </c>
      <c r="I7" s="13">
        <v>50000</v>
      </c>
      <c r="J7" s="13">
        <v>30000</v>
      </c>
      <c r="K7" s="13">
        <v>50000</v>
      </c>
      <c r="L7" s="13">
        <v>30000</v>
      </c>
      <c r="M7" s="13">
        <v>30000</v>
      </c>
      <c r="N7" s="13">
        <v>50000</v>
      </c>
      <c r="O7" s="13">
        <v>50000</v>
      </c>
      <c r="P7" s="38">
        <f>SUM(収益[[#This Row],[1 月]:[12 月]])</f>
        <v>418000</v>
      </c>
      <c r="Q7" s="15">
        <v>0.18</v>
      </c>
      <c r="R7" s="28">
        <f>IFERROR(収益[[#This Row],[1 月]]/収益[[#Totals],[1 月]],"-")</f>
        <v>0</v>
      </c>
      <c r="S7" s="28">
        <f>IFERROR(収益[[#This Row],[2 月]]/収益[[#Totals],[2 月]],"-")</f>
        <v>0.2857142857142857</v>
      </c>
      <c r="T7" s="28">
        <f>IFERROR(収益[[#This Row],[3 月]]/収益[[#Totals],[3 月]],"-")</f>
        <v>0.30864197530864196</v>
      </c>
      <c r="U7" s="28">
        <f>IFERROR(収益[[#This Row],[4 月]]/収益[[#Totals],[4 月]],"-")</f>
        <v>0.23622047244094488</v>
      </c>
      <c r="V7" s="28">
        <f>IFERROR(収益[[#This Row],[5 月]]/収益[[#Totals],[5 月]],"-")</f>
        <v>0.25641025641025639</v>
      </c>
      <c r="W7" s="28">
        <f>IFERROR(収益[[#This Row],[6 月]]/収益[[#Totals],[6 月]],"-")</f>
        <v>0.25252525252525254</v>
      </c>
      <c r="X7" s="28">
        <f>IFERROR(収益[[#This Row],[7 月]]/収益[[#Totals],[7 月]],"-")</f>
        <v>3.3222591362126248E-2</v>
      </c>
      <c r="Y7" s="28">
        <f>IFERROR(収益[[#This Row],[8 月]]/収益[[#Totals],[8 月]],"-")</f>
        <v>0.25</v>
      </c>
      <c r="Z7" s="28">
        <f>IFERROR(収益[[#This Row],[9 月]]/収益[[#Totals],[9 月]],"-")</f>
        <v>6.5934065934065936E-2</v>
      </c>
      <c r="AA7" s="28">
        <f>IFERROR(収益[[#This Row],[10 月]]/収益[[#Totals],[10 月]],"-")</f>
        <v>0.1875</v>
      </c>
      <c r="AB7" s="28">
        <f>IFERROR(収益[[#This Row],[11 月]]/収益[[#Totals],[11 月]],"-")</f>
        <v>0.25641025641025639</v>
      </c>
      <c r="AC7" s="28">
        <f>IFERROR(収益[[#This Row],[12 月]]/収益[[#Totals],[12 月]],"-")</f>
        <v>0.23809523809523808</v>
      </c>
      <c r="AD7" s="33">
        <f>IFERROR(収益[[#This Row],[年次]]/収益[[#Totals],[年次]],"-")</f>
        <v>0.11841359773371105</v>
      </c>
    </row>
    <row r="8" spans="1:30" ht="30" customHeight="1" x14ac:dyDescent="0.25">
      <c r="B8" s="42" t="s">
        <v>38</v>
      </c>
      <c r="C8" s="27"/>
      <c r="D8" s="13">
        <v>0</v>
      </c>
      <c r="E8" s="13">
        <v>10000</v>
      </c>
      <c r="F8" s="13">
        <v>20000</v>
      </c>
      <c r="G8" s="13">
        <v>10000</v>
      </c>
      <c r="H8" s="13">
        <v>10000</v>
      </c>
      <c r="I8" s="13">
        <v>20000</v>
      </c>
      <c r="J8" s="13">
        <v>10000</v>
      </c>
      <c r="K8" s="13">
        <v>20000</v>
      </c>
      <c r="L8" s="13">
        <v>10000</v>
      </c>
      <c r="M8" s="13">
        <v>10000</v>
      </c>
      <c r="N8" s="13">
        <v>20000</v>
      </c>
      <c r="O8" s="13">
        <v>20000</v>
      </c>
      <c r="P8" s="38">
        <f>SUM(収益[[#This Row],[1 月]:[12 月]])</f>
        <v>160000</v>
      </c>
      <c r="Q8" s="15">
        <v>0.19</v>
      </c>
      <c r="R8" s="28">
        <f>IFERROR(収益[[#This Row],[1 月]]/収益[[#Totals],[1 月]],"-")</f>
        <v>0</v>
      </c>
      <c r="S8" s="28">
        <f>IFERROR(収益[[#This Row],[2 月]]/収益[[#Totals],[2 月]],"-")</f>
        <v>0.15873015873015872</v>
      </c>
      <c r="T8" s="28">
        <f>IFERROR(収益[[#This Row],[3 月]]/収益[[#Totals],[3 月]],"-")</f>
        <v>0.12345679012345678</v>
      </c>
      <c r="U8" s="28">
        <f>IFERROR(収益[[#This Row],[4 月]]/収益[[#Totals],[4 月]],"-")</f>
        <v>7.874015748031496E-2</v>
      </c>
      <c r="V8" s="28">
        <f>IFERROR(収益[[#This Row],[5 月]]/収益[[#Totals],[5 月]],"-")</f>
        <v>8.5470085470085472E-2</v>
      </c>
      <c r="W8" s="28">
        <f>IFERROR(収益[[#This Row],[6 月]]/収益[[#Totals],[6 月]],"-")</f>
        <v>0.10101010101010101</v>
      </c>
      <c r="X8" s="28">
        <f>IFERROR(収益[[#This Row],[7 月]]/収益[[#Totals],[7 月]],"-")</f>
        <v>1.1074197120708749E-2</v>
      </c>
      <c r="Y8" s="28">
        <f>IFERROR(収益[[#This Row],[8 月]]/収益[[#Totals],[8 月]],"-")</f>
        <v>0.1</v>
      </c>
      <c r="Z8" s="28">
        <f>IFERROR(収益[[#This Row],[9 月]]/収益[[#Totals],[9 月]],"-")</f>
        <v>2.197802197802198E-2</v>
      </c>
      <c r="AA8" s="28">
        <f>IFERROR(収益[[#This Row],[10 月]]/収益[[#Totals],[10 月]],"-")</f>
        <v>6.25E-2</v>
      </c>
      <c r="AB8" s="28">
        <f>IFERROR(収益[[#This Row],[11 月]]/収益[[#Totals],[11 月]],"-")</f>
        <v>0.10256410256410256</v>
      </c>
      <c r="AC8" s="28">
        <f>IFERROR(収益[[#This Row],[12 月]]/収益[[#Totals],[12 月]],"-")</f>
        <v>9.5238095238095233E-2</v>
      </c>
      <c r="AD8" s="33">
        <f>IFERROR(収益[[#This Row],[年次]]/収益[[#Totals],[年次]],"-")</f>
        <v>4.5325779036827198E-2</v>
      </c>
    </row>
    <row r="9" spans="1:30" ht="30" customHeight="1" x14ac:dyDescent="0.25">
      <c r="B9" s="42" t="s">
        <v>39</v>
      </c>
      <c r="C9" s="27"/>
      <c r="D9" s="13">
        <v>0</v>
      </c>
      <c r="E9" s="13">
        <v>0</v>
      </c>
      <c r="F9" s="13">
        <v>12000</v>
      </c>
      <c r="G9" s="13">
        <v>12000</v>
      </c>
      <c r="H9" s="13">
        <v>12000</v>
      </c>
      <c r="I9" s="13">
        <v>13000</v>
      </c>
      <c r="J9" s="13">
        <v>13000</v>
      </c>
      <c r="K9" s="13">
        <v>15000</v>
      </c>
      <c r="L9" s="13">
        <v>15000</v>
      </c>
      <c r="M9" s="13">
        <v>15000</v>
      </c>
      <c r="N9" s="13">
        <v>20000</v>
      </c>
      <c r="O9" s="13">
        <v>15000</v>
      </c>
      <c r="P9" s="38">
        <f>SUM(収益[[#This Row],[1 月]:[12 月]])</f>
        <v>142000</v>
      </c>
      <c r="Q9" s="15">
        <v>0.11</v>
      </c>
      <c r="R9" s="28">
        <f>IFERROR(収益[[#This Row],[1 月]]/収益[[#Totals],[1 月]],"-")</f>
        <v>0</v>
      </c>
      <c r="S9" s="28">
        <f>IFERROR(収益[[#This Row],[2 月]]/収益[[#Totals],[2 月]],"-")</f>
        <v>0</v>
      </c>
      <c r="T9" s="28">
        <f>IFERROR(収益[[#This Row],[3 月]]/収益[[#Totals],[3 月]],"-")</f>
        <v>7.407407407407407E-2</v>
      </c>
      <c r="U9" s="28">
        <f>IFERROR(収益[[#This Row],[4 月]]/収益[[#Totals],[4 月]],"-")</f>
        <v>9.4488188976377951E-2</v>
      </c>
      <c r="V9" s="28">
        <f>IFERROR(収益[[#This Row],[5 月]]/収益[[#Totals],[5 月]],"-")</f>
        <v>0.10256410256410256</v>
      </c>
      <c r="W9" s="28">
        <f>IFERROR(収益[[#This Row],[6 月]]/収益[[#Totals],[6 月]],"-")</f>
        <v>6.5656565656565663E-2</v>
      </c>
      <c r="X9" s="28">
        <f>IFERROR(収益[[#This Row],[7 月]]/収益[[#Totals],[7 月]],"-")</f>
        <v>1.4396456256921373E-2</v>
      </c>
      <c r="Y9" s="28">
        <f>IFERROR(収益[[#This Row],[8 月]]/収益[[#Totals],[8 月]],"-")</f>
        <v>7.4999999999999997E-2</v>
      </c>
      <c r="Z9" s="28">
        <f>IFERROR(収益[[#This Row],[9 月]]/収益[[#Totals],[9 月]],"-")</f>
        <v>3.2967032967032968E-2</v>
      </c>
      <c r="AA9" s="28">
        <f>IFERROR(収益[[#This Row],[10 月]]/収益[[#Totals],[10 月]],"-")</f>
        <v>9.375E-2</v>
      </c>
      <c r="AB9" s="28">
        <f>IFERROR(収益[[#This Row],[11 月]]/収益[[#Totals],[11 月]],"-")</f>
        <v>0.10256410256410256</v>
      </c>
      <c r="AC9" s="28">
        <f>IFERROR(収益[[#This Row],[12 月]]/収益[[#Totals],[12 月]],"-")</f>
        <v>7.1428571428571425E-2</v>
      </c>
      <c r="AD9" s="33">
        <f>IFERROR(収益[[#This Row],[年次]]/収益[[#Totals],[年次]],"-")</f>
        <v>4.0226628895184136E-2</v>
      </c>
    </row>
    <row r="10" spans="1:30" ht="30" customHeight="1" x14ac:dyDescent="0.25">
      <c r="B10" s="42" t="s">
        <v>40</v>
      </c>
      <c r="C10" s="27"/>
      <c r="D10" s="13">
        <v>0</v>
      </c>
      <c r="E10" s="13">
        <v>0</v>
      </c>
      <c r="F10" s="13">
        <v>20000</v>
      </c>
      <c r="G10" s="13">
        <v>30000</v>
      </c>
      <c r="H10" s="13">
        <v>30000</v>
      </c>
      <c r="I10" s="13">
        <v>50000</v>
      </c>
      <c r="J10" s="13">
        <v>50000</v>
      </c>
      <c r="K10" s="13">
        <v>50000</v>
      </c>
      <c r="L10" s="13">
        <v>50000</v>
      </c>
      <c r="M10" s="13">
        <v>50000</v>
      </c>
      <c r="N10" s="13">
        <v>50000</v>
      </c>
      <c r="O10" s="13">
        <v>50000</v>
      </c>
      <c r="P10" s="38">
        <f>SUM(収益[[#This Row],[1 月]:[12 月]])</f>
        <v>430000</v>
      </c>
      <c r="Q10" s="15">
        <v>0.2</v>
      </c>
      <c r="R10" s="28">
        <f>IFERROR(収益[[#This Row],[1 月]]/収益[[#Totals],[1 月]],"-")</f>
        <v>0</v>
      </c>
      <c r="S10" s="28">
        <f>IFERROR(収益[[#This Row],[2 月]]/収益[[#Totals],[2 月]],"-")</f>
        <v>0</v>
      </c>
      <c r="T10" s="28">
        <f>IFERROR(収益[[#This Row],[3 月]]/収益[[#Totals],[3 月]],"-")</f>
        <v>0.12345679012345678</v>
      </c>
      <c r="U10" s="28">
        <f>IFERROR(収益[[#This Row],[4 月]]/収益[[#Totals],[4 月]],"-")</f>
        <v>0.23622047244094488</v>
      </c>
      <c r="V10" s="28">
        <f>IFERROR(収益[[#This Row],[5 月]]/収益[[#Totals],[5 月]],"-")</f>
        <v>0.25641025641025639</v>
      </c>
      <c r="W10" s="28">
        <f>IFERROR(収益[[#This Row],[6 月]]/収益[[#Totals],[6 月]],"-")</f>
        <v>0.25252525252525254</v>
      </c>
      <c r="X10" s="28">
        <f>IFERROR(収益[[#This Row],[7 月]]/収益[[#Totals],[7 月]],"-")</f>
        <v>5.537098560354374E-2</v>
      </c>
      <c r="Y10" s="28">
        <f>IFERROR(収益[[#This Row],[8 月]]/収益[[#Totals],[8 月]],"-")</f>
        <v>0.25</v>
      </c>
      <c r="Z10" s="28">
        <f>IFERROR(収益[[#This Row],[9 月]]/収益[[#Totals],[9 月]],"-")</f>
        <v>0.10989010989010989</v>
      </c>
      <c r="AA10" s="28">
        <f>IFERROR(収益[[#This Row],[10 月]]/収益[[#Totals],[10 月]],"-")</f>
        <v>0.3125</v>
      </c>
      <c r="AB10" s="28">
        <f>IFERROR(収益[[#This Row],[11 月]]/収益[[#Totals],[11 月]],"-")</f>
        <v>0.25641025641025639</v>
      </c>
      <c r="AC10" s="28">
        <f>IFERROR(収益[[#This Row],[12 月]]/収益[[#Totals],[12 月]],"-")</f>
        <v>0.23809523809523808</v>
      </c>
      <c r="AD10" s="33">
        <f>IFERROR(収益[[#This Row],[年次]]/収益[[#Totals],[年次]],"-")</f>
        <v>0.12181303116147309</v>
      </c>
    </row>
    <row r="11" spans="1:30" ht="30" customHeight="1" x14ac:dyDescent="0.25">
      <c r="B11" s="42" t="s">
        <v>41</v>
      </c>
      <c r="C11" s="27"/>
      <c r="D11" s="13">
        <v>740000</v>
      </c>
      <c r="E11" s="13"/>
      <c r="F11" s="13"/>
      <c r="G11" s="13"/>
      <c r="H11" s="13"/>
      <c r="I11" s="13"/>
      <c r="J11" s="13">
        <v>760000</v>
      </c>
      <c r="K11" s="13"/>
      <c r="L11" s="13"/>
      <c r="M11" s="13"/>
      <c r="N11" s="13"/>
      <c r="O11" s="13"/>
      <c r="P11" s="38">
        <f>SUM(収益[[#This Row],[1 月]:[12 月]])</f>
        <v>1500000</v>
      </c>
      <c r="Q11" s="15">
        <v>0.1</v>
      </c>
      <c r="R11" s="28">
        <f>IFERROR(収益[[#This Row],[1 月]]/収益[[#Totals],[1 月]],"-")</f>
        <v>1</v>
      </c>
      <c r="S11" s="28">
        <f>IFERROR(収益[[#This Row],[2 月]]/収益[[#Totals],[2 月]],"-")</f>
        <v>0</v>
      </c>
      <c r="T11" s="28">
        <f>IFERROR(収益[[#This Row],[3 月]]/収益[[#Totals],[3 月]],"-")</f>
        <v>0</v>
      </c>
      <c r="U11" s="28">
        <f>IFERROR(収益[[#This Row],[4 月]]/収益[[#Totals],[4 月]],"-")</f>
        <v>0</v>
      </c>
      <c r="V11" s="28">
        <f>IFERROR(収益[[#This Row],[5 月]]/収益[[#Totals],[5 月]],"-")</f>
        <v>0</v>
      </c>
      <c r="W11" s="28">
        <f>IFERROR(収益[[#This Row],[6 月]]/収益[[#Totals],[6 月]],"-")</f>
        <v>0</v>
      </c>
      <c r="X11" s="28">
        <f>IFERROR(収益[[#This Row],[7 月]]/収益[[#Totals],[7 月]],"-")</f>
        <v>0.84163898117386493</v>
      </c>
      <c r="Y11" s="28">
        <f>IFERROR(収益[[#This Row],[8 月]]/収益[[#Totals],[8 月]],"-")</f>
        <v>0</v>
      </c>
      <c r="Z11" s="28">
        <f>IFERROR(収益[[#This Row],[9 月]]/収益[[#Totals],[9 月]],"-")</f>
        <v>0</v>
      </c>
      <c r="AA11" s="28">
        <f>IFERROR(収益[[#This Row],[10 月]]/収益[[#Totals],[10 月]],"-")</f>
        <v>0</v>
      </c>
      <c r="AB11" s="28">
        <f>IFERROR(収益[[#This Row],[11 月]]/収益[[#Totals],[11 月]],"-")</f>
        <v>0</v>
      </c>
      <c r="AC11" s="28">
        <f>IFERROR(収益[[#This Row],[12 月]]/収益[[#Totals],[12 月]],"-")</f>
        <v>0</v>
      </c>
      <c r="AD11" s="33">
        <f>IFERROR(収益[[#This Row],[年次]]/収益[[#Totals],[年次]],"-")</f>
        <v>0.42492917847025496</v>
      </c>
    </row>
    <row r="12" spans="1:30" ht="30" customHeight="1" x14ac:dyDescent="0.25">
      <c r="B12" s="8" t="s">
        <v>42</v>
      </c>
      <c r="C12" s="27"/>
      <c r="D12" s="13"/>
      <c r="E12" s="13"/>
      <c r="F12" s="13"/>
      <c r="G12" s="13"/>
      <c r="H12" s="13"/>
      <c r="I12" s="13"/>
      <c r="J12" s="13">
        <v>0</v>
      </c>
      <c r="K12" s="13"/>
      <c r="L12" s="13">
        <v>300000</v>
      </c>
      <c r="M12" s="13"/>
      <c r="N12" s="13"/>
      <c r="O12" s="13"/>
      <c r="P12" s="38">
        <f>SUM(収益[[#This Row],[1 月]:[12 月]])</f>
        <v>300000</v>
      </c>
      <c r="Q12" s="15">
        <v>0.1</v>
      </c>
      <c r="R12" s="28">
        <f>IFERROR(収益[[#This Row],[1 月]]/収益[[#Totals],[1 月]],"-")</f>
        <v>0</v>
      </c>
      <c r="S12" s="28">
        <f>IFERROR(収益[[#This Row],[2 月]]/収益[[#Totals],[2 月]],"-")</f>
        <v>0</v>
      </c>
      <c r="T12" s="28">
        <f>IFERROR(収益[[#This Row],[3 月]]/収益[[#Totals],[3 月]],"-")</f>
        <v>0</v>
      </c>
      <c r="U12" s="28">
        <f>IFERROR(収益[[#This Row],[4 月]]/収益[[#Totals],[4 月]],"-")</f>
        <v>0</v>
      </c>
      <c r="V12" s="28">
        <f>IFERROR(収益[[#This Row],[5 月]]/収益[[#Totals],[5 月]],"-")</f>
        <v>0</v>
      </c>
      <c r="W12" s="28">
        <f>IFERROR(収益[[#This Row],[6 月]]/収益[[#Totals],[6 月]],"-")</f>
        <v>0</v>
      </c>
      <c r="X12" s="28">
        <f>IFERROR(収益[[#This Row],[7 月]]/収益[[#Totals],[7 月]],"-")</f>
        <v>0</v>
      </c>
      <c r="Y12" s="28">
        <f>IFERROR(収益[[#This Row],[8 月]]/収益[[#Totals],[8 月]],"-")</f>
        <v>0</v>
      </c>
      <c r="Z12" s="28">
        <f>IFERROR(収益[[#This Row],[9 月]]/収益[[#Totals],[9 月]],"-")</f>
        <v>0.65934065934065933</v>
      </c>
      <c r="AA12" s="28">
        <f>IFERROR(収益[[#This Row],[10 月]]/収益[[#Totals],[10 月]],"-")</f>
        <v>0</v>
      </c>
      <c r="AB12" s="28">
        <f>IFERROR(収益[[#This Row],[11 月]]/収益[[#Totals],[11 月]],"-")</f>
        <v>0</v>
      </c>
      <c r="AC12" s="28">
        <f>IFERROR(収益[[#This Row],[12 月]]/収益[[#Totals],[12 月]],"-")</f>
        <v>0</v>
      </c>
      <c r="AD12" s="33">
        <f>IFERROR(収益[[#This Row],[年次]]/収益[[#Totals],[年次]],"-")</f>
        <v>8.4985835694050993E-2</v>
      </c>
    </row>
    <row r="13" spans="1:30" s="9" customFormat="1" ht="30" customHeight="1" x14ac:dyDescent="0.25">
      <c r="B13" s="6" t="s">
        <v>66</v>
      </c>
      <c r="C13" s="24"/>
      <c r="D13" s="39">
        <f>SUBTOTAL(109,収益[1 月])</f>
        <v>740000</v>
      </c>
      <c r="E13" s="39">
        <f>SUBTOTAL(109,収益[2 月])</f>
        <v>63000</v>
      </c>
      <c r="F13" s="39">
        <f>SUBTOTAL(109,収益[3 月])</f>
        <v>162000</v>
      </c>
      <c r="G13" s="39">
        <f>SUBTOTAL(109,収益[4 月])</f>
        <v>127000</v>
      </c>
      <c r="H13" s="39">
        <f>SUBTOTAL(109,収益[5 月])</f>
        <v>117000</v>
      </c>
      <c r="I13" s="39">
        <f>SUBTOTAL(109,収益[6 月])</f>
        <v>198000</v>
      </c>
      <c r="J13" s="39">
        <f>SUBTOTAL(109,収益[7 月])</f>
        <v>903000</v>
      </c>
      <c r="K13" s="39">
        <f>SUBTOTAL(109,収益[8 月])</f>
        <v>200000</v>
      </c>
      <c r="L13" s="39">
        <f>SUBTOTAL(109,収益[9 月])</f>
        <v>455000</v>
      </c>
      <c r="M13" s="39">
        <f>SUBTOTAL(109,収益[10 月])</f>
        <v>160000</v>
      </c>
      <c r="N13" s="39">
        <f>SUBTOTAL(109,収益[11 月])</f>
        <v>195000</v>
      </c>
      <c r="O13" s="39">
        <f>SUBTOTAL(109,収益[12 月])</f>
        <v>210000</v>
      </c>
      <c r="P13" s="39">
        <f>SUBTOTAL(109,収益[年次])</f>
        <v>3530000</v>
      </c>
      <c r="Q13" s="25">
        <f>SUBTOTAL(109,収益[インデックス %])</f>
        <v>1</v>
      </c>
      <c r="R13" s="25">
        <f>SUBTOTAL(109,収益[1 月 %])</f>
        <v>1</v>
      </c>
      <c r="S13" s="25">
        <f>SUBTOTAL(109,収益[2 月 %])</f>
        <v>1</v>
      </c>
      <c r="T13" s="25">
        <f>SUBTOTAL(109,収益[3 月 %])</f>
        <v>0.99999999999999989</v>
      </c>
      <c r="U13" s="25">
        <f>SUBTOTAL(109,収益[4 月 %])</f>
        <v>1</v>
      </c>
      <c r="V13" s="25">
        <f>SUBTOTAL(109,収益[5 月 %])</f>
        <v>1</v>
      </c>
      <c r="W13" s="25">
        <f>SUBTOTAL(109,収益[6 月 %])</f>
        <v>1</v>
      </c>
      <c r="X13" s="25">
        <f>SUBTOTAL(109,収益[7 月 %])</f>
        <v>1</v>
      </c>
      <c r="Y13" s="25">
        <f>SUBTOTAL(109,収益[8 月 %])</f>
        <v>0.99999999999999989</v>
      </c>
      <c r="Z13" s="25">
        <f>SUBTOTAL(109,収益[9 月 %])</f>
        <v>1</v>
      </c>
      <c r="AA13" s="25">
        <f>SUBTOTAL(109,収益[10 月 %])</f>
        <v>1</v>
      </c>
      <c r="AB13" s="25">
        <f>SUBTOTAL(109,収益[11 月 %])</f>
        <v>0.99999999999999989</v>
      </c>
      <c r="AC13" s="25">
        <f>SUBTOTAL(109,収益[12 月 %])</f>
        <v>0.99999999999999978</v>
      </c>
      <c r="AD13" s="25">
        <f>SUBTOTAL(109,収益[年 %])</f>
        <v>1</v>
      </c>
    </row>
    <row r="16" spans="1:30" ht="30" customHeight="1" x14ac:dyDescent="0.2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3:15" ht="30" customHeight="1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3:15" ht="30" customHeight="1" x14ac:dyDescent="0.2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</sheetData>
  <phoneticPr fontId="4"/>
  <dataValidations count="17">
    <dataValidation type="list" errorStyle="warning" allowBlank="1" showInputMessage="1" showErrorMessage="1" error="ドロップダウン リストから月を選びます。[キャンセル] を選択し、Alt キーを押しながら下方向キーを押します。Enter キーを押して月を選択します" prompt="このセルで月を選びます。Alt キーを押しながら下矢印キーを押して、ドロップダウン リストを開き、Enter キーを押して月を選択します" sqref="AC2">
      <formula1>"1 月,2 月,3 月,4 月,5 月,6 月,7 月,8 月,9 月,10 月,11 月,12 月"</formula1>
    </dataValidation>
    <dataValidation errorStyle="information" allowBlank="1" showInputMessage="1" errorTitle="不明な年" error="ドロップダウン リストから年を選びます。リストから年を追加または削除するには、[データ] タブの [データ ツール] グループで [データ検証] をクリックします。" prompt="このセルに年を入力します" sqref="AD2"/>
    <dataValidation allowBlank="1" showInputMessage="1" showErrorMessage="1" prompt="AC2 で会計年度の開始月を選択し、このラベルの右にあるセル AD2 に年を入力します" sqref="AB2"/>
    <dataValidation allowBlank="1" showInputMessage="1" showErrorMessage="1" prompt="年間収益は、この列で自動計算されます" sqref="P3"/>
    <dataValidation allowBlank="1" showInputMessage="1" showErrorMessage="1" prompt="売上合計を計算する推計期間のタイトルを入力します" sqref="B1"/>
    <dataValidation allowBlank="1" showInputMessage="1" showErrorMessage="1" prompt="推計タイトルが、このセルの内容です。下記の収益表に値を入れ、収益合計を計算します" sqref="B2"/>
    <dataValidation allowBlank="1" showInputMessage="1" showErrorMessage="1" prompt="このセルには会社名を入力します" sqref="AD1"/>
    <dataValidation allowBlank="1" showInputMessage="1" showErrorMessage="1" prompt="この列にはインデックスの割合を入力します" sqref="Q4"/>
    <dataValidation allowBlank="1" showInputMessage="1" showErrorMessage="1" prompt="このワークシートでは、各月、年の売上合計、およびさまざまなソースの年間売上合計を計算します。会計年度の開始月をセル AC2 で、年を AD2 で選択してください" sqref="A2 A4:A13 B12"/>
    <dataValidation allowBlank="1" showInputMessage="1" showErrorMessage="1" prompt="このワークシートでは、各月、年の売上合計、およびさまざまなソースの年間売上合計を計算します。会計年度の開始月をセル AC2 に、年を AD2 に入力してください" sqref="A1"/>
    <dataValidation allowBlank="1" showInputMessage="1" showErrorMessage="1" prompt="自動的に更新される月" sqref="D3:O3"/>
    <dataValidation allowBlank="1" showInputMessage="1" showErrorMessage="1" prompt="さまざまなソースの売上の割合が、この列の売上合計に対してこのセルの月用に、自動計算されます" sqref="R3:AC3"/>
    <dataValidation allowBlank="1" showInputMessage="1" showErrorMessage="1" prompt="さまざまなソースの売上の割合が、この列で年の売上合計に対して、自動計算されます" sqref="AD3"/>
    <dataValidation allowBlank="1" showInputMessage="1" showErrorMessage="1" prompt="この列には売上の収益を入力します" sqref="B4"/>
    <dataValidation allowBlank="1" showInputMessage="1" showErrorMessage="1" prompt="この列には収益の経時でのトレンド グラフがあります" sqref="C4"/>
    <dataValidation allowBlank="1" showInputMessage="1" showErrorMessage="1" prompt="この列に列 B に記載されているソースの収益を入力します" sqref="D4:O4"/>
    <dataValidation allowBlank="1" showInputMessage="1" showErrorMessage="1" prompt="この列にはインデックスの割合があります" sqref="Q3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収入計画!$D$5:$O$5</xm:f>
              <xm:sqref>C5</xm:sqref>
            </x14:sparkline>
            <x14:sparkline>
              <xm:f>収入計画!$D$6:$O$6</xm:f>
              <xm:sqref>C6</xm:sqref>
            </x14:sparkline>
            <x14:sparkline>
              <xm:f>収入計画!$D$7:$O$7</xm:f>
              <xm:sqref>C7</xm:sqref>
            </x14:sparkline>
            <x14:sparkline>
              <xm:f>収入計画!$D$8:$O$8</xm:f>
              <xm:sqref>C8</xm:sqref>
            </x14:sparkline>
            <x14:sparkline>
              <xm:f>収入計画!$D$9:$O$9</xm:f>
              <xm:sqref>C9</xm:sqref>
            </x14:sparkline>
            <x14:sparkline>
              <xm:f>収入計画!$D$10:$O$10</xm:f>
              <xm:sqref>C10</xm:sqref>
            </x14:sparkline>
            <x14:sparkline>
              <xm:f>収入計画!$D$11:$O$11</xm:f>
              <xm:sqref>C11</xm:sqref>
            </x14:sparkline>
            <x14:sparkline>
              <xm:f>収入計画!$D$12:$O$12</xm:f>
              <xm:sqref>C12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収入計画!D13:O13</xm:f>
              <xm:sqref>C13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34"/>
  <sheetViews>
    <sheetView showGridLines="0" zoomScaleNormal="100" workbookViewId="0">
      <pane ySplit="3" topLeftCell="A14" activePane="bottomLeft" state="frozen"/>
      <selection activeCell="D16" sqref="D16"/>
      <selection pane="bottomLeft" activeCell="E25" sqref="E25"/>
    </sheetView>
  </sheetViews>
  <sheetFormatPr defaultRowHeight="30" customHeight="1" x14ac:dyDescent="0.25"/>
  <cols>
    <col min="1" max="1" width="2.77734375" customWidth="1"/>
    <col min="2" max="2" width="13" customWidth="1"/>
    <col min="3" max="3" width="12.77734375" customWidth="1"/>
    <col min="4" max="15" width="11.77734375" customWidth="1"/>
    <col min="16" max="16" width="13.6640625" customWidth="1"/>
    <col min="17" max="17" width="13.88671875" customWidth="1"/>
    <col min="18" max="30" width="7.88671875" customWidth="1"/>
    <col min="31" max="31" width="2.77734375" customWidth="1"/>
  </cols>
  <sheetData>
    <row r="1" spans="1:30" ht="35.1" customHeight="1" x14ac:dyDescent="0.25">
      <c r="A1" s="4"/>
      <c r="B1" s="19" t="str">
        <f>Projection_Period_Title</f>
        <v>初年度(2018/10～2019/9)</v>
      </c>
      <c r="C1" s="8"/>
      <c r="J1" s="5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6" t="str">
        <f>会社名</f>
        <v>みんなのおうち「ほわ～っと」</v>
      </c>
    </row>
    <row r="2" spans="1:30" ht="47.25" customHeight="1" x14ac:dyDescent="0.25">
      <c r="B2" s="3" t="s">
        <v>67</v>
      </c>
      <c r="E2" s="37"/>
      <c r="G2" s="37"/>
      <c r="K2" s="37"/>
      <c r="L2" s="37"/>
      <c r="M2" s="37"/>
      <c r="N2" s="37"/>
      <c r="O2" s="37"/>
      <c r="X2" s="36"/>
      <c r="Y2" s="36"/>
      <c r="Z2" s="36"/>
      <c r="AA2" s="36"/>
      <c r="AB2" s="17" t="s">
        <v>29</v>
      </c>
      <c r="AC2" s="17" t="str">
        <f>FYMonthStart</f>
        <v>10 月</v>
      </c>
      <c r="AD2" s="17">
        <f ca="1">FYStartYear</f>
        <v>2018</v>
      </c>
    </row>
    <row r="3" spans="1:30" ht="20.100000000000001" customHeight="1" x14ac:dyDescent="0.25">
      <c r="D3" s="18" t="str">
        <f ca="1">UPPER(TEXT(DATE(FYStartYear,FYMonthNo,1),"yyyy 年 m 月"))</f>
        <v>2018 年 10 月</v>
      </c>
      <c r="E3" s="18" t="str">
        <f ca="1">UPPER(TEXT(DATE(FYStartYear,FYMonthNo+1,1),"yyyy 年 m 月"))</f>
        <v>2018 年 11 月</v>
      </c>
      <c r="F3" s="18" t="str">
        <f ca="1">UPPER(TEXT(DATE(FYStartYear,FYMonthNo+2,1),"yyyy 年 m 月"))</f>
        <v>2018 年 12 月</v>
      </c>
      <c r="G3" s="18" t="str">
        <f ca="1">UPPER(TEXT(DATE(FYStartYear,FYMonthNo+3,1),"yyyy 年 m 月"))</f>
        <v>2019 年 1 月</v>
      </c>
      <c r="H3" s="18" t="str">
        <f ca="1">UPPER(TEXT(DATE(FYStartYear,FYMonthNo+4,1),"yyyy 年 m 月"))</f>
        <v>2019 年 2 月</v>
      </c>
      <c r="I3" s="18" t="str">
        <f ca="1">UPPER(TEXT(DATE(FYStartYear,FYMonthNo+5,1),"yyyy 年 m 月"))</f>
        <v>2019 年 3 月</v>
      </c>
      <c r="J3" s="18" t="str">
        <f ca="1">UPPER(TEXT(DATE(FYStartYear,FYMonthNo+6,1),"yyyy 年 m 月"))</f>
        <v>2019 年 4 月</v>
      </c>
      <c r="K3" s="18" t="str">
        <f ca="1">UPPER(TEXT(DATE(FYStartYear,FYMonthNo+7,1),"yyyy 年 m 月"))</f>
        <v>2019 年 5 月</v>
      </c>
      <c r="L3" s="18" t="str">
        <f ca="1">UPPER(TEXT(DATE(FYStartYear,FYMonthNo+8,1),"yyyy 年 m 月"))</f>
        <v>2019 年 6 月</v>
      </c>
      <c r="M3" s="18" t="str">
        <f ca="1">UPPER(TEXT(DATE(FYStartYear,FYMonthNo+9,1),"yyyy 年 m 月"))</f>
        <v>2019 年 7 月</v>
      </c>
      <c r="N3" s="18" t="str">
        <f ca="1">UPPER(TEXT(DATE(FYStartYear,FYMonthNo+10,1),"yyyy 年 m 月"))</f>
        <v>2019 年 8 月</v>
      </c>
      <c r="O3" s="18" t="str">
        <f ca="1">UPPER(TEXT(DATE(FYStartYear,FYMonthNo+11,1),"yyyy 年 m 月"))</f>
        <v>2019 年 9 月</v>
      </c>
      <c r="P3" s="18" t="s">
        <v>13</v>
      </c>
      <c r="Q3" s="18" t="s">
        <v>14</v>
      </c>
      <c r="R3" s="18" t="str">
        <f ca="1">IF(RIGHT(D3,4)&gt;"0",RIGHT(D3,4),RIGHT(D3,3))&amp;" %"</f>
        <v>10 月 %</v>
      </c>
      <c r="S3" s="18" t="str">
        <f t="shared" ref="S3:AC3" ca="1" si="0">IF(RIGHT(E3,4)&gt;"0",RIGHT(E3,4),RIGHT(E3,3))&amp;" %"</f>
        <v>11 月 %</v>
      </c>
      <c r="T3" s="18" t="str">
        <f t="shared" ca="1" si="0"/>
        <v>12 月 %</v>
      </c>
      <c r="U3" s="18" t="str">
        <f t="shared" ca="1" si="0"/>
        <v>1 月 %</v>
      </c>
      <c r="V3" s="18" t="str">
        <f t="shared" ca="1" si="0"/>
        <v>2 月 %</v>
      </c>
      <c r="W3" s="18" t="str">
        <f t="shared" ca="1" si="0"/>
        <v>3 月 %</v>
      </c>
      <c r="X3" s="18" t="str">
        <f t="shared" ca="1" si="0"/>
        <v>4 月 %</v>
      </c>
      <c r="Y3" s="18" t="str">
        <f t="shared" ca="1" si="0"/>
        <v>5 月 %</v>
      </c>
      <c r="Z3" s="18" t="str">
        <f t="shared" ca="1" si="0"/>
        <v>6 月 %</v>
      </c>
      <c r="AA3" s="18" t="str">
        <f t="shared" ca="1" si="0"/>
        <v>7 月 %</v>
      </c>
      <c r="AB3" s="18" t="str">
        <f t="shared" ca="1" si="0"/>
        <v>8 月 %</v>
      </c>
      <c r="AC3" s="18" t="str">
        <f t="shared" ca="1" si="0"/>
        <v>9 月 %</v>
      </c>
      <c r="AD3" s="18" t="s">
        <v>28</v>
      </c>
    </row>
    <row r="4" spans="1:30" ht="30" customHeight="1" x14ac:dyDescent="0.25">
      <c r="B4" s="26" t="s">
        <v>30</v>
      </c>
      <c r="C4" s="26" t="s">
        <v>0</v>
      </c>
      <c r="D4" s="20" t="s">
        <v>33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0" t="s">
        <v>11</v>
      </c>
      <c r="O4" s="20" t="s">
        <v>12</v>
      </c>
      <c r="P4" s="20" t="s">
        <v>13</v>
      </c>
      <c r="Q4" s="21" t="s">
        <v>14</v>
      </c>
      <c r="R4" s="21" t="s">
        <v>15</v>
      </c>
      <c r="S4" s="21" t="s">
        <v>16</v>
      </c>
      <c r="T4" s="21" t="s">
        <v>17</v>
      </c>
      <c r="U4" s="21" t="s">
        <v>18</v>
      </c>
      <c r="V4" s="21" t="s">
        <v>19</v>
      </c>
      <c r="W4" s="21" t="s">
        <v>20</v>
      </c>
      <c r="X4" s="21" t="s">
        <v>21</v>
      </c>
      <c r="Y4" s="21" t="s">
        <v>22</v>
      </c>
      <c r="Z4" s="21" t="s">
        <v>23</v>
      </c>
      <c r="AA4" s="21" t="s">
        <v>24</v>
      </c>
      <c r="AB4" s="21" t="s">
        <v>26</v>
      </c>
      <c r="AC4" s="21" t="s">
        <v>27</v>
      </c>
      <c r="AD4" s="20" t="s">
        <v>28</v>
      </c>
    </row>
    <row r="5" spans="1:30" ht="30" customHeight="1" x14ac:dyDescent="0.25">
      <c r="B5" s="42" t="s">
        <v>45</v>
      </c>
      <c r="C5" s="29" t="s">
        <v>32</v>
      </c>
      <c r="D5" s="22">
        <v>30000</v>
      </c>
      <c r="E5" s="22">
        <v>30000</v>
      </c>
      <c r="F5" s="22">
        <v>40000</v>
      </c>
      <c r="G5" s="22">
        <v>20000</v>
      </c>
      <c r="H5" s="22">
        <v>30000</v>
      </c>
      <c r="I5" s="22">
        <v>40000</v>
      </c>
      <c r="J5" s="22">
        <v>30000</v>
      </c>
      <c r="K5" s="22">
        <v>30000</v>
      </c>
      <c r="L5" s="22">
        <v>30000</v>
      </c>
      <c r="M5" s="22">
        <v>40000</v>
      </c>
      <c r="N5" s="22">
        <v>40000</v>
      </c>
      <c r="O5" s="22">
        <v>30000</v>
      </c>
      <c r="P5" s="43">
        <f>SUM(tblExpenses[[#This Row],[列 1]:[12 月]])</f>
        <v>390000</v>
      </c>
      <c r="Q5" s="23">
        <v>0.12</v>
      </c>
      <c r="R5" s="31">
        <f>tblExpenses[[#This Row],[列 1]]/tblExpenses[[#Totals],[列 1]]</f>
        <v>5.1546391752577317E-2</v>
      </c>
      <c r="S5" s="31">
        <f>tblExpenses[[#This Row],[2 月]]/tblExpenses[[#Totals],[2 月]]</f>
        <v>4.4510385756676561E-2</v>
      </c>
      <c r="T5" s="31">
        <f>tblExpenses[[#This Row],[3 月]]/tblExpenses[[#Totals],[3 月]]</f>
        <v>0.19138755980861244</v>
      </c>
      <c r="U5" s="31">
        <f>tblExpenses[[#This Row],[4 月]]/tblExpenses[[#Totals],[4 月]]</f>
        <v>0.11173184357541899</v>
      </c>
      <c r="V5" s="31">
        <f>tblExpenses[[#This Row],[5 月]]/tblExpenses[[#Totals],[5 月]]</f>
        <v>0.15957446808510639</v>
      </c>
      <c r="W5" s="31">
        <f>tblExpenses[[#This Row],[6 月]]/tblExpenses[[#Totals],[6 月]]</f>
        <v>0.20100502512562815</v>
      </c>
      <c r="X5" s="31">
        <f>tblExpenses[[#This Row],[7 月]]/tblExpenses[[#Totals],[7 月]]</f>
        <v>0.11029411764705882</v>
      </c>
      <c r="Y5" s="31">
        <f>tblExpenses[[#This Row],[8 月]]/tblExpenses[[#Totals],[8 月]]</f>
        <v>0.12658227848101267</v>
      </c>
      <c r="Z5" s="31">
        <f>tblExpenses[[#This Row],[9 月]]/tblExpenses[[#Totals],[9 月]]</f>
        <v>0.12658227848101267</v>
      </c>
      <c r="AA5" s="31">
        <f>tblExpenses[[#This Row],[10 月]]/tblExpenses[[#Totals],[10 月]]</f>
        <v>0.15503875968992248</v>
      </c>
      <c r="AB5" s="31">
        <f>tblExpenses[[#This Row],[11 月]]/tblExpenses[[#Totals],[11 月]]</f>
        <v>0.16194331983805668</v>
      </c>
      <c r="AC5" s="31">
        <f>tblExpenses[[#This Row],[12 月]]/tblExpenses[[#Totals],[12 月]]</f>
        <v>0.12096774193548387</v>
      </c>
      <c r="AD5" s="31">
        <f>tblExpenses[[#This Row],[年次]]/tblExpenses[[#Totals],[年次]]</f>
        <v>0.11048158640226628</v>
      </c>
    </row>
    <row r="6" spans="1:30" ht="30" customHeight="1" x14ac:dyDescent="0.25">
      <c r="B6" s="42" t="s">
        <v>46</v>
      </c>
      <c r="C6" s="29" t="s">
        <v>32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56000</v>
      </c>
      <c r="K6" s="22">
        <v>56000</v>
      </c>
      <c r="L6" s="22">
        <v>56000</v>
      </c>
      <c r="M6" s="22">
        <v>56000</v>
      </c>
      <c r="N6" s="22">
        <v>56000</v>
      </c>
      <c r="O6" s="22">
        <v>56000</v>
      </c>
      <c r="P6" s="30">
        <f>SUM(tblExpenses[[#This Row],[列 1]:[12 月]])</f>
        <v>336000</v>
      </c>
      <c r="Q6" s="23">
        <v>0.09</v>
      </c>
      <c r="R6" s="31">
        <f>tblExpenses[[#This Row],[列 1]]/tblExpenses[[#Totals],[列 1]]</f>
        <v>0</v>
      </c>
      <c r="S6" s="31">
        <f>tblExpenses[[#This Row],[2 月]]/tblExpenses[[#Totals],[2 月]]</f>
        <v>0</v>
      </c>
      <c r="T6" s="31">
        <f>tblExpenses[[#This Row],[3 月]]/tblExpenses[[#Totals],[3 月]]</f>
        <v>0</v>
      </c>
      <c r="U6" s="31">
        <f>tblExpenses[[#This Row],[4 月]]/tblExpenses[[#Totals],[4 月]]</f>
        <v>0</v>
      </c>
      <c r="V6" s="31">
        <f>tblExpenses[[#This Row],[5 月]]/tblExpenses[[#Totals],[5 月]]</f>
        <v>0</v>
      </c>
      <c r="W6" s="31">
        <f>tblExpenses[[#This Row],[6 月]]/tblExpenses[[#Totals],[6 月]]</f>
        <v>0</v>
      </c>
      <c r="X6" s="31">
        <f>tblExpenses[[#This Row],[7 月]]/tblExpenses[[#Totals],[7 月]]</f>
        <v>0.20588235294117646</v>
      </c>
      <c r="Y6" s="31">
        <f>tblExpenses[[#This Row],[8 月]]/tblExpenses[[#Totals],[8 月]]</f>
        <v>0.23628691983122363</v>
      </c>
      <c r="Z6" s="31">
        <f>tblExpenses[[#This Row],[9 月]]/tblExpenses[[#Totals],[9 月]]</f>
        <v>0.23628691983122363</v>
      </c>
      <c r="AA6" s="31">
        <f>tblExpenses[[#This Row],[10 月]]/tblExpenses[[#Totals],[10 月]]</f>
        <v>0.21705426356589147</v>
      </c>
      <c r="AB6" s="31">
        <f>tblExpenses[[#This Row],[11 月]]/tblExpenses[[#Totals],[11 月]]</f>
        <v>0.22672064777327935</v>
      </c>
      <c r="AC6" s="31">
        <f>tblExpenses[[#This Row],[12 月]]/tblExpenses[[#Totals],[12 月]]</f>
        <v>0.22580645161290322</v>
      </c>
      <c r="AD6" s="31">
        <f>tblExpenses[[#This Row],[年次]]/tblExpenses[[#Totals],[年次]]</f>
        <v>9.5184135977337117E-2</v>
      </c>
    </row>
    <row r="7" spans="1:30" s="8" customFormat="1" ht="30" customHeight="1" x14ac:dyDescent="0.25">
      <c r="B7" s="42" t="s">
        <v>61</v>
      </c>
      <c r="C7" s="29"/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5000</v>
      </c>
      <c r="K7" s="22">
        <v>5000</v>
      </c>
      <c r="L7" s="22">
        <v>5000</v>
      </c>
      <c r="M7" s="22">
        <v>5000</v>
      </c>
      <c r="N7" s="22">
        <v>5000</v>
      </c>
      <c r="O7" s="22">
        <v>5000</v>
      </c>
      <c r="P7" s="30">
        <f>SUM(tblExpenses[[#This Row],[列 1]:[12 月]])</f>
        <v>30000</v>
      </c>
      <c r="Q7" s="23"/>
      <c r="R7" s="31">
        <f>tblExpenses[[#This Row],[列 1]]/tblExpenses[[#Totals],[列 1]]</f>
        <v>0</v>
      </c>
      <c r="S7" s="31">
        <f>tblExpenses[[#This Row],[2 月]]/tblExpenses[[#Totals],[2 月]]</f>
        <v>0</v>
      </c>
      <c r="T7" s="31">
        <f>tblExpenses[[#This Row],[3 月]]/tblExpenses[[#Totals],[3 月]]</f>
        <v>0</v>
      </c>
      <c r="U7" s="31">
        <f>tblExpenses[[#This Row],[4 月]]/tblExpenses[[#Totals],[4 月]]</f>
        <v>0</v>
      </c>
      <c r="V7" s="31">
        <f>tblExpenses[[#This Row],[5 月]]/tblExpenses[[#Totals],[5 月]]</f>
        <v>0</v>
      </c>
      <c r="W7" s="31">
        <f>tblExpenses[[#This Row],[6 月]]/tblExpenses[[#Totals],[6 月]]</f>
        <v>0</v>
      </c>
      <c r="X7" s="31">
        <f>tblExpenses[[#This Row],[7 月]]/tblExpenses[[#Totals],[7 月]]</f>
        <v>1.8382352941176471E-2</v>
      </c>
      <c r="Y7" s="31">
        <f>tblExpenses[[#This Row],[8 月]]/tblExpenses[[#Totals],[8 月]]</f>
        <v>2.1097046413502109E-2</v>
      </c>
      <c r="Z7" s="31">
        <f>tblExpenses[[#This Row],[9 月]]/tblExpenses[[#Totals],[9 月]]</f>
        <v>2.1097046413502109E-2</v>
      </c>
      <c r="AA7" s="31">
        <f>tblExpenses[[#This Row],[10 月]]/tblExpenses[[#Totals],[10 月]]</f>
        <v>1.937984496124031E-2</v>
      </c>
      <c r="AB7" s="31">
        <f>tblExpenses[[#This Row],[11 月]]/tblExpenses[[#Totals],[11 月]]</f>
        <v>2.0242914979757085E-2</v>
      </c>
      <c r="AC7" s="31">
        <f>tblExpenses[[#This Row],[12 月]]/tblExpenses[[#Totals],[12 月]]</f>
        <v>2.0161290322580645E-2</v>
      </c>
      <c r="AD7" s="31">
        <f>tblExpenses[[#This Row],[年次]]/tblExpenses[[#Totals],[年次]]</f>
        <v>8.4985835694051E-3</v>
      </c>
    </row>
    <row r="8" spans="1:30" ht="30" customHeight="1" x14ac:dyDescent="0.25">
      <c r="B8" s="44" t="s">
        <v>62</v>
      </c>
      <c r="C8" s="45" t="s">
        <v>32</v>
      </c>
      <c r="D8" s="46">
        <f>SUBTOTAL(109,D6:D7)</f>
        <v>0</v>
      </c>
      <c r="E8" s="46">
        <f t="shared" ref="E8:O8" si="1">SUBTOTAL(109,E6:E7)</f>
        <v>0</v>
      </c>
      <c r="F8" s="46">
        <f t="shared" si="1"/>
        <v>0</v>
      </c>
      <c r="G8" s="46">
        <f t="shared" si="1"/>
        <v>0</v>
      </c>
      <c r="H8" s="46">
        <f t="shared" si="1"/>
        <v>0</v>
      </c>
      <c r="I8" s="46">
        <f t="shared" si="1"/>
        <v>0</v>
      </c>
      <c r="J8" s="46">
        <f t="shared" si="1"/>
        <v>61000</v>
      </c>
      <c r="K8" s="46">
        <f t="shared" si="1"/>
        <v>61000</v>
      </c>
      <c r="L8" s="46">
        <f t="shared" si="1"/>
        <v>61000</v>
      </c>
      <c r="M8" s="46">
        <f t="shared" si="1"/>
        <v>61000</v>
      </c>
      <c r="N8" s="46">
        <f t="shared" si="1"/>
        <v>61000</v>
      </c>
      <c r="O8" s="46">
        <f t="shared" si="1"/>
        <v>61000</v>
      </c>
      <c r="P8" s="46">
        <f>SUM(tblExpenses[[#This Row],[列 1]:[12 月]])</f>
        <v>366000</v>
      </c>
      <c r="Q8" s="23">
        <v>0.02</v>
      </c>
      <c r="R8" s="31">
        <f>tblExpenses[[#This Row],[列 1]]/tblExpenses[[#Totals],[列 1]]</f>
        <v>0</v>
      </c>
      <c r="S8" s="31">
        <f>tblExpenses[[#This Row],[2 月]]/tblExpenses[[#Totals],[2 月]]</f>
        <v>0</v>
      </c>
      <c r="T8" s="31">
        <f>tblExpenses[[#This Row],[3 月]]/tblExpenses[[#Totals],[3 月]]</f>
        <v>0</v>
      </c>
      <c r="U8" s="31">
        <f>tblExpenses[[#This Row],[4 月]]/tblExpenses[[#Totals],[4 月]]</f>
        <v>0</v>
      </c>
      <c r="V8" s="31">
        <f>tblExpenses[[#This Row],[5 月]]/tblExpenses[[#Totals],[5 月]]</f>
        <v>0</v>
      </c>
      <c r="W8" s="31">
        <f>tblExpenses[[#This Row],[6 月]]/tblExpenses[[#Totals],[6 月]]</f>
        <v>0</v>
      </c>
      <c r="X8" s="31">
        <f>tblExpenses[[#This Row],[7 月]]/tblExpenses[[#Totals],[7 月]]</f>
        <v>0.22426470588235295</v>
      </c>
      <c r="Y8" s="31">
        <f>tblExpenses[[#This Row],[8 月]]/tblExpenses[[#Totals],[8 月]]</f>
        <v>0.25738396624472576</v>
      </c>
      <c r="Z8" s="31">
        <f>tblExpenses[[#This Row],[9 月]]/tblExpenses[[#Totals],[9 月]]</f>
        <v>0.25738396624472576</v>
      </c>
      <c r="AA8" s="31">
        <f>tblExpenses[[#This Row],[10 月]]/tblExpenses[[#Totals],[10 月]]</f>
        <v>0.23643410852713179</v>
      </c>
      <c r="AB8" s="31">
        <f>tblExpenses[[#This Row],[11 月]]/tblExpenses[[#Totals],[11 月]]</f>
        <v>0.24696356275303644</v>
      </c>
      <c r="AC8" s="31">
        <f>tblExpenses[[#This Row],[12 月]]/tblExpenses[[#Totals],[12 月]]</f>
        <v>0.24596774193548387</v>
      </c>
      <c r="AD8" s="31">
        <f>tblExpenses[[#This Row],[年次]]/tblExpenses[[#Totals],[年次]]</f>
        <v>0.10368271954674221</v>
      </c>
    </row>
    <row r="9" spans="1:30" ht="30" customHeight="1" x14ac:dyDescent="0.25">
      <c r="B9" s="42" t="s">
        <v>63</v>
      </c>
      <c r="C9" s="29" t="s">
        <v>32</v>
      </c>
      <c r="D9" s="22">
        <v>20000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30">
        <f>SUM(tblExpenses[[#This Row],[列 1]:[12 月]])</f>
        <v>20000</v>
      </c>
      <c r="Q9" s="23">
        <v>0.08</v>
      </c>
      <c r="R9" s="31">
        <f>tblExpenses[[#This Row],[列 1]]/tblExpenses[[#Totals],[列 1]]</f>
        <v>3.4364261168384883E-2</v>
      </c>
      <c r="S9" s="31">
        <f>tblExpenses[[#This Row],[2 月]]/tblExpenses[[#Totals],[2 月]]</f>
        <v>0</v>
      </c>
      <c r="T9" s="31">
        <f>tblExpenses[[#This Row],[3 月]]/tblExpenses[[#Totals],[3 月]]</f>
        <v>0</v>
      </c>
      <c r="U9" s="31">
        <f>tblExpenses[[#This Row],[4 月]]/tblExpenses[[#Totals],[4 月]]</f>
        <v>0</v>
      </c>
      <c r="V9" s="31">
        <f>tblExpenses[[#This Row],[5 月]]/tblExpenses[[#Totals],[5 月]]</f>
        <v>0</v>
      </c>
      <c r="W9" s="31">
        <f>tblExpenses[[#This Row],[6 月]]/tblExpenses[[#Totals],[6 月]]</f>
        <v>0</v>
      </c>
      <c r="X9" s="31">
        <f>tblExpenses[[#This Row],[7 月]]/tblExpenses[[#Totals],[7 月]]</f>
        <v>0</v>
      </c>
      <c r="Y9" s="31">
        <f>tblExpenses[[#This Row],[8 月]]/tblExpenses[[#Totals],[8 月]]</f>
        <v>0</v>
      </c>
      <c r="Z9" s="31">
        <f>tblExpenses[[#This Row],[9 月]]/tblExpenses[[#Totals],[9 月]]</f>
        <v>0</v>
      </c>
      <c r="AA9" s="31">
        <f>tblExpenses[[#This Row],[10 月]]/tblExpenses[[#Totals],[10 月]]</f>
        <v>0</v>
      </c>
      <c r="AB9" s="31">
        <f>tblExpenses[[#This Row],[11 月]]/tblExpenses[[#Totals],[11 月]]</f>
        <v>0</v>
      </c>
      <c r="AC9" s="31">
        <f>tblExpenses[[#This Row],[12 月]]/tblExpenses[[#Totals],[12 月]]</f>
        <v>0</v>
      </c>
      <c r="AD9" s="31">
        <f>tblExpenses[[#This Row],[年次]]/tblExpenses[[#Totals],[年次]]</f>
        <v>5.6657223796033997E-3</v>
      </c>
    </row>
    <row r="10" spans="1:30" ht="30" customHeight="1" x14ac:dyDescent="0.25">
      <c r="B10" s="42" t="s">
        <v>47</v>
      </c>
      <c r="C10" s="29" t="s">
        <v>32</v>
      </c>
      <c r="D10" s="22">
        <v>5000</v>
      </c>
      <c r="E10" s="22">
        <v>0</v>
      </c>
      <c r="F10" s="22">
        <v>5000</v>
      </c>
      <c r="G10" s="22">
        <v>0</v>
      </c>
      <c r="H10" s="22">
        <v>0</v>
      </c>
      <c r="I10" s="22">
        <v>0</v>
      </c>
      <c r="J10" s="22">
        <v>5000</v>
      </c>
      <c r="K10" s="22">
        <v>0</v>
      </c>
      <c r="L10" s="22">
        <v>0</v>
      </c>
      <c r="M10" s="22">
        <v>3000</v>
      </c>
      <c r="N10" s="22">
        <v>0</v>
      </c>
      <c r="O10" s="22">
        <v>3000</v>
      </c>
      <c r="P10" s="30">
        <f>SUM(tblExpenses[[#This Row],[列 1]:[12 月]])</f>
        <v>21000</v>
      </c>
      <c r="Q10" s="23">
        <v>0.03</v>
      </c>
      <c r="R10" s="31">
        <f>tblExpenses[[#This Row],[列 1]]/tblExpenses[[#Totals],[列 1]]</f>
        <v>8.5910652920962206E-3</v>
      </c>
      <c r="S10" s="31">
        <f>tblExpenses[[#This Row],[2 月]]/tblExpenses[[#Totals],[2 月]]</f>
        <v>0</v>
      </c>
      <c r="T10" s="31">
        <f>tblExpenses[[#This Row],[3 月]]/tblExpenses[[#Totals],[3 月]]</f>
        <v>2.3923444976076555E-2</v>
      </c>
      <c r="U10" s="31">
        <f>tblExpenses[[#This Row],[4 月]]/tblExpenses[[#Totals],[4 月]]</f>
        <v>0</v>
      </c>
      <c r="V10" s="31">
        <f>tblExpenses[[#This Row],[5 月]]/tblExpenses[[#Totals],[5 月]]</f>
        <v>0</v>
      </c>
      <c r="W10" s="31">
        <f>tblExpenses[[#This Row],[6 月]]/tblExpenses[[#Totals],[6 月]]</f>
        <v>0</v>
      </c>
      <c r="X10" s="31">
        <f>tblExpenses[[#This Row],[7 月]]/tblExpenses[[#Totals],[7 月]]</f>
        <v>1.8382352941176471E-2</v>
      </c>
      <c r="Y10" s="31">
        <f>tblExpenses[[#This Row],[8 月]]/tblExpenses[[#Totals],[8 月]]</f>
        <v>0</v>
      </c>
      <c r="Z10" s="31">
        <f>tblExpenses[[#This Row],[9 月]]/tblExpenses[[#Totals],[9 月]]</f>
        <v>0</v>
      </c>
      <c r="AA10" s="31">
        <f>tblExpenses[[#This Row],[10 月]]/tblExpenses[[#Totals],[10 月]]</f>
        <v>1.1627906976744186E-2</v>
      </c>
      <c r="AB10" s="31">
        <f>tblExpenses[[#This Row],[11 月]]/tblExpenses[[#Totals],[11 月]]</f>
        <v>0</v>
      </c>
      <c r="AC10" s="31">
        <f>tblExpenses[[#This Row],[12 月]]/tblExpenses[[#Totals],[12 月]]</f>
        <v>1.2096774193548387E-2</v>
      </c>
      <c r="AD10" s="31">
        <f>tblExpenses[[#This Row],[年次]]/tblExpenses[[#Totals],[年次]]</f>
        <v>5.9490084985835698E-3</v>
      </c>
    </row>
    <row r="11" spans="1:30" ht="30" customHeight="1" x14ac:dyDescent="0.25">
      <c r="B11" s="42" t="s">
        <v>48</v>
      </c>
      <c r="C11" s="29" t="s">
        <v>32</v>
      </c>
      <c r="D11" s="22">
        <v>5000</v>
      </c>
      <c r="E11" s="22">
        <v>5000</v>
      </c>
      <c r="F11" s="22">
        <v>10000</v>
      </c>
      <c r="G11" s="22">
        <v>5000</v>
      </c>
      <c r="H11" s="22">
        <v>5000</v>
      </c>
      <c r="I11" s="22">
        <v>5000</v>
      </c>
      <c r="J11" s="22">
        <v>10000</v>
      </c>
      <c r="K11" s="22">
        <v>10000</v>
      </c>
      <c r="L11" s="22">
        <v>10000</v>
      </c>
      <c r="M11" s="22">
        <v>10000</v>
      </c>
      <c r="N11" s="22">
        <v>10000</v>
      </c>
      <c r="O11" s="22">
        <v>10000</v>
      </c>
      <c r="P11" s="30">
        <f>SUM(tblExpenses[[#This Row],[列 1]:[12 月]])</f>
        <v>95000</v>
      </c>
      <c r="Q11" s="23">
        <v>0.15</v>
      </c>
      <c r="R11" s="31">
        <f>tblExpenses[[#This Row],[列 1]]/tblExpenses[[#Totals],[列 1]]</f>
        <v>8.5910652920962206E-3</v>
      </c>
      <c r="S11" s="31">
        <f>tblExpenses[[#This Row],[2 月]]/tblExpenses[[#Totals],[2 月]]</f>
        <v>7.4183976261127599E-3</v>
      </c>
      <c r="T11" s="31">
        <f>tblExpenses[[#This Row],[3 月]]/tblExpenses[[#Totals],[3 月]]</f>
        <v>4.784688995215311E-2</v>
      </c>
      <c r="U11" s="31">
        <f>tblExpenses[[#This Row],[4 月]]/tblExpenses[[#Totals],[4 月]]</f>
        <v>2.7932960893854747E-2</v>
      </c>
      <c r="V11" s="31">
        <f>tblExpenses[[#This Row],[5 月]]/tblExpenses[[#Totals],[5 月]]</f>
        <v>2.6595744680851064E-2</v>
      </c>
      <c r="W11" s="31">
        <f>tblExpenses[[#This Row],[6 月]]/tblExpenses[[#Totals],[6 月]]</f>
        <v>2.5125628140703519E-2</v>
      </c>
      <c r="X11" s="31">
        <f>tblExpenses[[#This Row],[7 月]]/tblExpenses[[#Totals],[7 月]]</f>
        <v>3.6764705882352942E-2</v>
      </c>
      <c r="Y11" s="31">
        <f>tblExpenses[[#This Row],[8 月]]/tblExpenses[[#Totals],[8 月]]</f>
        <v>4.2194092827004218E-2</v>
      </c>
      <c r="Z11" s="31">
        <f>tblExpenses[[#This Row],[9 月]]/tblExpenses[[#Totals],[9 月]]</f>
        <v>4.2194092827004218E-2</v>
      </c>
      <c r="AA11" s="31">
        <f>tblExpenses[[#This Row],[10 月]]/tblExpenses[[#Totals],[10 月]]</f>
        <v>3.875968992248062E-2</v>
      </c>
      <c r="AB11" s="31">
        <f>tblExpenses[[#This Row],[11 月]]/tblExpenses[[#Totals],[11 月]]</f>
        <v>4.048582995951417E-2</v>
      </c>
      <c r="AC11" s="31">
        <f>tblExpenses[[#This Row],[12 月]]/tblExpenses[[#Totals],[12 月]]</f>
        <v>4.0322580645161289E-2</v>
      </c>
      <c r="AD11" s="31">
        <f>tblExpenses[[#This Row],[年次]]/tblExpenses[[#Totals],[年次]]</f>
        <v>2.6912181303116147E-2</v>
      </c>
    </row>
    <row r="12" spans="1:30" ht="30" customHeight="1" x14ac:dyDescent="0.25">
      <c r="B12" s="42" t="s">
        <v>49</v>
      </c>
      <c r="C12" s="29" t="s">
        <v>32</v>
      </c>
      <c r="D12" s="22">
        <v>3000</v>
      </c>
      <c r="E12" s="22">
        <v>0</v>
      </c>
      <c r="F12" s="22">
        <v>3000</v>
      </c>
      <c r="G12" s="22">
        <v>0</v>
      </c>
      <c r="H12" s="22">
        <v>2000</v>
      </c>
      <c r="I12" s="22">
        <v>0</v>
      </c>
      <c r="J12" s="22">
        <v>10000</v>
      </c>
      <c r="K12" s="22">
        <v>0</v>
      </c>
      <c r="L12" s="22">
        <v>0</v>
      </c>
      <c r="M12" s="22">
        <v>3000</v>
      </c>
      <c r="N12" s="22">
        <v>0</v>
      </c>
      <c r="O12" s="22">
        <v>3000</v>
      </c>
      <c r="P12" s="30">
        <f>SUM(tblExpenses[[#This Row],[列 1]:[12 月]])</f>
        <v>24000</v>
      </c>
      <c r="Q12" s="23">
        <v>0.12</v>
      </c>
      <c r="R12" s="31">
        <f>tblExpenses[[#This Row],[列 1]]/tblExpenses[[#Totals],[列 1]]</f>
        <v>5.1546391752577319E-3</v>
      </c>
      <c r="S12" s="31">
        <f>tblExpenses[[#This Row],[2 月]]/tblExpenses[[#Totals],[2 月]]</f>
        <v>0</v>
      </c>
      <c r="T12" s="31">
        <f>tblExpenses[[#This Row],[3 月]]/tblExpenses[[#Totals],[3 月]]</f>
        <v>1.4354066985645933E-2</v>
      </c>
      <c r="U12" s="31">
        <f>tblExpenses[[#This Row],[4 月]]/tblExpenses[[#Totals],[4 月]]</f>
        <v>0</v>
      </c>
      <c r="V12" s="31">
        <f>tblExpenses[[#This Row],[5 月]]/tblExpenses[[#Totals],[5 月]]</f>
        <v>1.0638297872340425E-2</v>
      </c>
      <c r="W12" s="31">
        <f>tblExpenses[[#This Row],[6 月]]/tblExpenses[[#Totals],[6 月]]</f>
        <v>0</v>
      </c>
      <c r="X12" s="31">
        <f>tblExpenses[[#This Row],[7 月]]/tblExpenses[[#Totals],[7 月]]</f>
        <v>3.6764705882352942E-2</v>
      </c>
      <c r="Y12" s="31">
        <f>tblExpenses[[#This Row],[8 月]]/tblExpenses[[#Totals],[8 月]]</f>
        <v>0</v>
      </c>
      <c r="Z12" s="31">
        <f>tblExpenses[[#This Row],[9 月]]/tblExpenses[[#Totals],[9 月]]</f>
        <v>0</v>
      </c>
      <c r="AA12" s="31">
        <f>tblExpenses[[#This Row],[10 月]]/tblExpenses[[#Totals],[10 月]]</f>
        <v>1.1627906976744186E-2</v>
      </c>
      <c r="AB12" s="31">
        <f>tblExpenses[[#This Row],[11 月]]/tblExpenses[[#Totals],[11 月]]</f>
        <v>0</v>
      </c>
      <c r="AC12" s="31">
        <f>tblExpenses[[#This Row],[12 月]]/tblExpenses[[#Totals],[12 月]]</f>
        <v>1.2096774193548387E-2</v>
      </c>
      <c r="AD12" s="31">
        <f>tblExpenses[[#This Row],[年次]]/tblExpenses[[#Totals],[年次]]</f>
        <v>6.7988668555240793E-3</v>
      </c>
    </row>
    <row r="13" spans="1:30" ht="30" customHeight="1" x14ac:dyDescent="0.25">
      <c r="B13" s="42" t="s">
        <v>50</v>
      </c>
      <c r="C13" s="29" t="s">
        <v>32</v>
      </c>
      <c r="D13" s="22">
        <v>15000</v>
      </c>
      <c r="E13" s="22">
        <v>20000</v>
      </c>
      <c r="F13" s="22">
        <v>30000</v>
      </c>
      <c r="G13" s="22">
        <v>30000</v>
      </c>
      <c r="H13" s="22">
        <v>30000</v>
      </c>
      <c r="I13" s="22">
        <v>30000</v>
      </c>
      <c r="J13" s="22">
        <v>25000</v>
      </c>
      <c r="K13" s="22">
        <v>25000</v>
      </c>
      <c r="L13" s="22">
        <v>30000</v>
      </c>
      <c r="M13" s="22">
        <v>30000</v>
      </c>
      <c r="N13" s="22">
        <v>30000</v>
      </c>
      <c r="O13" s="22">
        <v>30000</v>
      </c>
      <c r="P13" s="30">
        <f>SUM(tblExpenses[[#This Row],[列 1]:[12 月]])</f>
        <v>325000</v>
      </c>
      <c r="Q13" s="23">
        <v>0.09</v>
      </c>
      <c r="R13" s="31">
        <f>tblExpenses[[#This Row],[列 1]]/tblExpenses[[#Totals],[列 1]]</f>
        <v>2.5773195876288658E-2</v>
      </c>
      <c r="S13" s="31">
        <f>tblExpenses[[#This Row],[2 月]]/tblExpenses[[#Totals],[2 月]]</f>
        <v>2.967359050445104E-2</v>
      </c>
      <c r="T13" s="31">
        <f>tblExpenses[[#This Row],[3 月]]/tblExpenses[[#Totals],[3 月]]</f>
        <v>0.14354066985645933</v>
      </c>
      <c r="U13" s="31">
        <f>tblExpenses[[#This Row],[4 月]]/tblExpenses[[#Totals],[4 月]]</f>
        <v>0.16759776536312848</v>
      </c>
      <c r="V13" s="31">
        <f>tblExpenses[[#This Row],[5 月]]/tblExpenses[[#Totals],[5 月]]</f>
        <v>0.15957446808510639</v>
      </c>
      <c r="W13" s="31">
        <f>tblExpenses[[#This Row],[6 月]]/tblExpenses[[#Totals],[6 月]]</f>
        <v>0.15075376884422109</v>
      </c>
      <c r="X13" s="31">
        <f>tblExpenses[[#This Row],[7 月]]/tblExpenses[[#Totals],[7 月]]</f>
        <v>9.1911764705882359E-2</v>
      </c>
      <c r="Y13" s="31">
        <f>tblExpenses[[#This Row],[8 月]]/tblExpenses[[#Totals],[8 月]]</f>
        <v>0.10548523206751055</v>
      </c>
      <c r="Z13" s="31">
        <f>tblExpenses[[#This Row],[9 月]]/tblExpenses[[#Totals],[9 月]]</f>
        <v>0.12658227848101267</v>
      </c>
      <c r="AA13" s="31">
        <f>tblExpenses[[#This Row],[10 月]]/tblExpenses[[#Totals],[10 月]]</f>
        <v>0.11627906976744186</v>
      </c>
      <c r="AB13" s="31">
        <f>tblExpenses[[#This Row],[11 月]]/tblExpenses[[#Totals],[11 月]]</f>
        <v>0.1214574898785425</v>
      </c>
      <c r="AC13" s="31">
        <f>tblExpenses[[#This Row],[12 月]]/tblExpenses[[#Totals],[12 月]]</f>
        <v>0.12096774193548387</v>
      </c>
      <c r="AD13" s="31">
        <f>tblExpenses[[#This Row],[年次]]/tblExpenses[[#Totals],[年次]]</f>
        <v>9.2067988668555242E-2</v>
      </c>
    </row>
    <row r="14" spans="1:30" ht="30" customHeight="1" x14ac:dyDescent="0.25">
      <c r="B14" s="42" t="s">
        <v>51</v>
      </c>
      <c r="C14" s="29" t="s">
        <v>32</v>
      </c>
      <c r="D14" s="22">
        <v>20000</v>
      </c>
      <c r="E14" s="22">
        <v>10000</v>
      </c>
      <c r="F14" s="22">
        <v>10000</v>
      </c>
      <c r="G14" s="22">
        <v>10000</v>
      </c>
      <c r="H14" s="22">
        <v>10000</v>
      </c>
      <c r="I14" s="22">
        <v>10000</v>
      </c>
      <c r="J14" s="22">
        <v>10000</v>
      </c>
      <c r="K14" s="22">
        <v>10000</v>
      </c>
      <c r="L14" s="22">
        <v>10000</v>
      </c>
      <c r="M14" s="22">
        <v>10000</v>
      </c>
      <c r="N14" s="22">
        <v>10000</v>
      </c>
      <c r="O14" s="22">
        <v>10000</v>
      </c>
      <c r="P14" s="30">
        <f>SUM(tblExpenses[[#This Row],[列 1]:[12 月]])</f>
        <v>130000</v>
      </c>
      <c r="Q14" s="23">
        <v>0.01</v>
      </c>
      <c r="R14" s="31">
        <f>tblExpenses[[#This Row],[列 1]]/tblExpenses[[#Totals],[列 1]]</f>
        <v>3.4364261168384883E-2</v>
      </c>
      <c r="S14" s="31">
        <f>tblExpenses[[#This Row],[2 月]]/tblExpenses[[#Totals],[2 月]]</f>
        <v>1.483679525222552E-2</v>
      </c>
      <c r="T14" s="31">
        <f>tblExpenses[[#This Row],[3 月]]/tblExpenses[[#Totals],[3 月]]</f>
        <v>4.784688995215311E-2</v>
      </c>
      <c r="U14" s="31">
        <f>tblExpenses[[#This Row],[4 月]]/tblExpenses[[#Totals],[4 月]]</f>
        <v>5.5865921787709494E-2</v>
      </c>
      <c r="V14" s="31">
        <f>tblExpenses[[#This Row],[5 月]]/tblExpenses[[#Totals],[5 月]]</f>
        <v>5.3191489361702128E-2</v>
      </c>
      <c r="W14" s="31">
        <f>tblExpenses[[#This Row],[6 月]]/tblExpenses[[#Totals],[6 月]]</f>
        <v>5.0251256281407038E-2</v>
      </c>
      <c r="X14" s="31">
        <f>tblExpenses[[#This Row],[7 月]]/tblExpenses[[#Totals],[7 月]]</f>
        <v>3.6764705882352942E-2</v>
      </c>
      <c r="Y14" s="31">
        <f>tblExpenses[[#This Row],[8 月]]/tblExpenses[[#Totals],[8 月]]</f>
        <v>4.2194092827004218E-2</v>
      </c>
      <c r="Z14" s="31">
        <f>tblExpenses[[#This Row],[9 月]]/tblExpenses[[#Totals],[9 月]]</f>
        <v>4.2194092827004218E-2</v>
      </c>
      <c r="AA14" s="31">
        <f>tblExpenses[[#This Row],[10 月]]/tblExpenses[[#Totals],[10 月]]</f>
        <v>3.875968992248062E-2</v>
      </c>
      <c r="AB14" s="31">
        <f>tblExpenses[[#This Row],[11 月]]/tblExpenses[[#Totals],[11 月]]</f>
        <v>4.048582995951417E-2</v>
      </c>
      <c r="AC14" s="31">
        <f>tblExpenses[[#This Row],[12 月]]/tblExpenses[[#Totals],[12 月]]</f>
        <v>4.0322580645161289E-2</v>
      </c>
      <c r="AD14" s="31">
        <f>tblExpenses[[#This Row],[年次]]/tblExpenses[[#Totals],[年次]]</f>
        <v>3.6827195467422094E-2</v>
      </c>
    </row>
    <row r="15" spans="1:30" ht="30" customHeight="1" x14ac:dyDescent="0.25">
      <c r="B15" s="42" t="s">
        <v>52</v>
      </c>
      <c r="C15" s="29" t="s">
        <v>32</v>
      </c>
      <c r="D15" s="22">
        <v>80000</v>
      </c>
      <c r="E15" s="22">
        <v>80000</v>
      </c>
      <c r="F15" s="22">
        <v>80000</v>
      </c>
      <c r="G15" s="22">
        <v>80000</v>
      </c>
      <c r="H15" s="22">
        <v>80000</v>
      </c>
      <c r="I15" s="22">
        <v>80000</v>
      </c>
      <c r="J15" s="22">
        <v>80000</v>
      </c>
      <c r="K15" s="22">
        <v>80000</v>
      </c>
      <c r="L15" s="22">
        <v>80000</v>
      </c>
      <c r="M15" s="22">
        <v>80000</v>
      </c>
      <c r="N15" s="22">
        <v>80000</v>
      </c>
      <c r="O15" s="22">
        <v>80000</v>
      </c>
      <c r="P15" s="30">
        <f>SUM(tblExpenses[[#This Row],[列 1]:[12 月]])</f>
        <v>960000</v>
      </c>
      <c r="Q15" s="23">
        <v>0.01</v>
      </c>
      <c r="R15" s="31">
        <f>tblExpenses[[#This Row],[列 1]]/tblExpenses[[#Totals],[列 1]]</f>
        <v>0.13745704467353953</v>
      </c>
      <c r="S15" s="31">
        <f>tblExpenses[[#This Row],[2 月]]/tblExpenses[[#Totals],[2 月]]</f>
        <v>0.11869436201780416</v>
      </c>
      <c r="T15" s="31">
        <f>tblExpenses[[#This Row],[3 月]]/tblExpenses[[#Totals],[3 月]]</f>
        <v>0.38277511961722488</v>
      </c>
      <c r="U15" s="31">
        <f>tblExpenses[[#This Row],[4 月]]/tblExpenses[[#Totals],[4 月]]</f>
        <v>0.44692737430167595</v>
      </c>
      <c r="V15" s="31">
        <f>tblExpenses[[#This Row],[5 月]]/tblExpenses[[#Totals],[5 月]]</f>
        <v>0.42553191489361702</v>
      </c>
      <c r="W15" s="31">
        <f>tblExpenses[[#This Row],[6 月]]/tblExpenses[[#Totals],[6 月]]</f>
        <v>0.4020100502512563</v>
      </c>
      <c r="X15" s="31">
        <f>tblExpenses[[#This Row],[7 月]]/tblExpenses[[#Totals],[7 月]]</f>
        <v>0.29411764705882354</v>
      </c>
      <c r="Y15" s="31">
        <f>tblExpenses[[#This Row],[8 月]]/tblExpenses[[#Totals],[8 月]]</f>
        <v>0.33755274261603374</v>
      </c>
      <c r="Z15" s="31">
        <f>tblExpenses[[#This Row],[9 月]]/tblExpenses[[#Totals],[9 月]]</f>
        <v>0.33755274261603374</v>
      </c>
      <c r="AA15" s="31">
        <f>tblExpenses[[#This Row],[10 月]]/tblExpenses[[#Totals],[10 月]]</f>
        <v>0.31007751937984496</v>
      </c>
      <c r="AB15" s="31">
        <f>tblExpenses[[#This Row],[11 月]]/tblExpenses[[#Totals],[11 月]]</f>
        <v>0.32388663967611336</v>
      </c>
      <c r="AC15" s="31">
        <f>tblExpenses[[#This Row],[12 月]]/tblExpenses[[#Totals],[12 月]]</f>
        <v>0.32258064516129031</v>
      </c>
      <c r="AD15" s="31">
        <f>tblExpenses[[#This Row],[年次]]/tblExpenses[[#Totals],[年次]]</f>
        <v>0.2719546742209632</v>
      </c>
    </row>
    <row r="16" spans="1:30" ht="30" customHeight="1" x14ac:dyDescent="0.25">
      <c r="B16" s="42" t="s">
        <v>53</v>
      </c>
      <c r="C16" s="29" t="s">
        <v>32</v>
      </c>
      <c r="D16" s="22">
        <v>10000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20000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30">
        <f>SUM(tblExpenses[[#This Row],[列 1]:[12 月]])</f>
        <v>30000</v>
      </c>
      <c r="Q16" s="23">
        <v>0.01</v>
      </c>
      <c r="R16" s="31">
        <f>tblExpenses[[#This Row],[列 1]]/tblExpenses[[#Totals],[列 1]]</f>
        <v>1.7182130584192441E-2</v>
      </c>
      <c r="S16" s="31">
        <f>tblExpenses[[#This Row],[2 月]]/tblExpenses[[#Totals],[2 月]]</f>
        <v>0</v>
      </c>
      <c r="T16" s="31">
        <f>tblExpenses[[#This Row],[3 月]]/tblExpenses[[#Totals],[3 月]]</f>
        <v>0</v>
      </c>
      <c r="U16" s="31">
        <f>tblExpenses[[#This Row],[4 月]]/tblExpenses[[#Totals],[4 月]]</f>
        <v>0</v>
      </c>
      <c r="V16" s="31">
        <f>tblExpenses[[#This Row],[5 月]]/tblExpenses[[#Totals],[5 月]]</f>
        <v>0</v>
      </c>
      <c r="W16" s="31">
        <f>tblExpenses[[#This Row],[6 月]]/tblExpenses[[#Totals],[6 月]]</f>
        <v>0</v>
      </c>
      <c r="X16" s="31">
        <f>tblExpenses[[#This Row],[7 月]]/tblExpenses[[#Totals],[7 月]]</f>
        <v>7.3529411764705885E-2</v>
      </c>
      <c r="Y16" s="31">
        <f>tblExpenses[[#This Row],[8 月]]/tblExpenses[[#Totals],[8 月]]</f>
        <v>0</v>
      </c>
      <c r="Z16" s="31">
        <f>tblExpenses[[#This Row],[9 月]]/tblExpenses[[#Totals],[9 月]]</f>
        <v>0</v>
      </c>
      <c r="AA16" s="31">
        <f>tblExpenses[[#This Row],[10 月]]/tblExpenses[[#Totals],[10 月]]</f>
        <v>0</v>
      </c>
      <c r="AB16" s="31">
        <f>tblExpenses[[#This Row],[11 月]]/tblExpenses[[#Totals],[11 月]]</f>
        <v>0</v>
      </c>
      <c r="AC16" s="31">
        <f>tblExpenses[[#This Row],[12 月]]/tblExpenses[[#Totals],[12 月]]</f>
        <v>0</v>
      </c>
      <c r="AD16" s="31">
        <f>tblExpenses[[#This Row],[年次]]/tblExpenses[[#Totals],[年次]]</f>
        <v>8.4985835694051E-3</v>
      </c>
    </row>
    <row r="17" spans="1:30" ht="30" customHeight="1" x14ac:dyDescent="0.25">
      <c r="B17" s="42" t="s">
        <v>54</v>
      </c>
      <c r="C17" s="29"/>
      <c r="D17" s="22">
        <v>5000</v>
      </c>
      <c r="E17" s="22">
        <v>20000</v>
      </c>
      <c r="F17" s="22">
        <v>20000</v>
      </c>
      <c r="G17" s="22">
        <v>20000</v>
      </c>
      <c r="H17" s="22">
        <v>20000</v>
      </c>
      <c r="I17" s="22">
        <v>20000</v>
      </c>
      <c r="J17" s="22">
        <v>10000</v>
      </c>
      <c r="K17" s="22">
        <v>10000</v>
      </c>
      <c r="L17" s="22">
        <v>10000</v>
      </c>
      <c r="M17" s="22">
        <v>10000</v>
      </c>
      <c r="N17" s="22">
        <v>10000</v>
      </c>
      <c r="O17" s="22">
        <v>10000</v>
      </c>
      <c r="P17" s="30">
        <f>SUM(tblExpenses[[#This Row],[列 1]:[12 月]])</f>
        <v>165000</v>
      </c>
      <c r="Q17" s="23">
        <v>0.01</v>
      </c>
      <c r="R17" s="31">
        <f>tblExpenses[[#This Row],[列 1]]/tblExpenses[[#Totals],[列 1]]</f>
        <v>8.5910652920962206E-3</v>
      </c>
      <c r="S17" s="31">
        <f>tblExpenses[[#This Row],[2 月]]/tblExpenses[[#Totals],[2 月]]</f>
        <v>2.967359050445104E-2</v>
      </c>
      <c r="T17" s="31">
        <f>tblExpenses[[#This Row],[3 月]]/tblExpenses[[#Totals],[3 月]]</f>
        <v>9.569377990430622E-2</v>
      </c>
      <c r="U17" s="31">
        <f>tblExpenses[[#This Row],[4 月]]/tblExpenses[[#Totals],[4 月]]</f>
        <v>0.11173184357541899</v>
      </c>
      <c r="V17" s="31">
        <f>tblExpenses[[#This Row],[5 月]]/tblExpenses[[#Totals],[5 月]]</f>
        <v>0.10638297872340426</v>
      </c>
      <c r="W17" s="31">
        <f>tblExpenses[[#This Row],[6 月]]/tblExpenses[[#Totals],[6 月]]</f>
        <v>0.10050251256281408</v>
      </c>
      <c r="X17" s="31">
        <f>tblExpenses[[#This Row],[7 月]]/tblExpenses[[#Totals],[7 月]]</f>
        <v>3.6764705882352942E-2</v>
      </c>
      <c r="Y17" s="31">
        <f>tblExpenses[[#This Row],[8 月]]/tblExpenses[[#Totals],[8 月]]</f>
        <v>4.2194092827004218E-2</v>
      </c>
      <c r="Z17" s="31">
        <f>tblExpenses[[#This Row],[9 月]]/tblExpenses[[#Totals],[9 月]]</f>
        <v>4.2194092827004218E-2</v>
      </c>
      <c r="AA17" s="31">
        <f>tblExpenses[[#This Row],[10 月]]/tblExpenses[[#Totals],[10 月]]</f>
        <v>3.875968992248062E-2</v>
      </c>
      <c r="AB17" s="31">
        <f>tblExpenses[[#This Row],[11 月]]/tblExpenses[[#Totals],[11 月]]</f>
        <v>4.048582995951417E-2</v>
      </c>
      <c r="AC17" s="31">
        <f>tblExpenses[[#This Row],[12 月]]/tblExpenses[[#Totals],[12 月]]</f>
        <v>4.0322580645161289E-2</v>
      </c>
      <c r="AD17" s="31">
        <f>tblExpenses[[#This Row],[年次]]/tblExpenses[[#Totals],[年次]]</f>
        <v>4.6742209631728045E-2</v>
      </c>
    </row>
    <row r="18" spans="1:30" ht="30" customHeight="1" x14ac:dyDescent="0.25">
      <c r="B18" s="42" t="s">
        <v>55</v>
      </c>
      <c r="C18" s="29"/>
      <c r="D18" s="22">
        <v>3000</v>
      </c>
      <c r="E18" s="22">
        <v>0</v>
      </c>
      <c r="F18" s="22">
        <v>0</v>
      </c>
      <c r="G18" s="22">
        <v>3000</v>
      </c>
      <c r="H18" s="22">
        <v>0</v>
      </c>
      <c r="I18" s="22">
        <v>3000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30">
        <f>SUM(tblExpenses[[#This Row],[列 1]:[12 月]])</f>
        <v>9000</v>
      </c>
      <c r="Q18" s="23">
        <v>0.14000000000000001</v>
      </c>
      <c r="R18" s="31">
        <f>tblExpenses[[#This Row],[列 1]]/tblExpenses[[#Totals],[列 1]]</f>
        <v>5.1546391752577319E-3</v>
      </c>
      <c r="S18" s="31">
        <f>tblExpenses[[#This Row],[2 月]]/tblExpenses[[#Totals],[2 月]]</f>
        <v>0</v>
      </c>
      <c r="T18" s="31">
        <f>tblExpenses[[#This Row],[3 月]]/tblExpenses[[#Totals],[3 月]]</f>
        <v>0</v>
      </c>
      <c r="U18" s="31">
        <f>tblExpenses[[#This Row],[4 月]]/tblExpenses[[#Totals],[4 月]]</f>
        <v>1.6759776536312849E-2</v>
      </c>
      <c r="V18" s="31">
        <f>tblExpenses[[#This Row],[5 月]]/tblExpenses[[#Totals],[5 月]]</f>
        <v>0</v>
      </c>
      <c r="W18" s="31">
        <f>tblExpenses[[#This Row],[6 月]]/tblExpenses[[#Totals],[6 月]]</f>
        <v>1.507537688442211E-2</v>
      </c>
      <c r="X18" s="31">
        <f>tblExpenses[[#This Row],[7 月]]/tblExpenses[[#Totals],[7 月]]</f>
        <v>0</v>
      </c>
      <c r="Y18" s="31">
        <f>tblExpenses[[#This Row],[8 月]]/tblExpenses[[#Totals],[8 月]]</f>
        <v>0</v>
      </c>
      <c r="Z18" s="31">
        <f>tblExpenses[[#This Row],[9 月]]/tblExpenses[[#Totals],[9 月]]</f>
        <v>0</v>
      </c>
      <c r="AA18" s="31">
        <f>tblExpenses[[#This Row],[10 月]]/tblExpenses[[#Totals],[10 月]]</f>
        <v>0</v>
      </c>
      <c r="AB18" s="31">
        <f>tblExpenses[[#This Row],[11 月]]/tblExpenses[[#Totals],[11 月]]</f>
        <v>0</v>
      </c>
      <c r="AC18" s="31">
        <f>tblExpenses[[#This Row],[12 月]]/tblExpenses[[#Totals],[12 月]]</f>
        <v>0</v>
      </c>
      <c r="AD18" s="31">
        <f>tblExpenses[[#This Row],[年次]]/tblExpenses[[#Totals],[年次]]</f>
        <v>2.5495750708215297E-3</v>
      </c>
    </row>
    <row r="19" spans="1:30" ht="30" customHeight="1" x14ac:dyDescent="0.25">
      <c r="B19" s="42" t="s">
        <v>56</v>
      </c>
      <c r="C19" s="29"/>
      <c r="D19" s="22">
        <v>1000</v>
      </c>
      <c r="E19" s="22">
        <v>1000</v>
      </c>
      <c r="F19" s="22">
        <v>1000</v>
      </c>
      <c r="G19" s="22">
        <v>1000</v>
      </c>
      <c r="H19" s="22">
        <v>1000</v>
      </c>
      <c r="I19" s="22">
        <v>1000</v>
      </c>
      <c r="J19" s="22">
        <v>1000</v>
      </c>
      <c r="K19" s="22">
        <v>1000</v>
      </c>
      <c r="L19" s="22">
        <v>1000</v>
      </c>
      <c r="M19" s="22">
        <v>1000</v>
      </c>
      <c r="N19" s="22">
        <v>1000</v>
      </c>
      <c r="O19" s="22">
        <v>1000</v>
      </c>
      <c r="P19" s="30">
        <f>SUM(tblExpenses[[#This Row],[列 1]:[12 月]])</f>
        <v>12000</v>
      </c>
      <c r="Q19" s="23">
        <v>0.06</v>
      </c>
      <c r="R19" s="31">
        <f>tblExpenses[[#This Row],[列 1]]/tblExpenses[[#Totals],[列 1]]</f>
        <v>1.718213058419244E-3</v>
      </c>
      <c r="S19" s="31">
        <f>tblExpenses[[#This Row],[2 月]]/tblExpenses[[#Totals],[2 月]]</f>
        <v>1.483679525222552E-3</v>
      </c>
      <c r="T19" s="31">
        <f>tblExpenses[[#This Row],[3 月]]/tblExpenses[[#Totals],[3 月]]</f>
        <v>4.7846889952153108E-3</v>
      </c>
      <c r="U19" s="31">
        <f>tblExpenses[[#This Row],[4 月]]/tblExpenses[[#Totals],[4 月]]</f>
        <v>5.5865921787709499E-3</v>
      </c>
      <c r="V19" s="31">
        <f>tblExpenses[[#This Row],[5 月]]/tblExpenses[[#Totals],[5 月]]</f>
        <v>5.3191489361702126E-3</v>
      </c>
      <c r="W19" s="31">
        <f>tblExpenses[[#This Row],[6 月]]/tblExpenses[[#Totals],[6 月]]</f>
        <v>5.0251256281407036E-3</v>
      </c>
      <c r="X19" s="31">
        <f>tblExpenses[[#This Row],[7 月]]/tblExpenses[[#Totals],[7 月]]</f>
        <v>3.6764705882352941E-3</v>
      </c>
      <c r="Y19" s="31">
        <f>tblExpenses[[#This Row],[8 月]]/tblExpenses[[#Totals],[8 月]]</f>
        <v>4.2194092827004216E-3</v>
      </c>
      <c r="Z19" s="31">
        <f>tblExpenses[[#This Row],[9 月]]/tblExpenses[[#Totals],[9 月]]</f>
        <v>4.2194092827004216E-3</v>
      </c>
      <c r="AA19" s="31">
        <f>tblExpenses[[#This Row],[10 月]]/tblExpenses[[#Totals],[10 月]]</f>
        <v>3.875968992248062E-3</v>
      </c>
      <c r="AB19" s="31">
        <f>tblExpenses[[#This Row],[11 月]]/tblExpenses[[#Totals],[11 月]]</f>
        <v>4.048582995951417E-3</v>
      </c>
      <c r="AC19" s="31">
        <f>tblExpenses[[#This Row],[12 月]]/tblExpenses[[#Totals],[12 月]]</f>
        <v>4.0322580645161289E-3</v>
      </c>
      <c r="AD19" s="31">
        <f>tblExpenses[[#This Row],[年次]]/tblExpenses[[#Totals],[年次]]</f>
        <v>3.3994334277620396E-3</v>
      </c>
    </row>
    <row r="20" spans="1:30" ht="30" customHeight="1" x14ac:dyDescent="0.25">
      <c r="B20" s="42" t="s">
        <v>58</v>
      </c>
      <c r="C20" s="29"/>
      <c r="D20" s="22">
        <v>100000</v>
      </c>
      <c r="E20" s="22">
        <v>300000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30">
        <f>SUM(tblExpenses[[#This Row],[列 1]:[12 月]])</f>
        <v>400000</v>
      </c>
      <c r="Q20" s="23">
        <v>0.01</v>
      </c>
      <c r="R20" s="31">
        <f>tblExpenses[[#This Row],[列 1]]/tblExpenses[[#Totals],[列 1]]</f>
        <v>0.1718213058419244</v>
      </c>
      <c r="S20" s="31">
        <f>tblExpenses[[#This Row],[2 月]]/tblExpenses[[#Totals],[2 月]]</f>
        <v>0.44510385756676557</v>
      </c>
      <c r="T20" s="31">
        <f>tblExpenses[[#This Row],[3 月]]/tblExpenses[[#Totals],[3 月]]</f>
        <v>0</v>
      </c>
      <c r="U20" s="31">
        <f>tblExpenses[[#This Row],[4 月]]/tblExpenses[[#Totals],[4 月]]</f>
        <v>0</v>
      </c>
      <c r="V20" s="31">
        <f>tblExpenses[[#This Row],[5 月]]/tblExpenses[[#Totals],[5 月]]</f>
        <v>0</v>
      </c>
      <c r="W20" s="31">
        <f>tblExpenses[[#This Row],[6 月]]/tblExpenses[[#Totals],[6 月]]</f>
        <v>0</v>
      </c>
      <c r="X20" s="31">
        <f>tblExpenses[[#This Row],[7 月]]/tblExpenses[[#Totals],[7 月]]</f>
        <v>0</v>
      </c>
      <c r="Y20" s="31">
        <f>tblExpenses[[#This Row],[8 月]]/tblExpenses[[#Totals],[8 月]]</f>
        <v>0</v>
      </c>
      <c r="Z20" s="31">
        <f>tblExpenses[[#This Row],[9 月]]/tblExpenses[[#Totals],[9 月]]</f>
        <v>0</v>
      </c>
      <c r="AA20" s="31">
        <f>tblExpenses[[#This Row],[10 月]]/tblExpenses[[#Totals],[10 月]]</f>
        <v>0</v>
      </c>
      <c r="AB20" s="31">
        <f>tblExpenses[[#This Row],[11 月]]/tblExpenses[[#Totals],[11 月]]</f>
        <v>0</v>
      </c>
      <c r="AC20" s="31">
        <f>tblExpenses[[#This Row],[12 月]]/tblExpenses[[#Totals],[12 月]]</f>
        <v>0</v>
      </c>
      <c r="AD20" s="31">
        <f>tblExpenses[[#This Row],[年次]]/tblExpenses[[#Totals],[年次]]</f>
        <v>0.11331444759206799</v>
      </c>
    </row>
    <row r="21" spans="1:30" ht="30" customHeight="1" x14ac:dyDescent="0.25">
      <c r="B21" s="42" t="s">
        <v>57</v>
      </c>
      <c r="C21" s="29" t="s">
        <v>32</v>
      </c>
      <c r="D21" s="22">
        <v>15000</v>
      </c>
      <c r="E21" s="22">
        <v>30000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30">
        <f>SUM(tblExpenses[[#This Row],[列 1]:[12 月]])</f>
        <v>45000</v>
      </c>
      <c r="Q21" s="23">
        <v>0.01</v>
      </c>
      <c r="R21" s="31">
        <f>tblExpenses[[#This Row],[列 1]]/tblExpenses[[#Totals],[列 1]]</f>
        <v>2.5773195876288658E-2</v>
      </c>
      <c r="S21" s="31">
        <f>tblExpenses[[#This Row],[2 月]]/tblExpenses[[#Totals],[2 月]]</f>
        <v>4.4510385756676561E-2</v>
      </c>
      <c r="T21" s="31">
        <f>tblExpenses[[#This Row],[3 月]]/tblExpenses[[#Totals],[3 月]]</f>
        <v>0</v>
      </c>
      <c r="U21" s="31">
        <f>tblExpenses[[#This Row],[4 月]]/tblExpenses[[#Totals],[4 月]]</f>
        <v>0</v>
      </c>
      <c r="V21" s="31">
        <f>tblExpenses[[#This Row],[5 月]]/tblExpenses[[#Totals],[5 月]]</f>
        <v>0</v>
      </c>
      <c r="W21" s="31">
        <f>tblExpenses[[#This Row],[6 月]]/tblExpenses[[#Totals],[6 月]]</f>
        <v>0</v>
      </c>
      <c r="X21" s="31">
        <f>tblExpenses[[#This Row],[7 月]]/tblExpenses[[#Totals],[7 月]]</f>
        <v>0</v>
      </c>
      <c r="Y21" s="31">
        <f>tblExpenses[[#This Row],[8 月]]/tblExpenses[[#Totals],[8 月]]</f>
        <v>0</v>
      </c>
      <c r="Z21" s="31">
        <f>tblExpenses[[#This Row],[9 月]]/tblExpenses[[#Totals],[9 月]]</f>
        <v>0</v>
      </c>
      <c r="AA21" s="31">
        <f>tblExpenses[[#This Row],[10 月]]/tblExpenses[[#Totals],[10 月]]</f>
        <v>0</v>
      </c>
      <c r="AB21" s="31">
        <f>tblExpenses[[#This Row],[11 月]]/tblExpenses[[#Totals],[11 月]]</f>
        <v>0</v>
      </c>
      <c r="AC21" s="31">
        <f>tblExpenses[[#This Row],[12 月]]/tblExpenses[[#Totals],[12 月]]</f>
        <v>0</v>
      </c>
      <c r="AD21" s="31">
        <f>tblExpenses[[#This Row],[年次]]/tblExpenses[[#Totals],[年次]]</f>
        <v>1.2747875354107648E-2</v>
      </c>
    </row>
    <row r="22" spans="1:30" ht="30" customHeight="1" x14ac:dyDescent="0.25">
      <c r="B22" s="42" t="s">
        <v>60</v>
      </c>
      <c r="C22" s="29" t="s">
        <v>32</v>
      </c>
      <c r="D22" s="22">
        <v>250000</v>
      </c>
      <c r="E22" s="22">
        <v>150000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30">
        <f>SUM(tblExpenses[[#This Row],[列 1]:[12 月]])</f>
        <v>400000</v>
      </c>
      <c r="Q22" s="23">
        <v>0.01</v>
      </c>
      <c r="R22" s="31">
        <f>tblExpenses[[#This Row],[列 1]]/tblExpenses[[#Totals],[列 1]]</f>
        <v>0.42955326460481097</v>
      </c>
      <c r="S22" s="31">
        <f>tblExpenses[[#This Row],[2 月]]/tblExpenses[[#Totals],[2 月]]</f>
        <v>0.22255192878338279</v>
      </c>
      <c r="T22" s="31">
        <f>tblExpenses[[#This Row],[3 月]]/tblExpenses[[#Totals],[3 月]]</f>
        <v>0</v>
      </c>
      <c r="U22" s="31">
        <f>tblExpenses[[#This Row],[4 月]]/tblExpenses[[#Totals],[4 月]]</f>
        <v>0</v>
      </c>
      <c r="V22" s="31">
        <f>tblExpenses[[#This Row],[5 月]]/tblExpenses[[#Totals],[5 月]]</f>
        <v>0</v>
      </c>
      <c r="W22" s="31">
        <f>tblExpenses[[#This Row],[6 月]]/tblExpenses[[#Totals],[6 月]]</f>
        <v>0</v>
      </c>
      <c r="X22" s="31">
        <f>tblExpenses[[#This Row],[7 月]]/tblExpenses[[#Totals],[7 月]]</f>
        <v>0</v>
      </c>
      <c r="Y22" s="31">
        <f>tblExpenses[[#This Row],[8 月]]/tblExpenses[[#Totals],[8 月]]</f>
        <v>0</v>
      </c>
      <c r="Z22" s="31">
        <f>tblExpenses[[#This Row],[9 月]]/tblExpenses[[#Totals],[9 月]]</f>
        <v>0</v>
      </c>
      <c r="AA22" s="31">
        <f>tblExpenses[[#This Row],[10 月]]/tblExpenses[[#Totals],[10 月]]</f>
        <v>0</v>
      </c>
      <c r="AB22" s="31">
        <f>tblExpenses[[#This Row],[11 月]]/tblExpenses[[#Totals],[11 月]]</f>
        <v>0</v>
      </c>
      <c r="AC22" s="31">
        <f>tblExpenses[[#This Row],[12 月]]/tblExpenses[[#Totals],[12 月]]</f>
        <v>0</v>
      </c>
      <c r="AD22" s="31">
        <f>tblExpenses[[#This Row],[年次]]/tblExpenses[[#Totals],[年次]]</f>
        <v>0.11331444759206799</v>
      </c>
    </row>
    <row r="23" spans="1:30" ht="30" customHeight="1" x14ac:dyDescent="0.25">
      <c r="A23" s="2"/>
      <c r="B23" s="42" t="s">
        <v>59</v>
      </c>
      <c r="C23" s="29" t="s">
        <v>32</v>
      </c>
      <c r="D23" s="22">
        <v>20000</v>
      </c>
      <c r="E23" s="22">
        <v>28000</v>
      </c>
      <c r="F23" s="22">
        <v>10000</v>
      </c>
      <c r="G23" s="22">
        <v>10000</v>
      </c>
      <c r="H23" s="22">
        <v>10000</v>
      </c>
      <c r="I23" s="22">
        <v>10000</v>
      </c>
      <c r="J23" s="22">
        <v>10000</v>
      </c>
      <c r="K23" s="22">
        <v>10000</v>
      </c>
      <c r="L23" s="22">
        <v>5000</v>
      </c>
      <c r="M23" s="22">
        <v>10000</v>
      </c>
      <c r="N23" s="22">
        <v>5000</v>
      </c>
      <c r="O23" s="22">
        <v>10000</v>
      </c>
      <c r="P23" s="30">
        <f>SUM(tblExpenses[[#This Row],[列 1]:[12 月]])</f>
        <v>138000</v>
      </c>
      <c r="Q23" s="23">
        <v>0.02</v>
      </c>
      <c r="R23" s="31">
        <f>tblExpenses[[#This Row],[列 1]]/tblExpenses[[#Totals],[列 1]]</f>
        <v>3.4364261168384883E-2</v>
      </c>
      <c r="S23" s="31">
        <f>tblExpenses[[#This Row],[2 月]]/tblExpenses[[#Totals],[2 月]]</f>
        <v>4.1543026706231452E-2</v>
      </c>
      <c r="T23" s="31">
        <f>tblExpenses[[#This Row],[3 月]]/tblExpenses[[#Totals],[3 月]]</f>
        <v>4.784688995215311E-2</v>
      </c>
      <c r="U23" s="31">
        <f>tblExpenses[[#This Row],[4 月]]/tblExpenses[[#Totals],[4 月]]</f>
        <v>5.5865921787709494E-2</v>
      </c>
      <c r="V23" s="31">
        <f>tblExpenses[[#This Row],[5 月]]/tblExpenses[[#Totals],[5 月]]</f>
        <v>5.3191489361702128E-2</v>
      </c>
      <c r="W23" s="31">
        <f>tblExpenses[[#This Row],[6 月]]/tblExpenses[[#Totals],[6 月]]</f>
        <v>5.0251256281407038E-2</v>
      </c>
      <c r="X23" s="31">
        <f>tblExpenses[[#This Row],[7 月]]/tblExpenses[[#Totals],[7 月]]</f>
        <v>3.6764705882352942E-2</v>
      </c>
      <c r="Y23" s="31">
        <f>tblExpenses[[#This Row],[8 月]]/tblExpenses[[#Totals],[8 月]]</f>
        <v>4.2194092827004218E-2</v>
      </c>
      <c r="Z23" s="31">
        <f>tblExpenses[[#This Row],[9 月]]/tblExpenses[[#Totals],[9 月]]</f>
        <v>2.1097046413502109E-2</v>
      </c>
      <c r="AA23" s="31">
        <f>tblExpenses[[#This Row],[10 月]]/tblExpenses[[#Totals],[10 月]]</f>
        <v>3.875968992248062E-2</v>
      </c>
      <c r="AB23" s="31">
        <f>tblExpenses[[#This Row],[11 月]]/tblExpenses[[#Totals],[11 月]]</f>
        <v>2.0242914979757085E-2</v>
      </c>
      <c r="AC23" s="31">
        <f>tblExpenses[[#This Row],[12 月]]/tblExpenses[[#Totals],[12 月]]</f>
        <v>4.0322580645161289E-2</v>
      </c>
      <c r="AD23" s="31">
        <f>tblExpenses[[#This Row],[年次]]/tblExpenses[[#Totals],[年次]]</f>
        <v>3.9093484419263455E-2</v>
      </c>
    </row>
    <row r="24" spans="1:30" s="9" customFormat="1" ht="30" customHeight="1" x14ac:dyDescent="0.25">
      <c r="B24" s="6" t="s">
        <v>34</v>
      </c>
      <c r="C24" s="7" t="s">
        <v>32</v>
      </c>
      <c r="D24" s="39">
        <f>SUBTOTAL(109,tblExpenses[列 1])</f>
        <v>582000</v>
      </c>
      <c r="E24" s="39">
        <f>SUBTOTAL(109,tblExpenses[2 月])</f>
        <v>674000</v>
      </c>
      <c r="F24" s="39">
        <f>SUBTOTAL(109,tblExpenses[3 月])</f>
        <v>209000</v>
      </c>
      <c r="G24" s="39">
        <f>SUBTOTAL(109,tblExpenses[4 月])</f>
        <v>179000</v>
      </c>
      <c r="H24" s="39">
        <f>SUBTOTAL(109,tblExpenses[5 月])</f>
        <v>188000</v>
      </c>
      <c r="I24" s="39">
        <f>SUBTOTAL(109,tblExpenses[6 月])</f>
        <v>199000</v>
      </c>
      <c r="J24" s="39">
        <f>SUBTOTAL(109,tblExpenses[7 月])</f>
        <v>272000</v>
      </c>
      <c r="K24" s="39">
        <f>SUBTOTAL(109,tblExpenses[8 月])</f>
        <v>237000</v>
      </c>
      <c r="L24" s="39">
        <f>SUBTOTAL(109,tblExpenses[9 月])</f>
        <v>237000</v>
      </c>
      <c r="M24" s="39">
        <f>SUBTOTAL(109,tblExpenses[10 月])</f>
        <v>258000</v>
      </c>
      <c r="N24" s="39">
        <f>SUBTOTAL(109,tblExpenses[11 月])</f>
        <v>247000</v>
      </c>
      <c r="O24" s="39">
        <f>SUBTOTAL(109,tblExpenses[12 月])</f>
        <v>248000</v>
      </c>
      <c r="P24" s="39">
        <f>SUM(P5,P8,P9:P23)</f>
        <v>3530000</v>
      </c>
      <c r="Q24" s="25">
        <f>SUBTOTAL(109,tblExpenses[インデックス %])</f>
        <v>0.99</v>
      </c>
      <c r="R24" s="25">
        <f>SUBTOTAL(109,tblExpenses[1 月 %])</f>
        <v>0.99999999999999989</v>
      </c>
      <c r="S24" s="25">
        <f>SUBTOTAL(109,tblExpenses[2 月 %])</f>
        <v>1</v>
      </c>
      <c r="T24" s="25">
        <f>SUBTOTAL(109,tblExpenses[3 月 %])</f>
        <v>1</v>
      </c>
      <c r="U24" s="25">
        <f>SUBTOTAL(109,tblExpenses[4 月 %])</f>
        <v>1</v>
      </c>
      <c r="V24" s="25">
        <f>SUBTOTAL(109,tblExpenses[5 月 %])</f>
        <v>1.0000000000000002</v>
      </c>
      <c r="W24" s="25">
        <f>SUBTOTAL(109,tblExpenses[6 月 %])</f>
        <v>0.99999999999999989</v>
      </c>
      <c r="X24" s="25">
        <f>SUBTOTAL(109,tblExpenses[7 月 %])</f>
        <v>1.224264705882353</v>
      </c>
      <c r="Y24" s="25">
        <f>SUBTOTAL(109,tblExpenses[8 月 %])</f>
        <v>1.2573839662447257</v>
      </c>
      <c r="Z24" s="25">
        <f>SUBTOTAL(109,tblExpenses[9 月 %])</f>
        <v>1.2573839662447257</v>
      </c>
      <c r="AA24" s="25">
        <f>SUBTOTAL(109,tblExpenses[10 月 %])</f>
        <v>1.2364341085271318</v>
      </c>
      <c r="AB24" s="25">
        <f>SUBTOTAL(109,tblExpenses[11 月 %])</f>
        <v>1.2469635627530364</v>
      </c>
      <c r="AC24" s="25">
        <f>SUBTOTAL(109,tblExpenses[12 月 %])</f>
        <v>1.2459677419354838</v>
      </c>
      <c r="AD24" s="25">
        <f>SUBTOTAL(109,tblExpenses[年 %])</f>
        <v>1.103682719546742</v>
      </c>
    </row>
    <row r="25" spans="1:30" ht="30" customHeight="1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30" customHeight="1" x14ac:dyDescent="0.25">
      <c r="B26" s="10" t="s">
        <v>31</v>
      </c>
      <c r="C26" s="10"/>
      <c r="D26" s="11" t="e">
        <f>#REF!-tblExpenses[[#Totals],[列 1]]</f>
        <v>#REF!</v>
      </c>
      <c r="E26" s="11" t="e">
        <f>#REF!-tblExpenses[[#Totals],[2 月]]</f>
        <v>#REF!</v>
      </c>
      <c r="F26" s="11" t="e">
        <f>#REF!-tblExpenses[[#Totals],[3 月]]</f>
        <v>#REF!</v>
      </c>
      <c r="G26" s="11" t="e">
        <f>#REF!-tblExpenses[[#Totals],[4 月]]</f>
        <v>#REF!</v>
      </c>
      <c r="H26" s="11" t="e">
        <f>#REF!-tblExpenses[[#Totals],[5 月]]</f>
        <v>#REF!</v>
      </c>
      <c r="I26" s="11" t="e">
        <f>#REF!-tblExpenses[[#Totals],[6 月]]</f>
        <v>#REF!</v>
      </c>
      <c r="J26" s="11" t="e">
        <f>#REF!-tblExpenses[[#Totals],[7 月]]</f>
        <v>#REF!</v>
      </c>
      <c r="K26" s="11" t="e">
        <f>#REF!-tblExpenses[[#Totals],[8 月]]</f>
        <v>#REF!</v>
      </c>
      <c r="L26" s="11" t="e">
        <f>#REF!-tblExpenses[[#Totals],[9 月]]</f>
        <v>#REF!</v>
      </c>
      <c r="M26" s="11" t="e">
        <f>#REF!-tblExpenses[[#Totals],[10 月]]</f>
        <v>#REF!</v>
      </c>
      <c r="N26" s="11" t="e">
        <f>#REF!-tblExpenses[[#Totals],[11 月]]</f>
        <v>#REF!</v>
      </c>
      <c r="O26" s="11" t="e">
        <f>#REF!-tblExpenses[[#Totals],[12 月]]</f>
        <v>#REF!</v>
      </c>
      <c r="P26" s="11" t="e">
        <f>#REF!-tblExpenses[[#Totals],[年次]]</f>
        <v>#REF!</v>
      </c>
      <c r="Q26" s="10"/>
      <c r="R26" s="12" t="e">
        <f>D26/$P$26</f>
        <v>#REF!</v>
      </c>
      <c r="S26" s="12" t="e">
        <f t="shared" ref="S26:AD26" si="2">E26/$P$26</f>
        <v>#REF!</v>
      </c>
      <c r="T26" s="12" t="e">
        <f t="shared" si="2"/>
        <v>#REF!</v>
      </c>
      <c r="U26" s="12" t="e">
        <f t="shared" si="2"/>
        <v>#REF!</v>
      </c>
      <c r="V26" s="12" t="e">
        <f t="shared" si="2"/>
        <v>#REF!</v>
      </c>
      <c r="W26" s="12" t="e">
        <f t="shared" si="2"/>
        <v>#REF!</v>
      </c>
      <c r="X26" s="12" t="e">
        <f t="shared" si="2"/>
        <v>#REF!</v>
      </c>
      <c r="Y26" s="12" t="e">
        <f t="shared" si="2"/>
        <v>#REF!</v>
      </c>
      <c r="Z26" s="12" t="e">
        <f t="shared" si="2"/>
        <v>#REF!</v>
      </c>
      <c r="AA26" s="12" t="e">
        <f t="shared" si="2"/>
        <v>#REF!</v>
      </c>
      <c r="AB26" s="12" t="e">
        <f t="shared" si="2"/>
        <v>#REF!</v>
      </c>
      <c r="AC26" s="12" t="e">
        <f t="shared" si="2"/>
        <v>#REF!</v>
      </c>
      <c r="AD26" s="12" t="e">
        <f t="shared" si="2"/>
        <v>#REF!</v>
      </c>
    </row>
    <row r="30" spans="1:30" ht="30" customHeight="1" x14ac:dyDescent="0.2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30" ht="30" customHeight="1" x14ac:dyDescent="0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30" ht="30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3:20" ht="30" customHeight="1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3:20" ht="30" customHeight="1" x14ac:dyDescent="0.2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</sheetData>
  <phoneticPr fontId="4"/>
  <dataValidations disablePrompts="1" count="18">
    <dataValidation allowBlank="1" showInputMessage="1" showErrorMessage="1" prompt="会社名は、収益 (売上) シートのエントリを使用して自動更新されます" sqref="AD1"/>
    <dataValidation allowBlank="1" showInputMessage="1" showErrorMessage="1" prompt="タイトルは収益 (売上) ワークシートから自動更新されます。下記の経費表に値を入れ、経費合計を計算します" sqref="B2"/>
    <dataValidation allowBlank="1" showInputMessage="1" showErrorMessage="1" prompt="この列にはインデックスの割合を入力します" sqref="Q4"/>
    <dataValidation allowBlank="1" showInputMessage="1" showErrorMessage="1" prompt="正味利は、粗利益と経費合計に基づき毎月および毎年自動計算されます" sqref="B26"/>
    <dataValidation allowBlank="1" showInputMessage="1" showErrorMessage="1" prompt="この列には、列 B に記載されているソースの経費を入力します" sqref="D4:O4"/>
    <dataValidation allowBlank="1" showInputMessage="1" showErrorMessage="1" prompt="この列には経費の経時のトレンド グラフがあります" sqref="C4"/>
    <dataValidation allowBlank="1" showInputMessage="1" showErrorMessage="1" prompt="この列には経費を入力します" sqref="B4"/>
    <dataValidation allowBlank="1" showInputMessage="1" showErrorMessage="1" prompt="さまざまなソースの経費の割合が、この列のこの年の経費合計に対して、自動計算されます" sqref="AD3"/>
    <dataValidation allowBlank="1" showInputMessage="1" showErrorMessage="1" prompt="さまざまなソースの経費の割合が、この列の経費合計に対してこのセルの月用に、自動計算されます" sqref="R3:AC3"/>
    <dataValidation allowBlank="1" showInputMessage="1" showErrorMessage="1" prompt="自動的に更新される月" sqref="E3:O3"/>
    <dataValidation allowBlank="1" showInputMessage="1" showErrorMessage="1" prompt="この行の日付は、会計年度の開始月に基づいて自動更新されます。開始月を変更するには、セル AC2 を変更します" sqref="D3"/>
    <dataValidation allowBlank="1" showInputMessage="1" showErrorMessage="1" prompt="年間経費は、この列で自動的に計算されます" sqref="P3"/>
    <dataValidation allowBlank="1" showInputMessage="1" showErrorMessage="1" prompt="この列にはインデックスの割合があります" sqref="Q3"/>
    <dataValidation allowBlank="1" showInputMessage="1" showErrorMessage="1" prompt="このセルは、収益 (売上) ワークシートの推計期間タイトルから自動更新されます" sqref="B1"/>
    <dataValidation allowBlank="1" showInputMessage="1" showErrorMessage="1" prompt="月と年は右側のセルで自動更新されます。月または年を変更するには、AC2 と AD2 のセルを収益 (売上) ワークシートで変更します" sqref="AB2"/>
    <dataValidation allowBlank="1" showInputMessage="1" showErrorMessage="1" prompt="自動的に更新される月。変更するには、収益 (売上) シートのセル AC2 を変更します" sqref="AC2"/>
    <dataValidation allowBlank="1" showInputMessage="1" showErrorMessage="1" prompt="自動的に更新される年。変更するには、収益 (売上) シートのセル AD2 を変更します" sqref="AD2"/>
    <dataValidation allowBlank="1" showInputMessage="1" showErrorMessage="1" prompt="このワークシートでは、各月、年の経費合計、および各項目の年間経費合計を計算します。正味利は、粗利益と経費合計に基づき自動計算されます " sqref="A1:A1048576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legacy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支出計画!D24:O24</xm:f>
              <xm:sqref>C24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支出計画!D5:O5</xm:f>
              <xm:sqref>C5</xm:sqref>
            </x14:sparkline>
            <x14:sparkline>
              <xm:f>支出計画!D6:O6</xm:f>
              <xm:sqref>C6</xm:sqref>
            </x14:sparkline>
            <x14:sparkline>
              <xm:f>支出計画!D7:O7</xm:f>
              <xm:sqref>C7</xm:sqref>
            </x14:sparkline>
            <x14:sparkline>
              <xm:f>支出計画!D8:O8</xm:f>
              <xm:sqref>C8</xm:sqref>
            </x14:sparkline>
            <x14:sparkline>
              <xm:f>支出計画!D9:O9</xm:f>
              <xm:sqref>C9</xm:sqref>
            </x14:sparkline>
            <x14:sparkline>
              <xm:f>支出計画!D10:O10</xm:f>
              <xm:sqref>C10</xm:sqref>
            </x14:sparkline>
            <x14:sparkline>
              <xm:f>支出計画!D11:O11</xm:f>
              <xm:sqref>C11</xm:sqref>
            </x14:sparkline>
            <x14:sparkline>
              <xm:f>支出計画!D12:O12</xm:f>
              <xm:sqref>C12</xm:sqref>
            </x14:sparkline>
            <x14:sparkline>
              <xm:f>支出計画!D13:O13</xm:f>
              <xm:sqref>C13</xm:sqref>
            </x14:sparkline>
            <x14:sparkline>
              <xm:f>支出計画!D14:O14</xm:f>
              <xm:sqref>C14</xm:sqref>
            </x14:sparkline>
            <x14:sparkline>
              <xm:f>支出計画!D15:O15</xm:f>
              <xm:sqref>C15</xm:sqref>
            </x14:sparkline>
            <x14:sparkline>
              <xm:f>支出計画!D16:O16</xm:f>
              <xm:sqref>C16</xm:sqref>
            </x14:sparkline>
            <x14:sparkline>
              <xm:f>支出計画!D17:O17</xm:f>
              <xm:sqref>C17</xm:sqref>
            </x14:sparkline>
            <x14:sparkline>
              <xm:f>支出計画!D18:O18</xm:f>
              <xm:sqref>C18</xm:sqref>
            </x14:sparkline>
            <x14:sparkline>
              <xm:f>支出計画!D19:O19</xm:f>
              <xm:sqref>C19</xm:sqref>
            </x14:sparkline>
            <x14:sparkline>
              <xm:f>支出計画!D20:O20</xm:f>
              <xm:sqref>C20</xm:sqref>
            </x14:sparkline>
            <x14:sparkline>
              <xm:f>支出計画!D21:O21</xm:f>
              <xm:sqref>C21</xm:sqref>
            </x14:sparkline>
            <x14:sparkline>
              <xm:f>支出計画!D22:O22</xm:f>
              <xm:sqref>C22</xm:sqref>
            </x14:sparkline>
            <x14:sparkline>
              <xm:f>支出計画!D23:O23</xm:f>
              <xm:sqref>C23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11</vt:i4>
      </vt:variant>
    </vt:vector>
  </HeadingPairs>
  <TitlesOfParts>
    <vt:vector size="13" baseType="lpstr">
      <vt:lpstr>収入計画</vt:lpstr>
      <vt:lpstr>支出計画</vt:lpstr>
      <vt:lpstr>FYMonthStart</vt:lpstr>
      <vt:lpstr>FYStartYear</vt:lpstr>
      <vt:lpstr>支出計画!Print_Area</vt:lpstr>
      <vt:lpstr>収入計画!Print_Area</vt:lpstr>
      <vt:lpstr>支出計画!Print_Titles</vt:lpstr>
      <vt:lpstr>収入計画!Print_Titles</vt:lpstr>
      <vt:lpstr>Projection_Period_Title</vt:lpstr>
      <vt:lpstr>Title1</vt:lpstr>
      <vt:lpstr>Title3</vt:lpstr>
      <vt:lpstr>Wksht_Title</vt:lpstr>
      <vt:lpstr>会社名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2018-11-30T02:00:32Z</cp:lastPrinted>
  <dcterms:created xsi:type="dcterms:W3CDTF">2016-12-06T05:59:57Z</dcterms:created>
  <dcterms:modified xsi:type="dcterms:W3CDTF">2018-12-14T03:18:33Z</dcterms:modified>
</cp:coreProperties>
</file>