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3日下部　予算\"/>
    </mc:Choice>
  </mc:AlternateContent>
  <xr:revisionPtr revIDLastSave="0" documentId="13_ncr:1_{D5C6B78B-E13F-4645-A791-518EF8E741B4}" xr6:coauthVersionLast="47" xr6:coauthVersionMax="47" xr10:uidLastSave="{00000000-0000-0000-0000-000000000000}"/>
  <bookViews>
    <workbookView xWindow="-120" yWindow="-120" windowWidth="20730" windowHeight="11160" activeTab="1" xr2:uid="{006B70EF-6300-4748-82BB-13B2D5899529}"/>
  </bookViews>
  <sheets>
    <sheet name="予想貸借" sheetId="3" r:id="rId1"/>
    <sheet name="予想損益" sheetId="1" r:id="rId2"/>
    <sheet name="予想内訳" sheetId="4" r:id="rId3"/>
    <sheet name="予算貸借" sheetId="9" r:id="rId4"/>
    <sheet name="予算損益" sheetId="6" r:id="rId5"/>
    <sheet name="予算内訳" sheetId="7" r:id="rId6"/>
    <sheet name="Sheet1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5" i="7" l="1"/>
  <c r="B75" i="7" s="1"/>
  <c r="D44" i="3" l="1"/>
  <c r="D43" i="3"/>
  <c r="B79" i="7"/>
  <c r="I79" i="4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49" i="6"/>
  <c r="D45" i="3"/>
  <c r="C44" i="9"/>
  <c r="C33" i="9"/>
  <c r="A53" i="4"/>
  <c r="A54" i="4"/>
  <c r="A55" i="4"/>
  <c r="A56" i="4"/>
  <c r="A57" i="4"/>
  <c r="A58" i="4"/>
  <c r="A59" i="4"/>
  <c r="A60" i="4"/>
  <c r="A61" i="4"/>
  <c r="A62" i="4"/>
  <c r="A63" i="4"/>
  <c r="A52" i="4"/>
  <c r="B46" i="3"/>
  <c r="E35" i="3"/>
  <c r="F33" i="3"/>
  <c r="C86" i="6" l="1"/>
  <c r="I88" i="4"/>
  <c r="E80" i="1"/>
  <c r="I39" i="7" l="1"/>
  <c r="I40" i="7"/>
  <c r="I41" i="7"/>
  <c r="B41" i="7" s="1"/>
  <c r="C41" i="7" s="1"/>
  <c r="I42" i="7"/>
  <c r="I43" i="7"/>
  <c r="I44" i="7"/>
  <c r="I45" i="7"/>
  <c r="B45" i="7" s="1"/>
  <c r="I46" i="7"/>
  <c r="I47" i="7"/>
  <c r="G75" i="7"/>
  <c r="I87" i="7"/>
  <c r="B85" i="6"/>
  <c r="C14" i="3"/>
  <c r="C35" i="3"/>
  <c r="B29" i="1"/>
  <c r="C29" i="1"/>
  <c r="C18" i="1"/>
  <c r="C63" i="1"/>
  <c r="B63" i="1"/>
  <c r="G56" i="4"/>
  <c r="C56" i="4"/>
  <c r="G41" i="4"/>
  <c r="G16" i="4"/>
  <c r="D45" i="1"/>
  <c r="F45" i="1" l="1"/>
  <c r="C45" i="6"/>
  <c r="I46" i="4"/>
  <c r="B46" i="4" s="1"/>
  <c r="C46" i="4" s="1"/>
  <c r="E41" i="7"/>
  <c r="D41" i="7"/>
  <c r="G41" i="7" s="1"/>
  <c r="D29" i="1"/>
  <c r="C29" i="6" s="1"/>
  <c r="D63" i="1"/>
  <c r="G15" i="4" l="1"/>
  <c r="C26" i="3"/>
  <c r="C20" i="3"/>
  <c r="B86" i="1"/>
  <c r="B80" i="1"/>
  <c r="C27" i="3" l="1"/>
  <c r="C28" i="3" s="1"/>
  <c r="B12" i="1"/>
  <c r="D40" i="1"/>
  <c r="B25" i="1"/>
  <c r="E12" i="1"/>
  <c r="D14" i="1"/>
  <c r="D15" i="1"/>
  <c r="B38" i="3"/>
  <c r="B35" i="3"/>
  <c r="B20" i="3"/>
  <c r="B14" i="3"/>
  <c r="D10" i="3"/>
  <c r="E82" i="1"/>
  <c r="E84" i="1" s="1"/>
  <c r="E86" i="1" s="1"/>
  <c r="E63" i="1"/>
  <c r="E18" i="1"/>
  <c r="E16" i="1"/>
  <c r="E8" i="1"/>
  <c r="E46" i="3"/>
  <c r="E38" i="3"/>
  <c r="E27" i="3"/>
  <c r="E14" i="3"/>
  <c r="F10" i="3" l="1"/>
  <c r="C10" i="9"/>
  <c r="D10" i="9" s="1"/>
  <c r="F15" i="1"/>
  <c r="C15" i="6"/>
  <c r="I16" i="4"/>
  <c r="B16" i="4" s="1"/>
  <c r="C16" i="4" s="1"/>
  <c r="F40" i="1"/>
  <c r="C40" i="6"/>
  <c r="D40" i="6" s="1"/>
  <c r="I41" i="4"/>
  <c r="B41" i="4" s="1"/>
  <c r="C41" i="4" s="1"/>
  <c r="F14" i="1"/>
  <c r="C14" i="6"/>
  <c r="I15" i="4"/>
  <c r="B15" i="4" s="1"/>
  <c r="E39" i="3"/>
  <c r="E47" i="3" s="1"/>
  <c r="E47" i="1"/>
  <c r="E64" i="1" s="1"/>
  <c r="E22" i="1"/>
  <c r="B39" i="3"/>
  <c r="B47" i="3" s="1"/>
  <c r="B26" i="3"/>
  <c r="B27" i="3" s="1"/>
  <c r="B28" i="3" s="1"/>
  <c r="E28" i="3"/>
  <c r="D46" i="1"/>
  <c r="B47" i="1"/>
  <c r="D17" i="1"/>
  <c r="C42" i="9"/>
  <c r="D42" i="3"/>
  <c r="C41" i="9" s="1"/>
  <c r="D35" i="3"/>
  <c r="D20" i="3"/>
  <c r="D25" i="3"/>
  <c r="C25" i="9" s="1"/>
  <c r="D25" i="9" s="1"/>
  <c r="D24" i="3"/>
  <c r="C24" i="9" s="1"/>
  <c r="B24" i="9" s="1"/>
  <c r="D24" i="9" s="1"/>
  <c r="D23" i="3"/>
  <c r="C23" i="9" s="1"/>
  <c r="B23" i="9" s="1"/>
  <c r="D22" i="3"/>
  <c r="C22" i="9" s="1"/>
  <c r="C26" i="9" s="1"/>
  <c r="D19" i="3"/>
  <c r="C19" i="9" s="1"/>
  <c r="D18" i="3"/>
  <c r="C18" i="9" s="1"/>
  <c r="B18" i="9" s="1"/>
  <c r="D17" i="3"/>
  <c r="C17" i="9" s="1"/>
  <c r="D13" i="3"/>
  <c r="C13" i="9" s="1"/>
  <c r="D12" i="3"/>
  <c r="C12" i="9" s="1"/>
  <c r="D11" i="3"/>
  <c r="C11" i="9" s="1"/>
  <c r="D9" i="3"/>
  <c r="C9" i="9" s="1"/>
  <c r="D8" i="3"/>
  <c r="C8" i="9" s="1"/>
  <c r="D7" i="3"/>
  <c r="C7" i="9" s="1"/>
  <c r="C43" i="9"/>
  <c r="C20" i="9" l="1"/>
  <c r="C27" i="9" s="1"/>
  <c r="B13" i="4"/>
  <c r="C15" i="4"/>
  <c r="D16" i="1"/>
  <c r="I18" i="4"/>
  <c r="I17" i="4" s="1"/>
  <c r="C17" i="6"/>
  <c r="C16" i="6" s="1"/>
  <c r="C46" i="6"/>
  <c r="I47" i="4"/>
  <c r="B47" i="4" s="1"/>
  <c r="D7" i="9"/>
  <c r="C14" i="9"/>
  <c r="C28" i="9" s="1"/>
  <c r="B64" i="1"/>
  <c r="E65" i="1"/>
  <c r="E67" i="1" s="1"/>
  <c r="E74" i="1" s="1"/>
  <c r="E76" i="1" s="1"/>
  <c r="E78" i="1" s="1"/>
  <c r="E87" i="1" s="1"/>
  <c r="D26" i="3"/>
  <c r="D27" i="3"/>
  <c r="C25" i="1"/>
  <c r="C47" i="1" s="1"/>
  <c r="D47" i="1" s="1"/>
  <c r="B18" i="1"/>
  <c r="B16" i="1"/>
  <c r="B8" i="1"/>
  <c r="B22" i="1" l="1"/>
  <c r="B65" i="1" s="1"/>
  <c r="B67" i="1" s="1"/>
  <c r="B74" i="1" s="1"/>
  <c r="B76" i="1" s="1"/>
  <c r="B78" i="1" s="1"/>
  <c r="B87" i="1" s="1"/>
  <c r="I32" i="7"/>
  <c r="D32" i="7" s="1"/>
  <c r="G32" i="7" s="1"/>
  <c r="I57" i="7"/>
  <c r="I58" i="7"/>
  <c r="I59" i="7"/>
  <c r="I60" i="7"/>
  <c r="H60" i="7" s="1"/>
  <c r="I61" i="7"/>
  <c r="I62" i="7"/>
  <c r="I63" i="7"/>
  <c r="C56" i="7"/>
  <c r="G56" i="7"/>
  <c r="I56" i="7"/>
  <c r="H56" i="7" s="1"/>
  <c r="B32" i="7" l="1"/>
  <c r="C32" i="7" s="1"/>
  <c r="I12" i="7"/>
  <c r="I11" i="7"/>
  <c r="I10" i="7"/>
  <c r="D31" i="1"/>
  <c r="D71" i="1"/>
  <c r="D55" i="1"/>
  <c r="F55" i="1" l="1"/>
  <c r="C55" i="6"/>
  <c r="D55" i="6" s="1"/>
  <c r="I56" i="4"/>
  <c r="H56" i="4" s="1"/>
  <c r="F31" i="1"/>
  <c r="I32" i="4"/>
  <c r="E32" i="4" s="1"/>
  <c r="G32" i="4" s="1"/>
  <c r="C31" i="6"/>
  <c r="D31" i="6" s="1"/>
  <c r="I75" i="7"/>
  <c r="B37" i="9" l="1"/>
  <c r="B34" i="9"/>
  <c r="B26" i="9"/>
  <c r="B20" i="9"/>
  <c r="B14" i="9"/>
  <c r="D39" i="9"/>
  <c r="D35" i="9"/>
  <c r="D12" i="9"/>
  <c r="D11" i="9"/>
  <c r="D41" i="9"/>
  <c r="D40" i="9"/>
  <c r="D33" i="9"/>
  <c r="D30" i="9"/>
  <c r="D29" i="9"/>
  <c r="D22" i="9"/>
  <c r="D21" i="9"/>
  <c r="D18" i="9"/>
  <c r="D17" i="9"/>
  <c r="D16" i="9"/>
  <c r="D15" i="9"/>
  <c r="D9" i="9"/>
  <c r="B38" i="9" l="1"/>
  <c r="B27" i="9"/>
  <c r="D27" i="9" s="1"/>
  <c r="D20" i="9"/>
  <c r="D14" i="9"/>
  <c r="D13" i="9"/>
  <c r="D19" i="9"/>
  <c r="D23" i="9"/>
  <c r="D8" i="9"/>
  <c r="D26" i="9"/>
  <c r="B63" i="6"/>
  <c r="H61" i="7"/>
  <c r="H57" i="7"/>
  <c r="I55" i="7"/>
  <c r="H55" i="7" s="1"/>
  <c r="I54" i="7"/>
  <c r="H54" i="7" s="1"/>
  <c r="I53" i="7"/>
  <c r="H53" i="7" s="1"/>
  <c r="I52" i="7"/>
  <c r="H52" i="7" s="1"/>
  <c r="I51" i="7"/>
  <c r="E51" i="7" s="1"/>
  <c r="I50" i="7"/>
  <c r="D50" i="7" s="1"/>
  <c r="E47" i="7"/>
  <c r="B46" i="7"/>
  <c r="C46" i="7" s="1"/>
  <c r="C45" i="7"/>
  <c r="E44" i="7"/>
  <c r="B43" i="7"/>
  <c r="C43" i="7" s="1"/>
  <c r="B42" i="7"/>
  <c r="C42" i="7" s="1"/>
  <c r="E40" i="7"/>
  <c r="B39" i="7"/>
  <c r="C39" i="7" s="1"/>
  <c r="I38" i="7"/>
  <c r="E38" i="7" s="1"/>
  <c r="I37" i="7"/>
  <c r="I36" i="7"/>
  <c r="B36" i="7" s="1"/>
  <c r="C36" i="7" s="1"/>
  <c r="I35" i="7"/>
  <c r="B35" i="7" s="1"/>
  <c r="C35" i="7" s="1"/>
  <c r="I34" i="7"/>
  <c r="B34" i="7" s="1"/>
  <c r="I33" i="7"/>
  <c r="B33" i="7" s="1"/>
  <c r="C33" i="7" s="1"/>
  <c r="I31" i="7"/>
  <c r="D31" i="7" s="1"/>
  <c r="I29" i="7"/>
  <c r="D29" i="7" s="1"/>
  <c r="G29" i="7" s="1"/>
  <c r="I28" i="7"/>
  <c r="D28" i="7" s="1"/>
  <c r="G28" i="7" s="1"/>
  <c r="I27" i="7"/>
  <c r="D27" i="7" s="1"/>
  <c r="I25" i="7"/>
  <c r="I24" i="7"/>
  <c r="I22" i="7"/>
  <c r="B22" i="7" s="1"/>
  <c r="B19" i="7" s="1"/>
  <c r="C19" i="7" s="1"/>
  <c r="I21" i="7"/>
  <c r="H21" i="7" s="1"/>
  <c r="I20" i="7"/>
  <c r="H20" i="7" s="1"/>
  <c r="I18" i="7"/>
  <c r="I17" i="7" s="1"/>
  <c r="I16" i="7"/>
  <c r="B16" i="7" s="1"/>
  <c r="C16" i="7" s="1"/>
  <c r="I15" i="7"/>
  <c r="B15" i="7" s="1"/>
  <c r="C15" i="7" s="1"/>
  <c r="I14" i="7"/>
  <c r="H83" i="7"/>
  <c r="H82" i="7" s="1"/>
  <c r="H77" i="7"/>
  <c r="I84" i="7"/>
  <c r="I82" i="7"/>
  <c r="D45" i="6"/>
  <c r="D14" i="6"/>
  <c r="D15" i="6"/>
  <c r="B12" i="6"/>
  <c r="B82" i="6"/>
  <c r="D82" i="6" s="1"/>
  <c r="B80" i="6"/>
  <c r="B29" i="6"/>
  <c r="D29" i="6" s="1"/>
  <c r="B25" i="6"/>
  <c r="I26" i="7" s="1"/>
  <c r="B18" i="6"/>
  <c r="B16" i="6"/>
  <c r="B8" i="6"/>
  <c r="D80" i="6"/>
  <c r="D75" i="6"/>
  <c r="G86" i="7"/>
  <c r="G85" i="7"/>
  <c r="G84" i="7" s="1"/>
  <c r="C85" i="7"/>
  <c r="C84" i="7" s="1"/>
  <c r="H84" i="7"/>
  <c r="F84" i="7"/>
  <c r="E84" i="7"/>
  <c r="D84" i="7"/>
  <c r="B84" i="7"/>
  <c r="G83" i="7"/>
  <c r="G82" i="7" s="1"/>
  <c r="F83" i="7"/>
  <c r="F82" i="7" s="1"/>
  <c r="E83" i="7"/>
  <c r="E82" i="7" s="1"/>
  <c r="D83" i="7"/>
  <c r="D82" i="7" s="1"/>
  <c r="G81" i="7"/>
  <c r="C81" i="7"/>
  <c r="G77" i="7"/>
  <c r="C77" i="7"/>
  <c r="C75" i="7"/>
  <c r="G74" i="7"/>
  <c r="C74" i="7"/>
  <c r="G73" i="7"/>
  <c r="G72" i="7" s="1"/>
  <c r="C73" i="7"/>
  <c r="C72" i="7" s="1"/>
  <c r="H72" i="7"/>
  <c r="F72" i="7"/>
  <c r="E72" i="7"/>
  <c r="D72" i="7"/>
  <c r="B72" i="7"/>
  <c r="G71" i="7"/>
  <c r="G70" i="7" s="1"/>
  <c r="C71" i="7"/>
  <c r="C70" i="7" s="1"/>
  <c r="H70" i="7"/>
  <c r="F70" i="7"/>
  <c r="E70" i="7"/>
  <c r="D70" i="7"/>
  <c r="B70" i="7"/>
  <c r="G69" i="7"/>
  <c r="C69" i="7"/>
  <c r="G67" i="7"/>
  <c r="C67" i="7"/>
  <c r="F64" i="7"/>
  <c r="H63" i="7"/>
  <c r="G63" i="7"/>
  <c r="C63" i="7"/>
  <c r="H62" i="7"/>
  <c r="G62" i="7"/>
  <c r="C62" i="7"/>
  <c r="G61" i="7"/>
  <c r="C61" i="7"/>
  <c r="G60" i="7"/>
  <c r="C60" i="7"/>
  <c r="H59" i="7"/>
  <c r="G59" i="7"/>
  <c r="C59" i="7"/>
  <c r="H58" i="7"/>
  <c r="G58" i="7"/>
  <c r="C58" i="7"/>
  <c r="G57" i="7"/>
  <c r="C57" i="7"/>
  <c r="G55" i="7"/>
  <c r="C55" i="7"/>
  <c r="G54" i="7"/>
  <c r="C54" i="7"/>
  <c r="G53" i="7"/>
  <c r="C53" i="7"/>
  <c r="C52" i="7"/>
  <c r="D47" i="7"/>
  <c r="B47" i="7"/>
  <c r="C47" i="7" s="1"/>
  <c r="G45" i="7"/>
  <c r="B44" i="7"/>
  <c r="C44" i="7" s="1"/>
  <c r="G43" i="7"/>
  <c r="G35" i="7"/>
  <c r="G33" i="7"/>
  <c r="H30" i="7"/>
  <c r="F30" i="7"/>
  <c r="C29" i="7"/>
  <c r="C28" i="7"/>
  <c r="C27" i="7"/>
  <c r="H26" i="7"/>
  <c r="F26" i="7"/>
  <c r="E26" i="7"/>
  <c r="B26" i="7"/>
  <c r="G22" i="7"/>
  <c r="G21" i="7"/>
  <c r="C21" i="7"/>
  <c r="G20" i="7"/>
  <c r="C20" i="7"/>
  <c r="F19" i="7"/>
  <c r="E19" i="7"/>
  <c r="D19" i="7"/>
  <c r="G18" i="7"/>
  <c r="C18" i="7"/>
  <c r="F17" i="7"/>
  <c r="E17" i="7"/>
  <c r="D17" i="7"/>
  <c r="B17" i="7"/>
  <c r="C17" i="7" s="1"/>
  <c r="G14" i="7"/>
  <c r="H13" i="7"/>
  <c r="F13" i="7"/>
  <c r="E13" i="7"/>
  <c r="D13" i="7"/>
  <c r="E12" i="7"/>
  <c r="G12" i="7" s="1"/>
  <c r="C12" i="7"/>
  <c r="D11" i="7"/>
  <c r="G11" i="7" s="1"/>
  <c r="C11" i="7"/>
  <c r="G10" i="7"/>
  <c r="H9" i="7"/>
  <c r="F9" i="7"/>
  <c r="D85" i="6"/>
  <c r="D83" i="6"/>
  <c r="D81" i="6"/>
  <c r="D73" i="6"/>
  <c r="D72" i="6"/>
  <c r="D70" i="6"/>
  <c r="D69" i="6"/>
  <c r="D66" i="6"/>
  <c r="D46" i="6"/>
  <c r="D17" i="6"/>
  <c r="B43" i="9" l="1"/>
  <c r="B42" i="9"/>
  <c r="D52" i="7"/>
  <c r="G52" i="7" s="1"/>
  <c r="D37" i="7"/>
  <c r="B37" i="7"/>
  <c r="C37" i="7" s="1"/>
  <c r="D39" i="7"/>
  <c r="D44" i="7"/>
  <c r="G44" i="7" s="1"/>
  <c r="H18" i="7"/>
  <c r="H17" i="7" s="1"/>
  <c r="E50" i="7"/>
  <c r="G50" i="7" s="1"/>
  <c r="H50" i="7"/>
  <c r="D36" i="7"/>
  <c r="B50" i="7"/>
  <c r="C50" i="7" s="1"/>
  <c r="B84" i="6"/>
  <c r="B86" i="6" s="1"/>
  <c r="B31" i="7"/>
  <c r="C31" i="7" s="1"/>
  <c r="F48" i="7"/>
  <c r="F65" i="7" s="1"/>
  <c r="H48" i="7"/>
  <c r="E37" i="7"/>
  <c r="E39" i="7"/>
  <c r="G39" i="7" s="1"/>
  <c r="E42" i="7"/>
  <c r="I13" i="7"/>
  <c r="I19" i="7"/>
  <c r="H51" i="7"/>
  <c r="B14" i="7"/>
  <c r="C14" i="7" s="1"/>
  <c r="D42" i="7"/>
  <c r="E9" i="7"/>
  <c r="E23" i="7" s="1"/>
  <c r="B45" i="9"/>
  <c r="D43" i="9"/>
  <c r="D34" i="7"/>
  <c r="B28" i="9"/>
  <c r="B46" i="9" s="1"/>
  <c r="B38" i="7"/>
  <c r="C38" i="7" s="1"/>
  <c r="D38" i="7"/>
  <c r="G38" i="7" s="1"/>
  <c r="D26" i="7"/>
  <c r="I9" i="7"/>
  <c r="E34" i="7"/>
  <c r="I30" i="7"/>
  <c r="I48" i="7" s="1"/>
  <c r="B51" i="7"/>
  <c r="C51" i="7" s="1"/>
  <c r="I64" i="7"/>
  <c r="D51" i="7"/>
  <c r="D64" i="7" s="1"/>
  <c r="E36" i="7"/>
  <c r="B40" i="7"/>
  <c r="C40" i="7" s="1"/>
  <c r="D40" i="7"/>
  <c r="G40" i="7" s="1"/>
  <c r="B10" i="7"/>
  <c r="C10" i="7" s="1"/>
  <c r="G19" i="7"/>
  <c r="H19" i="7"/>
  <c r="F23" i="7"/>
  <c r="G13" i="7"/>
  <c r="G17" i="7"/>
  <c r="G47" i="7"/>
  <c r="C83" i="7"/>
  <c r="C82" i="7" s="1"/>
  <c r="B82" i="7"/>
  <c r="G27" i="7"/>
  <c r="G26" i="7" s="1"/>
  <c r="G31" i="7"/>
  <c r="I86" i="7"/>
  <c r="I88" i="7" s="1"/>
  <c r="C26" i="7"/>
  <c r="B47" i="6"/>
  <c r="B64" i="6" s="1"/>
  <c r="B22" i="6"/>
  <c r="D16" i="6"/>
  <c r="D9" i="7"/>
  <c r="C22" i="7"/>
  <c r="C34" i="7"/>
  <c r="D30" i="1"/>
  <c r="D26" i="1"/>
  <c r="D32" i="1"/>
  <c r="D33" i="1"/>
  <c r="D34" i="1"/>
  <c r="D35" i="1"/>
  <c r="D36" i="1"/>
  <c r="D37" i="1"/>
  <c r="D38" i="1"/>
  <c r="D39" i="1"/>
  <c r="D41" i="1"/>
  <c r="D42" i="1"/>
  <c r="D43" i="1"/>
  <c r="D44" i="1"/>
  <c r="D84" i="4"/>
  <c r="E84" i="4"/>
  <c r="F84" i="4"/>
  <c r="H84" i="4"/>
  <c r="D88" i="4"/>
  <c r="D87" i="7" s="1"/>
  <c r="E88" i="4"/>
  <c r="E87" i="7" s="1"/>
  <c r="E88" i="7" s="1"/>
  <c r="F88" i="4"/>
  <c r="F87" i="7" s="1"/>
  <c r="F88" i="7" s="1"/>
  <c r="H88" i="4"/>
  <c r="H87" i="7" s="1"/>
  <c r="H88" i="7" s="1"/>
  <c r="D83" i="4"/>
  <c r="D82" i="4" s="1"/>
  <c r="E83" i="4"/>
  <c r="E82" i="4" s="1"/>
  <c r="F83" i="4"/>
  <c r="F82" i="4" s="1"/>
  <c r="G83" i="4"/>
  <c r="G82" i="4" s="1"/>
  <c r="H83" i="4"/>
  <c r="H82" i="4" s="1"/>
  <c r="B84" i="4"/>
  <c r="B83" i="4"/>
  <c r="C79" i="4"/>
  <c r="G79" i="4"/>
  <c r="C75" i="4"/>
  <c r="G75" i="4"/>
  <c r="D72" i="4"/>
  <c r="E72" i="4"/>
  <c r="F72" i="4"/>
  <c r="H72" i="4"/>
  <c r="B72" i="4"/>
  <c r="D70" i="4"/>
  <c r="E70" i="4"/>
  <c r="F70" i="4"/>
  <c r="H70" i="4"/>
  <c r="B70" i="4"/>
  <c r="F64" i="4"/>
  <c r="G14" i="4"/>
  <c r="E26" i="4"/>
  <c r="F26" i="4"/>
  <c r="H26" i="4"/>
  <c r="B26" i="4"/>
  <c r="H30" i="4"/>
  <c r="F30" i="4"/>
  <c r="G45" i="4"/>
  <c r="G43" i="4"/>
  <c r="G33" i="4"/>
  <c r="F19" i="4"/>
  <c r="E19" i="4"/>
  <c r="D19" i="4"/>
  <c r="F17" i="4"/>
  <c r="E17" i="4"/>
  <c r="D17" i="4"/>
  <c r="B17" i="4"/>
  <c r="C17" i="4" s="1"/>
  <c r="F13" i="4"/>
  <c r="E13" i="4"/>
  <c r="D13" i="4"/>
  <c r="H9" i="4"/>
  <c r="F9" i="4"/>
  <c r="G87" i="4"/>
  <c r="G86" i="4"/>
  <c r="G85" i="4"/>
  <c r="G84" i="4" s="1"/>
  <c r="G81" i="4"/>
  <c r="G77" i="4"/>
  <c r="G74" i="4"/>
  <c r="G73" i="4"/>
  <c r="G72" i="4" s="1"/>
  <c r="G71" i="4"/>
  <c r="G70" i="4" s="1"/>
  <c r="G69" i="4"/>
  <c r="G67" i="4"/>
  <c r="G63" i="4"/>
  <c r="G62" i="4"/>
  <c r="G61" i="4"/>
  <c r="G60" i="4"/>
  <c r="G59" i="4"/>
  <c r="G58" i="4"/>
  <c r="G57" i="4"/>
  <c r="G55" i="4"/>
  <c r="G54" i="4"/>
  <c r="G53" i="4"/>
  <c r="G35" i="4"/>
  <c r="G22" i="4"/>
  <c r="G21" i="4"/>
  <c r="G20" i="4"/>
  <c r="G18" i="4"/>
  <c r="G10" i="4"/>
  <c r="C87" i="4"/>
  <c r="C85" i="4"/>
  <c r="C84" i="4" s="1"/>
  <c r="C81" i="4"/>
  <c r="C77" i="4"/>
  <c r="C74" i="4"/>
  <c r="C73" i="4"/>
  <c r="C72" i="4" s="1"/>
  <c r="C71" i="4"/>
  <c r="C70" i="4" s="1"/>
  <c r="C69" i="4"/>
  <c r="C67" i="4"/>
  <c r="C63" i="4"/>
  <c r="C62" i="4"/>
  <c r="C61" i="4"/>
  <c r="C60" i="4"/>
  <c r="C59" i="4"/>
  <c r="C58" i="4"/>
  <c r="C57" i="4"/>
  <c r="C55" i="4"/>
  <c r="C54" i="4"/>
  <c r="C53" i="4"/>
  <c r="C52" i="4"/>
  <c r="C29" i="4"/>
  <c r="C28" i="4"/>
  <c r="C27" i="4"/>
  <c r="C21" i="4"/>
  <c r="C20" i="4"/>
  <c r="C18" i="4"/>
  <c r="C12" i="4"/>
  <c r="C11" i="4"/>
  <c r="G87" i="7" l="1"/>
  <c r="G88" i="7" s="1"/>
  <c r="D88" i="7"/>
  <c r="C36" i="6"/>
  <c r="D36" i="6" s="1"/>
  <c r="I37" i="4"/>
  <c r="C44" i="6"/>
  <c r="D44" i="6" s="1"/>
  <c r="I45" i="4"/>
  <c r="B45" i="4" s="1"/>
  <c r="C45" i="4" s="1"/>
  <c r="I36" i="4"/>
  <c r="B36" i="4" s="1"/>
  <c r="C35" i="6"/>
  <c r="D35" i="6" s="1"/>
  <c r="G19" i="4"/>
  <c r="I44" i="4"/>
  <c r="B44" i="4" s="1"/>
  <c r="C43" i="6"/>
  <c r="D43" i="6" s="1"/>
  <c r="C38" i="6"/>
  <c r="D38" i="6" s="1"/>
  <c r="I39" i="4"/>
  <c r="B39" i="4" s="1"/>
  <c r="C34" i="6"/>
  <c r="D34" i="6" s="1"/>
  <c r="I35" i="4"/>
  <c r="B35" i="4" s="1"/>
  <c r="C35" i="4" s="1"/>
  <c r="C30" i="6"/>
  <c r="D30" i="6" s="1"/>
  <c r="I31" i="4"/>
  <c r="G37" i="7"/>
  <c r="C41" i="6"/>
  <c r="D41" i="6" s="1"/>
  <c r="I42" i="4"/>
  <c r="B42" i="4" s="1"/>
  <c r="C32" i="6"/>
  <c r="D32" i="6" s="1"/>
  <c r="I33" i="4"/>
  <c r="B33" i="4" s="1"/>
  <c r="C33" i="4" s="1"/>
  <c r="I40" i="4"/>
  <c r="B40" i="4" s="1"/>
  <c r="C39" i="6"/>
  <c r="D39" i="6" s="1"/>
  <c r="C26" i="6"/>
  <c r="D26" i="6" s="1"/>
  <c r="I27" i="4"/>
  <c r="G13" i="4"/>
  <c r="C42" i="6"/>
  <c r="D42" i="6" s="1"/>
  <c r="I43" i="4"/>
  <c r="B43" i="4" s="1"/>
  <c r="C43" i="4" s="1"/>
  <c r="I38" i="4"/>
  <c r="C37" i="6"/>
  <c r="D37" i="6" s="1"/>
  <c r="C33" i="6"/>
  <c r="D33" i="6" s="1"/>
  <c r="I34" i="4"/>
  <c r="B34" i="4" s="1"/>
  <c r="H64" i="7"/>
  <c r="H65" i="7" s="1"/>
  <c r="H23" i="7"/>
  <c r="E64" i="7"/>
  <c r="F76" i="7"/>
  <c r="F78" i="7" s="1"/>
  <c r="B9" i="7"/>
  <c r="C9" i="7" s="1"/>
  <c r="C14" i="4"/>
  <c r="C13" i="4"/>
  <c r="G17" i="4"/>
  <c r="G51" i="7"/>
  <c r="G64" i="7" s="1"/>
  <c r="G88" i="4"/>
  <c r="F66" i="7"/>
  <c r="F68" i="7" s="1"/>
  <c r="B13" i="7"/>
  <c r="C13" i="7" s="1"/>
  <c r="I23" i="7"/>
  <c r="G42" i="7"/>
  <c r="G34" i="7"/>
  <c r="C64" i="7"/>
  <c r="C83" i="4"/>
  <c r="C82" i="4" s="1"/>
  <c r="B82" i="4"/>
  <c r="B86" i="4" s="1"/>
  <c r="D25" i="1"/>
  <c r="D42" i="9"/>
  <c r="B86" i="7"/>
  <c r="D28" i="9"/>
  <c r="E30" i="7"/>
  <c r="E48" i="7" s="1"/>
  <c r="B64" i="7"/>
  <c r="I65" i="7"/>
  <c r="C30" i="7"/>
  <c r="C48" i="7" s="1"/>
  <c r="G36" i="7"/>
  <c r="B30" i="7"/>
  <c r="B48" i="7" s="1"/>
  <c r="D30" i="7"/>
  <c r="D48" i="7" s="1"/>
  <c r="D65" i="7" s="1"/>
  <c r="B65" i="6"/>
  <c r="B67" i="6" s="1"/>
  <c r="G9" i="7"/>
  <c r="G23" i="7" s="1"/>
  <c r="D23" i="7"/>
  <c r="D84" i="6"/>
  <c r="D86" i="6"/>
  <c r="F23" i="4"/>
  <c r="F76" i="4" s="1"/>
  <c r="F48" i="4"/>
  <c r="F65" i="4" s="1"/>
  <c r="H48" i="4"/>
  <c r="C26" i="4"/>
  <c r="F66" i="4" l="1"/>
  <c r="F68" i="4" s="1"/>
  <c r="C25" i="6"/>
  <c r="I26" i="4"/>
  <c r="I30" i="4"/>
  <c r="H76" i="7"/>
  <c r="H78" i="7" s="1"/>
  <c r="E65" i="7"/>
  <c r="E66" i="7" s="1"/>
  <c r="E68" i="7" s="1"/>
  <c r="B65" i="7"/>
  <c r="C65" i="7"/>
  <c r="C86" i="7"/>
  <c r="H66" i="7"/>
  <c r="H68" i="7" s="1"/>
  <c r="I66" i="7"/>
  <c r="I68" i="7" s="1"/>
  <c r="I76" i="7" s="1"/>
  <c r="I78" i="7" s="1"/>
  <c r="B74" i="6"/>
  <c r="B76" i="6" s="1"/>
  <c r="C23" i="7"/>
  <c r="B23" i="7"/>
  <c r="G30" i="7"/>
  <c r="G48" i="7" s="1"/>
  <c r="G65" i="7" s="1"/>
  <c r="G66" i="7" s="1"/>
  <c r="G68" i="7" s="1"/>
  <c r="C86" i="4"/>
  <c r="C88" i="4" s="1"/>
  <c r="B88" i="4"/>
  <c r="B87" i="7" s="1"/>
  <c r="C87" i="7" s="1"/>
  <c r="D76" i="7"/>
  <c r="D78" i="7" s="1"/>
  <c r="D44" i="9"/>
  <c r="D66" i="7"/>
  <c r="D68" i="7" s="1"/>
  <c r="F78" i="4"/>
  <c r="F80" i="4" s="1"/>
  <c r="C88" i="7" l="1"/>
  <c r="C47" i="6"/>
  <c r="D25" i="6"/>
  <c r="F89" i="4"/>
  <c r="F79" i="7"/>
  <c r="F80" i="7" s="1"/>
  <c r="F89" i="7" s="1"/>
  <c r="I48" i="4"/>
  <c r="B88" i="7"/>
  <c r="E76" i="7"/>
  <c r="E78" i="7" s="1"/>
  <c r="C66" i="7"/>
  <c r="C68" i="7" s="1"/>
  <c r="B76" i="7"/>
  <c r="B78" i="7" s="1"/>
  <c r="C76" i="7"/>
  <c r="C78" i="7" s="1"/>
  <c r="B66" i="7"/>
  <c r="B68" i="7" s="1"/>
  <c r="G76" i="7"/>
  <c r="G78" i="7" s="1"/>
  <c r="D47" i="6" l="1"/>
  <c r="D83" i="1" l="1"/>
  <c r="F9" i="3"/>
  <c r="F11" i="3"/>
  <c r="F12" i="3"/>
  <c r="F13" i="3"/>
  <c r="F17" i="3"/>
  <c r="F18" i="3"/>
  <c r="F19" i="3"/>
  <c r="F20" i="3"/>
  <c r="F22" i="3"/>
  <c r="F23" i="3"/>
  <c r="F24" i="3"/>
  <c r="F25" i="3"/>
  <c r="F42" i="3"/>
  <c r="F43" i="3"/>
  <c r="F44" i="3"/>
  <c r="C38" i="3"/>
  <c r="C39" i="3" s="1"/>
  <c r="F35" i="3"/>
  <c r="F8" i="3"/>
  <c r="F26" i="3"/>
  <c r="F27" i="3"/>
  <c r="D31" i="3"/>
  <c r="D32" i="3"/>
  <c r="D34" i="3"/>
  <c r="F34" i="3" s="1"/>
  <c r="D37" i="3"/>
  <c r="D20" i="1"/>
  <c r="F7" i="3"/>
  <c r="F32" i="3" l="1"/>
  <c r="C32" i="9"/>
  <c r="D32" i="9" s="1"/>
  <c r="C20" i="6"/>
  <c r="D20" i="6" s="1"/>
  <c r="I21" i="4"/>
  <c r="F31" i="3"/>
  <c r="C31" i="9"/>
  <c r="F37" i="3"/>
  <c r="C36" i="9"/>
  <c r="D38" i="3"/>
  <c r="F38" i="3" s="1"/>
  <c r="D14" i="3"/>
  <c r="F14" i="3" s="1"/>
  <c r="C12" i="1"/>
  <c r="C37" i="9" l="1"/>
  <c r="D37" i="9" s="1"/>
  <c r="D36" i="9"/>
  <c r="C34" i="9"/>
  <c r="D31" i="9"/>
  <c r="C46" i="3"/>
  <c r="C47" i="3" s="1"/>
  <c r="D47" i="3" s="1"/>
  <c r="C46" i="9" s="1"/>
  <c r="D46" i="9" s="1"/>
  <c r="D28" i="3"/>
  <c r="F28" i="3" s="1"/>
  <c r="D39" i="3"/>
  <c r="F39" i="3" s="1"/>
  <c r="C38" i="9" l="1"/>
  <c r="D38" i="9" s="1"/>
  <c r="D34" i="9"/>
  <c r="D46" i="3"/>
  <c r="C45" i="9" s="1"/>
  <c r="D45" i="9" s="1"/>
  <c r="F45" i="3"/>
  <c r="C82" i="1"/>
  <c r="D82" i="1" s="1"/>
  <c r="F82" i="1" s="1"/>
  <c r="C80" i="1"/>
  <c r="F63" i="1"/>
  <c r="F29" i="1"/>
  <c r="F25" i="1"/>
  <c r="C16" i="1"/>
  <c r="C8" i="1"/>
  <c r="D9" i="1"/>
  <c r="D10" i="1"/>
  <c r="D11" i="1"/>
  <c r="D13" i="1"/>
  <c r="F17" i="1"/>
  <c r="D19" i="1"/>
  <c r="F20" i="1"/>
  <c r="D21" i="1"/>
  <c r="F26" i="1"/>
  <c r="D27" i="1"/>
  <c r="D28" i="1"/>
  <c r="F30" i="1"/>
  <c r="F32" i="1"/>
  <c r="F33" i="1"/>
  <c r="F34" i="1"/>
  <c r="F35" i="1"/>
  <c r="F36" i="1"/>
  <c r="F37" i="1"/>
  <c r="F38" i="1"/>
  <c r="F39" i="1"/>
  <c r="F41" i="1"/>
  <c r="F42" i="1"/>
  <c r="F43" i="1"/>
  <c r="F44" i="1"/>
  <c r="F46" i="1"/>
  <c r="D49" i="1"/>
  <c r="D50" i="1"/>
  <c r="D51" i="1"/>
  <c r="D52" i="1"/>
  <c r="D53" i="1"/>
  <c r="D54" i="1"/>
  <c r="D56" i="1"/>
  <c r="D57" i="1"/>
  <c r="D58" i="1"/>
  <c r="D59" i="1"/>
  <c r="D60" i="1"/>
  <c r="D61" i="1"/>
  <c r="D62" i="1"/>
  <c r="D66" i="1"/>
  <c r="F66" i="1" s="1"/>
  <c r="D69" i="1"/>
  <c r="F69" i="1" s="1"/>
  <c r="D70" i="1"/>
  <c r="F70" i="1" s="1"/>
  <c r="D72" i="1"/>
  <c r="F72" i="1" s="1"/>
  <c r="D73" i="1"/>
  <c r="F73" i="1" s="1"/>
  <c r="D75" i="1"/>
  <c r="F75" i="1" s="1"/>
  <c r="D77" i="1"/>
  <c r="D80" i="1"/>
  <c r="F80" i="1" s="1"/>
  <c r="D81" i="1"/>
  <c r="F81" i="1" s="1"/>
  <c r="F83" i="1"/>
  <c r="D85" i="1"/>
  <c r="F85" i="1" s="1"/>
  <c r="F57" i="1" l="1"/>
  <c r="I58" i="4"/>
  <c r="C57" i="6"/>
  <c r="D57" i="6" s="1"/>
  <c r="C9" i="6"/>
  <c r="I10" i="4"/>
  <c r="F60" i="1"/>
  <c r="C60" i="6"/>
  <c r="D60" i="6" s="1"/>
  <c r="I61" i="4"/>
  <c r="F51" i="1"/>
  <c r="C51" i="6"/>
  <c r="D51" i="6" s="1"/>
  <c r="I52" i="4"/>
  <c r="E52" i="4" s="1"/>
  <c r="G52" i="4" s="1"/>
  <c r="F21" i="1"/>
  <c r="C21" i="6"/>
  <c r="D21" i="6" s="1"/>
  <c r="I22" i="4"/>
  <c r="B22" i="4" s="1"/>
  <c r="F59" i="1"/>
  <c r="C59" i="6"/>
  <c r="D59" i="6" s="1"/>
  <c r="I60" i="4"/>
  <c r="F54" i="1"/>
  <c r="I55" i="4"/>
  <c r="C54" i="6"/>
  <c r="D54" i="6" s="1"/>
  <c r="F50" i="1"/>
  <c r="C50" i="6"/>
  <c r="D50" i="6" s="1"/>
  <c r="I51" i="4"/>
  <c r="B51" i="4" s="1"/>
  <c r="F28" i="1"/>
  <c r="C28" i="6"/>
  <c r="D28" i="6" s="1"/>
  <c r="I29" i="4"/>
  <c r="F11" i="1"/>
  <c r="C11" i="6"/>
  <c r="D11" i="6" s="1"/>
  <c r="I12" i="4"/>
  <c r="F77" i="1"/>
  <c r="C77" i="6"/>
  <c r="F61" i="1"/>
  <c r="I62" i="4"/>
  <c r="C61" i="6"/>
  <c r="D61" i="6" s="1"/>
  <c r="F52" i="1"/>
  <c r="C52" i="6"/>
  <c r="D52" i="6" s="1"/>
  <c r="I53" i="4"/>
  <c r="F56" i="1"/>
  <c r="C56" i="6"/>
  <c r="D56" i="6" s="1"/>
  <c r="I57" i="4"/>
  <c r="C13" i="6"/>
  <c r="I14" i="4"/>
  <c r="F62" i="1"/>
  <c r="C62" i="6"/>
  <c r="D62" i="6" s="1"/>
  <c r="I63" i="4"/>
  <c r="F58" i="1"/>
  <c r="C58" i="6"/>
  <c r="D58" i="6" s="1"/>
  <c r="I59" i="4"/>
  <c r="F53" i="1"/>
  <c r="I54" i="4"/>
  <c r="C53" i="6"/>
  <c r="D53" i="6" s="1"/>
  <c r="F49" i="1"/>
  <c r="I50" i="4"/>
  <c r="C49" i="6"/>
  <c r="F27" i="1"/>
  <c r="I28" i="4"/>
  <c r="C27" i="6"/>
  <c r="D27" i="6" s="1"/>
  <c r="F19" i="1"/>
  <c r="C19" i="6"/>
  <c r="I20" i="4"/>
  <c r="I19" i="4" s="1"/>
  <c r="F10" i="1"/>
  <c r="I11" i="4"/>
  <c r="C10" i="6"/>
  <c r="D10" i="6" s="1"/>
  <c r="C22" i="1"/>
  <c r="D22" i="1" s="1"/>
  <c r="F13" i="1"/>
  <c r="D12" i="1"/>
  <c r="F12" i="1" s="1"/>
  <c r="F9" i="1"/>
  <c r="D8" i="1"/>
  <c r="F8" i="1" s="1"/>
  <c r="C84" i="1"/>
  <c r="F46" i="3"/>
  <c r="F47" i="3"/>
  <c r="F47" i="1"/>
  <c r="C86" i="1"/>
  <c r="D86" i="1" s="1"/>
  <c r="D84" i="1"/>
  <c r="F84" i="1" s="1"/>
  <c r="D18" i="1"/>
  <c r="F18" i="1" s="1"/>
  <c r="C8" i="6" l="1"/>
  <c r="D9" i="6"/>
  <c r="C63" i="6"/>
  <c r="D49" i="6"/>
  <c r="H14" i="4"/>
  <c r="H13" i="4" s="1"/>
  <c r="I13" i="4"/>
  <c r="B19" i="4"/>
  <c r="C19" i="4" s="1"/>
  <c r="C22" i="4"/>
  <c r="C18" i="6"/>
  <c r="D18" i="6" s="1"/>
  <c r="D19" i="6"/>
  <c r="I64" i="4"/>
  <c r="I65" i="4" s="1"/>
  <c r="C12" i="6"/>
  <c r="D12" i="6" s="1"/>
  <c r="D13" i="6"/>
  <c r="I9" i="4"/>
  <c r="I23" i="4" s="1"/>
  <c r="B10" i="4"/>
  <c r="F22" i="1"/>
  <c r="C64" i="1"/>
  <c r="D64" i="1" s="1"/>
  <c r="F86" i="1"/>
  <c r="B9" i="4" l="1"/>
  <c r="C10" i="4"/>
  <c r="D63" i="6"/>
  <c r="C64" i="6"/>
  <c r="D64" i="6" s="1"/>
  <c r="C22" i="6"/>
  <c r="D8" i="6"/>
  <c r="F64" i="1"/>
  <c r="C65" i="1"/>
  <c r="D65" i="1" s="1"/>
  <c r="C65" i="6" l="1"/>
  <c r="D22" i="6"/>
  <c r="B23" i="4"/>
  <c r="C9" i="4"/>
  <c r="C23" i="4" s="1"/>
  <c r="C67" i="1"/>
  <c r="D67" i="1" s="1"/>
  <c r="F65" i="1"/>
  <c r="C67" i="6" l="1"/>
  <c r="D65" i="6"/>
  <c r="F67" i="1"/>
  <c r="C74" i="1"/>
  <c r="C74" i="6" l="1"/>
  <c r="D67" i="6"/>
  <c r="D74" i="1"/>
  <c r="F74" i="1" s="1"/>
  <c r="C76" i="1"/>
  <c r="C76" i="6" l="1"/>
  <c r="D74" i="6"/>
  <c r="C78" i="1"/>
  <c r="D78" i="1" s="1"/>
  <c r="D76" i="1"/>
  <c r="F76" i="1" s="1"/>
  <c r="C78" i="6" l="1"/>
  <c r="D76" i="6"/>
  <c r="F78" i="1"/>
  <c r="C87" i="1"/>
  <c r="B77" i="6" l="1"/>
  <c r="I79" i="7" s="1"/>
  <c r="I80" i="7" s="1"/>
  <c r="I89" i="7" s="1"/>
  <c r="C87" i="6"/>
  <c r="D87" i="1"/>
  <c r="F87" i="1" s="1"/>
  <c r="F16" i="1"/>
  <c r="H53" i="4"/>
  <c r="H77" i="4"/>
  <c r="E34" i="4"/>
  <c r="E44" i="4"/>
  <c r="E12" i="4"/>
  <c r="G12" i="4" s="1"/>
  <c r="H62" i="4"/>
  <c r="H59" i="4"/>
  <c r="H55" i="4"/>
  <c r="H58" i="4"/>
  <c r="D28" i="4"/>
  <c r="G28" i="4" s="1"/>
  <c r="D29" i="4"/>
  <c r="G29" i="4" s="1"/>
  <c r="E51" i="4"/>
  <c r="H51" i="4"/>
  <c r="D27" i="4"/>
  <c r="H57" i="4"/>
  <c r="H50" i="4"/>
  <c r="B38" i="4"/>
  <c r="C38" i="4" s="1"/>
  <c r="D39" i="4"/>
  <c r="E39" i="4"/>
  <c r="D51" i="4"/>
  <c r="C51" i="4"/>
  <c r="E50" i="4"/>
  <c r="C47" i="4"/>
  <c r="H60" i="4"/>
  <c r="C40" i="4"/>
  <c r="H63" i="4"/>
  <c r="H54" i="4"/>
  <c r="D34" i="4"/>
  <c r="C34" i="4"/>
  <c r="E42" i="4"/>
  <c r="D47" i="4"/>
  <c r="E47" i="4"/>
  <c r="D44" i="4"/>
  <c r="C44" i="4"/>
  <c r="H61" i="4"/>
  <c r="B37" i="4"/>
  <c r="C37" i="4" s="1"/>
  <c r="C36" i="4"/>
  <c r="D36" i="4"/>
  <c r="E36" i="4"/>
  <c r="D40" i="4"/>
  <c r="E40" i="4"/>
  <c r="D50" i="4"/>
  <c r="B50" i="4"/>
  <c r="C50" i="4" s="1"/>
  <c r="D31" i="4"/>
  <c r="B31" i="4"/>
  <c r="D37" i="4"/>
  <c r="E37" i="4"/>
  <c r="D11" i="4"/>
  <c r="D9" i="4" s="1"/>
  <c r="H21" i="4"/>
  <c r="H20" i="4"/>
  <c r="H18" i="4"/>
  <c r="H17" i="4" s="1"/>
  <c r="D38" i="4"/>
  <c r="E38" i="4"/>
  <c r="D42" i="4"/>
  <c r="C42" i="4"/>
  <c r="C31" i="4" l="1"/>
  <c r="B30" i="4"/>
  <c r="G51" i="4"/>
  <c r="D64" i="4"/>
  <c r="E64" i="4"/>
  <c r="G27" i="4"/>
  <c r="G26" i="4" s="1"/>
  <c r="D26" i="4"/>
  <c r="H19" i="4"/>
  <c r="H23" i="4" s="1"/>
  <c r="G39" i="4"/>
  <c r="E30" i="4"/>
  <c r="E48" i="4" s="1"/>
  <c r="C39" i="4"/>
  <c r="C30" i="4" s="1"/>
  <c r="D30" i="4"/>
  <c r="D48" i="4" s="1"/>
  <c r="D65" i="4" s="1"/>
  <c r="C64" i="4"/>
  <c r="G38" i="4"/>
  <c r="G44" i="4"/>
  <c r="G11" i="4"/>
  <c r="B64" i="4"/>
  <c r="G42" i="4"/>
  <c r="G34" i="4"/>
  <c r="G36" i="4"/>
  <c r="H64" i="4"/>
  <c r="H65" i="4" s="1"/>
  <c r="G50" i="4"/>
  <c r="G64" i="4" s="1"/>
  <c r="E9" i="4"/>
  <c r="E23" i="4" s="1"/>
  <c r="G40" i="4"/>
  <c r="G37" i="4"/>
  <c r="G47" i="4"/>
  <c r="D23" i="4"/>
  <c r="G31" i="4"/>
  <c r="H66" i="4" l="1"/>
  <c r="H68" i="4" s="1"/>
  <c r="D66" i="4"/>
  <c r="E65" i="4"/>
  <c r="E66" i="4" s="1"/>
  <c r="B48" i="4"/>
  <c r="B65" i="4" s="1"/>
  <c r="C48" i="4"/>
  <c r="C65" i="4" s="1"/>
  <c r="C76" i="4" s="1"/>
  <c r="G9" i="4"/>
  <c r="G23" i="4" s="1"/>
  <c r="H76" i="4"/>
  <c r="H78" i="4" s="1"/>
  <c r="H80" i="4" s="1"/>
  <c r="G30" i="4"/>
  <c r="D68" i="4"/>
  <c r="H89" i="4" l="1"/>
  <c r="H79" i="7"/>
  <c r="H80" i="7" s="1"/>
  <c r="H89" i="7" s="1"/>
  <c r="B76" i="4"/>
  <c r="B78" i="4" s="1"/>
  <c r="B80" i="4" s="1"/>
  <c r="B66" i="4"/>
  <c r="B68" i="4" s="1"/>
  <c r="E68" i="4"/>
  <c r="E76" i="4"/>
  <c r="E78" i="4" s="1"/>
  <c r="E80" i="4" s="1"/>
  <c r="G48" i="4"/>
  <c r="G65" i="4" s="1"/>
  <c r="G66" i="4" s="1"/>
  <c r="C66" i="4"/>
  <c r="C78" i="4"/>
  <c r="C80" i="4" s="1"/>
  <c r="D76" i="4"/>
  <c r="D78" i="4" s="1"/>
  <c r="D80" i="4" s="1"/>
  <c r="B89" i="4" l="1"/>
  <c r="C89" i="4" s="1"/>
  <c r="D89" i="4"/>
  <c r="D79" i="7"/>
  <c r="E89" i="4"/>
  <c r="E79" i="7"/>
  <c r="E80" i="7" s="1"/>
  <c r="E89" i="7" s="1"/>
  <c r="I66" i="4"/>
  <c r="G76" i="4"/>
  <c r="G78" i="4" s="1"/>
  <c r="G80" i="4" s="1"/>
  <c r="G89" i="4" s="1"/>
  <c r="C68" i="4"/>
  <c r="G79" i="7" l="1"/>
  <c r="G80" i="7" s="1"/>
  <c r="G89" i="7" s="1"/>
  <c r="D80" i="7"/>
  <c r="D89" i="7" s="1"/>
  <c r="C79" i="7"/>
  <c r="C80" i="7" s="1"/>
  <c r="B80" i="7"/>
  <c r="B89" i="7" s="1"/>
  <c r="C89" i="7" s="1"/>
  <c r="G68" i="4"/>
  <c r="I68" i="4"/>
  <c r="I76" i="4" s="1"/>
  <c r="I78" i="4" s="1"/>
  <c r="I80" i="4" s="1"/>
  <c r="I89" i="4" s="1"/>
  <c r="B78" i="6"/>
  <c r="D77" i="6"/>
  <c r="D78" i="6" l="1"/>
  <c r="B87" i="6"/>
  <c r="D87" i="6" s="1"/>
</calcChain>
</file>

<file path=xl/sharedStrings.xml><?xml version="1.0" encoding="utf-8"?>
<sst xmlns="http://schemas.openxmlformats.org/spreadsheetml/2006/main" count="449" uniqueCount="168">
  <si>
    <t>科目</t>
  </si>
  <si>
    <t>増減</t>
  </si>
  <si>
    <t>Ⅰ一般正味財産増減の部</t>
  </si>
  <si>
    <t xml:space="preserve">  １経常　増減の部</t>
  </si>
  <si>
    <t xml:space="preserve">   (1)経　常　収　益</t>
  </si>
  <si>
    <t xml:space="preserve">      ①事　業　収　益</t>
  </si>
  <si>
    <t xml:space="preserve">            入館料　収　入</t>
  </si>
  <si>
    <t xml:space="preserve">            物品販売　収入</t>
  </si>
  <si>
    <t xml:space="preserve">            貸館事業　収入</t>
  </si>
  <si>
    <t xml:space="preserve">      ②受取　補助金等</t>
  </si>
  <si>
    <t xml:space="preserve">            受取国庫補助金</t>
  </si>
  <si>
    <t xml:space="preserve">      ③受　取　寄付金</t>
  </si>
  <si>
    <t xml:space="preserve">            受　取　寄付金</t>
  </si>
  <si>
    <t xml:space="preserve">      ④雑　　収　　益</t>
  </si>
  <si>
    <t xml:space="preserve">            受　取　利　息</t>
  </si>
  <si>
    <t xml:space="preserve">            減価償却費振替</t>
  </si>
  <si>
    <t xml:space="preserve">         経　常　収益計</t>
  </si>
  <si>
    <t xml:space="preserve">   (2)経　常　費　用</t>
  </si>
  <si>
    <t xml:space="preserve">      ①事　　業　　費</t>
  </si>
  <si>
    <t xml:space="preserve">            期　首　棚卸高</t>
  </si>
  <si>
    <t xml:space="preserve">            事　業　原　価</t>
  </si>
  <si>
    <t xml:space="preserve">            期　末　棚卸高</t>
  </si>
  <si>
    <t xml:space="preserve">            給　料　手　当</t>
  </si>
  <si>
    <t xml:space="preserve">            旅　費　交通費</t>
  </si>
  <si>
    <t xml:space="preserve">            通　信　運搬費</t>
  </si>
  <si>
    <t xml:space="preserve">            減　価　償却費</t>
  </si>
  <si>
    <t xml:space="preserve">            消　耗　品　費</t>
  </si>
  <si>
    <t xml:space="preserve">            修　　繕　　費</t>
  </si>
  <si>
    <t xml:space="preserve">            印　刷　製本費</t>
  </si>
  <si>
    <t xml:space="preserve">            燃　　料　　費</t>
  </si>
  <si>
    <t xml:space="preserve">            光　熱　水料費</t>
  </si>
  <si>
    <t xml:space="preserve">            保　　険　　料</t>
  </si>
  <si>
    <t xml:space="preserve">            租　税　公　課</t>
  </si>
  <si>
    <t xml:space="preserve">            支　払　負担金</t>
  </si>
  <si>
    <t xml:space="preserve">            委　　託　　費</t>
  </si>
  <si>
    <t xml:space="preserve">            雑　　　　　費</t>
  </si>
  <si>
    <t xml:space="preserve">          事　　業　　費　計</t>
  </si>
  <si>
    <t xml:space="preserve">      ②管　　理　　費</t>
  </si>
  <si>
    <t xml:space="preserve">            役　員　報　酬</t>
  </si>
  <si>
    <t xml:space="preserve">            法　定　福利費</t>
  </si>
  <si>
    <t xml:space="preserve">            福　利　厚生費</t>
  </si>
  <si>
    <t xml:space="preserve">            支　払　利　息</t>
  </si>
  <si>
    <t xml:space="preserve">            接待交際費</t>
  </si>
  <si>
    <t xml:space="preserve">            報酬料金</t>
  </si>
  <si>
    <t xml:space="preserve">            広告費</t>
  </si>
  <si>
    <t xml:space="preserve">          管　　理　　費　計</t>
  </si>
  <si>
    <t xml:space="preserve">         経　常　費用計</t>
  </si>
  <si>
    <t xml:space="preserve">           評価損益等調整前当期経常増減額</t>
  </si>
  <si>
    <t xml:space="preserve">           評価損益等　計</t>
  </si>
  <si>
    <t xml:space="preserve">           当期経常増減額</t>
  </si>
  <si>
    <t xml:space="preserve">  ２経常外増減の部</t>
  </si>
  <si>
    <t xml:space="preserve">   (1)経常外　収　益</t>
  </si>
  <si>
    <t xml:space="preserve">         経常外　収益計</t>
  </si>
  <si>
    <t xml:space="preserve">   (2)経常外　費　用</t>
  </si>
  <si>
    <t xml:space="preserve">         経常外　費用計</t>
  </si>
  <si>
    <t xml:space="preserve">           当期経常外増減額</t>
  </si>
  <si>
    <t xml:space="preserve">           税引前当期一般正味財産増減額</t>
  </si>
  <si>
    <t xml:space="preserve">           法人税、住民税及び事業税</t>
  </si>
  <si>
    <t xml:space="preserve">           当期一般正味財産増減額</t>
  </si>
  <si>
    <t xml:space="preserve">           一般正味財産期首残高</t>
  </si>
  <si>
    <t xml:space="preserve">           一般正味財産期末残高</t>
  </si>
  <si>
    <t>Ⅱ指定正味財産増減の部</t>
  </si>
  <si>
    <t xml:space="preserve">      ①固定資産受贈益</t>
  </si>
  <si>
    <t xml:space="preserve">            固定資産受贈益</t>
  </si>
  <si>
    <t xml:space="preserve">      ②一般正味財産への振替額</t>
  </si>
  <si>
    <t xml:space="preserve">            一般正味財産への振替額</t>
  </si>
  <si>
    <t xml:space="preserve">           当期指定正味財産増減額</t>
  </si>
  <si>
    <t xml:space="preserve">           指定正味財産期首残高</t>
  </si>
  <si>
    <t xml:space="preserve">           指定正味財産期末残高</t>
  </si>
  <si>
    <t>Ⅲ正味財産期末残高</t>
  </si>
  <si>
    <t>決算見込</t>
    <rPh sb="0" eb="2">
      <t>ケッサン</t>
    </rPh>
    <rPh sb="2" eb="4">
      <t>ミコ</t>
    </rPh>
    <phoneticPr fontId="2"/>
  </si>
  <si>
    <t xml:space="preserve">            雑　収　益</t>
    <phoneticPr fontId="2"/>
  </si>
  <si>
    <t xml:space="preserve">         事　業　経　費</t>
    <phoneticPr fontId="2"/>
  </si>
  <si>
    <t xml:space="preserve">         事　業　原　価</t>
    <phoneticPr fontId="2"/>
  </si>
  <si>
    <t xml:space="preserve">          負債及び正味財産合計</t>
  </si>
  <si>
    <t xml:space="preserve">          正味財産　合計</t>
  </si>
  <si>
    <t xml:space="preserve">  ２一般　正味財産</t>
  </si>
  <si>
    <t xml:space="preserve">          （内基本財産への充当額）</t>
  </si>
  <si>
    <t xml:space="preserve">          指定正味財産合計</t>
  </si>
  <si>
    <t xml:space="preserve">  １指定　正味財産</t>
  </si>
  <si>
    <t>Ⅲ正味　財産の部</t>
  </si>
  <si>
    <t xml:space="preserve">          負　債　合　計</t>
  </si>
  <si>
    <t xml:space="preserve">          固定負債　合計</t>
  </si>
  <si>
    <t xml:space="preserve">            長　期　借入金</t>
  </si>
  <si>
    <t xml:space="preserve">  ２固　定　負　債</t>
  </si>
  <si>
    <t xml:space="preserve">          流動負債　合計</t>
  </si>
  <si>
    <t xml:space="preserve">            仮　　受　　金</t>
  </si>
  <si>
    <t xml:space="preserve">            預　　り　　金</t>
  </si>
  <si>
    <t xml:space="preserve">            未　　払　　金</t>
  </si>
  <si>
    <t xml:space="preserve">  １流　動　負　債</t>
  </si>
  <si>
    <t>Ⅱ負　債　の　部</t>
  </si>
  <si>
    <t xml:space="preserve">          資　産　合　計</t>
  </si>
  <si>
    <t xml:space="preserve">          固定資産　合計</t>
  </si>
  <si>
    <t xml:space="preserve">          その他固定資産合計</t>
  </si>
  <si>
    <t xml:space="preserve">            投資　有価証券</t>
  </si>
  <si>
    <t xml:space="preserve">            無形　固定資産</t>
  </si>
  <si>
    <t xml:space="preserve">            什　器　備　品</t>
  </si>
  <si>
    <t xml:space="preserve">            構　　築　　物</t>
  </si>
  <si>
    <t xml:space="preserve">   (2)その他固定資産</t>
  </si>
  <si>
    <t xml:space="preserve">          基本財産　合計</t>
  </si>
  <si>
    <t xml:space="preserve">            建　　　　　物</t>
  </si>
  <si>
    <t xml:space="preserve">            土　　　　　地</t>
  </si>
  <si>
    <t xml:space="preserve">   (1)基　本　財　産</t>
  </si>
  <si>
    <t xml:space="preserve">  ２固　定　資　産</t>
  </si>
  <si>
    <t xml:space="preserve">          流動資産　合計</t>
  </si>
  <si>
    <t xml:space="preserve">            仮　　払　　金</t>
  </si>
  <si>
    <t xml:space="preserve">            貯　　蔵　　品</t>
  </si>
  <si>
    <t xml:space="preserve">            棚　卸　資　産</t>
  </si>
  <si>
    <t xml:space="preserve">            未　　収　　金</t>
  </si>
  <si>
    <t xml:space="preserve">            普　通　預　金</t>
  </si>
  <si>
    <t xml:space="preserve">            現　　　　　金</t>
  </si>
  <si>
    <t xml:space="preserve">  １流　動　資　産</t>
  </si>
  <si>
    <t>Ⅰ資　産　の　部</t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</si>
  <si>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5"/>
  </si>
  <si>
    <t>収益事業等会計</t>
    <rPh sb="0" eb="2">
      <t>シュウエキ</t>
    </rPh>
    <rPh sb="2" eb="5">
      <t>ジギョウトウ</t>
    </rPh>
    <rPh sb="5" eb="7">
      <t>カイケイ</t>
    </rPh>
    <phoneticPr fontId="5"/>
  </si>
  <si>
    <t>法人会計</t>
    <rPh sb="0" eb="2">
      <t>ホウジン</t>
    </rPh>
    <rPh sb="2" eb="4">
      <t>カイケイ</t>
    </rPh>
    <phoneticPr fontId="5"/>
  </si>
  <si>
    <t>合計</t>
    <rPh sb="0" eb="2">
      <t>ゴウケイ</t>
    </rPh>
    <phoneticPr fontId="5"/>
  </si>
  <si>
    <t>公１</t>
    <rPh sb="0" eb="1">
      <t>コウ</t>
    </rPh>
    <phoneticPr fontId="5"/>
  </si>
  <si>
    <t>共通</t>
    <rPh sb="0" eb="2">
      <t>キョウツウ</t>
    </rPh>
    <phoneticPr fontId="5"/>
  </si>
  <si>
    <t>小計</t>
    <rPh sb="0" eb="2">
      <t>ショウケイ</t>
    </rPh>
    <phoneticPr fontId="5"/>
  </si>
  <si>
    <t>収１</t>
    <rPh sb="0" eb="1">
      <t>シュウ</t>
    </rPh>
    <phoneticPr fontId="5"/>
  </si>
  <si>
    <t>収２</t>
    <rPh sb="0" eb="1">
      <t>シュウ</t>
    </rPh>
    <phoneticPr fontId="5"/>
  </si>
  <si>
    <t>物品販売</t>
    <rPh sb="0" eb="4">
      <t>ブッピンハンバイ</t>
    </rPh>
    <phoneticPr fontId="5"/>
  </si>
  <si>
    <t>貸館</t>
    <rPh sb="0" eb="2">
      <t>カシカン</t>
    </rPh>
    <phoneticPr fontId="5"/>
  </si>
  <si>
    <t>民芸館</t>
    <rPh sb="0" eb="3">
      <t>ミンゲイカン</t>
    </rPh>
    <phoneticPr fontId="5"/>
  </si>
  <si>
    <t>　　　他会計振替額</t>
    <rPh sb="3" eb="4">
      <t>ホカ</t>
    </rPh>
    <rPh sb="4" eb="6">
      <t>カイケイ</t>
    </rPh>
    <rPh sb="6" eb="8">
      <t>フリカエ</t>
    </rPh>
    <rPh sb="8" eb="9">
      <t>ガク</t>
    </rPh>
    <phoneticPr fontId="2"/>
  </si>
  <si>
    <t>3月見込</t>
    <rPh sb="1" eb="2">
      <t>ガツ</t>
    </rPh>
    <rPh sb="2" eb="4">
      <t>ミコミ</t>
    </rPh>
    <phoneticPr fontId="2"/>
  </si>
  <si>
    <t>　　　 修　　繕　　費</t>
    <rPh sb="4" eb="5">
      <t>オサム</t>
    </rPh>
    <rPh sb="7" eb="8">
      <t>ゼン</t>
    </rPh>
    <rPh sb="10" eb="11">
      <t>ヒ</t>
    </rPh>
    <phoneticPr fontId="2"/>
  </si>
  <si>
    <t>　　　 福  利  厚  生  費</t>
    <rPh sb="4" eb="5">
      <t>フク</t>
    </rPh>
    <rPh sb="7" eb="8">
      <t>リ</t>
    </rPh>
    <rPh sb="10" eb="11">
      <t>アツシ</t>
    </rPh>
    <rPh sb="13" eb="14">
      <t>セイ</t>
    </rPh>
    <rPh sb="16" eb="17">
      <t>ヒ</t>
    </rPh>
    <phoneticPr fontId="2"/>
  </si>
  <si>
    <t>　　　 福  利  厚  生 費</t>
    <rPh sb="4" eb="5">
      <t>フク</t>
    </rPh>
    <rPh sb="7" eb="8">
      <t>リ</t>
    </rPh>
    <rPh sb="10" eb="11">
      <t>アツシ</t>
    </rPh>
    <rPh sb="13" eb="14">
      <t>セイ</t>
    </rPh>
    <rPh sb="15" eb="16">
      <t>ヒ</t>
    </rPh>
    <phoneticPr fontId="2"/>
  </si>
  <si>
    <t xml:space="preserve">            修　　繕　　費</t>
    <rPh sb="12" eb="13">
      <t>オサム</t>
    </rPh>
    <rPh sb="15" eb="16">
      <t>ゼン</t>
    </rPh>
    <rPh sb="18" eb="19">
      <t>ヒ</t>
    </rPh>
    <phoneticPr fontId="2"/>
  </si>
  <si>
    <t xml:space="preserve">            福  利  厚  生  費</t>
    <rPh sb="12" eb="13">
      <t>フク</t>
    </rPh>
    <rPh sb="15" eb="16">
      <t>リ</t>
    </rPh>
    <rPh sb="18" eb="19">
      <t>アツシ</t>
    </rPh>
    <rPh sb="21" eb="22">
      <t>セイ</t>
    </rPh>
    <rPh sb="24" eb="25">
      <t>ヒ</t>
    </rPh>
    <phoneticPr fontId="2"/>
  </si>
  <si>
    <t xml:space="preserve">            前　　払　　金</t>
    <rPh sb="12" eb="13">
      <t>ゼン</t>
    </rPh>
    <rPh sb="15" eb="16">
      <t>バラ</t>
    </rPh>
    <rPh sb="18" eb="19">
      <t>キン</t>
    </rPh>
    <phoneticPr fontId="2"/>
  </si>
  <si>
    <t xml:space="preserve">            受取地方公共団体補助金</t>
    <rPh sb="14" eb="20">
      <t>チホウコウキョウダンタイ</t>
    </rPh>
    <rPh sb="20" eb="23">
      <t>ホジョキン</t>
    </rPh>
    <phoneticPr fontId="2"/>
  </si>
  <si>
    <t xml:space="preserve">            受取民間補助金</t>
    <rPh sb="14" eb="16">
      <t>ミンカン</t>
    </rPh>
    <rPh sb="16" eb="19">
      <t>ホジョキン</t>
    </rPh>
    <phoneticPr fontId="2"/>
  </si>
  <si>
    <t xml:space="preserve">            賃　　借　　料</t>
    <rPh sb="12" eb="13">
      <t>チン</t>
    </rPh>
    <rPh sb="15" eb="16">
      <t>シャク</t>
    </rPh>
    <rPh sb="18" eb="19">
      <t>リョウ</t>
    </rPh>
    <phoneticPr fontId="2"/>
  </si>
  <si>
    <t xml:space="preserve">            受取地方公共団体補助金</t>
    <rPh sb="14" eb="20">
      <t>チホウコウキョウダンタイ</t>
    </rPh>
    <rPh sb="20" eb="23">
      <t>ホジョキン</t>
    </rPh>
    <phoneticPr fontId="2"/>
  </si>
  <si>
    <t>　　　実 施 事 業 経 費</t>
    <rPh sb="3" eb="4">
      <t>ミ</t>
    </rPh>
    <rPh sb="5" eb="6">
      <t>シ</t>
    </rPh>
    <rPh sb="7" eb="8">
      <t>コト</t>
    </rPh>
    <rPh sb="9" eb="10">
      <t>ギョウ</t>
    </rPh>
    <rPh sb="11" eb="12">
      <t>ヘ</t>
    </rPh>
    <rPh sb="13" eb="14">
      <t>ヒ</t>
    </rPh>
    <phoneticPr fontId="2"/>
  </si>
  <si>
    <t xml:space="preserve">            受取民間補助金</t>
    <rPh sb="14" eb="19">
      <t>ミンカンホジョキン</t>
    </rPh>
    <phoneticPr fontId="2"/>
  </si>
  <si>
    <t xml:space="preserve">            前　　払　　金</t>
    <rPh sb="12" eb="13">
      <t>ゼン</t>
    </rPh>
    <rPh sb="15" eb="16">
      <t>フツ</t>
    </rPh>
    <rPh sb="18" eb="19">
      <t>キン</t>
    </rPh>
    <phoneticPr fontId="2"/>
  </si>
  <si>
    <t xml:space="preserve">            受取地方公共団体補助金</t>
    <rPh sb="14" eb="23">
      <t>チホウコウキョウダンタイホジョキン</t>
    </rPh>
    <phoneticPr fontId="2"/>
  </si>
  <si>
    <t xml:space="preserve">            受取民間補助金</t>
    <rPh sb="14" eb="16">
      <t>ミンカン</t>
    </rPh>
    <rPh sb="16" eb="19">
      <t>ホジョキン</t>
    </rPh>
    <phoneticPr fontId="2"/>
  </si>
  <si>
    <t xml:space="preserve">            賃　　借　　料</t>
  </si>
  <si>
    <t xml:space="preserve">            賃　　借　　料</t>
    <rPh sb="12" eb="13">
      <t>チン</t>
    </rPh>
    <rPh sb="15" eb="16">
      <t>シャク</t>
    </rPh>
    <rPh sb="18" eb="19">
      <t>リョウ</t>
    </rPh>
    <phoneticPr fontId="2"/>
  </si>
  <si>
    <t>　　　 実 施 事 業 経 費</t>
    <rPh sb="4" eb="5">
      <t>ミ</t>
    </rPh>
    <rPh sb="6" eb="7">
      <t>シ</t>
    </rPh>
    <rPh sb="8" eb="9">
      <t>コト</t>
    </rPh>
    <rPh sb="10" eb="11">
      <t>ギョウ</t>
    </rPh>
    <rPh sb="12" eb="13">
      <t>ヘ</t>
    </rPh>
    <rPh sb="14" eb="15">
      <t>ヒ</t>
    </rPh>
    <phoneticPr fontId="2"/>
  </si>
  <si>
    <t>　　　  実 施 事 業 経 費</t>
    <phoneticPr fontId="2"/>
  </si>
  <si>
    <t xml:space="preserve">            古　美　術　品</t>
    <rPh sb="12" eb="13">
      <t>フル</t>
    </rPh>
    <rPh sb="14" eb="15">
      <t>ビ</t>
    </rPh>
    <rPh sb="16" eb="17">
      <t>ジュツ</t>
    </rPh>
    <rPh sb="18" eb="19">
      <t>ヒン</t>
    </rPh>
    <phoneticPr fontId="2"/>
  </si>
  <si>
    <t>令和3年度予算</t>
    <rPh sb="0" eb="2">
      <t>レイワ</t>
    </rPh>
    <rPh sb="3" eb="5">
      <t>ネンド</t>
    </rPh>
    <rPh sb="5" eb="7">
      <t>ヨサン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</si>
  <si>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</si>
  <si>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令和2年度実績</t>
    <rPh sb="0" eb="2">
      <t>レイワ</t>
    </rPh>
    <rPh sb="3" eb="5">
      <t>ネンド</t>
    </rPh>
    <rPh sb="5" eb="7">
      <t>ジッセキ</t>
    </rPh>
    <phoneticPr fontId="2"/>
  </si>
  <si>
    <t xml:space="preserve">            仮　　受　　金</t>
    <rPh sb="12" eb="13">
      <t>カリ</t>
    </rPh>
    <rPh sb="15" eb="16">
      <t>ウケ</t>
    </rPh>
    <phoneticPr fontId="2"/>
  </si>
  <si>
    <t>　　　未  払  消  費  税</t>
    <rPh sb="3" eb="4">
      <t>ミ</t>
    </rPh>
    <rPh sb="6" eb="7">
      <t>フツ</t>
    </rPh>
    <rPh sb="9" eb="10">
      <t>ショウ</t>
    </rPh>
    <rPh sb="12" eb="13">
      <t>ヒ</t>
    </rPh>
    <rPh sb="15" eb="16">
      <t>ゼイ</t>
    </rPh>
    <phoneticPr fontId="2"/>
  </si>
  <si>
    <t>1月まで実績</t>
    <rPh sb="1" eb="2">
      <t>ガツ</t>
    </rPh>
    <rPh sb="4" eb="6">
      <t>ジッセキ</t>
    </rPh>
    <phoneticPr fontId="2"/>
  </si>
  <si>
    <t>　　　一般正味財産への振替</t>
    <rPh sb="3" eb="9">
      <t>イッパンショウミザイサン</t>
    </rPh>
    <rPh sb="11" eb="12">
      <t>フ</t>
    </rPh>
    <rPh sb="12" eb="13">
      <t>カ</t>
    </rPh>
    <phoneticPr fontId="2"/>
  </si>
  <si>
    <t>令和３年度予想損益計算書</t>
    <rPh sb="0" eb="2">
      <t>レイワ</t>
    </rPh>
    <rPh sb="3" eb="5">
      <t>ネンド</t>
    </rPh>
    <rPh sb="5" eb="7">
      <t>ヨソウ</t>
    </rPh>
    <rPh sb="7" eb="9">
      <t>ソンエキ</t>
    </rPh>
    <rPh sb="9" eb="12">
      <t>ケイサンショ</t>
    </rPh>
    <phoneticPr fontId="2"/>
  </si>
  <si>
    <t>令和２年度実績</t>
    <rPh sb="0" eb="2">
      <t>レイワ</t>
    </rPh>
    <rPh sb="3" eb="5">
      <t>ネンド</t>
    </rPh>
    <rPh sb="5" eb="7">
      <t>ジッセキ</t>
    </rPh>
    <phoneticPr fontId="2"/>
  </si>
  <si>
    <t>１月まで実績</t>
    <rPh sb="1" eb="2">
      <t>ガツ</t>
    </rPh>
    <rPh sb="4" eb="6">
      <t>ジッセキ</t>
    </rPh>
    <phoneticPr fontId="2"/>
  </si>
  <si>
    <t>　　　 負　　担　　金</t>
    <rPh sb="4" eb="5">
      <t>フ</t>
    </rPh>
    <rPh sb="7" eb="8">
      <t>タン</t>
    </rPh>
    <rPh sb="10" eb="11">
      <t>キン</t>
    </rPh>
    <phoneticPr fontId="2"/>
  </si>
  <si>
    <t>令和４年度予算貸借対照表</t>
    <rPh sb="0" eb="2">
      <t>レイワ</t>
    </rPh>
    <rPh sb="3" eb="5">
      <t>ネンド</t>
    </rPh>
    <rPh sb="5" eb="7">
      <t>ヨサン</t>
    </rPh>
    <rPh sb="7" eb="9">
      <t>タイシャク</t>
    </rPh>
    <rPh sb="9" eb="12">
      <t>タイショウヒョウ</t>
    </rPh>
    <phoneticPr fontId="2"/>
  </si>
  <si>
    <t>令和４年度予算</t>
    <rPh sb="0" eb="2">
      <t>レイワ</t>
    </rPh>
    <rPh sb="3" eb="5">
      <t>ネンド</t>
    </rPh>
    <rPh sb="5" eb="7">
      <t>ヨサン</t>
    </rPh>
    <phoneticPr fontId="2"/>
  </si>
  <si>
    <t>令和３年度実績見込</t>
    <rPh sb="0" eb="2">
      <t>レイワ</t>
    </rPh>
    <rPh sb="3" eb="5">
      <t>ネンド</t>
    </rPh>
    <rPh sb="5" eb="7">
      <t>ジッセキ</t>
    </rPh>
    <rPh sb="7" eb="9">
      <t>ミコミ</t>
    </rPh>
    <phoneticPr fontId="2"/>
  </si>
  <si>
    <t>令和４年度予算損益計算書</t>
    <rPh sb="0" eb="2">
      <t>レイワ</t>
    </rPh>
    <rPh sb="3" eb="5">
      <t>ネンド</t>
    </rPh>
    <rPh sb="5" eb="7">
      <t>ヨサン</t>
    </rPh>
    <rPh sb="7" eb="9">
      <t>ソンエキ</t>
    </rPh>
    <rPh sb="9" eb="12">
      <t>ケイサンショ</t>
    </rPh>
    <phoneticPr fontId="2"/>
  </si>
  <si>
    <t>日本博イノベーション型プロジェクト</t>
    <rPh sb="0" eb="3">
      <t>ニホンハク</t>
    </rPh>
    <rPh sb="10" eb="11">
      <t>ガタ</t>
    </rPh>
    <phoneticPr fontId="2"/>
  </si>
  <si>
    <t>令和３年度予想損益計算書内訳</t>
    <rPh sb="0" eb="2">
      <t>レイワ</t>
    </rPh>
    <rPh sb="3" eb="5">
      <t>ネンド</t>
    </rPh>
    <rPh sb="5" eb="7">
      <t>ヨソウ</t>
    </rPh>
    <rPh sb="7" eb="9">
      <t>ソンエキ</t>
    </rPh>
    <rPh sb="9" eb="12">
      <t>ケイサンショ</t>
    </rPh>
    <rPh sb="12" eb="14">
      <t>ウチワケ</t>
    </rPh>
    <phoneticPr fontId="2"/>
  </si>
  <si>
    <t>令和４年度予算損益計算書内訳</t>
    <rPh sb="0" eb="2">
      <t>レイワ</t>
    </rPh>
    <rPh sb="3" eb="5">
      <t>ネンド</t>
    </rPh>
    <rPh sb="5" eb="7">
      <t>ヨサン</t>
    </rPh>
    <rPh sb="7" eb="9">
      <t>ソンエキ</t>
    </rPh>
    <rPh sb="9" eb="12">
      <t>ケイサンショ</t>
    </rPh>
    <rPh sb="12" eb="14">
      <t>ウチワケ</t>
    </rPh>
    <phoneticPr fontId="2"/>
  </si>
  <si>
    <t>令和3年度予想貸借対照表</t>
    <rPh sb="0" eb="2">
      <t>レイワ</t>
    </rPh>
    <rPh sb="3" eb="5">
      <t>ネンド</t>
    </rPh>
    <rPh sb="5" eb="7">
      <t>ヨソウ</t>
    </rPh>
    <rPh sb="7" eb="9">
      <t>タイシャク</t>
    </rPh>
    <rPh sb="9" eb="12">
      <t>タイショウヒョウ</t>
    </rPh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</si>
  <si>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</si>
  <si>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令和4年度予算</t>
    <rPh sb="0" eb="2">
      <t>レイワ</t>
    </rPh>
    <rPh sb="3" eb="5">
      <t>ネンド</t>
    </rPh>
    <rPh sb="5" eb="7">
      <t>ヨサン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</si>
</sst>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176" fontId="4" fillId="0" borderId="9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176" fontId="4" fillId="2" borderId="1" xfId="1" applyNumberFormat="1" applyFont="1" applyFill="1" applyBorder="1">
      <alignment vertical="center"/>
    </xf>
    <xf numFmtId="176" fontId="4" fillId="4" borderId="1" xfId="1" applyNumberFormat="1" applyFont="1" applyFill="1" applyBorder="1">
      <alignment vertical="center"/>
    </xf>
    <xf numFmtId="176" fontId="4" fillId="3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4" fillId="0" borderId="11" xfId="1" applyFont="1" applyBorder="1" applyAlignment="1">
      <alignment vertical="center" shrinkToFit="1"/>
    </xf>
    <xf numFmtId="176" fontId="4" fillId="0" borderId="2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176" fontId="4" fillId="0" borderId="16" xfId="1" applyNumberFormat="1" applyFont="1" applyBorder="1" applyAlignment="1">
      <alignment horizontal="center" vertical="center"/>
    </xf>
    <xf numFmtId="38" fontId="4" fillId="0" borderId="8" xfId="1" applyFont="1" applyBorder="1" applyAlignment="1">
      <alignment vertical="center" shrinkToFit="1"/>
    </xf>
    <xf numFmtId="176" fontId="4" fillId="0" borderId="10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4" fillId="0" borderId="17" xfId="1" applyNumberFormat="1" applyFont="1" applyBorder="1" applyAlignment="1">
      <alignment horizontal="center" vertical="center"/>
    </xf>
    <xf numFmtId="176" fontId="4" fillId="0" borderId="10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176" fontId="5" fillId="0" borderId="17" xfId="1" applyNumberFormat="1" applyFont="1" applyBorder="1">
      <alignment vertical="center"/>
    </xf>
    <xf numFmtId="176" fontId="4" fillId="0" borderId="17" xfId="1" applyNumberFormat="1" applyFont="1" applyBorder="1">
      <alignment vertical="center"/>
    </xf>
    <xf numFmtId="38" fontId="4" fillId="2" borderId="8" xfId="1" applyFont="1" applyFill="1" applyBorder="1" applyAlignment="1">
      <alignment vertical="center" shrinkToFit="1"/>
    </xf>
    <xf numFmtId="176" fontId="4" fillId="2" borderId="10" xfId="1" applyNumberFormat="1" applyFont="1" applyFill="1" applyBorder="1">
      <alignment vertical="center"/>
    </xf>
    <xf numFmtId="176" fontId="5" fillId="2" borderId="8" xfId="1" applyNumberFormat="1" applyFont="1" applyFill="1" applyBorder="1">
      <alignment vertical="center"/>
    </xf>
    <xf numFmtId="176" fontId="5" fillId="2" borderId="17" xfId="1" applyNumberFormat="1" applyFont="1" applyFill="1" applyBorder="1">
      <alignment vertical="center"/>
    </xf>
    <xf numFmtId="176" fontId="4" fillId="2" borderId="17" xfId="1" applyNumberFormat="1" applyFont="1" applyFill="1" applyBorder="1">
      <alignment vertical="center"/>
    </xf>
    <xf numFmtId="176" fontId="5" fillId="2" borderId="1" xfId="1" applyNumberFormat="1" applyFont="1" applyFill="1" applyBorder="1">
      <alignment vertical="center"/>
    </xf>
    <xf numFmtId="38" fontId="4" fillId="4" borderId="8" xfId="1" applyFont="1" applyFill="1" applyBorder="1" applyAlignment="1">
      <alignment vertical="center" shrinkToFit="1"/>
    </xf>
    <xf numFmtId="176" fontId="4" fillId="4" borderId="10" xfId="1" applyNumberFormat="1" applyFont="1" applyFill="1" applyBorder="1">
      <alignment vertical="center"/>
    </xf>
    <xf numFmtId="176" fontId="5" fillId="4" borderId="8" xfId="1" applyNumberFormat="1" applyFont="1" applyFill="1" applyBorder="1">
      <alignment vertical="center"/>
    </xf>
    <xf numFmtId="176" fontId="5" fillId="4" borderId="17" xfId="1" applyNumberFormat="1" applyFont="1" applyFill="1" applyBorder="1">
      <alignment vertical="center"/>
    </xf>
    <xf numFmtId="176" fontId="4" fillId="4" borderId="17" xfId="1" applyNumberFormat="1" applyFont="1" applyFill="1" applyBorder="1">
      <alignment vertical="center"/>
    </xf>
    <xf numFmtId="38" fontId="4" fillId="3" borderId="8" xfId="1" applyFont="1" applyFill="1" applyBorder="1" applyAlignment="1">
      <alignment vertical="center" shrinkToFit="1"/>
    </xf>
    <xf numFmtId="176" fontId="4" fillId="3" borderId="12" xfId="1" applyNumberFormat="1" applyFont="1" applyFill="1" applyBorder="1">
      <alignment vertical="center"/>
    </xf>
    <xf numFmtId="176" fontId="5" fillId="3" borderId="8" xfId="1" applyNumberFormat="1" applyFont="1" applyFill="1" applyBorder="1">
      <alignment vertical="center"/>
    </xf>
    <xf numFmtId="176" fontId="5" fillId="3" borderId="17" xfId="1" applyNumberFormat="1" applyFont="1" applyFill="1" applyBorder="1">
      <alignment vertical="center"/>
    </xf>
    <xf numFmtId="176" fontId="4" fillId="3" borderId="17" xfId="1" applyNumberFormat="1" applyFont="1" applyFill="1" applyBorder="1">
      <alignment vertical="center"/>
    </xf>
    <xf numFmtId="176" fontId="4" fillId="3" borderId="10" xfId="1" applyNumberFormat="1" applyFont="1" applyFill="1" applyBorder="1">
      <alignment vertical="center"/>
    </xf>
    <xf numFmtId="0" fontId="4" fillId="0" borderId="0" xfId="0" applyFont="1" applyAlignment="1">
      <alignment vertical="center" shrinkToFit="1"/>
    </xf>
    <xf numFmtId="176" fontId="4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4" fillId="0" borderId="23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176" fontId="5" fillId="0" borderId="16" xfId="1" applyNumberFormat="1" applyFont="1" applyBorder="1">
      <alignment vertical="center"/>
    </xf>
    <xf numFmtId="176" fontId="4" fillId="0" borderId="12" xfId="1" applyNumberFormat="1" applyFont="1" applyBorder="1">
      <alignment vertical="center"/>
    </xf>
    <xf numFmtId="176" fontId="5" fillId="0" borderId="0" xfId="1" applyNumberFormat="1" applyFont="1">
      <alignment vertical="center"/>
    </xf>
    <xf numFmtId="176" fontId="0" fillId="0" borderId="0" xfId="0" applyNumberFormat="1">
      <alignment vertical="center"/>
    </xf>
    <xf numFmtId="176" fontId="4" fillId="0" borderId="22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/>
    </xf>
    <xf numFmtId="176" fontId="4" fillId="0" borderId="11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5" fillId="0" borderId="0" xfId="1" applyNumberFormat="1" applyFont="1" applyAlignment="1">
      <alignment horizontal="center" vertical="center" shrinkToFit="1"/>
    </xf>
    <xf numFmtId="176" fontId="4" fillId="0" borderId="1" xfId="1" applyNumberFormat="1" applyFont="1" applyBorder="1" applyAlignment="1">
      <alignment horizontal="center" vertical="center" shrinkToFit="1"/>
    </xf>
    <xf numFmtId="176" fontId="4" fillId="0" borderId="2" xfId="1" applyNumberFormat="1" applyFont="1" applyBorder="1" applyAlignment="1">
      <alignment vertical="center" shrinkToFit="1"/>
    </xf>
    <xf numFmtId="176" fontId="4" fillId="0" borderId="1" xfId="1" applyNumberFormat="1" applyFont="1" applyBorder="1" applyAlignment="1">
      <alignment vertical="center" shrinkToFit="1"/>
    </xf>
    <xf numFmtId="176" fontId="4" fillId="0" borderId="0" xfId="1" applyNumberFormat="1" applyFont="1" applyAlignment="1">
      <alignment vertical="center" shrinkToFit="1"/>
    </xf>
    <xf numFmtId="176" fontId="4" fillId="0" borderId="2" xfId="1" applyNumberFormat="1" applyFont="1" applyBorder="1" applyAlignment="1">
      <alignment horizontal="center" vertical="center" shrinkToFit="1"/>
    </xf>
    <xf numFmtId="176" fontId="4" fillId="2" borderId="1" xfId="1" applyNumberFormat="1" applyFont="1" applyFill="1" applyBorder="1" applyAlignment="1">
      <alignment vertical="center" shrinkToFit="1"/>
    </xf>
    <xf numFmtId="176" fontId="4" fillId="4" borderId="1" xfId="1" applyNumberFormat="1" applyFont="1" applyFill="1" applyBorder="1" applyAlignment="1">
      <alignment vertical="center" shrinkToFit="1"/>
    </xf>
    <xf numFmtId="176" fontId="4" fillId="3" borderId="1" xfId="1" applyNumberFormat="1" applyFont="1" applyFill="1" applyBorder="1" applyAlignment="1">
      <alignment vertical="center" shrinkToFit="1"/>
    </xf>
    <xf numFmtId="38" fontId="6" fillId="0" borderId="27" xfId="1" applyFont="1" applyBorder="1" applyAlignment="1">
      <alignment vertical="center" shrinkToFit="1"/>
    </xf>
    <xf numFmtId="38" fontId="6" fillId="0" borderId="24" xfId="1" applyFont="1" applyBorder="1" applyAlignment="1">
      <alignment vertical="center" shrinkToFit="1"/>
    </xf>
    <xf numFmtId="38" fontId="6" fillId="2" borderId="24" xfId="1" applyFont="1" applyFill="1" applyBorder="1" applyAlignment="1">
      <alignment vertical="center" shrinkToFit="1"/>
    </xf>
    <xf numFmtId="38" fontId="6" fillId="4" borderId="24" xfId="1" applyFont="1" applyFill="1" applyBorder="1" applyAlignment="1">
      <alignment vertical="center" shrinkToFit="1"/>
    </xf>
    <xf numFmtId="38" fontId="6" fillId="3" borderId="24" xfId="1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176" fontId="7" fillId="0" borderId="4" xfId="1" applyNumberFormat="1" applyFont="1" applyBorder="1" applyAlignment="1">
      <alignment horizontal="center" vertical="center" shrinkToFit="1"/>
    </xf>
    <xf numFmtId="176" fontId="4" fillId="3" borderId="8" xfId="0" applyNumberFormat="1" applyFont="1" applyFill="1" applyBorder="1">
      <alignment vertical="center"/>
    </xf>
    <xf numFmtId="176" fontId="4" fillId="5" borderId="8" xfId="0" applyNumberFormat="1" applyFont="1" applyFill="1" applyBorder="1">
      <alignment vertical="center"/>
    </xf>
    <xf numFmtId="176" fontId="4" fillId="5" borderId="12" xfId="1" applyNumberFormat="1" applyFont="1" applyFill="1" applyBorder="1">
      <alignment vertical="center"/>
    </xf>
    <xf numFmtId="176" fontId="4" fillId="5" borderId="1" xfId="1" applyNumberFormat="1" applyFont="1" applyFill="1" applyBorder="1">
      <alignment vertical="center"/>
    </xf>
    <xf numFmtId="176" fontId="5" fillId="5" borderId="8" xfId="1" applyNumberFormat="1" applyFont="1" applyFill="1" applyBorder="1">
      <alignment vertical="center"/>
    </xf>
    <xf numFmtId="176" fontId="5" fillId="5" borderId="17" xfId="1" applyNumberFormat="1" applyFont="1" applyFill="1" applyBorder="1">
      <alignment vertical="center"/>
    </xf>
    <xf numFmtId="176" fontId="4" fillId="5" borderId="10" xfId="1" applyNumberFormat="1" applyFont="1" applyFill="1" applyBorder="1">
      <alignment vertical="center"/>
    </xf>
    <xf numFmtId="176" fontId="4" fillId="2" borderId="8" xfId="0" applyNumberFormat="1" applyFont="1" applyFill="1" applyBorder="1">
      <alignment vertical="center"/>
    </xf>
    <xf numFmtId="176" fontId="4" fillId="2" borderId="12" xfId="1" applyNumberFormat="1" applyFont="1" applyFill="1" applyBorder="1">
      <alignment vertical="center"/>
    </xf>
    <xf numFmtId="176" fontId="4" fillId="0" borderId="10" xfId="1" applyNumberFormat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176" fontId="4" fillId="0" borderId="24" xfId="1" applyNumberFormat="1" applyFont="1" applyBorder="1" applyAlignment="1">
      <alignment vertical="center" shrinkToFit="1"/>
    </xf>
    <xf numFmtId="176" fontId="4" fillId="2" borderId="24" xfId="1" applyNumberFormat="1" applyFont="1" applyFill="1" applyBorder="1" applyAlignment="1">
      <alignment vertical="center" shrinkToFit="1"/>
    </xf>
    <xf numFmtId="176" fontId="4" fillId="4" borderId="24" xfId="1" applyNumberFormat="1" applyFont="1" applyFill="1" applyBorder="1" applyAlignment="1">
      <alignment vertical="center" shrinkToFit="1"/>
    </xf>
    <xf numFmtId="176" fontId="4" fillId="3" borderId="24" xfId="1" applyNumberFormat="1" applyFont="1" applyFill="1" applyBorder="1" applyAlignment="1">
      <alignment vertical="center" shrinkToFit="1"/>
    </xf>
    <xf numFmtId="176" fontId="4" fillId="5" borderId="17" xfId="1" applyNumberFormat="1" applyFont="1" applyFill="1" applyBorder="1">
      <alignment vertical="center"/>
    </xf>
    <xf numFmtId="176" fontId="4" fillId="0" borderId="36" xfId="1" applyNumberFormat="1" applyFont="1" applyBorder="1" applyAlignment="1">
      <alignment horizontal="center" vertical="center"/>
    </xf>
    <xf numFmtId="176" fontId="4" fillId="0" borderId="33" xfId="1" applyNumberFormat="1" applyFont="1" applyBorder="1" applyAlignment="1">
      <alignment horizontal="center" vertical="center"/>
    </xf>
    <xf numFmtId="176" fontId="4" fillId="0" borderId="33" xfId="1" applyNumberFormat="1" applyFont="1" applyBorder="1">
      <alignment vertical="center"/>
    </xf>
    <xf numFmtId="176" fontId="4" fillId="0" borderId="34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5" borderId="33" xfId="1" applyNumberFormat="1" applyFont="1" applyFill="1" applyBorder="1">
      <alignment vertical="center"/>
    </xf>
    <xf numFmtId="176" fontId="4" fillId="2" borderId="33" xfId="1" applyNumberFormat="1" applyFont="1" applyFill="1" applyBorder="1">
      <alignment vertical="center"/>
    </xf>
    <xf numFmtId="176" fontId="4" fillId="4" borderId="33" xfId="1" applyNumberFormat="1" applyFont="1" applyFill="1" applyBorder="1">
      <alignment vertical="center"/>
    </xf>
    <xf numFmtId="38" fontId="4" fillId="0" borderId="1" xfId="1" applyFont="1" applyBorder="1" applyAlignment="1">
      <alignment horizontal="center" vertical="center" shrinkToFit="1"/>
    </xf>
    <xf numFmtId="176" fontId="4" fillId="0" borderId="20" xfId="1" applyNumberFormat="1" applyFont="1" applyBorder="1" applyAlignment="1">
      <alignment horizontal="center" vertical="center"/>
    </xf>
    <xf numFmtId="176" fontId="4" fillId="0" borderId="19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176" fontId="4" fillId="0" borderId="6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15" xfId="1" applyNumberFormat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176" fontId="7" fillId="0" borderId="25" xfId="1" applyNumberFormat="1" applyFont="1" applyBorder="1" applyAlignment="1">
      <alignment horizontal="center" vertical="center" shrinkToFit="1"/>
    </xf>
    <xf numFmtId="176" fontId="7" fillId="0" borderId="28" xfId="1" applyNumberFormat="1" applyFont="1" applyBorder="1" applyAlignment="1">
      <alignment horizontal="center" vertical="center" shrinkToFit="1"/>
    </xf>
    <xf numFmtId="38" fontId="7" fillId="0" borderId="24" xfId="1" applyFont="1" applyBorder="1" applyAlignment="1">
      <alignment horizontal="center" vertical="center" shrinkToFit="1"/>
    </xf>
    <xf numFmtId="38" fontId="7" fillId="0" borderId="29" xfId="1" applyFont="1" applyBorder="1" applyAlignment="1">
      <alignment horizontal="center" vertical="center" shrinkToFit="1"/>
    </xf>
    <xf numFmtId="38" fontId="7" fillId="0" borderId="26" xfId="1" applyFont="1" applyBorder="1" applyAlignment="1">
      <alignment horizontal="center" vertical="center" shrinkToFit="1"/>
    </xf>
    <xf numFmtId="176" fontId="7" fillId="0" borderId="4" xfId="1" applyNumberFormat="1" applyFont="1" applyBorder="1" applyAlignment="1">
      <alignment horizontal="center" vertical="center" shrinkToFit="1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</cellXfs>
  <cellStyles count="3">
    <cellStyle name="桁区切り" xfId="1" builtinId="6"/>
    <cellStyle name="桁区切り 2" xfId="2" xr:uid="{68645502-794B-468D-8B50-4C1E68915C54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E2890-2FFC-42BF-BC59-B412DAF3C057}">
  <sheetPr>
    <pageSetUpPr fitToPage="1"/>
  </sheetPr>
  <dimension ref="A1:G47"/>
  <sheetViews>
    <sheetView zoomScale="80" zoomScaleNormal="80" workbookViewId="0">
      <selection activeCell="A3" sqref="A3:A4"/>
    </sheetView>
  </sheetViews>
  <sheetFormatPr defaultRowHeight="24" x14ac:dyDescent="0.4"/>
  <cols>
    <col min="1" max="1" width="37.5" style="59" customWidth="1"/>
    <col min="2" max="3" width="22.5" style="7" customWidth="1"/>
    <col min="4" max="4" width="27.625" style="50" customWidth="1"/>
    <col min="5" max="5" width="27.5" style="50" customWidth="1"/>
    <col min="6" max="6" width="24.875" style="59" customWidth="1"/>
    <col min="7" max="7" width="9" style="51"/>
  </cols>
  <sheetData>
    <row r="1" spans="1:6" ht="24" customHeight="1" x14ac:dyDescent="0.4">
      <c r="A1" s="111" t="s">
        <v>165</v>
      </c>
      <c r="B1" s="111"/>
      <c r="C1" s="111"/>
      <c r="D1" s="111"/>
      <c r="E1" s="111"/>
      <c r="F1" s="111"/>
    </row>
    <row r="2" spans="1:6" ht="24" customHeight="1" x14ac:dyDescent="0.4">
      <c r="A2" s="112"/>
      <c r="B2" s="112"/>
      <c r="C2" s="112"/>
      <c r="D2" s="112"/>
      <c r="E2" s="112"/>
      <c r="F2" s="112"/>
    </row>
    <row r="3" spans="1:6" x14ac:dyDescent="0.4">
      <c r="A3" s="109" t="s">
        <v>0</v>
      </c>
      <c r="B3" s="102" t="s">
        <v>148</v>
      </c>
      <c r="C3" s="103"/>
      <c r="D3" s="104"/>
      <c r="E3" s="105" t="s">
        <v>149</v>
      </c>
      <c r="F3" s="107" t="s">
        <v>1</v>
      </c>
    </row>
    <row r="4" spans="1:6" ht="24.75" thickBot="1" x14ac:dyDescent="0.45">
      <c r="A4" s="110"/>
      <c r="B4" s="52" t="s">
        <v>152</v>
      </c>
      <c r="C4" s="53" t="s">
        <v>126</v>
      </c>
      <c r="D4" s="54" t="s">
        <v>70</v>
      </c>
      <c r="E4" s="106"/>
      <c r="F4" s="108"/>
    </row>
    <row r="5" spans="1:6" ht="24.75" thickTop="1" x14ac:dyDescent="0.4">
      <c r="A5" s="55" t="s">
        <v>112</v>
      </c>
      <c r="B5" s="45"/>
      <c r="C5" s="46"/>
      <c r="D5" s="47"/>
      <c r="E5" s="48"/>
      <c r="F5" s="56"/>
    </row>
    <row r="6" spans="1:6" x14ac:dyDescent="0.4">
      <c r="A6" s="57" t="s">
        <v>111</v>
      </c>
      <c r="B6" s="49"/>
      <c r="C6" s="3"/>
      <c r="D6" s="22"/>
      <c r="E6" s="23"/>
      <c r="F6" s="58"/>
    </row>
    <row r="7" spans="1:6" x14ac:dyDescent="0.4">
      <c r="A7" s="57" t="s">
        <v>110</v>
      </c>
      <c r="B7" s="49">
        <v>68459</v>
      </c>
      <c r="C7" s="3">
        <v>1541</v>
      </c>
      <c r="D7" s="22">
        <f>B7+C7</f>
        <v>70000</v>
      </c>
      <c r="E7" s="23">
        <v>69119</v>
      </c>
      <c r="F7" s="21">
        <f>D7-E7</f>
        <v>881</v>
      </c>
    </row>
    <row r="8" spans="1:6" x14ac:dyDescent="0.4">
      <c r="A8" s="57" t="s">
        <v>109</v>
      </c>
      <c r="B8" s="49">
        <v>5374492</v>
      </c>
      <c r="C8" s="3">
        <v>-1242091</v>
      </c>
      <c r="D8" s="22">
        <f t="shared" ref="D8:D14" si="0">B8+C8</f>
        <v>4132401</v>
      </c>
      <c r="E8" s="23">
        <v>1100183</v>
      </c>
      <c r="F8" s="21">
        <f t="shared" ref="F8:F47" si="1">D8-E8</f>
        <v>3032218</v>
      </c>
    </row>
    <row r="9" spans="1:6" x14ac:dyDescent="0.4">
      <c r="A9" s="57" t="s">
        <v>108</v>
      </c>
      <c r="B9" s="49">
        <v>3034499</v>
      </c>
      <c r="C9" s="3">
        <v>-2834499</v>
      </c>
      <c r="D9" s="22">
        <f t="shared" si="0"/>
        <v>200000</v>
      </c>
      <c r="E9" s="23">
        <v>583863</v>
      </c>
      <c r="F9" s="21">
        <f t="shared" si="1"/>
        <v>-383863</v>
      </c>
    </row>
    <row r="10" spans="1:6" x14ac:dyDescent="0.4">
      <c r="A10" s="57" t="s">
        <v>132</v>
      </c>
      <c r="B10" s="49">
        <v>76548</v>
      </c>
      <c r="C10" s="3">
        <v>-26548</v>
      </c>
      <c r="D10" s="22">
        <f t="shared" ref="D10" si="2">B10+C10</f>
        <v>50000</v>
      </c>
      <c r="E10" s="23">
        <v>76548</v>
      </c>
      <c r="F10" s="21">
        <f t="shared" ref="F10" si="3">D10-E10</f>
        <v>-26548</v>
      </c>
    </row>
    <row r="11" spans="1:6" x14ac:dyDescent="0.4">
      <c r="A11" s="57" t="s">
        <v>107</v>
      </c>
      <c r="B11" s="49">
        <v>486627</v>
      </c>
      <c r="C11" s="3">
        <v>-36627</v>
      </c>
      <c r="D11" s="22">
        <f t="shared" si="0"/>
        <v>450000</v>
      </c>
      <c r="E11" s="23">
        <v>486627</v>
      </c>
      <c r="F11" s="21">
        <f t="shared" si="1"/>
        <v>-36627</v>
      </c>
    </row>
    <row r="12" spans="1:6" x14ac:dyDescent="0.4">
      <c r="A12" s="57" t="s">
        <v>106</v>
      </c>
      <c r="B12" s="49"/>
      <c r="C12" s="3"/>
      <c r="D12" s="22">
        <f t="shared" si="0"/>
        <v>0</v>
      </c>
      <c r="E12" s="23"/>
      <c r="F12" s="21">
        <f t="shared" si="1"/>
        <v>0</v>
      </c>
    </row>
    <row r="13" spans="1:6" x14ac:dyDescent="0.4">
      <c r="A13" s="57" t="s">
        <v>105</v>
      </c>
      <c r="B13" s="49">
        <v>30000</v>
      </c>
      <c r="C13" s="3"/>
      <c r="D13" s="22">
        <f t="shared" si="0"/>
        <v>30000</v>
      </c>
      <c r="E13" s="23">
        <v>30000</v>
      </c>
      <c r="F13" s="21">
        <f t="shared" si="1"/>
        <v>0</v>
      </c>
    </row>
    <row r="14" spans="1:6" x14ac:dyDescent="0.4">
      <c r="A14" s="84" t="s">
        <v>104</v>
      </c>
      <c r="B14" s="85">
        <f>SUM(B7:B13)</f>
        <v>9070625</v>
      </c>
      <c r="C14" s="4">
        <f>SUM(C7:C13)</f>
        <v>-4138224</v>
      </c>
      <c r="D14" s="27">
        <f t="shared" si="0"/>
        <v>4932401</v>
      </c>
      <c r="E14" s="28">
        <f>SUM(E7:E13)</f>
        <v>2346340</v>
      </c>
      <c r="F14" s="26">
        <f t="shared" si="1"/>
        <v>2586061</v>
      </c>
    </row>
    <row r="15" spans="1:6" x14ac:dyDescent="0.4">
      <c r="A15" s="57" t="s">
        <v>103</v>
      </c>
      <c r="B15" s="49"/>
      <c r="C15" s="3"/>
      <c r="D15" s="22"/>
      <c r="E15" s="23"/>
      <c r="F15" s="21"/>
    </row>
    <row r="16" spans="1:6" x14ac:dyDescent="0.4">
      <c r="A16" s="57" t="s">
        <v>102</v>
      </c>
      <c r="B16" s="49"/>
      <c r="C16" s="3"/>
      <c r="D16" s="22"/>
      <c r="E16" s="23"/>
      <c r="F16" s="21"/>
    </row>
    <row r="17" spans="1:6" x14ac:dyDescent="0.4">
      <c r="A17" s="57" t="s">
        <v>101</v>
      </c>
      <c r="B17" s="49">
        <v>110119499</v>
      </c>
      <c r="C17" s="3"/>
      <c r="D17" s="22">
        <f t="shared" ref="D17:D20" si="4">B17+C17</f>
        <v>110119499</v>
      </c>
      <c r="E17" s="23">
        <v>110119499</v>
      </c>
      <c r="F17" s="21">
        <f t="shared" si="1"/>
        <v>0</v>
      </c>
    </row>
    <row r="18" spans="1:6" x14ac:dyDescent="0.4">
      <c r="A18" s="57" t="s">
        <v>100</v>
      </c>
      <c r="B18" s="49">
        <v>1938222</v>
      </c>
      <c r="C18" s="3">
        <v>-120273</v>
      </c>
      <c r="D18" s="22">
        <f t="shared" si="4"/>
        <v>1817949</v>
      </c>
      <c r="E18" s="23">
        <v>1938222</v>
      </c>
      <c r="F18" s="21">
        <f t="shared" si="1"/>
        <v>-120273</v>
      </c>
    </row>
    <row r="19" spans="1:6" x14ac:dyDescent="0.4">
      <c r="A19" s="57" t="s">
        <v>146</v>
      </c>
      <c r="B19" s="49">
        <v>17517453</v>
      </c>
      <c r="C19" s="3"/>
      <c r="D19" s="22">
        <f t="shared" si="4"/>
        <v>17517453</v>
      </c>
      <c r="E19" s="23">
        <v>17517453</v>
      </c>
      <c r="F19" s="21">
        <f t="shared" si="1"/>
        <v>0</v>
      </c>
    </row>
    <row r="20" spans="1:6" x14ac:dyDescent="0.4">
      <c r="A20" s="57" t="s">
        <v>99</v>
      </c>
      <c r="B20" s="49">
        <f>SUM(B17:B19)</f>
        <v>129575174</v>
      </c>
      <c r="C20" s="3">
        <f>SUM(C17:C19)</f>
        <v>-120273</v>
      </c>
      <c r="D20" s="22">
        <f t="shared" si="4"/>
        <v>129454901</v>
      </c>
      <c r="E20" s="23">
        <v>129575174</v>
      </c>
      <c r="F20" s="21">
        <f t="shared" si="1"/>
        <v>-120273</v>
      </c>
    </row>
    <row r="21" spans="1:6" x14ac:dyDescent="0.4">
      <c r="A21" s="57" t="s">
        <v>98</v>
      </c>
      <c r="B21" s="49"/>
      <c r="C21" s="3"/>
      <c r="D21" s="22"/>
      <c r="E21" s="23"/>
      <c r="F21" s="21"/>
    </row>
    <row r="22" spans="1:6" x14ac:dyDescent="0.4">
      <c r="A22" s="57" t="s">
        <v>97</v>
      </c>
      <c r="B22" s="49">
        <v>1</v>
      </c>
      <c r="C22" s="3"/>
      <c r="D22" s="22">
        <f t="shared" ref="D22:D26" si="5">B22+C22</f>
        <v>1</v>
      </c>
      <c r="E22" s="23">
        <v>1</v>
      </c>
      <c r="F22" s="21">
        <f t="shared" si="1"/>
        <v>0</v>
      </c>
    </row>
    <row r="23" spans="1:6" x14ac:dyDescent="0.4">
      <c r="A23" s="57" t="s">
        <v>96</v>
      </c>
      <c r="B23" s="49">
        <v>516891</v>
      </c>
      <c r="C23" s="3">
        <v>-134117</v>
      </c>
      <c r="D23" s="22">
        <f t="shared" si="5"/>
        <v>382774</v>
      </c>
      <c r="E23" s="23">
        <v>516891</v>
      </c>
      <c r="F23" s="21">
        <f t="shared" si="1"/>
        <v>-134117</v>
      </c>
    </row>
    <row r="24" spans="1:6" x14ac:dyDescent="0.4">
      <c r="A24" s="57" t="s">
        <v>95</v>
      </c>
      <c r="B24" s="49">
        <v>931953</v>
      </c>
      <c r="C24" s="3">
        <v>-217453</v>
      </c>
      <c r="D24" s="22">
        <f t="shared" si="5"/>
        <v>714500</v>
      </c>
      <c r="E24" s="23">
        <v>326183</v>
      </c>
      <c r="F24" s="21">
        <f t="shared" si="1"/>
        <v>388317</v>
      </c>
    </row>
    <row r="25" spans="1:6" x14ac:dyDescent="0.4">
      <c r="A25" s="57" t="s">
        <v>94</v>
      </c>
      <c r="B25" s="49">
        <v>5000</v>
      </c>
      <c r="C25" s="3"/>
      <c r="D25" s="22">
        <f t="shared" si="5"/>
        <v>5000</v>
      </c>
      <c r="E25" s="23">
        <v>5000</v>
      </c>
      <c r="F25" s="21">
        <f t="shared" si="1"/>
        <v>0</v>
      </c>
    </row>
    <row r="26" spans="1:6" x14ac:dyDescent="0.4">
      <c r="A26" s="57" t="s">
        <v>93</v>
      </c>
      <c r="B26" s="49">
        <f>SUM(B22:B25)</f>
        <v>1453845</v>
      </c>
      <c r="C26" s="3">
        <f>SUM(C22:C25)</f>
        <v>-351570</v>
      </c>
      <c r="D26" s="22">
        <f t="shared" si="5"/>
        <v>1102275</v>
      </c>
      <c r="E26" s="23">
        <v>848075</v>
      </c>
      <c r="F26" s="21">
        <f t="shared" si="1"/>
        <v>254200</v>
      </c>
    </row>
    <row r="27" spans="1:6" x14ac:dyDescent="0.4">
      <c r="A27" s="84" t="s">
        <v>92</v>
      </c>
      <c r="B27" s="85">
        <f>B20+B26</f>
        <v>131029019</v>
      </c>
      <c r="C27" s="4">
        <f>C20+C26</f>
        <v>-471843</v>
      </c>
      <c r="D27" s="27">
        <f>B27+C27</f>
        <v>130557176</v>
      </c>
      <c r="E27" s="28">
        <f>E20+E26</f>
        <v>130423249</v>
      </c>
      <c r="F27" s="26">
        <f t="shared" si="1"/>
        <v>133927</v>
      </c>
    </row>
    <row r="28" spans="1:6" x14ac:dyDescent="0.4">
      <c r="A28" s="78" t="s">
        <v>91</v>
      </c>
      <c r="B28" s="79">
        <f>B27+B14</f>
        <v>140099644</v>
      </c>
      <c r="C28" s="80">
        <f>C14+C27</f>
        <v>-4610067</v>
      </c>
      <c r="D28" s="81">
        <f>B28+C28</f>
        <v>135489577</v>
      </c>
      <c r="E28" s="82">
        <f>E27+E14</f>
        <v>132769589</v>
      </c>
      <c r="F28" s="83">
        <f t="shared" si="1"/>
        <v>2719988</v>
      </c>
    </row>
    <row r="29" spans="1:6" x14ac:dyDescent="0.4">
      <c r="A29" s="57" t="s">
        <v>90</v>
      </c>
      <c r="B29" s="49"/>
      <c r="C29" s="3"/>
      <c r="D29" s="22"/>
      <c r="E29" s="23"/>
      <c r="F29" s="21"/>
    </row>
    <row r="30" spans="1:6" x14ac:dyDescent="0.4">
      <c r="A30" s="57" t="s">
        <v>89</v>
      </c>
      <c r="B30" s="49"/>
      <c r="C30" s="3"/>
      <c r="D30" s="22"/>
      <c r="E30" s="23"/>
      <c r="F30" s="21"/>
    </row>
    <row r="31" spans="1:6" x14ac:dyDescent="0.4">
      <c r="A31" s="57" t="s">
        <v>88</v>
      </c>
      <c r="B31" s="49">
        <v>6120019</v>
      </c>
      <c r="C31" s="3">
        <v>-3120019</v>
      </c>
      <c r="D31" s="22">
        <f t="shared" ref="D31:D37" si="6">B31+C31</f>
        <v>3000000</v>
      </c>
      <c r="E31" s="23">
        <v>3934835</v>
      </c>
      <c r="F31" s="21">
        <f t="shared" si="1"/>
        <v>-934835</v>
      </c>
    </row>
    <row r="32" spans="1:6" x14ac:dyDescent="0.4">
      <c r="A32" s="57" t="s">
        <v>87</v>
      </c>
      <c r="B32" s="49">
        <v>48074</v>
      </c>
      <c r="C32" s="3">
        <v>11926</v>
      </c>
      <c r="D32" s="22">
        <f t="shared" si="6"/>
        <v>60000</v>
      </c>
      <c r="E32" s="23">
        <v>95180</v>
      </c>
      <c r="F32" s="21">
        <f t="shared" si="1"/>
        <v>-35180</v>
      </c>
    </row>
    <row r="33" spans="1:6" x14ac:dyDescent="0.4">
      <c r="A33" s="57" t="s">
        <v>150</v>
      </c>
      <c r="B33" s="49">
        <v>0</v>
      </c>
      <c r="C33" s="3"/>
      <c r="D33" s="22"/>
      <c r="E33" s="23">
        <v>363000</v>
      </c>
      <c r="F33" s="21">
        <f t="shared" si="1"/>
        <v>-363000</v>
      </c>
    </row>
    <row r="34" spans="1:6" x14ac:dyDescent="0.4">
      <c r="A34" s="57" t="s">
        <v>151</v>
      </c>
      <c r="B34" s="49">
        <v>0</v>
      </c>
      <c r="C34" s="3">
        <v>100000</v>
      </c>
      <c r="D34" s="22">
        <f t="shared" si="6"/>
        <v>100000</v>
      </c>
      <c r="E34" s="23">
        <v>151500</v>
      </c>
      <c r="F34" s="21">
        <f t="shared" si="1"/>
        <v>-51500</v>
      </c>
    </row>
    <row r="35" spans="1:6" x14ac:dyDescent="0.4">
      <c r="A35" s="84" t="s">
        <v>85</v>
      </c>
      <c r="B35" s="85">
        <f>SUM(B31:B34)</f>
        <v>6168093</v>
      </c>
      <c r="C35" s="4">
        <f>SUM(C31:C34)</f>
        <v>-3008093</v>
      </c>
      <c r="D35" s="27">
        <f>B35+C35</f>
        <v>3160000</v>
      </c>
      <c r="E35" s="28">
        <f>SUM(E31:E34)</f>
        <v>4544515</v>
      </c>
      <c r="F35" s="26">
        <f t="shared" si="1"/>
        <v>-1384515</v>
      </c>
    </row>
    <row r="36" spans="1:6" x14ac:dyDescent="0.4">
      <c r="A36" s="57" t="s">
        <v>84</v>
      </c>
      <c r="B36" s="49"/>
      <c r="C36" s="3"/>
      <c r="D36" s="22"/>
      <c r="E36" s="23"/>
      <c r="F36" s="21"/>
    </row>
    <row r="37" spans="1:6" x14ac:dyDescent="0.4">
      <c r="A37" s="57" t="s">
        <v>83</v>
      </c>
      <c r="B37" s="49">
        <v>6700000</v>
      </c>
      <c r="C37" s="3"/>
      <c r="D37" s="22">
        <f t="shared" si="6"/>
        <v>6700000</v>
      </c>
      <c r="E37" s="23">
        <v>2964651</v>
      </c>
      <c r="F37" s="21">
        <f t="shared" si="1"/>
        <v>3735349</v>
      </c>
    </row>
    <row r="38" spans="1:6" x14ac:dyDescent="0.4">
      <c r="A38" s="84" t="s">
        <v>82</v>
      </c>
      <c r="B38" s="85">
        <f>SUM(B37)</f>
        <v>6700000</v>
      </c>
      <c r="C38" s="4">
        <f>SUM(C37)</f>
        <v>0</v>
      </c>
      <c r="D38" s="27">
        <f>B38+C38</f>
        <v>6700000</v>
      </c>
      <c r="E38" s="28">
        <f>SUM(E37)</f>
        <v>2964651</v>
      </c>
      <c r="F38" s="26">
        <f t="shared" si="1"/>
        <v>3735349</v>
      </c>
    </row>
    <row r="39" spans="1:6" x14ac:dyDescent="0.4">
      <c r="A39" s="78" t="s">
        <v>81</v>
      </c>
      <c r="B39" s="79">
        <f>B35+B38</f>
        <v>12868093</v>
      </c>
      <c r="C39" s="80">
        <f>C35+C38</f>
        <v>-3008093</v>
      </c>
      <c r="D39" s="81">
        <f>B39+C39</f>
        <v>9860000</v>
      </c>
      <c r="E39" s="82">
        <f>E35+E38</f>
        <v>7509166</v>
      </c>
      <c r="F39" s="83">
        <f t="shared" si="1"/>
        <v>2350834</v>
      </c>
    </row>
    <row r="40" spans="1:6" x14ac:dyDescent="0.4">
      <c r="A40" s="57" t="s">
        <v>80</v>
      </c>
      <c r="B40" s="49"/>
      <c r="C40" s="3"/>
      <c r="D40" s="22"/>
      <c r="E40" s="23"/>
      <c r="F40" s="21"/>
    </row>
    <row r="41" spans="1:6" x14ac:dyDescent="0.4">
      <c r="A41" s="57" t="s">
        <v>79</v>
      </c>
      <c r="B41" s="49"/>
      <c r="C41" s="3"/>
      <c r="D41" s="22"/>
      <c r="E41" s="23"/>
      <c r="F41" s="21"/>
    </row>
    <row r="42" spans="1:6" x14ac:dyDescent="0.4">
      <c r="A42" s="57" t="s">
        <v>153</v>
      </c>
      <c r="B42" s="49"/>
      <c r="C42" s="3">
        <v>-120273</v>
      </c>
      <c r="D42" s="22">
        <f t="shared" ref="D42" si="7">B42+C42</f>
        <v>-120273</v>
      </c>
      <c r="E42" s="23">
        <v>-120273</v>
      </c>
      <c r="F42" s="21">
        <f t="shared" si="1"/>
        <v>0</v>
      </c>
    </row>
    <row r="43" spans="1:6" x14ac:dyDescent="0.4">
      <c r="A43" s="78" t="s">
        <v>78</v>
      </c>
      <c r="B43" s="79">
        <v>129012184</v>
      </c>
      <c r="C43" s="80">
        <v>-120273</v>
      </c>
      <c r="D43" s="81">
        <f>B43+C43</f>
        <v>128891911</v>
      </c>
      <c r="E43" s="82">
        <v>129012184</v>
      </c>
      <c r="F43" s="83">
        <f t="shared" si="1"/>
        <v>-120273</v>
      </c>
    </row>
    <row r="44" spans="1:6" x14ac:dyDescent="0.4">
      <c r="A44" s="57" t="s">
        <v>77</v>
      </c>
      <c r="B44" s="49">
        <v>129815720</v>
      </c>
      <c r="C44" s="3">
        <v>-923809</v>
      </c>
      <c r="D44" s="22">
        <f>B44+C44</f>
        <v>128891911</v>
      </c>
      <c r="E44" s="23">
        <v>129815720</v>
      </c>
      <c r="F44" s="21">
        <f t="shared" si="1"/>
        <v>-923809</v>
      </c>
    </row>
    <row r="45" spans="1:6" x14ac:dyDescent="0.4">
      <c r="A45" s="57" t="s">
        <v>76</v>
      </c>
      <c r="B45" s="49">
        <v>-1780633</v>
      </c>
      <c r="C45" s="3">
        <v>-1481701</v>
      </c>
      <c r="D45" s="22">
        <f>B45+C45</f>
        <v>-3262334</v>
      </c>
      <c r="E45" s="23">
        <v>-3751761</v>
      </c>
      <c r="F45" s="21">
        <f t="shared" si="1"/>
        <v>489427</v>
      </c>
    </row>
    <row r="46" spans="1:6" x14ac:dyDescent="0.4">
      <c r="A46" s="78" t="s">
        <v>75</v>
      </c>
      <c r="B46" s="79">
        <f>B43+B45</f>
        <v>127231551</v>
      </c>
      <c r="C46" s="80">
        <f>C43+C45</f>
        <v>-1601974</v>
      </c>
      <c r="D46" s="81">
        <f>B46+C46</f>
        <v>125629577</v>
      </c>
      <c r="E46" s="82">
        <f>E43+E45</f>
        <v>125260423</v>
      </c>
      <c r="F46" s="83">
        <f t="shared" si="1"/>
        <v>369154</v>
      </c>
    </row>
    <row r="47" spans="1:6" x14ac:dyDescent="0.4">
      <c r="A47" s="77" t="s">
        <v>74</v>
      </c>
      <c r="B47" s="37">
        <f>B46+B39</f>
        <v>140099644</v>
      </c>
      <c r="C47" s="6">
        <f>C39+C46</f>
        <v>-4610067</v>
      </c>
      <c r="D47" s="38">
        <f>B47+C47</f>
        <v>135489577</v>
      </c>
      <c r="E47" s="39">
        <f>E46+E39</f>
        <v>132769589</v>
      </c>
      <c r="F47" s="41">
        <f t="shared" si="1"/>
        <v>2719988</v>
      </c>
    </row>
  </sheetData>
  <mergeCells count="5">
    <mergeCell ref="B3:D3"/>
    <mergeCell ref="E3:E4"/>
    <mergeCell ref="F3:F4"/>
    <mergeCell ref="A3:A4"/>
    <mergeCell ref="A1:F2"/>
  </mergeCells>
  <phoneticPr fontId="2"/>
  <pageMargins left="0.7" right="0.7" top="0.75" bottom="0.75" header="0.3" footer="0.3"/>
  <pageSetup paperSize="8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F018-AAC6-49F9-BC16-966F31882388}">
  <sheetPr>
    <pageSetUpPr fitToPage="1"/>
  </sheetPr>
  <dimension ref="A1:G87"/>
  <sheetViews>
    <sheetView tabSelected="1" zoomScale="80" zoomScaleNormal="80" workbookViewId="0">
      <selection activeCell="F81" sqref="F81"/>
    </sheetView>
  </sheetViews>
  <sheetFormatPr defaultRowHeight="24" x14ac:dyDescent="0.4"/>
  <cols>
    <col min="1" max="1" width="37.5" style="42" customWidth="1"/>
    <col min="2" max="3" width="22.5" style="43" customWidth="1"/>
    <col min="4" max="5" width="27.625" style="44" customWidth="1"/>
    <col min="6" max="6" width="25" style="43" customWidth="1"/>
    <col min="7" max="7" width="27.625" style="7" customWidth="1"/>
    <col min="9" max="9" width="10.625" bestFit="1" customWidth="1"/>
  </cols>
  <sheetData>
    <row r="1" spans="1:7" ht="24" customHeight="1" x14ac:dyDescent="0.4">
      <c r="A1" s="113" t="s">
        <v>154</v>
      </c>
      <c r="B1" s="113"/>
      <c r="C1" s="113"/>
      <c r="D1" s="113"/>
      <c r="E1" s="113"/>
      <c r="F1" s="113"/>
      <c r="G1" s="113"/>
    </row>
    <row r="2" spans="1:7" ht="24" customHeight="1" x14ac:dyDescent="0.4">
      <c r="A2" s="114"/>
      <c r="B2" s="114"/>
      <c r="C2" s="114"/>
      <c r="D2" s="114"/>
      <c r="E2" s="114"/>
      <c r="F2" s="114"/>
      <c r="G2" s="114"/>
    </row>
    <row r="3" spans="1:7" x14ac:dyDescent="0.4">
      <c r="A3" s="122" t="s">
        <v>0</v>
      </c>
      <c r="B3" s="115" t="s">
        <v>166</v>
      </c>
      <c r="C3" s="116"/>
      <c r="D3" s="117"/>
      <c r="E3" s="118" t="s">
        <v>155</v>
      </c>
      <c r="F3" s="120" t="s">
        <v>1</v>
      </c>
      <c r="G3" s="107" t="s">
        <v>147</v>
      </c>
    </row>
    <row r="4" spans="1:7" ht="22.5" customHeight="1" thickBot="1" x14ac:dyDescent="0.45">
      <c r="A4" s="123"/>
      <c r="B4" s="8" t="s">
        <v>156</v>
      </c>
      <c r="C4" s="9" t="s">
        <v>126</v>
      </c>
      <c r="D4" s="10" t="s">
        <v>70</v>
      </c>
      <c r="E4" s="119"/>
      <c r="F4" s="121"/>
      <c r="G4" s="108"/>
    </row>
    <row r="5" spans="1:7" ht="22.5" customHeight="1" thickTop="1" x14ac:dyDescent="0.4">
      <c r="A5" s="11" t="s">
        <v>2</v>
      </c>
      <c r="B5" s="1"/>
      <c r="C5" s="12"/>
      <c r="D5" s="13"/>
      <c r="E5" s="14"/>
      <c r="F5" s="15"/>
      <c r="G5" s="1"/>
    </row>
    <row r="6" spans="1:7" ht="22.5" customHeight="1" x14ac:dyDescent="0.4">
      <c r="A6" s="16" t="s">
        <v>3</v>
      </c>
      <c r="B6" s="17"/>
      <c r="C6" s="2"/>
      <c r="D6" s="18"/>
      <c r="E6" s="19"/>
      <c r="F6" s="20"/>
      <c r="G6" s="17"/>
    </row>
    <row r="7" spans="1:7" ht="22.5" customHeight="1" x14ac:dyDescent="0.4">
      <c r="A7" s="16" t="s">
        <v>4</v>
      </c>
      <c r="B7" s="21"/>
      <c r="C7" s="3"/>
      <c r="D7" s="22"/>
      <c r="E7" s="23"/>
      <c r="F7" s="24"/>
      <c r="G7" s="21"/>
    </row>
    <row r="8" spans="1:7" ht="22.5" customHeight="1" x14ac:dyDescent="0.4">
      <c r="A8" s="25" t="s">
        <v>5</v>
      </c>
      <c r="B8" s="26">
        <f>SUM(B9:B11)</f>
        <v>2823653</v>
      </c>
      <c r="C8" s="4">
        <f>SUM(C9:C11)</f>
        <v>230000</v>
      </c>
      <c r="D8" s="27">
        <f>SUM(D9:D11)</f>
        <v>3053653</v>
      </c>
      <c r="E8" s="28">
        <f>SUM(E9:E11)</f>
        <v>3433820</v>
      </c>
      <c r="F8" s="29">
        <f>D8-E8</f>
        <v>-380167</v>
      </c>
      <c r="G8" s="26">
        <v>6500000</v>
      </c>
    </row>
    <row r="9" spans="1:7" ht="22.5" customHeight="1" x14ac:dyDescent="0.4">
      <c r="A9" s="16" t="s">
        <v>6</v>
      </c>
      <c r="B9" s="21">
        <v>2335448</v>
      </c>
      <c r="C9" s="3">
        <v>200000</v>
      </c>
      <c r="D9" s="22">
        <f t="shared" ref="D9:D77" si="0">B9+C9</f>
        <v>2535448</v>
      </c>
      <c r="E9" s="23">
        <v>1532691</v>
      </c>
      <c r="F9" s="24">
        <f t="shared" ref="F9:F78" si="1">D9-E9</f>
        <v>1002757</v>
      </c>
      <c r="G9" s="21">
        <v>4000000</v>
      </c>
    </row>
    <row r="10" spans="1:7" ht="22.5" customHeight="1" x14ac:dyDescent="0.4">
      <c r="A10" s="16" t="s">
        <v>7</v>
      </c>
      <c r="B10" s="21">
        <v>204205</v>
      </c>
      <c r="C10" s="3">
        <v>20000</v>
      </c>
      <c r="D10" s="22">
        <f t="shared" si="0"/>
        <v>224205</v>
      </c>
      <c r="E10" s="23">
        <v>598597</v>
      </c>
      <c r="F10" s="24">
        <f t="shared" si="1"/>
        <v>-374392</v>
      </c>
      <c r="G10" s="21">
        <v>1000000</v>
      </c>
    </row>
    <row r="11" spans="1:7" ht="22.5" customHeight="1" x14ac:dyDescent="0.4">
      <c r="A11" s="16" t="s">
        <v>8</v>
      </c>
      <c r="B11" s="21">
        <v>284000</v>
      </c>
      <c r="C11" s="3">
        <v>10000</v>
      </c>
      <c r="D11" s="22">
        <f t="shared" si="0"/>
        <v>294000</v>
      </c>
      <c r="E11" s="23">
        <v>1302532</v>
      </c>
      <c r="F11" s="24">
        <f t="shared" si="1"/>
        <v>-1008532</v>
      </c>
      <c r="G11" s="21">
        <v>1500000</v>
      </c>
    </row>
    <row r="12" spans="1:7" ht="22.5" customHeight="1" x14ac:dyDescent="0.4">
      <c r="A12" s="25" t="s">
        <v>9</v>
      </c>
      <c r="B12" s="26">
        <f>SUM(B13:B15)</f>
        <v>4110000</v>
      </c>
      <c r="C12" s="4">
        <f>SUM(C13)</f>
        <v>0</v>
      </c>
      <c r="D12" s="30">
        <f>SUM(D13:D15)</f>
        <v>4110000</v>
      </c>
      <c r="E12" s="28">
        <f>SUM(E13:E15)</f>
        <v>257000</v>
      </c>
      <c r="F12" s="29">
        <f t="shared" si="1"/>
        <v>3853000</v>
      </c>
      <c r="G12" s="26">
        <v>4179000</v>
      </c>
    </row>
    <row r="13" spans="1:7" ht="22.5" customHeight="1" x14ac:dyDescent="0.4">
      <c r="A13" s="16" t="s">
        <v>10</v>
      </c>
      <c r="B13" s="21"/>
      <c r="C13" s="3"/>
      <c r="D13" s="22">
        <f t="shared" si="0"/>
        <v>0</v>
      </c>
      <c r="E13" s="23"/>
      <c r="F13" s="24">
        <f t="shared" si="1"/>
        <v>0</v>
      </c>
      <c r="G13" s="21">
        <v>69000</v>
      </c>
    </row>
    <row r="14" spans="1:7" ht="22.5" customHeight="1" x14ac:dyDescent="0.4">
      <c r="A14" s="16" t="s">
        <v>133</v>
      </c>
      <c r="B14" s="21"/>
      <c r="C14" s="3"/>
      <c r="D14" s="22">
        <f t="shared" ref="D14:D15" si="2">B14+C14</f>
        <v>0</v>
      </c>
      <c r="E14" s="23">
        <v>257000</v>
      </c>
      <c r="F14" s="24">
        <f t="shared" ref="F14:F15" si="3">D14-E14</f>
        <v>-257000</v>
      </c>
      <c r="G14" s="21"/>
    </row>
    <row r="15" spans="1:7" ht="22.5" customHeight="1" x14ac:dyDescent="0.4">
      <c r="A15" s="16" t="s">
        <v>134</v>
      </c>
      <c r="B15" s="21">
        <v>4110000</v>
      </c>
      <c r="C15" s="3"/>
      <c r="D15" s="22">
        <f t="shared" si="2"/>
        <v>4110000</v>
      </c>
      <c r="E15" s="23"/>
      <c r="F15" s="24">
        <f t="shared" si="3"/>
        <v>4110000</v>
      </c>
      <c r="G15" s="21">
        <v>4110000</v>
      </c>
    </row>
    <row r="16" spans="1:7" ht="22.5" customHeight="1" x14ac:dyDescent="0.4">
      <c r="A16" s="25" t="s">
        <v>11</v>
      </c>
      <c r="B16" s="26">
        <f>SUM(B17)</f>
        <v>6279041</v>
      </c>
      <c r="C16" s="4">
        <f>SUM(C17)</f>
        <v>0</v>
      </c>
      <c r="D16" s="30">
        <f>SUM(D17)</f>
        <v>6279041</v>
      </c>
      <c r="E16" s="28">
        <f>SUM(E17)</f>
        <v>1000000</v>
      </c>
      <c r="F16" s="29">
        <f t="shared" si="1"/>
        <v>5279041</v>
      </c>
      <c r="G16" s="26">
        <v>4500000</v>
      </c>
    </row>
    <row r="17" spans="1:7" ht="22.5" customHeight="1" x14ac:dyDescent="0.4">
      <c r="A17" s="16" t="s">
        <v>12</v>
      </c>
      <c r="B17" s="21">
        <v>6279041</v>
      </c>
      <c r="C17" s="3"/>
      <c r="D17" s="22">
        <f>B17+C17</f>
        <v>6279041</v>
      </c>
      <c r="E17" s="23">
        <v>1000000</v>
      </c>
      <c r="F17" s="24">
        <f t="shared" si="1"/>
        <v>5279041</v>
      </c>
      <c r="G17" s="21">
        <v>4500000</v>
      </c>
    </row>
    <row r="18" spans="1:7" ht="22.5" customHeight="1" x14ac:dyDescent="0.4">
      <c r="A18" s="25" t="s">
        <v>13</v>
      </c>
      <c r="B18" s="26">
        <f>SUM(B19:B21)</f>
        <v>2122330</v>
      </c>
      <c r="C18" s="4">
        <f>SUM(C19:C21)</f>
        <v>320273</v>
      </c>
      <c r="D18" s="30">
        <f>SUM(D19:D21)</f>
        <v>2442603</v>
      </c>
      <c r="E18" s="28">
        <f>SUM(E19:E21)</f>
        <v>3004363</v>
      </c>
      <c r="F18" s="29">
        <f t="shared" si="1"/>
        <v>-561760</v>
      </c>
      <c r="G18" s="26">
        <v>170293</v>
      </c>
    </row>
    <row r="19" spans="1:7" ht="22.5" customHeight="1" x14ac:dyDescent="0.4">
      <c r="A19" s="16" t="s">
        <v>14</v>
      </c>
      <c r="B19" s="21">
        <v>32</v>
      </c>
      <c r="C19" s="3"/>
      <c r="D19" s="22">
        <f t="shared" si="0"/>
        <v>32</v>
      </c>
      <c r="E19" s="23">
        <v>21</v>
      </c>
      <c r="F19" s="24">
        <f t="shared" si="1"/>
        <v>11</v>
      </c>
      <c r="G19" s="21">
        <v>20</v>
      </c>
    </row>
    <row r="20" spans="1:7" ht="22.5" customHeight="1" x14ac:dyDescent="0.4">
      <c r="A20" s="16" t="s">
        <v>71</v>
      </c>
      <c r="B20" s="21">
        <v>2122298</v>
      </c>
      <c r="C20" s="3">
        <v>200000</v>
      </c>
      <c r="D20" s="22">
        <f>B20+C20</f>
        <v>2322298</v>
      </c>
      <c r="E20" s="23">
        <v>2884069</v>
      </c>
      <c r="F20" s="24">
        <f t="shared" si="1"/>
        <v>-561771</v>
      </c>
      <c r="G20" s="21">
        <v>50000</v>
      </c>
    </row>
    <row r="21" spans="1:7" ht="22.5" customHeight="1" x14ac:dyDescent="0.4">
      <c r="A21" s="16" t="s">
        <v>15</v>
      </c>
      <c r="B21" s="21"/>
      <c r="C21" s="3">
        <v>120273</v>
      </c>
      <c r="D21" s="22">
        <f t="shared" si="0"/>
        <v>120273</v>
      </c>
      <c r="E21" s="23">
        <v>120273</v>
      </c>
      <c r="F21" s="24">
        <f t="shared" si="1"/>
        <v>0</v>
      </c>
      <c r="G21" s="21">
        <v>120273</v>
      </c>
    </row>
    <row r="22" spans="1:7" ht="22.5" customHeight="1" x14ac:dyDescent="0.4">
      <c r="A22" s="31" t="s">
        <v>16</v>
      </c>
      <c r="B22" s="32">
        <f>B8+B12+B16+B18</f>
        <v>15335024</v>
      </c>
      <c r="C22" s="5">
        <f>C8+C12+C16+C18</f>
        <v>550273</v>
      </c>
      <c r="D22" s="33">
        <f>B22+C22</f>
        <v>15885297</v>
      </c>
      <c r="E22" s="34">
        <f>E8+E12+E16+E18</f>
        <v>7695183</v>
      </c>
      <c r="F22" s="35">
        <f t="shared" si="1"/>
        <v>8190114</v>
      </c>
      <c r="G22" s="32">
        <v>15349293</v>
      </c>
    </row>
    <row r="23" spans="1:7" ht="22.5" customHeight="1" x14ac:dyDescent="0.4">
      <c r="A23" s="16" t="s">
        <v>17</v>
      </c>
      <c r="B23" s="21"/>
      <c r="C23" s="3"/>
      <c r="D23" s="22"/>
      <c r="E23" s="23"/>
      <c r="F23" s="24"/>
      <c r="G23" s="21"/>
    </row>
    <row r="24" spans="1:7" ht="22.5" customHeight="1" x14ac:dyDescent="0.4">
      <c r="A24" s="16" t="s">
        <v>18</v>
      </c>
      <c r="B24" s="21"/>
      <c r="C24" s="3"/>
      <c r="D24" s="22"/>
      <c r="E24" s="23"/>
      <c r="F24" s="24"/>
      <c r="G24" s="21"/>
    </row>
    <row r="25" spans="1:7" ht="22.5" customHeight="1" x14ac:dyDescent="0.4">
      <c r="A25" s="16" t="s">
        <v>73</v>
      </c>
      <c r="B25" s="21">
        <f>B26+B27-B28</f>
        <v>74327</v>
      </c>
      <c r="C25" s="3">
        <f>C26+C27-C28</f>
        <v>62300</v>
      </c>
      <c r="D25" s="22">
        <f>B25+C25</f>
        <v>136627</v>
      </c>
      <c r="E25" s="23">
        <v>431896</v>
      </c>
      <c r="F25" s="24">
        <f t="shared" si="1"/>
        <v>-295269</v>
      </c>
      <c r="G25" s="21">
        <v>600000</v>
      </c>
    </row>
    <row r="26" spans="1:7" ht="22.5" customHeight="1" x14ac:dyDescent="0.4">
      <c r="A26" s="16" t="s">
        <v>19</v>
      </c>
      <c r="B26" s="21"/>
      <c r="C26" s="3">
        <v>486627</v>
      </c>
      <c r="D26" s="22">
        <f>B26+C26</f>
        <v>486627</v>
      </c>
      <c r="E26" s="23">
        <v>615631</v>
      </c>
      <c r="F26" s="24">
        <f t="shared" si="1"/>
        <v>-129004</v>
      </c>
      <c r="G26" s="21">
        <v>600000</v>
      </c>
    </row>
    <row r="27" spans="1:7" ht="22.5" customHeight="1" x14ac:dyDescent="0.4">
      <c r="A27" s="16" t="s">
        <v>20</v>
      </c>
      <c r="B27" s="21">
        <v>74327</v>
      </c>
      <c r="C27" s="3">
        <v>25673</v>
      </c>
      <c r="D27" s="22">
        <f t="shared" si="0"/>
        <v>100000</v>
      </c>
      <c r="E27" s="23">
        <v>302892</v>
      </c>
      <c r="F27" s="24">
        <f t="shared" si="1"/>
        <v>-202892</v>
      </c>
      <c r="G27" s="21">
        <v>600000</v>
      </c>
    </row>
    <row r="28" spans="1:7" ht="22.5" customHeight="1" x14ac:dyDescent="0.4">
      <c r="A28" s="16" t="s">
        <v>21</v>
      </c>
      <c r="B28" s="21"/>
      <c r="C28" s="3">
        <v>450000</v>
      </c>
      <c r="D28" s="22">
        <f t="shared" si="0"/>
        <v>450000</v>
      </c>
      <c r="E28" s="23">
        <v>486627</v>
      </c>
      <c r="F28" s="24">
        <f t="shared" si="1"/>
        <v>-36627</v>
      </c>
      <c r="G28" s="21">
        <v>600000</v>
      </c>
    </row>
    <row r="29" spans="1:7" ht="22.5" customHeight="1" x14ac:dyDescent="0.4">
      <c r="A29" s="16" t="s">
        <v>72</v>
      </c>
      <c r="B29" s="21">
        <f>SUM(B30:B46)</f>
        <v>8393017</v>
      </c>
      <c r="C29" s="3">
        <f>SUM(C30:C46)</f>
        <v>1029843</v>
      </c>
      <c r="D29" s="22">
        <f>B29+C29</f>
        <v>9422860</v>
      </c>
      <c r="E29" s="23">
        <v>5594887</v>
      </c>
      <c r="F29" s="24">
        <f t="shared" si="1"/>
        <v>3827973</v>
      </c>
      <c r="G29" s="21">
        <v>13411843</v>
      </c>
    </row>
    <row r="30" spans="1:7" ht="22.5" customHeight="1" x14ac:dyDescent="0.4">
      <c r="A30" s="16" t="s">
        <v>22</v>
      </c>
      <c r="B30" s="21">
        <v>1185440</v>
      </c>
      <c r="C30" s="3">
        <v>150000</v>
      </c>
      <c r="D30" s="22">
        <f>B30+C30</f>
        <v>1335440</v>
      </c>
      <c r="E30" s="23">
        <v>795400</v>
      </c>
      <c r="F30" s="24">
        <f t="shared" si="1"/>
        <v>540040</v>
      </c>
      <c r="G30" s="21">
        <v>1500000</v>
      </c>
    </row>
    <row r="31" spans="1:7" ht="22.5" customHeight="1" x14ac:dyDescent="0.4">
      <c r="A31" s="16" t="s">
        <v>128</v>
      </c>
      <c r="B31" s="21">
        <v>0</v>
      </c>
      <c r="C31" s="3"/>
      <c r="D31" s="22">
        <f>B31+C31</f>
        <v>0</v>
      </c>
      <c r="E31" s="23">
        <v>9003</v>
      </c>
      <c r="F31" s="24">
        <f t="shared" si="1"/>
        <v>-9003</v>
      </c>
      <c r="G31" s="21">
        <v>30000</v>
      </c>
    </row>
    <row r="32" spans="1:7" ht="22.5" customHeight="1" x14ac:dyDescent="0.4">
      <c r="A32" s="16" t="s">
        <v>23</v>
      </c>
      <c r="B32" s="21">
        <v>175220</v>
      </c>
      <c r="C32" s="3">
        <v>10000</v>
      </c>
      <c r="D32" s="22">
        <f t="shared" si="0"/>
        <v>185220</v>
      </c>
      <c r="E32" s="23">
        <v>73645</v>
      </c>
      <c r="F32" s="24">
        <f t="shared" si="1"/>
        <v>111575</v>
      </c>
      <c r="G32" s="21">
        <v>100000</v>
      </c>
    </row>
    <row r="33" spans="1:7" ht="22.5" customHeight="1" x14ac:dyDescent="0.4">
      <c r="A33" s="16" t="s">
        <v>24</v>
      </c>
      <c r="B33" s="21">
        <v>296562</v>
      </c>
      <c r="C33" s="3">
        <v>20000</v>
      </c>
      <c r="D33" s="22">
        <f t="shared" si="0"/>
        <v>316562</v>
      </c>
      <c r="E33" s="23">
        <v>312766</v>
      </c>
      <c r="F33" s="24">
        <f t="shared" si="1"/>
        <v>3796</v>
      </c>
      <c r="G33" s="21">
        <v>350000</v>
      </c>
    </row>
    <row r="34" spans="1:7" ht="22.5" customHeight="1" x14ac:dyDescent="0.4">
      <c r="A34" s="16" t="s">
        <v>25</v>
      </c>
      <c r="B34" s="21"/>
      <c r="C34" s="3">
        <v>471843</v>
      </c>
      <c r="D34" s="22">
        <f t="shared" si="0"/>
        <v>471843</v>
      </c>
      <c r="E34" s="23">
        <v>702843</v>
      </c>
      <c r="F34" s="24">
        <f t="shared" si="1"/>
        <v>-231000</v>
      </c>
      <c r="G34" s="21">
        <v>471843</v>
      </c>
    </row>
    <row r="35" spans="1:7" ht="22.5" customHeight="1" x14ac:dyDescent="0.4">
      <c r="A35" s="16" t="s">
        <v>26</v>
      </c>
      <c r="B35" s="21">
        <v>103109</v>
      </c>
      <c r="C35" s="3">
        <v>5000</v>
      </c>
      <c r="D35" s="22">
        <f t="shared" si="0"/>
        <v>108109</v>
      </c>
      <c r="E35" s="23">
        <v>164990</v>
      </c>
      <c r="F35" s="24">
        <f t="shared" si="1"/>
        <v>-56881</v>
      </c>
      <c r="G35" s="21">
        <v>200000</v>
      </c>
    </row>
    <row r="36" spans="1:7" ht="22.5" customHeight="1" x14ac:dyDescent="0.4">
      <c r="A36" s="16" t="s">
        <v>27</v>
      </c>
      <c r="B36" s="21">
        <v>239670</v>
      </c>
      <c r="C36" s="3">
        <v>10000</v>
      </c>
      <c r="D36" s="22">
        <f t="shared" si="0"/>
        <v>249670</v>
      </c>
      <c r="E36" s="23">
        <v>667550</v>
      </c>
      <c r="F36" s="24">
        <f t="shared" si="1"/>
        <v>-417880</v>
      </c>
      <c r="G36" s="21">
        <v>900000</v>
      </c>
    </row>
    <row r="37" spans="1:7" ht="22.5" customHeight="1" x14ac:dyDescent="0.4">
      <c r="A37" s="16" t="s">
        <v>28</v>
      </c>
      <c r="B37" s="21">
        <v>153155</v>
      </c>
      <c r="C37" s="3">
        <v>50000</v>
      </c>
      <c r="D37" s="22">
        <f t="shared" si="0"/>
        <v>203155</v>
      </c>
      <c r="E37" s="23">
        <v>85874</v>
      </c>
      <c r="F37" s="24">
        <f t="shared" si="1"/>
        <v>117281</v>
      </c>
      <c r="G37" s="21">
        <v>300000</v>
      </c>
    </row>
    <row r="38" spans="1:7" ht="22.5" customHeight="1" x14ac:dyDescent="0.4">
      <c r="A38" s="16" t="s">
        <v>29</v>
      </c>
      <c r="B38" s="21">
        <v>54386</v>
      </c>
      <c r="C38" s="3">
        <v>10000</v>
      </c>
      <c r="D38" s="22">
        <f t="shared" si="0"/>
        <v>64386</v>
      </c>
      <c r="E38" s="23">
        <v>389924</v>
      </c>
      <c r="F38" s="24">
        <f t="shared" si="1"/>
        <v>-325538</v>
      </c>
      <c r="G38" s="21">
        <v>600000</v>
      </c>
    </row>
    <row r="39" spans="1:7" ht="22.5" customHeight="1" x14ac:dyDescent="0.4">
      <c r="A39" s="16" t="s">
        <v>30</v>
      </c>
      <c r="B39" s="21">
        <v>640643</v>
      </c>
      <c r="C39" s="3">
        <v>50000</v>
      </c>
      <c r="D39" s="22">
        <f t="shared" si="0"/>
        <v>690643</v>
      </c>
      <c r="E39" s="23">
        <v>473674</v>
      </c>
      <c r="F39" s="24">
        <f t="shared" si="1"/>
        <v>216969</v>
      </c>
      <c r="G39" s="21">
        <v>700000</v>
      </c>
    </row>
    <row r="40" spans="1:7" ht="22.5" customHeight="1" x14ac:dyDescent="0.4">
      <c r="A40" s="16" t="s">
        <v>135</v>
      </c>
      <c r="B40" s="21">
        <v>223770</v>
      </c>
      <c r="C40" s="3"/>
      <c r="D40" s="22">
        <f t="shared" ref="D40" si="4">B40+C40</f>
        <v>223770</v>
      </c>
      <c r="E40" s="23"/>
      <c r="F40" s="24">
        <f t="shared" ref="F40" si="5">D40-E40</f>
        <v>223770</v>
      </c>
      <c r="G40" s="21"/>
    </row>
    <row r="41" spans="1:7" ht="22.5" customHeight="1" x14ac:dyDescent="0.4">
      <c r="A41" s="16" t="s">
        <v>31</v>
      </c>
      <c r="B41" s="21">
        <v>305900</v>
      </c>
      <c r="C41" s="3">
        <v>20000</v>
      </c>
      <c r="D41" s="22">
        <f t="shared" si="0"/>
        <v>325900</v>
      </c>
      <c r="E41" s="23">
        <v>272060</v>
      </c>
      <c r="F41" s="24">
        <f t="shared" si="1"/>
        <v>53840</v>
      </c>
      <c r="G41" s="21">
        <v>270000</v>
      </c>
    </row>
    <row r="42" spans="1:7" ht="22.5" customHeight="1" x14ac:dyDescent="0.4">
      <c r="A42" s="16" t="s">
        <v>32</v>
      </c>
      <c r="B42" s="21">
        <v>13000</v>
      </c>
      <c r="C42" s="3">
        <v>2000</v>
      </c>
      <c r="D42" s="22">
        <f t="shared" si="0"/>
        <v>15000</v>
      </c>
      <c r="E42" s="23">
        <v>164800</v>
      </c>
      <c r="F42" s="24">
        <f t="shared" si="1"/>
        <v>-149800</v>
      </c>
      <c r="G42" s="21">
        <v>50000</v>
      </c>
    </row>
    <row r="43" spans="1:7" ht="22.5" customHeight="1" x14ac:dyDescent="0.4">
      <c r="A43" s="16" t="s">
        <v>33</v>
      </c>
      <c r="B43" s="21">
        <v>30439</v>
      </c>
      <c r="C43" s="3">
        <v>30000</v>
      </c>
      <c r="D43" s="22">
        <f t="shared" si="0"/>
        <v>60439</v>
      </c>
      <c r="E43" s="23">
        <v>156007</v>
      </c>
      <c r="F43" s="24">
        <f t="shared" si="1"/>
        <v>-95568</v>
      </c>
      <c r="G43" s="21">
        <v>300000</v>
      </c>
    </row>
    <row r="44" spans="1:7" ht="22.5" customHeight="1" x14ac:dyDescent="0.4">
      <c r="A44" s="16" t="s">
        <v>34</v>
      </c>
      <c r="B44" s="21">
        <v>4952088</v>
      </c>
      <c r="C44" s="3">
        <v>200000</v>
      </c>
      <c r="D44" s="22">
        <f t="shared" si="0"/>
        <v>5152088</v>
      </c>
      <c r="E44" s="23">
        <v>1219112</v>
      </c>
      <c r="F44" s="24">
        <f t="shared" si="1"/>
        <v>3932976</v>
      </c>
      <c r="G44" s="21">
        <v>1800000</v>
      </c>
    </row>
    <row r="45" spans="1:7" ht="22.5" customHeight="1" x14ac:dyDescent="0.4">
      <c r="A45" s="16" t="s">
        <v>137</v>
      </c>
      <c r="B45" s="21"/>
      <c r="C45" s="3"/>
      <c r="D45" s="22">
        <f t="shared" ref="D45" si="6">B45+C45</f>
        <v>0</v>
      </c>
      <c r="E45" s="23"/>
      <c r="F45" s="24">
        <f t="shared" ref="F45" si="7">D45-E45</f>
        <v>0</v>
      </c>
      <c r="G45" s="21">
        <v>5640000</v>
      </c>
    </row>
    <row r="46" spans="1:7" ht="22.5" customHeight="1" x14ac:dyDescent="0.4">
      <c r="A46" s="16" t="s">
        <v>35</v>
      </c>
      <c r="B46" s="21">
        <v>19635</v>
      </c>
      <c r="C46" s="3">
        <v>1000</v>
      </c>
      <c r="D46" s="22">
        <f>B46+C46</f>
        <v>20635</v>
      </c>
      <c r="E46" s="23">
        <v>107239</v>
      </c>
      <c r="F46" s="24">
        <f t="shared" si="1"/>
        <v>-86604</v>
      </c>
      <c r="G46" s="21">
        <v>200000</v>
      </c>
    </row>
    <row r="47" spans="1:7" ht="22.5" customHeight="1" x14ac:dyDescent="0.4">
      <c r="A47" s="25" t="s">
        <v>36</v>
      </c>
      <c r="B47" s="26">
        <f>B25+B29</f>
        <v>8467344</v>
      </c>
      <c r="C47" s="4">
        <f>C25+C29</f>
        <v>1092143</v>
      </c>
      <c r="D47" s="27">
        <f>B47+C47</f>
        <v>9559487</v>
      </c>
      <c r="E47" s="28">
        <f>E25+E29</f>
        <v>6026783</v>
      </c>
      <c r="F47" s="29">
        <f t="shared" si="1"/>
        <v>3532704</v>
      </c>
      <c r="G47" s="26">
        <v>14011843</v>
      </c>
    </row>
    <row r="48" spans="1:7" ht="22.5" customHeight="1" x14ac:dyDescent="0.4">
      <c r="A48" s="16" t="s">
        <v>37</v>
      </c>
      <c r="B48" s="21"/>
      <c r="C48" s="3"/>
      <c r="D48" s="22"/>
      <c r="E48" s="23"/>
      <c r="F48" s="24"/>
      <c r="G48" s="21"/>
    </row>
    <row r="49" spans="1:7" ht="22.5" customHeight="1" x14ac:dyDescent="0.4">
      <c r="A49" s="16" t="s">
        <v>38</v>
      </c>
      <c r="B49" s="21">
        <v>3000000</v>
      </c>
      <c r="C49" s="3">
        <v>600000</v>
      </c>
      <c r="D49" s="22">
        <f t="shared" si="0"/>
        <v>3600000</v>
      </c>
      <c r="E49" s="23">
        <v>3600000</v>
      </c>
      <c r="F49" s="24">
        <f t="shared" si="1"/>
        <v>0</v>
      </c>
      <c r="G49" s="21">
        <v>1200000</v>
      </c>
    </row>
    <row r="50" spans="1:7" ht="22.5" customHeight="1" x14ac:dyDescent="0.4">
      <c r="A50" s="16" t="s">
        <v>39</v>
      </c>
      <c r="B50" s="21">
        <v>464319</v>
      </c>
      <c r="C50" s="3">
        <v>140000</v>
      </c>
      <c r="D50" s="22">
        <f t="shared" si="0"/>
        <v>604319</v>
      </c>
      <c r="E50" s="23">
        <v>549713</v>
      </c>
      <c r="F50" s="24">
        <f t="shared" si="1"/>
        <v>54606</v>
      </c>
      <c r="G50" s="21">
        <v>150000</v>
      </c>
    </row>
    <row r="51" spans="1:7" ht="22.5" customHeight="1" x14ac:dyDescent="0.4">
      <c r="A51" s="16" t="s">
        <v>127</v>
      </c>
      <c r="B51" s="21"/>
      <c r="C51" s="3"/>
      <c r="D51" s="22">
        <f t="shared" si="0"/>
        <v>0</v>
      </c>
      <c r="E51" s="23">
        <v>0</v>
      </c>
      <c r="F51" s="24">
        <f t="shared" si="1"/>
        <v>0</v>
      </c>
      <c r="G51" s="21">
        <v>0</v>
      </c>
    </row>
    <row r="52" spans="1:7" ht="22.5" customHeight="1" x14ac:dyDescent="0.4">
      <c r="A52" s="16" t="s">
        <v>23</v>
      </c>
      <c r="B52" s="21"/>
      <c r="C52" s="3">
        <v>10000</v>
      </c>
      <c r="D52" s="22">
        <f t="shared" si="0"/>
        <v>10000</v>
      </c>
      <c r="E52" s="23">
        <v>48142</v>
      </c>
      <c r="F52" s="24">
        <f t="shared" si="1"/>
        <v>-38142</v>
      </c>
      <c r="G52" s="21">
        <v>60000</v>
      </c>
    </row>
    <row r="53" spans="1:7" ht="22.5" customHeight="1" x14ac:dyDescent="0.4">
      <c r="A53" s="16" t="s">
        <v>24</v>
      </c>
      <c r="B53" s="21"/>
      <c r="C53" s="3">
        <v>10000</v>
      </c>
      <c r="D53" s="22">
        <f t="shared" si="0"/>
        <v>10000</v>
      </c>
      <c r="E53" s="23">
        <v>52483</v>
      </c>
      <c r="F53" s="24">
        <f t="shared" si="1"/>
        <v>-42483</v>
      </c>
      <c r="G53" s="21">
        <v>60000</v>
      </c>
    </row>
    <row r="54" spans="1:7" ht="22.5" customHeight="1" x14ac:dyDescent="0.4">
      <c r="A54" s="16" t="s">
        <v>26</v>
      </c>
      <c r="B54" s="21">
        <v>21475</v>
      </c>
      <c r="C54" s="3">
        <v>5000</v>
      </c>
      <c r="D54" s="22">
        <f t="shared" si="0"/>
        <v>26475</v>
      </c>
      <c r="E54" s="23">
        <v>9460</v>
      </c>
      <c r="F54" s="24">
        <f t="shared" si="1"/>
        <v>17015</v>
      </c>
      <c r="G54" s="21">
        <v>20000</v>
      </c>
    </row>
    <row r="55" spans="1:7" ht="22.5" customHeight="1" x14ac:dyDescent="0.4">
      <c r="A55" s="16" t="s">
        <v>157</v>
      </c>
      <c r="B55" s="21">
        <v>154600</v>
      </c>
      <c r="C55" s="3"/>
      <c r="D55" s="22">
        <f t="shared" si="0"/>
        <v>154600</v>
      </c>
      <c r="E55" s="23">
        <v>0</v>
      </c>
      <c r="F55" s="24">
        <f t="shared" ref="F55" si="8">D55-E55</f>
        <v>154600</v>
      </c>
      <c r="G55" s="21">
        <v>50000</v>
      </c>
    </row>
    <row r="56" spans="1:7" ht="22.5" customHeight="1" x14ac:dyDescent="0.4">
      <c r="A56" s="16" t="s">
        <v>31</v>
      </c>
      <c r="B56" s="21">
        <v>42000</v>
      </c>
      <c r="C56" s="3">
        <v>8400</v>
      </c>
      <c r="D56" s="22">
        <f t="shared" si="0"/>
        <v>50400</v>
      </c>
      <c r="E56" s="23">
        <v>50400</v>
      </c>
      <c r="F56" s="24">
        <f t="shared" si="1"/>
        <v>0</v>
      </c>
      <c r="G56" s="21">
        <v>50000</v>
      </c>
    </row>
    <row r="57" spans="1:7" ht="22.5" customHeight="1" x14ac:dyDescent="0.4">
      <c r="A57" s="16" t="s">
        <v>32</v>
      </c>
      <c r="B57" s="21">
        <v>10600</v>
      </c>
      <c r="C57" s="3"/>
      <c r="D57" s="22">
        <f t="shared" si="0"/>
        <v>10600</v>
      </c>
      <c r="E57" s="23">
        <v>2903</v>
      </c>
      <c r="F57" s="24">
        <f t="shared" si="1"/>
        <v>7697</v>
      </c>
      <c r="G57" s="21">
        <v>10000</v>
      </c>
    </row>
    <row r="58" spans="1:7" ht="22.5" customHeight="1" x14ac:dyDescent="0.4">
      <c r="A58" s="16" t="s">
        <v>41</v>
      </c>
      <c r="B58" s="21">
        <v>66064</v>
      </c>
      <c r="C58" s="3">
        <v>6000</v>
      </c>
      <c r="D58" s="22">
        <f t="shared" si="0"/>
        <v>72064</v>
      </c>
      <c r="E58" s="23">
        <v>47073</v>
      </c>
      <c r="F58" s="24">
        <f t="shared" si="1"/>
        <v>24991</v>
      </c>
      <c r="G58" s="21">
        <v>70000</v>
      </c>
    </row>
    <row r="59" spans="1:7" ht="22.5" customHeight="1" x14ac:dyDescent="0.4">
      <c r="A59" s="16" t="s">
        <v>35</v>
      </c>
      <c r="B59" s="21">
        <v>50570</v>
      </c>
      <c r="C59" s="3">
        <v>10000</v>
      </c>
      <c r="D59" s="22">
        <f t="shared" si="0"/>
        <v>60570</v>
      </c>
      <c r="E59" s="23">
        <v>245070</v>
      </c>
      <c r="F59" s="24">
        <f t="shared" si="1"/>
        <v>-184500</v>
      </c>
      <c r="G59" s="21">
        <v>300000</v>
      </c>
    </row>
    <row r="60" spans="1:7" ht="22.5" customHeight="1" x14ac:dyDescent="0.4">
      <c r="A60" s="16" t="s">
        <v>42</v>
      </c>
      <c r="B60" s="21">
        <v>221435</v>
      </c>
      <c r="C60" s="3"/>
      <c r="D60" s="22">
        <f t="shared" si="0"/>
        <v>221435</v>
      </c>
      <c r="E60" s="23">
        <v>144010</v>
      </c>
      <c r="F60" s="24">
        <f t="shared" si="1"/>
        <v>77425</v>
      </c>
      <c r="G60" s="21">
        <v>150000</v>
      </c>
    </row>
    <row r="61" spans="1:7" ht="22.5" customHeight="1" x14ac:dyDescent="0.4">
      <c r="A61" s="16" t="s">
        <v>43</v>
      </c>
      <c r="B61" s="21">
        <v>773820</v>
      </c>
      <c r="C61" s="3">
        <v>200000</v>
      </c>
      <c r="D61" s="22">
        <f t="shared" si="0"/>
        <v>973820</v>
      </c>
      <c r="E61" s="23">
        <v>618183</v>
      </c>
      <c r="F61" s="24">
        <f t="shared" si="1"/>
        <v>355637</v>
      </c>
      <c r="G61" s="21">
        <v>400000</v>
      </c>
    </row>
    <row r="62" spans="1:7" ht="22.5" customHeight="1" x14ac:dyDescent="0.4">
      <c r="A62" s="16" t="s">
        <v>44</v>
      </c>
      <c r="B62" s="21">
        <v>19669</v>
      </c>
      <c r="C62" s="3"/>
      <c r="D62" s="22">
        <f t="shared" si="0"/>
        <v>19669</v>
      </c>
      <c r="E62" s="23"/>
      <c r="F62" s="24">
        <f t="shared" si="1"/>
        <v>19669</v>
      </c>
      <c r="G62" s="21"/>
    </row>
    <row r="63" spans="1:7" ht="22.5" customHeight="1" x14ac:dyDescent="0.4">
      <c r="A63" s="25" t="s">
        <v>45</v>
      </c>
      <c r="B63" s="26">
        <f>SUM(B49:B62)</f>
        <v>4824552</v>
      </c>
      <c r="C63" s="4">
        <f>SUM(C49:C62)</f>
        <v>989400</v>
      </c>
      <c r="D63" s="27">
        <f>B63+C63</f>
        <v>5813952</v>
      </c>
      <c r="E63" s="28">
        <f>SUM(E49:E62)</f>
        <v>5367437</v>
      </c>
      <c r="F63" s="29">
        <f t="shared" si="1"/>
        <v>446515</v>
      </c>
      <c r="G63" s="26">
        <v>2520000</v>
      </c>
    </row>
    <row r="64" spans="1:7" ht="22.5" customHeight="1" x14ac:dyDescent="0.4">
      <c r="A64" s="31" t="s">
        <v>46</v>
      </c>
      <c r="B64" s="32">
        <f>B47+B63</f>
        <v>13291896</v>
      </c>
      <c r="C64" s="5">
        <f>C47+C63</f>
        <v>2081543</v>
      </c>
      <c r="D64" s="33">
        <f>B64+C64</f>
        <v>15373439</v>
      </c>
      <c r="E64" s="34">
        <f>E47+E63</f>
        <v>11394220</v>
      </c>
      <c r="F64" s="35">
        <f t="shared" si="1"/>
        <v>3979219</v>
      </c>
      <c r="G64" s="32">
        <v>16531843</v>
      </c>
    </row>
    <row r="65" spans="1:7" ht="22.5" customHeight="1" x14ac:dyDescent="0.4">
      <c r="A65" s="16" t="s">
        <v>47</v>
      </c>
      <c r="B65" s="21">
        <f>B22-B64</f>
        <v>2043128</v>
      </c>
      <c r="C65" s="3">
        <f>C22-C64</f>
        <v>-1531270</v>
      </c>
      <c r="D65" s="22">
        <f>B65+C65</f>
        <v>511858</v>
      </c>
      <c r="E65" s="23">
        <f>E22-E64</f>
        <v>-3699037</v>
      </c>
      <c r="F65" s="24">
        <f t="shared" si="1"/>
        <v>4210895</v>
      </c>
      <c r="G65" s="21">
        <v>-1182550</v>
      </c>
    </row>
    <row r="66" spans="1:7" ht="22.5" customHeight="1" x14ac:dyDescent="0.4">
      <c r="A66" s="16" t="s">
        <v>48</v>
      </c>
      <c r="B66" s="21"/>
      <c r="C66" s="3"/>
      <c r="D66" s="22">
        <f t="shared" si="0"/>
        <v>0</v>
      </c>
      <c r="E66" s="23">
        <v>0</v>
      </c>
      <c r="F66" s="24">
        <f t="shared" si="1"/>
        <v>0</v>
      </c>
      <c r="G66" s="21"/>
    </row>
    <row r="67" spans="1:7" x14ac:dyDescent="0.4">
      <c r="A67" s="16" t="s">
        <v>49</v>
      </c>
      <c r="B67" s="21">
        <f>B65+B66</f>
        <v>2043128</v>
      </c>
      <c r="C67" s="3">
        <f>C65</f>
        <v>-1531270</v>
      </c>
      <c r="D67" s="22">
        <f>B67+C67</f>
        <v>511858</v>
      </c>
      <c r="E67" s="23">
        <f>E65+E66</f>
        <v>-3699037</v>
      </c>
      <c r="F67" s="24">
        <f t="shared" si="1"/>
        <v>4210895</v>
      </c>
      <c r="G67" s="21">
        <v>-1182550</v>
      </c>
    </row>
    <row r="68" spans="1:7" x14ac:dyDescent="0.4">
      <c r="A68" s="16" t="s">
        <v>50</v>
      </c>
      <c r="B68" s="21"/>
      <c r="C68" s="3"/>
      <c r="D68" s="22"/>
      <c r="E68" s="23"/>
      <c r="F68" s="24"/>
      <c r="G68" s="21"/>
    </row>
    <row r="69" spans="1:7" x14ac:dyDescent="0.4">
      <c r="A69" s="25" t="s">
        <v>51</v>
      </c>
      <c r="B69" s="26">
        <v>0</v>
      </c>
      <c r="C69" s="4"/>
      <c r="D69" s="27">
        <f t="shared" si="0"/>
        <v>0</v>
      </c>
      <c r="E69" s="28"/>
      <c r="F69" s="29">
        <f t="shared" si="1"/>
        <v>0</v>
      </c>
      <c r="G69" s="26"/>
    </row>
    <row r="70" spans="1:7" x14ac:dyDescent="0.4">
      <c r="A70" s="16" t="s">
        <v>52</v>
      </c>
      <c r="B70" s="21">
        <v>0</v>
      </c>
      <c r="C70" s="3"/>
      <c r="D70" s="22">
        <f t="shared" si="0"/>
        <v>0</v>
      </c>
      <c r="E70" s="23">
        <v>0</v>
      </c>
      <c r="F70" s="24">
        <f t="shared" si="1"/>
        <v>0</v>
      </c>
      <c r="G70" s="21"/>
    </row>
    <row r="71" spans="1:7" x14ac:dyDescent="0.4">
      <c r="A71" s="25" t="s">
        <v>53</v>
      </c>
      <c r="B71" s="26">
        <v>0</v>
      </c>
      <c r="C71" s="4"/>
      <c r="D71" s="27">
        <f t="shared" si="0"/>
        <v>0</v>
      </c>
      <c r="E71" s="28"/>
      <c r="F71" s="29"/>
      <c r="G71" s="26"/>
    </row>
    <row r="72" spans="1:7" x14ac:dyDescent="0.4">
      <c r="A72" s="16" t="s">
        <v>54</v>
      </c>
      <c r="B72" s="21">
        <v>0</v>
      </c>
      <c r="C72" s="3"/>
      <c r="D72" s="22">
        <f t="shared" si="0"/>
        <v>0</v>
      </c>
      <c r="E72" s="23">
        <v>0</v>
      </c>
      <c r="F72" s="24">
        <f t="shared" si="1"/>
        <v>0</v>
      </c>
      <c r="G72" s="21"/>
    </row>
    <row r="73" spans="1:7" x14ac:dyDescent="0.4">
      <c r="A73" s="16" t="s">
        <v>55</v>
      </c>
      <c r="B73" s="21">
        <v>0</v>
      </c>
      <c r="C73" s="3"/>
      <c r="D73" s="22">
        <f t="shared" si="0"/>
        <v>0</v>
      </c>
      <c r="E73" s="23">
        <v>0</v>
      </c>
      <c r="F73" s="24">
        <f t="shared" si="1"/>
        <v>0</v>
      </c>
      <c r="G73" s="21"/>
    </row>
    <row r="74" spans="1:7" x14ac:dyDescent="0.4">
      <c r="A74" s="16" t="s">
        <v>56</v>
      </c>
      <c r="B74" s="21">
        <f>B67+B69-B71</f>
        <v>2043128</v>
      </c>
      <c r="C74" s="3">
        <f>C67+C70-C72</f>
        <v>-1531270</v>
      </c>
      <c r="D74" s="22">
        <f t="shared" si="0"/>
        <v>511858</v>
      </c>
      <c r="E74" s="23">
        <f>E67+E69-E71</f>
        <v>-3699037</v>
      </c>
      <c r="F74" s="24">
        <f t="shared" si="1"/>
        <v>4210895</v>
      </c>
      <c r="G74" s="21">
        <v>-1182550</v>
      </c>
    </row>
    <row r="75" spans="1:7" x14ac:dyDescent="0.4">
      <c r="A75" s="16" t="s">
        <v>57</v>
      </c>
      <c r="B75" s="21">
        <v>72000</v>
      </c>
      <c r="C75" s="3"/>
      <c r="D75" s="22">
        <f t="shared" si="0"/>
        <v>72000</v>
      </c>
      <c r="E75" s="23">
        <v>72000</v>
      </c>
      <c r="F75" s="24">
        <f t="shared" si="1"/>
        <v>0</v>
      </c>
      <c r="G75" s="21">
        <v>72000</v>
      </c>
    </row>
    <row r="76" spans="1:7" x14ac:dyDescent="0.4">
      <c r="A76" s="16" t="s">
        <v>58</v>
      </c>
      <c r="B76" s="21">
        <f>B74-B75</f>
        <v>1971128</v>
      </c>
      <c r="C76" s="3">
        <f>C74-C75</f>
        <v>-1531270</v>
      </c>
      <c r="D76" s="22">
        <f t="shared" si="0"/>
        <v>439858</v>
      </c>
      <c r="E76" s="23">
        <f>E74-E75</f>
        <v>-3771037</v>
      </c>
      <c r="F76" s="24">
        <f t="shared" si="1"/>
        <v>4210895</v>
      </c>
      <c r="G76" s="21">
        <v>-1254550</v>
      </c>
    </row>
    <row r="77" spans="1:7" x14ac:dyDescent="0.4">
      <c r="A77" s="16" t="s">
        <v>59</v>
      </c>
      <c r="B77" s="21">
        <v>-3751761</v>
      </c>
      <c r="C77" s="3"/>
      <c r="D77" s="22">
        <f t="shared" si="0"/>
        <v>-3751761</v>
      </c>
      <c r="E77" s="23">
        <v>19276</v>
      </c>
      <c r="F77" s="24">
        <f t="shared" si="1"/>
        <v>-3771037</v>
      </c>
      <c r="G77" s="21">
        <v>-4169064</v>
      </c>
    </row>
    <row r="78" spans="1:7" x14ac:dyDescent="0.4">
      <c r="A78" s="31" t="s">
        <v>60</v>
      </c>
      <c r="B78" s="32">
        <f>B77+B76</f>
        <v>-1780633</v>
      </c>
      <c r="C78" s="5">
        <f>C76</f>
        <v>-1531270</v>
      </c>
      <c r="D78" s="33">
        <f>B78+C78</f>
        <v>-3311903</v>
      </c>
      <c r="E78" s="34">
        <f>E77+E76</f>
        <v>-3751761</v>
      </c>
      <c r="F78" s="35">
        <f t="shared" si="1"/>
        <v>439858</v>
      </c>
      <c r="G78" s="32">
        <v>-5423614</v>
      </c>
    </row>
    <row r="79" spans="1:7" x14ac:dyDescent="0.4">
      <c r="A79" s="16" t="s">
        <v>61</v>
      </c>
      <c r="B79" s="21"/>
      <c r="C79" s="3"/>
      <c r="D79" s="22"/>
      <c r="E79" s="23"/>
      <c r="F79" s="24"/>
      <c r="G79" s="21"/>
    </row>
    <row r="80" spans="1:7" x14ac:dyDescent="0.4">
      <c r="A80" s="25" t="s">
        <v>62</v>
      </c>
      <c r="B80" s="26">
        <f>SUM(B81)</f>
        <v>0</v>
      </c>
      <c r="C80" s="4">
        <f>SUM(C81)</f>
        <v>0</v>
      </c>
      <c r="D80" s="27">
        <f t="shared" ref="D80:D85" si="9">B80+C80</f>
        <v>0</v>
      </c>
      <c r="E80" s="28">
        <f>E81</f>
        <v>0</v>
      </c>
      <c r="F80" s="29">
        <f t="shared" ref="F80:F87" si="10">D80-E80</f>
        <v>0</v>
      </c>
      <c r="G80" s="26">
        <v>0</v>
      </c>
    </row>
    <row r="81" spans="1:7" x14ac:dyDescent="0.4">
      <c r="A81" s="16" t="s">
        <v>63</v>
      </c>
      <c r="B81" s="21"/>
      <c r="C81" s="3"/>
      <c r="D81" s="22">
        <f t="shared" si="9"/>
        <v>0</v>
      </c>
      <c r="E81" s="23"/>
      <c r="F81" s="24">
        <f t="shared" si="10"/>
        <v>0</v>
      </c>
      <c r="G81" s="21"/>
    </row>
    <row r="82" spans="1:7" x14ac:dyDescent="0.4">
      <c r="A82" s="25" t="s">
        <v>64</v>
      </c>
      <c r="B82" s="26">
        <v>0</v>
      </c>
      <c r="C82" s="4">
        <f>SUM(C83)</f>
        <v>-120273</v>
      </c>
      <c r="D82" s="27">
        <f t="shared" si="9"/>
        <v>-120273</v>
      </c>
      <c r="E82" s="28">
        <f>E83</f>
        <v>-120273</v>
      </c>
      <c r="F82" s="29">
        <f t="shared" si="10"/>
        <v>0</v>
      </c>
      <c r="G82" s="26">
        <v>-120273</v>
      </c>
    </row>
    <row r="83" spans="1:7" x14ac:dyDescent="0.4">
      <c r="A83" s="16" t="s">
        <v>65</v>
      </c>
      <c r="B83" s="21">
        <v>0</v>
      </c>
      <c r="C83" s="3">
        <v>-120273</v>
      </c>
      <c r="D83" s="22">
        <f>B83+C83</f>
        <v>-120273</v>
      </c>
      <c r="E83" s="23">
        <v>-120273</v>
      </c>
      <c r="F83" s="24">
        <f t="shared" si="10"/>
        <v>0</v>
      </c>
      <c r="G83" s="21">
        <v>-120273</v>
      </c>
    </row>
    <row r="84" spans="1:7" x14ac:dyDescent="0.4">
      <c r="A84" s="16" t="s">
        <v>66</v>
      </c>
      <c r="B84" s="21">
        <v>0</v>
      </c>
      <c r="C84" s="3">
        <f>C80+C82</f>
        <v>-120273</v>
      </c>
      <c r="D84" s="22">
        <f t="shared" si="9"/>
        <v>-120273</v>
      </c>
      <c r="E84" s="23">
        <f>E80+E82</f>
        <v>-120273</v>
      </c>
      <c r="F84" s="24">
        <f t="shared" si="10"/>
        <v>0</v>
      </c>
      <c r="G84" s="21">
        <v>-120273</v>
      </c>
    </row>
    <row r="85" spans="1:7" x14ac:dyDescent="0.4">
      <c r="A85" s="16" t="s">
        <v>67</v>
      </c>
      <c r="B85" s="21">
        <v>129012184</v>
      </c>
      <c r="C85" s="3"/>
      <c r="D85" s="22">
        <f t="shared" si="9"/>
        <v>129012184</v>
      </c>
      <c r="E85" s="23">
        <v>129132457</v>
      </c>
      <c r="F85" s="24">
        <f t="shared" si="10"/>
        <v>-120273</v>
      </c>
      <c r="G85" s="21">
        <v>129012184</v>
      </c>
    </row>
    <row r="86" spans="1:7" x14ac:dyDescent="0.4">
      <c r="A86" s="31" t="s">
        <v>68</v>
      </c>
      <c r="B86" s="32">
        <f>B85+B84</f>
        <v>129012184</v>
      </c>
      <c r="C86" s="5">
        <f>C84</f>
        <v>-120273</v>
      </c>
      <c r="D86" s="33">
        <f>B86+C86</f>
        <v>128891911</v>
      </c>
      <c r="E86" s="34">
        <f>E85+E84</f>
        <v>129012184</v>
      </c>
      <c r="F86" s="35">
        <f t="shared" si="10"/>
        <v>-120273</v>
      </c>
      <c r="G86" s="32">
        <v>128891911</v>
      </c>
    </row>
    <row r="87" spans="1:7" x14ac:dyDescent="0.4">
      <c r="A87" s="36" t="s">
        <v>69</v>
      </c>
      <c r="B87" s="37">
        <f>B86+B78</f>
        <v>127231551</v>
      </c>
      <c r="C87" s="6">
        <f>C78+C86</f>
        <v>-1651543</v>
      </c>
      <c r="D87" s="38">
        <f>B87+C87</f>
        <v>125580008</v>
      </c>
      <c r="E87" s="39">
        <f>E78+E86</f>
        <v>125260423</v>
      </c>
      <c r="F87" s="40">
        <f t="shared" si="10"/>
        <v>319585</v>
      </c>
      <c r="G87" s="41">
        <v>123468297</v>
      </c>
    </row>
  </sheetData>
  <mergeCells count="6">
    <mergeCell ref="A1:G2"/>
    <mergeCell ref="B3:D3"/>
    <mergeCell ref="E3:E4"/>
    <mergeCell ref="F3:F4"/>
    <mergeCell ref="A3:A4"/>
    <mergeCell ref="G3:G4"/>
  </mergeCells>
  <phoneticPr fontId="2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3B246-DB3E-4BB0-B8BE-AC438742D304}">
  <sheetPr>
    <tabColor rgb="FFFF0000"/>
    <pageSetUpPr fitToPage="1"/>
  </sheetPr>
  <dimension ref="A1:K89"/>
  <sheetViews>
    <sheetView topLeftCell="A64" zoomScale="70" zoomScaleNormal="70" workbookViewId="0">
      <selection activeCell="D44" sqref="D44"/>
    </sheetView>
  </sheetViews>
  <sheetFormatPr defaultRowHeight="25.5" x14ac:dyDescent="0.4"/>
  <cols>
    <col min="1" max="1" width="37.5" style="74" customWidth="1"/>
    <col min="2" max="2" width="18.75" style="60" customWidth="1"/>
    <col min="3" max="9" width="18.75" style="64" customWidth="1"/>
    <col min="10" max="10" width="10.625" bestFit="1" customWidth="1"/>
  </cols>
  <sheetData>
    <row r="1" spans="1:9" ht="25.5" customHeight="1" x14ac:dyDescent="0.4">
      <c r="A1" s="113" t="s">
        <v>163</v>
      </c>
      <c r="B1" s="113"/>
      <c r="C1" s="113"/>
      <c r="D1" s="113"/>
      <c r="E1" s="113"/>
      <c r="F1" s="113"/>
      <c r="G1" s="113"/>
      <c r="H1" s="113"/>
      <c r="I1" s="113"/>
    </row>
    <row r="2" spans="1:9" ht="25.5" customHeight="1" x14ac:dyDescent="0.4">
      <c r="A2" s="114"/>
      <c r="B2" s="114"/>
      <c r="C2" s="114"/>
      <c r="D2" s="114"/>
      <c r="E2" s="114"/>
      <c r="F2" s="114"/>
      <c r="G2" s="114"/>
      <c r="H2" s="114"/>
      <c r="I2" s="114"/>
    </row>
    <row r="3" spans="1:9" ht="18.75" customHeight="1" x14ac:dyDescent="0.4">
      <c r="A3" s="127" t="s">
        <v>0</v>
      </c>
      <c r="B3" s="124" t="s">
        <v>113</v>
      </c>
      <c r="C3" s="124"/>
      <c r="D3" s="124" t="s">
        <v>114</v>
      </c>
      <c r="E3" s="124"/>
      <c r="F3" s="124"/>
      <c r="G3" s="124"/>
      <c r="H3" s="124" t="s">
        <v>115</v>
      </c>
      <c r="I3" s="124" t="s">
        <v>116</v>
      </c>
    </row>
    <row r="4" spans="1:9" ht="18.75" customHeight="1" x14ac:dyDescent="0.4">
      <c r="A4" s="128"/>
      <c r="B4" s="75" t="s">
        <v>117</v>
      </c>
      <c r="C4" s="125" t="s">
        <v>119</v>
      </c>
      <c r="D4" s="75" t="s">
        <v>120</v>
      </c>
      <c r="E4" s="75" t="s">
        <v>121</v>
      </c>
      <c r="F4" s="125" t="s">
        <v>118</v>
      </c>
      <c r="G4" s="125" t="s">
        <v>119</v>
      </c>
      <c r="H4" s="125"/>
      <c r="I4" s="125"/>
    </row>
    <row r="5" spans="1:9" ht="22.5" customHeight="1" thickBot="1" x14ac:dyDescent="0.45">
      <c r="A5" s="129"/>
      <c r="B5" s="76" t="s">
        <v>124</v>
      </c>
      <c r="C5" s="130"/>
      <c r="D5" s="76" t="s">
        <v>122</v>
      </c>
      <c r="E5" s="76" t="s">
        <v>123</v>
      </c>
      <c r="F5" s="130"/>
      <c r="G5" s="130"/>
      <c r="H5" s="126"/>
      <c r="I5" s="126"/>
    </row>
    <row r="6" spans="1:9" ht="22.5" customHeight="1" thickTop="1" x14ac:dyDescent="0.4">
      <c r="A6" s="69" t="s">
        <v>2</v>
      </c>
      <c r="B6" s="65"/>
      <c r="C6" s="62"/>
      <c r="D6" s="62"/>
      <c r="E6" s="62"/>
      <c r="F6" s="62"/>
      <c r="G6" s="62"/>
      <c r="H6" s="62"/>
      <c r="I6" s="62"/>
    </row>
    <row r="7" spans="1:9" ht="22.5" customHeight="1" x14ac:dyDescent="0.4">
      <c r="A7" s="70" t="s">
        <v>3</v>
      </c>
      <c r="B7" s="61"/>
      <c r="C7" s="63"/>
      <c r="D7" s="63"/>
      <c r="E7" s="63"/>
      <c r="F7" s="63"/>
      <c r="G7" s="63"/>
      <c r="H7" s="63"/>
      <c r="I7" s="63"/>
    </row>
    <row r="8" spans="1:9" ht="22.5" customHeight="1" x14ac:dyDescent="0.4">
      <c r="A8" s="70" t="s">
        <v>4</v>
      </c>
      <c r="B8" s="63"/>
      <c r="C8" s="63"/>
      <c r="D8" s="63"/>
      <c r="E8" s="63"/>
      <c r="F8" s="63"/>
      <c r="G8" s="63"/>
      <c r="H8" s="63"/>
      <c r="I8" s="63"/>
    </row>
    <row r="9" spans="1:9" ht="22.5" customHeight="1" x14ac:dyDescent="0.4">
      <c r="A9" s="71" t="s">
        <v>5</v>
      </c>
      <c r="B9" s="66">
        <f>SUM(B10:B12)</f>
        <v>2535448</v>
      </c>
      <c r="C9" s="66">
        <f>B9</f>
        <v>2535448</v>
      </c>
      <c r="D9" s="66">
        <f t="shared" ref="D9:F9" si="0">SUM(D10:D12)</f>
        <v>224205</v>
      </c>
      <c r="E9" s="66">
        <f t="shared" si="0"/>
        <v>294000</v>
      </c>
      <c r="F9" s="66">
        <f t="shared" si="0"/>
        <v>0</v>
      </c>
      <c r="G9" s="66">
        <f>D9+E9+F9</f>
        <v>518205</v>
      </c>
      <c r="H9" s="66">
        <f>SUM(H10:H12)</f>
        <v>0</v>
      </c>
      <c r="I9" s="66">
        <f>SUM(I10:I12)</f>
        <v>3053653</v>
      </c>
    </row>
    <row r="10" spans="1:9" ht="22.5" customHeight="1" x14ac:dyDescent="0.4">
      <c r="A10" s="70" t="s">
        <v>6</v>
      </c>
      <c r="B10" s="63">
        <f>I10</f>
        <v>2535448</v>
      </c>
      <c r="C10" s="63">
        <f t="shared" ref="C10:C79" si="1">B10</f>
        <v>2535448</v>
      </c>
      <c r="D10" s="63"/>
      <c r="E10" s="63"/>
      <c r="F10" s="63"/>
      <c r="G10" s="63">
        <f t="shared" ref="G10:G79" si="2">D10+E10+F10</f>
        <v>0</v>
      </c>
      <c r="H10" s="63"/>
      <c r="I10" s="63">
        <f>予想損益!D9</f>
        <v>2535448</v>
      </c>
    </row>
    <row r="11" spans="1:9" ht="22.5" customHeight="1" x14ac:dyDescent="0.4">
      <c r="A11" s="70" t="s">
        <v>7</v>
      </c>
      <c r="B11" s="63"/>
      <c r="C11" s="63">
        <f t="shared" si="1"/>
        <v>0</v>
      </c>
      <c r="D11" s="63">
        <f>I11</f>
        <v>224205</v>
      </c>
      <c r="E11" s="63"/>
      <c r="F11" s="63"/>
      <c r="G11" s="63">
        <f t="shared" si="2"/>
        <v>224205</v>
      </c>
      <c r="H11" s="63"/>
      <c r="I11" s="63">
        <f>予想損益!D10</f>
        <v>224205</v>
      </c>
    </row>
    <row r="12" spans="1:9" ht="22.5" customHeight="1" x14ac:dyDescent="0.4">
      <c r="A12" s="70" t="s">
        <v>8</v>
      </c>
      <c r="B12" s="63"/>
      <c r="C12" s="63">
        <f t="shared" si="1"/>
        <v>0</v>
      </c>
      <c r="D12" s="63"/>
      <c r="E12" s="63">
        <f>I12</f>
        <v>294000</v>
      </c>
      <c r="F12" s="63"/>
      <c r="G12" s="63">
        <f t="shared" si="2"/>
        <v>294000</v>
      </c>
      <c r="H12" s="63"/>
      <c r="I12" s="63">
        <f>予想損益!D11</f>
        <v>294000</v>
      </c>
    </row>
    <row r="13" spans="1:9" ht="22.5" customHeight="1" x14ac:dyDescent="0.4">
      <c r="A13" s="71" t="s">
        <v>9</v>
      </c>
      <c r="B13" s="66">
        <f>SUM(B14:B16)</f>
        <v>4110000</v>
      </c>
      <c r="C13" s="66">
        <f t="shared" si="1"/>
        <v>4110000</v>
      </c>
      <c r="D13" s="66">
        <f t="shared" ref="D13:F13" si="3">SUM(D14)</f>
        <v>0</v>
      </c>
      <c r="E13" s="66">
        <f t="shared" si="3"/>
        <v>0</v>
      </c>
      <c r="F13" s="66">
        <f t="shared" si="3"/>
        <v>0</v>
      </c>
      <c r="G13" s="66">
        <f t="shared" si="2"/>
        <v>0</v>
      </c>
      <c r="H13" s="66">
        <f>SUM(H14:H16)</f>
        <v>0</v>
      </c>
      <c r="I13" s="66">
        <f>SUM(I14:I16)</f>
        <v>4110000</v>
      </c>
    </row>
    <row r="14" spans="1:9" ht="22.5" customHeight="1" x14ac:dyDescent="0.4">
      <c r="A14" s="70" t="s">
        <v>10</v>
      </c>
      <c r="B14" s="63"/>
      <c r="C14" s="63">
        <f t="shared" si="1"/>
        <v>0</v>
      </c>
      <c r="D14" s="63"/>
      <c r="E14" s="63"/>
      <c r="F14" s="63"/>
      <c r="G14" s="63">
        <f>D14+E14+F14</f>
        <v>0</v>
      </c>
      <c r="H14" s="63">
        <f>I14</f>
        <v>0</v>
      </c>
      <c r="I14" s="63">
        <f>予想損益!D13</f>
        <v>0</v>
      </c>
    </row>
    <row r="15" spans="1:9" ht="22.5" customHeight="1" x14ac:dyDescent="0.4">
      <c r="A15" s="70" t="s">
        <v>136</v>
      </c>
      <c r="B15" s="63">
        <f>I15-H15</f>
        <v>0</v>
      </c>
      <c r="C15" s="63">
        <f t="shared" ref="C15" si="4">B15</f>
        <v>0</v>
      </c>
      <c r="D15" s="63"/>
      <c r="E15" s="63"/>
      <c r="F15" s="63"/>
      <c r="G15" s="63">
        <f>D15+E15+F15</f>
        <v>0</v>
      </c>
      <c r="H15" s="63"/>
      <c r="I15" s="63">
        <f>予想損益!D14</f>
        <v>0</v>
      </c>
    </row>
    <row r="16" spans="1:9" ht="22.5" customHeight="1" x14ac:dyDescent="0.4">
      <c r="A16" s="70" t="s">
        <v>138</v>
      </c>
      <c r="B16" s="63">
        <f>I16</f>
        <v>4110000</v>
      </c>
      <c r="C16" s="63">
        <f t="shared" ref="C16" si="5">B16</f>
        <v>4110000</v>
      </c>
      <c r="D16" s="63"/>
      <c r="E16" s="63"/>
      <c r="F16" s="63"/>
      <c r="G16" s="63">
        <f>D16+E16+F16</f>
        <v>0</v>
      </c>
      <c r="H16" s="63"/>
      <c r="I16" s="63">
        <f>予想損益!D15</f>
        <v>4110000</v>
      </c>
    </row>
    <row r="17" spans="1:11" ht="22.5" customHeight="1" x14ac:dyDescent="0.4">
      <c r="A17" s="71" t="s">
        <v>11</v>
      </c>
      <c r="B17" s="66">
        <f>SUM(B18)</f>
        <v>0</v>
      </c>
      <c r="C17" s="66">
        <f t="shared" si="1"/>
        <v>0</v>
      </c>
      <c r="D17" s="66">
        <f t="shared" ref="D17:F17" si="6">SUM(D18)</f>
        <v>0</v>
      </c>
      <c r="E17" s="66">
        <f t="shared" si="6"/>
        <v>0</v>
      </c>
      <c r="F17" s="66">
        <f t="shared" si="6"/>
        <v>0</v>
      </c>
      <c r="G17" s="66">
        <f t="shared" si="2"/>
        <v>0</v>
      </c>
      <c r="H17" s="66">
        <f>SUM(H18)</f>
        <v>6279041</v>
      </c>
      <c r="I17" s="66">
        <f>SUM(I18)</f>
        <v>6279041</v>
      </c>
    </row>
    <row r="18" spans="1:11" ht="22.5" customHeight="1" x14ac:dyDescent="0.4">
      <c r="A18" s="70" t="s">
        <v>12</v>
      </c>
      <c r="B18" s="63"/>
      <c r="C18" s="63">
        <f t="shared" si="1"/>
        <v>0</v>
      </c>
      <c r="D18" s="63"/>
      <c r="E18" s="63"/>
      <c r="F18" s="63"/>
      <c r="G18" s="63">
        <f t="shared" si="2"/>
        <v>0</v>
      </c>
      <c r="H18" s="63">
        <f>I18</f>
        <v>6279041</v>
      </c>
      <c r="I18" s="63">
        <f>予想損益!D17</f>
        <v>6279041</v>
      </c>
    </row>
    <row r="19" spans="1:11" ht="22.5" customHeight="1" x14ac:dyDescent="0.4">
      <c r="A19" s="71" t="s">
        <v>13</v>
      </c>
      <c r="B19" s="66">
        <f>SUM(B20:B22)</f>
        <v>120273</v>
      </c>
      <c r="C19" s="66">
        <f t="shared" si="1"/>
        <v>120273</v>
      </c>
      <c r="D19" s="66">
        <f t="shared" ref="D19:F19" si="7">SUM(D20:D22)</f>
        <v>0</v>
      </c>
      <c r="E19" s="66">
        <f t="shared" si="7"/>
        <v>0</v>
      </c>
      <c r="F19" s="66">
        <f t="shared" si="7"/>
        <v>0</v>
      </c>
      <c r="G19" s="66">
        <f t="shared" si="2"/>
        <v>0</v>
      </c>
      <c r="H19" s="66">
        <f>SUM(H20:H22)</f>
        <v>2322330</v>
      </c>
      <c r="I19" s="66">
        <f>SUM(I20:I22)</f>
        <v>2442603</v>
      </c>
    </row>
    <row r="20" spans="1:11" ht="22.5" customHeight="1" x14ac:dyDescent="0.4">
      <c r="A20" s="70" t="s">
        <v>14</v>
      </c>
      <c r="B20" s="63"/>
      <c r="C20" s="63">
        <f t="shared" si="1"/>
        <v>0</v>
      </c>
      <c r="D20" s="63"/>
      <c r="E20" s="63"/>
      <c r="F20" s="63"/>
      <c r="G20" s="63">
        <f t="shared" si="2"/>
        <v>0</v>
      </c>
      <c r="H20" s="63">
        <f>I20</f>
        <v>32</v>
      </c>
      <c r="I20" s="63">
        <f>予想損益!D19</f>
        <v>32</v>
      </c>
    </row>
    <row r="21" spans="1:11" ht="22.5" customHeight="1" x14ac:dyDescent="0.4">
      <c r="A21" s="70" t="s">
        <v>71</v>
      </c>
      <c r="B21" s="63"/>
      <c r="C21" s="63">
        <f t="shared" si="1"/>
        <v>0</v>
      </c>
      <c r="D21" s="63"/>
      <c r="E21" s="63"/>
      <c r="F21" s="63"/>
      <c r="G21" s="63">
        <f t="shared" si="2"/>
        <v>0</v>
      </c>
      <c r="H21" s="63">
        <f>I21</f>
        <v>2322298</v>
      </c>
      <c r="I21" s="63">
        <f>予想損益!D20</f>
        <v>2322298</v>
      </c>
    </row>
    <row r="22" spans="1:11" ht="22.5" customHeight="1" x14ac:dyDescent="0.4">
      <c r="A22" s="70" t="s">
        <v>15</v>
      </c>
      <c r="B22" s="63">
        <f>I22</f>
        <v>120273</v>
      </c>
      <c r="C22" s="63">
        <f t="shared" si="1"/>
        <v>120273</v>
      </c>
      <c r="D22" s="63"/>
      <c r="E22" s="63"/>
      <c r="F22" s="63"/>
      <c r="G22" s="63">
        <f t="shared" si="2"/>
        <v>0</v>
      </c>
      <c r="H22" s="63"/>
      <c r="I22" s="63">
        <f>予想損益!D21</f>
        <v>120273</v>
      </c>
    </row>
    <row r="23" spans="1:11" ht="22.5" customHeight="1" x14ac:dyDescent="0.4">
      <c r="A23" s="72" t="s">
        <v>16</v>
      </c>
      <c r="B23" s="67">
        <f>B9+B13+B17+B19</f>
        <v>6765721</v>
      </c>
      <c r="C23" s="67">
        <f t="shared" ref="C23:E23" si="8">C9+C13+C17+C19</f>
        <v>6765721</v>
      </c>
      <c r="D23" s="67">
        <f t="shared" si="8"/>
        <v>224205</v>
      </c>
      <c r="E23" s="67">
        <f t="shared" si="8"/>
        <v>294000</v>
      </c>
      <c r="F23" s="67">
        <f>F9+F13+F17+F19</f>
        <v>0</v>
      </c>
      <c r="G23" s="67">
        <f>G9+G13+G17+G19</f>
        <v>518205</v>
      </c>
      <c r="H23" s="67">
        <f>H9+H13+H17+H19</f>
        <v>8601371</v>
      </c>
      <c r="I23" s="67">
        <f>I9+I13+I17+I19</f>
        <v>15885297</v>
      </c>
    </row>
    <row r="24" spans="1:11" ht="22.5" customHeight="1" x14ac:dyDescent="0.4">
      <c r="A24" s="70" t="s">
        <v>17</v>
      </c>
      <c r="B24" s="63"/>
      <c r="C24" s="63"/>
      <c r="D24" s="63"/>
      <c r="E24" s="63"/>
      <c r="F24" s="63"/>
      <c r="G24" s="63"/>
      <c r="H24" s="63"/>
      <c r="I24" s="63"/>
    </row>
    <row r="25" spans="1:11" ht="22.5" customHeight="1" x14ac:dyDescent="0.4">
      <c r="A25" s="70" t="s">
        <v>18</v>
      </c>
      <c r="B25" s="63"/>
      <c r="C25" s="63"/>
      <c r="D25" s="63"/>
      <c r="E25" s="63"/>
      <c r="F25" s="63"/>
      <c r="G25" s="63"/>
      <c r="H25" s="63"/>
      <c r="I25" s="63"/>
    </row>
    <row r="26" spans="1:11" ht="22.5" customHeight="1" x14ac:dyDescent="0.4">
      <c r="A26" s="70" t="s">
        <v>73</v>
      </c>
      <c r="B26" s="63">
        <f>B27+B28-B29</f>
        <v>0</v>
      </c>
      <c r="C26" s="63">
        <f t="shared" ref="C26:H26" si="9">C27+C28-C29</f>
        <v>0</v>
      </c>
      <c r="D26" s="63">
        <f>D27+D28-D29</f>
        <v>136627</v>
      </c>
      <c r="E26" s="63">
        <f t="shared" si="9"/>
        <v>0</v>
      </c>
      <c r="F26" s="63">
        <f t="shared" si="9"/>
        <v>0</v>
      </c>
      <c r="G26" s="63">
        <f t="shared" si="9"/>
        <v>136627</v>
      </c>
      <c r="H26" s="63">
        <f t="shared" si="9"/>
        <v>0</v>
      </c>
      <c r="I26" s="63">
        <f>予想損益!D25</f>
        <v>136627</v>
      </c>
      <c r="J26" s="51"/>
    </row>
    <row r="27" spans="1:11" ht="22.5" customHeight="1" x14ac:dyDescent="0.4">
      <c r="A27" s="70" t="s">
        <v>19</v>
      </c>
      <c r="B27" s="63"/>
      <c r="C27" s="63">
        <f t="shared" si="1"/>
        <v>0</v>
      </c>
      <c r="D27" s="63">
        <f>I27</f>
        <v>486627</v>
      </c>
      <c r="E27" s="63"/>
      <c r="F27" s="63"/>
      <c r="G27" s="63">
        <f t="shared" si="2"/>
        <v>486627</v>
      </c>
      <c r="H27" s="63"/>
      <c r="I27" s="63">
        <f>予想損益!D26</f>
        <v>486627</v>
      </c>
      <c r="J27" s="51"/>
      <c r="K27" s="51"/>
    </row>
    <row r="28" spans="1:11" ht="22.5" customHeight="1" x14ac:dyDescent="0.4">
      <c r="A28" s="70" t="s">
        <v>20</v>
      </c>
      <c r="B28" s="63"/>
      <c r="C28" s="63">
        <f t="shared" si="1"/>
        <v>0</v>
      </c>
      <c r="D28" s="63">
        <f t="shared" ref="D28:D29" si="10">I28</f>
        <v>100000</v>
      </c>
      <c r="E28" s="63"/>
      <c r="F28" s="63"/>
      <c r="G28" s="63">
        <f t="shared" si="2"/>
        <v>100000</v>
      </c>
      <c r="H28" s="63"/>
      <c r="I28" s="63">
        <f>予想損益!D27</f>
        <v>100000</v>
      </c>
      <c r="J28" s="51"/>
      <c r="K28" s="51"/>
    </row>
    <row r="29" spans="1:11" ht="22.5" customHeight="1" x14ac:dyDescent="0.4">
      <c r="A29" s="70" t="s">
        <v>21</v>
      </c>
      <c r="B29" s="63"/>
      <c r="C29" s="63">
        <f t="shared" si="1"/>
        <v>0</v>
      </c>
      <c r="D29" s="63">
        <f t="shared" si="10"/>
        <v>450000</v>
      </c>
      <c r="E29" s="63"/>
      <c r="F29" s="63"/>
      <c r="G29" s="63">
        <f t="shared" si="2"/>
        <v>450000</v>
      </c>
      <c r="H29" s="63"/>
      <c r="I29" s="63">
        <f>予想損益!D28</f>
        <v>450000</v>
      </c>
      <c r="J29" s="51"/>
      <c r="K29" s="51"/>
    </row>
    <row r="30" spans="1:11" ht="22.5" customHeight="1" x14ac:dyDescent="0.4">
      <c r="A30" s="70" t="s">
        <v>72</v>
      </c>
      <c r="B30" s="63">
        <f>SUM(B31:B47)</f>
        <v>9155108</v>
      </c>
      <c r="C30" s="63">
        <f>SUM(C31:C47)</f>
        <v>9155108</v>
      </c>
      <c r="D30" s="63">
        <f>SUM(D31:D47)</f>
        <v>175005</v>
      </c>
      <c r="E30" s="63">
        <f>SUM(E31:E47)</f>
        <v>92747</v>
      </c>
      <c r="F30" s="63">
        <f t="shared" ref="F30:H30" si="11">SUM(F31:F47)</f>
        <v>0</v>
      </c>
      <c r="G30" s="63">
        <f>SUM(G31:G47)</f>
        <v>267752</v>
      </c>
      <c r="H30" s="63">
        <f t="shared" si="11"/>
        <v>0</v>
      </c>
      <c r="I30" s="63">
        <f>SUM(I31:I47)</f>
        <v>9422860</v>
      </c>
      <c r="J30" s="51"/>
      <c r="K30" s="51"/>
    </row>
    <row r="31" spans="1:11" ht="22.5" customHeight="1" x14ac:dyDescent="0.4">
      <c r="A31" s="70" t="s">
        <v>22</v>
      </c>
      <c r="B31" s="63">
        <f>ROUNDUP(I31*300/320,0)</f>
        <v>1251975</v>
      </c>
      <c r="C31" s="63">
        <f t="shared" si="1"/>
        <v>1251975</v>
      </c>
      <c r="D31" s="63">
        <f>ROUNDDOWN(I31*20/320,0)</f>
        <v>83465</v>
      </c>
      <c r="E31" s="63"/>
      <c r="F31" s="63"/>
      <c r="G31" s="63">
        <f t="shared" si="2"/>
        <v>83465</v>
      </c>
      <c r="H31" s="63"/>
      <c r="I31" s="63">
        <f>予想損益!D30</f>
        <v>1335440</v>
      </c>
      <c r="J31" s="51"/>
      <c r="K31" s="51"/>
    </row>
    <row r="32" spans="1:11" ht="22.5" customHeight="1" x14ac:dyDescent="0.4">
      <c r="A32" s="70" t="s">
        <v>128</v>
      </c>
      <c r="B32" s="63"/>
      <c r="C32" s="63"/>
      <c r="D32" s="63"/>
      <c r="E32" s="63">
        <f>I32</f>
        <v>0</v>
      </c>
      <c r="F32" s="63"/>
      <c r="G32" s="63">
        <f t="shared" si="2"/>
        <v>0</v>
      </c>
      <c r="H32" s="63"/>
      <c r="I32" s="63">
        <f>予想損益!D31</f>
        <v>0</v>
      </c>
      <c r="J32" s="51"/>
      <c r="K32" s="51"/>
    </row>
    <row r="33" spans="1:11" ht="22.5" customHeight="1" x14ac:dyDescent="0.4">
      <c r="A33" s="70" t="s">
        <v>23</v>
      </c>
      <c r="B33" s="63">
        <f>I33</f>
        <v>185220</v>
      </c>
      <c r="C33" s="63">
        <f t="shared" si="1"/>
        <v>185220</v>
      </c>
      <c r="D33" s="63"/>
      <c r="E33" s="63"/>
      <c r="F33" s="63"/>
      <c r="G33" s="63">
        <f t="shared" ref="G33:G34" si="12">D33+E33+F33</f>
        <v>0</v>
      </c>
      <c r="H33" s="63"/>
      <c r="I33" s="63">
        <f>予想損益!D32</f>
        <v>185220</v>
      </c>
      <c r="J33" s="51"/>
      <c r="K33" s="51"/>
    </row>
    <row r="34" spans="1:11" ht="22.5" customHeight="1" x14ac:dyDescent="0.4">
      <c r="A34" s="70" t="s">
        <v>24</v>
      </c>
      <c r="B34" s="63">
        <f>ROUNDUP(I34*90/100,0)</f>
        <v>284906</v>
      </c>
      <c r="C34" s="63">
        <f t="shared" si="1"/>
        <v>284906</v>
      </c>
      <c r="D34" s="63">
        <f>ROUND(I34*5/100,0)</f>
        <v>15828</v>
      </c>
      <c r="E34" s="63">
        <f>ROUND(I34*5/100,0)</f>
        <v>15828</v>
      </c>
      <c r="F34" s="63"/>
      <c r="G34" s="63">
        <f t="shared" si="12"/>
        <v>31656</v>
      </c>
      <c r="H34" s="63"/>
      <c r="I34" s="63">
        <f>予想損益!D33</f>
        <v>316562</v>
      </c>
      <c r="J34" s="51"/>
      <c r="K34" s="51"/>
    </row>
    <row r="35" spans="1:11" ht="22.5" customHeight="1" x14ac:dyDescent="0.4">
      <c r="A35" s="70" t="s">
        <v>25</v>
      </c>
      <c r="B35" s="63">
        <f>I35</f>
        <v>471843</v>
      </c>
      <c r="C35" s="63">
        <f t="shared" si="1"/>
        <v>471843</v>
      </c>
      <c r="D35" s="63"/>
      <c r="E35" s="63"/>
      <c r="F35" s="63"/>
      <c r="G35" s="63">
        <f t="shared" si="2"/>
        <v>0</v>
      </c>
      <c r="H35" s="63"/>
      <c r="I35" s="63">
        <f>予想損益!D34</f>
        <v>471843</v>
      </c>
      <c r="J35" s="51"/>
      <c r="K35" s="51"/>
    </row>
    <row r="36" spans="1:11" ht="22.5" customHeight="1" x14ac:dyDescent="0.4">
      <c r="A36" s="70" t="s">
        <v>26</v>
      </c>
      <c r="B36" s="63">
        <f>ROUNDUP(I36*96/100,0)</f>
        <v>103785</v>
      </c>
      <c r="C36" s="63">
        <f t="shared" si="1"/>
        <v>103785</v>
      </c>
      <c r="D36" s="63">
        <f>ROUND(I36*2/100,0)</f>
        <v>2162</v>
      </c>
      <c r="E36" s="63">
        <f>ROUND(I36*2/100,0)</f>
        <v>2162</v>
      </c>
      <c r="F36" s="63"/>
      <c r="G36" s="63">
        <f t="shared" si="2"/>
        <v>4324</v>
      </c>
      <c r="H36" s="63"/>
      <c r="I36" s="63">
        <f>予想損益!D35</f>
        <v>108109</v>
      </c>
      <c r="J36" s="51"/>
      <c r="K36" s="51"/>
    </row>
    <row r="37" spans="1:11" ht="22.5" customHeight="1" x14ac:dyDescent="0.4">
      <c r="A37" s="70" t="s">
        <v>27</v>
      </c>
      <c r="B37" s="63">
        <f>ROUNDUP(I37*95/100,0)</f>
        <v>237187</v>
      </c>
      <c r="C37" s="63">
        <f t="shared" si="1"/>
        <v>237187</v>
      </c>
      <c r="D37" s="63">
        <f>ROUND(I37*2/100,0)</f>
        <v>4993</v>
      </c>
      <c r="E37" s="63">
        <f>ROUND(I37*3/100,0)</f>
        <v>7490</v>
      </c>
      <c r="F37" s="63"/>
      <c r="G37" s="63">
        <f t="shared" ref="G37" si="13">D37+E37+F37</f>
        <v>12483</v>
      </c>
      <c r="H37" s="63"/>
      <c r="I37" s="63">
        <f>予想損益!D36</f>
        <v>249670</v>
      </c>
      <c r="J37" s="51"/>
      <c r="K37" s="51"/>
    </row>
    <row r="38" spans="1:11" ht="22.5" customHeight="1" x14ac:dyDescent="0.4">
      <c r="A38" s="70" t="s">
        <v>28</v>
      </c>
      <c r="B38" s="63">
        <f>ROUNDUP(I38*90/100,0)-1</f>
        <v>182839</v>
      </c>
      <c r="C38" s="63">
        <f t="shared" si="1"/>
        <v>182839</v>
      </c>
      <c r="D38" s="63">
        <f>ROUND(I38*5/100,0)</f>
        <v>10158</v>
      </c>
      <c r="E38" s="63">
        <f>ROUND(I38*5/100,0)</f>
        <v>10158</v>
      </c>
      <c r="F38" s="63"/>
      <c r="G38" s="63">
        <f t="shared" ref="G38" si="14">D38+E38+F38</f>
        <v>20316</v>
      </c>
      <c r="H38" s="63"/>
      <c r="I38" s="63">
        <f>予想損益!D37</f>
        <v>203155</v>
      </c>
      <c r="J38" s="51"/>
      <c r="K38" s="51"/>
    </row>
    <row r="39" spans="1:11" ht="22.5" customHeight="1" x14ac:dyDescent="0.4">
      <c r="A39" s="70" t="s">
        <v>29</v>
      </c>
      <c r="B39" s="63">
        <f>ROUNDUP(I39*90/100,0)</f>
        <v>57948</v>
      </c>
      <c r="C39" s="63">
        <f t="shared" si="1"/>
        <v>57948</v>
      </c>
      <c r="D39" s="63">
        <f>ROUND(I39*5/100,0)</f>
        <v>3219</v>
      </c>
      <c r="E39" s="63">
        <f>ROUND(I39*5/100,0)</f>
        <v>3219</v>
      </c>
      <c r="F39" s="63"/>
      <c r="G39" s="63">
        <f t="shared" ref="G39:G43" si="15">D39+E39+F39</f>
        <v>6438</v>
      </c>
      <c r="H39" s="63"/>
      <c r="I39" s="63">
        <f>予想損益!D38</f>
        <v>64386</v>
      </c>
      <c r="J39" s="51"/>
      <c r="K39" s="51"/>
    </row>
    <row r="40" spans="1:11" ht="22.5" customHeight="1" x14ac:dyDescent="0.4">
      <c r="A40" s="70" t="s">
        <v>30</v>
      </c>
      <c r="B40" s="63">
        <f>ROUNDUP(I40*90/100,0)</f>
        <v>621579</v>
      </c>
      <c r="C40" s="63">
        <f t="shared" si="1"/>
        <v>621579</v>
      </c>
      <c r="D40" s="63">
        <f>ROUND(I40*5/100,0)</f>
        <v>34532</v>
      </c>
      <c r="E40" s="63">
        <f>ROUND(I40*5/100,0)</f>
        <v>34532</v>
      </c>
      <c r="F40" s="63"/>
      <c r="G40" s="63">
        <f t="shared" si="15"/>
        <v>69064</v>
      </c>
      <c r="H40" s="63"/>
      <c r="I40" s="63">
        <f>予想損益!D39</f>
        <v>690643</v>
      </c>
      <c r="J40" s="51"/>
      <c r="K40" s="51"/>
    </row>
    <row r="41" spans="1:11" ht="22.5" customHeight="1" x14ac:dyDescent="0.4">
      <c r="A41" s="70" t="s">
        <v>135</v>
      </c>
      <c r="B41" s="63">
        <f>I41</f>
        <v>223770</v>
      </c>
      <c r="C41" s="63">
        <f t="shared" ref="C41" si="16">B41</f>
        <v>223770</v>
      </c>
      <c r="D41" s="63"/>
      <c r="E41" s="63"/>
      <c r="F41" s="63"/>
      <c r="G41" s="63">
        <f t="shared" ref="G41" si="17">D41+E41+F41</f>
        <v>0</v>
      </c>
      <c r="H41" s="63"/>
      <c r="I41" s="63">
        <f>予想損益!D40</f>
        <v>223770</v>
      </c>
      <c r="J41" s="51"/>
      <c r="K41" s="51"/>
    </row>
    <row r="42" spans="1:11" ht="22.5" customHeight="1" x14ac:dyDescent="0.4">
      <c r="A42" s="70" t="s">
        <v>31</v>
      </c>
      <c r="B42" s="63">
        <f>ROUNDUP(I42*90/100,0)</f>
        <v>293310</v>
      </c>
      <c r="C42" s="63">
        <f t="shared" si="1"/>
        <v>293310</v>
      </c>
      <c r="D42" s="63">
        <f>ROUND(I42*5/100,0)</f>
        <v>16295</v>
      </c>
      <c r="E42" s="63">
        <f>ROUND(I42*5/100,0)</f>
        <v>16295</v>
      </c>
      <c r="F42" s="63"/>
      <c r="G42" s="63">
        <f t="shared" si="15"/>
        <v>32590</v>
      </c>
      <c r="H42" s="63"/>
      <c r="I42" s="63">
        <f>予想損益!D41</f>
        <v>325900</v>
      </c>
      <c r="J42" s="51"/>
      <c r="K42" s="51"/>
    </row>
    <row r="43" spans="1:11" ht="22.5" customHeight="1" x14ac:dyDescent="0.4">
      <c r="A43" s="70" t="s">
        <v>32</v>
      </c>
      <c r="B43" s="63">
        <f>I43</f>
        <v>15000</v>
      </c>
      <c r="C43" s="63">
        <f t="shared" si="1"/>
        <v>15000</v>
      </c>
      <c r="D43" s="63"/>
      <c r="E43" s="63"/>
      <c r="F43" s="63"/>
      <c r="G43" s="63">
        <f t="shared" si="15"/>
        <v>0</v>
      </c>
      <c r="H43" s="63"/>
      <c r="I43" s="63">
        <f>予想損益!D42</f>
        <v>15000</v>
      </c>
      <c r="J43" s="51"/>
      <c r="K43" s="51"/>
    </row>
    <row r="44" spans="1:11" ht="22.5" customHeight="1" x14ac:dyDescent="0.4">
      <c r="A44" s="70" t="s">
        <v>33</v>
      </c>
      <c r="B44" s="63">
        <f>ROUNDUP(I44*92/100,0)-1</f>
        <v>55603</v>
      </c>
      <c r="C44" s="63">
        <f t="shared" si="1"/>
        <v>55603</v>
      </c>
      <c r="D44" s="63">
        <f>ROUND(I44*4/100,0)</f>
        <v>2418</v>
      </c>
      <c r="E44" s="63">
        <f>ROUND(I44*4/100,0)</f>
        <v>2418</v>
      </c>
      <c r="F44" s="63"/>
      <c r="G44" s="63">
        <f t="shared" ref="G44:G45" si="18">D44+E44+F44</f>
        <v>4836</v>
      </c>
      <c r="H44" s="63"/>
      <c r="I44" s="63">
        <f>予想損益!D43</f>
        <v>60439</v>
      </c>
      <c r="J44" s="51"/>
      <c r="K44" s="51"/>
    </row>
    <row r="45" spans="1:11" ht="22.5" customHeight="1" x14ac:dyDescent="0.4">
      <c r="A45" s="70" t="s">
        <v>34</v>
      </c>
      <c r="B45" s="63">
        <f>I45</f>
        <v>5152088</v>
      </c>
      <c r="C45" s="63">
        <f t="shared" si="1"/>
        <v>5152088</v>
      </c>
      <c r="D45" s="63"/>
      <c r="E45" s="63"/>
      <c r="F45" s="63"/>
      <c r="G45" s="63">
        <f t="shared" si="18"/>
        <v>0</v>
      </c>
      <c r="H45" s="63"/>
      <c r="I45" s="63">
        <f>予想損益!D44</f>
        <v>5152088</v>
      </c>
      <c r="J45" s="51"/>
      <c r="K45" s="51"/>
    </row>
    <row r="46" spans="1:11" ht="22.5" customHeight="1" x14ac:dyDescent="0.4">
      <c r="A46" s="70" t="s">
        <v>137</v>
      </c>
      <c r="B46" s="63">
        <f>I46</f>
        <v>0</v>
      </c>
      <c r="C46" s="63">
        <f t="shared" si="1"/>
        <v>0</v>
      </c>
      <c r="D46" s="63"/>
      <c r="E46" s="63"/>
      <c r="F46" s="63"/>
      <c r="G46" s="63">
        <v>0</v>
      </c>
      <c r="H46" s="63"/>
      <c r="I46" s="63">
        <f>予想損益!D45</f>
        <v>0</v>
      </c>
      <c r="J46" s="51"/>
      <c r="K46" s="51"/>
    </row>
    <row r="47" spans="1:11" ht="22.5" customHeight="1" x14ac:dyDescent="0.4">
      <c r="A47" s="70" t="s">
        <v>35</v>
      </c>
      <c r="B47" s="63">
        <f>ROUNDUP(I47*140/160,0)-1</f>
        <v>18055</v>
      </c>
      <c r="C47" s="63">
        <f t="shared" si="1"/>
        <v>18055</v>
      </c>
      <c r="D47" s="63">
        <f>ROUND(I47*15/160,0)</f>
        <v>1935</v>
      </c>
      <c r="E47" s="63">
        <f>ROUND(I47*5/160,0)</f>
        <v>645</v>
      </c>
      <c r="F47" s="63"/>
      <c r="G47" s="63">
        <f t="shared" ref="G47" si="19">D47+E47+F47</f>
        <v>2580</v>
      </c>
      <c r="H47" s="63"/>
      <c r="I47" s="63">
        <f>予想損益!D46</f>
        <v>20635</v>
      </c>
      <c r="J47" s="51"/>
      <c r="K47" s="51"/>
    </row>
    <row r="48" spans="1:11" ht="22.5" customHeight="1" x14ac:dyDescent="0.4">
      <c r="A48" s="71" t="s">
        <v>36</v>
      </c>
      <c r="B48" s="66">
        <f>B26+B30</f>
        <v>9155108</v>
      </c>
      <c r="C48" s="66">
        <f>C30</f>
        <v>9155108</v>
      </c>
      <c r="D48" s="66">
        <f>D26+D30</f>
        <v>311632</v>
      </c>
      <c r="E48" s="66">
        <f>E26+E30</f>
        <v>92747</v>
      </c>
      <c r="F48" s="66">
        <f t="shared" ref="F48:H48" si="20">F26+F30</f>
        <v>0</v>
      </c>
      <c r="G48" s="66">
        <f>G26+G30</f>
        <v>404379</v>
      </c>
      <c r="H48" s="66">
        <f t="shared" si="20"/>
        <v>0</v>
      </c>
      <c r="I48" s="66">
        <f>I26+I30</f>
        <v>9559487</v>
      </c>
      <c r="J48" s="51"/>
    </row>
    <row r="49" spans="1:10" ht="22.5" customHeight="1" x14ac:dyDescent="0.4">
      <c r="A49" s="70" t="s">
        <v>37</v>
      </c>
      <c r="B49" s="63"/>
      <c r="C49" s="63"/>
      <c r="D49" s="63"/>
      <c r="E49" s="63"/>
      <c r="F49" s="63"/>
      <c r="G49" s="63"/>
      <c r="H49" s="63"/>
      <c r="I49" s="63"/>
      <c r="J49" s="51"/>
    </row>
    <row r="50" spans="1:10" ht="22.5" customHeight="1" x14ac:dyDescent="0.4">
      <c r="A50" s="70" t="s">
        <v>38</v>
      </c>
      <c r="B50" s="63">
        <f>ROUNDUP(I50*270/320,0)</f>
        <v>3037500</v>
      </c>
      <c r="C50" s="63">
        <f t="shared" si="1"/>
        <v>3037500</v>
      </c>
      <c r="D50" s="63">
        <f>ROUNDDOWN(I50*30/320,0)</f>
        <v>337500</v>
      </c>
      <c r="E50" s="63">
        <f>ROUNDDOWN(I50*10/320,0)</f>
        <v>112500</v>
      </c>
      <c r="F50" s="63"/>
      <c r="G50" s="63">
        <f t="shared" si="2"/>
        <v>450000</v>
      </c>
      <c r="H50" s="63">
        <f>ROUNDDOWN(I50*10/320,0)</f>
        <v>112500</v>
      </c>
      <c r="I50" s="63">
        <f>予想損益!D49</f>
        <v>3600000</v>
      </c>
      <c r="J50" s="51"/>
    </row>
    <row r="51" spans="1:10" ht="22.5" customHeight="1" x14ac:dyDescent="0.4">
      <c r="A51" s="70" t="s">
        <v>39</v>
      </c>
      <c r="B51" s="63">
        <f>ROUNDUP(I51*270/320,0)</f>
        <v>509895</v>
      </c>
      <c r="C51" s="63">
        <f t="shared" si="1"/>
        <v>509895</v>
      </c>
      <c r="D51" s="63">
        <f>ROUNDUP(I51*30/320,0)</f>
        <v>56655</v>
      </c>
      <c r="E51" s="63">
        <f>ROUNDUP(I51*10/320,0)</f>
        <v>18885</v>
      </c>
      <c r="F51" s="63"/>
      <c r="G51" s="63">
        <f t="shared" ref="G51" si="21">D51+E51+F51</f>
        <v>75540</v>
      </c>
      <c r="H51" s="63">
        <f>ROUNDDOWN(I51*10/320,0)</f>
        <v>18884</v>
      </c>
      <c r="I51" s="63">
        <f>予想損益!D50</f>
        <v>604319</v>
      </c>
      <c r="J51" s="51"/>
    </row>
    <row r="52" spans="1:10" ht="22.5" customHeight="1" x14ac:dyDescent="0.4">
      <c r="A52" s="70" t="str">
        <f>予想損益!A51</f>
        <v>　　　 修　　繕　　費</v>
      </c>
      <c r="B52" s="63"/>
      <c r="C52" s="63">
        <f t="shared" si="1"/>
        <v>0</v>
      </c>
      <c r="D52" s="63"/>
      <c r="E52" s="63">
        <f>I52</f>
        <v>0</v>
      </c>
      <c r="F52" s="63"/>
      <c r="G52" s="63">
        <f t="shared" si="2"/>
        <v>0</v>
      </c>
      <c r="H52" s="63"/>
      <c r="I52" s="63">
        <f>予想損益!D51</f>
        <v>0</v>
      </c>
      <c r="J52" s="51"/>
    </row>
    <row r="53" spans="1:10" ht="22.5" customHeight="1" x14ac:dyDescent="0.4">
      <c r="A53" s="70" t="str">
        <f>予想損益!A52</f>
        <v xml:space="preserve">            旅　費　交通費</v>
      </c>
      <c r="B53" s="63"/>
      <c r="C53" s="63">
        <f t="shared" si="1"/>
        <v>0</v>
      </c>
      <c r="D53" s="63"/>
      <c r="E53" s="63"/>
      <c r="F53" s="63"/>
      <c r="G53" s="63">
        <f t="shared" si="2"/>
        <v>0</v>
      </c>
      <c r="H53" s="63">
        <f t="shared" ref="H53:H63" si="22">I53</f>
        <v>10000</v>
      </c>
      <c r="I53" s="63">
        <f>予想損益!D52</f>
        <v>10000</v>
      </c>
      <c r="J53" s="51"/>
    </row>
    <row r="54" spans="1:10" ht="22.5" customHeight="1" x14ac:dyDescent="0.4">
      <c r="A54" s="70" t="str">
        <f>予想損益!A53</f>
        <v xml:space="preserve">            通　信　運搬費</v>
      </c>
      <c r="B54" s="63"/>
      <c r="C54" s="63">
        <f t="shared" si="1"/>
        <v>0</v>
      </c>
      <c r="D54" s="63"/>
      <c r="E54" s="63"/>
      <c r="F54" s="63"/>
      <c r="G54" s="63">
        <f t="shared" si="2"/>
        <v>0</v>
      </c>
      <c r="H54" s="63">
        <f t="shared" si="22"/>
        <v>10000</v>
      </c>
      <c r="I54" s="63">
        <f>予想損益!D53</f>
        <v>10000</v>
      </c>
      <c r="J54" s="51"/>
    </row>
    <row r="55" spans="1:10" ht="22.5" customHeight="1" x14ac:dyDescent="0.4">
      <c r="A55" s="70" t="str">
        <f>予想損益!A54</f>
        <v xml:space="preserve">            消　耗　品　費</v>
      </c>
      <c r="B55" s="63"/>
      <c r="C55" s="63">
        <f t="shared" si="1"/>
        <v>0</v>
      </c>
      <c r="D55" s="63"/>
      <c r="E55" s="63"/>
      <c r="F55" s="63"/>
      <c r="G55" s="63">
        <f t="shared" si="2"/>
        <v>0</v>
      </c>
      <c r="H55" s="63">
        <f t="shared" si="22"/>
        <v>26475</v>
      </c>
      <c r="I55" s="63">
        <f>予想損益!D54</f>
        <v>26475</v>
      </c>
      <c r="J55" s="51"/>
    </row>
    <row r="56" spans="1:10" ht="22.5" customHeight="1" x14ac:dyDescent="0.4">
      <c r="A56" s="70" t="str">
        <f>予想損益!A55</f>
        <v>　　　 負　　担　　金</v>
      </c>
      <c r="B56" s="63"/>
      <c r="C56" s="63">
        <f t="shared" si="1"/>
        <v>0</v>
      </c>
      <c r="D56" s="63"/>
      <c r="E56" s="63"/>
      <c r="F56" s="63"/>
      <c r="G56" s="63">
        <f t="shared" si="2"/>
        <v>0</v>
      </c>
      <c r="H56" s="63">
        <f t="shared" si="22"/>
        <v>154600</v>
      </c>
      <c r="I56" s="63">
        <f>予想損益!D55</f>
        <v>154600</v>
      </c>
      <c r="J56" s="51"/>
    </row>
    <row r="57" spans="1:10" ht="22.5" customHeight="1" x14ac:dyDescent="0.4">
      <c r="A57" s="70" t="str">
        <f>予想損益!A56</f>
        <v xml:space="preserve">            保　　険　　料</v>
      </c>
      <c r="B57" s="63"/>
      <c r="C57" s="63">
        <f t="shared" si="1"/>
        <v>0</v>
      </c>
      <c r="D57" s="63"/>
      <c r="E57" s="63"/>
      <c r="F57" s="63"/>
      <c r="G57" s="63">
        <f t="shared" si="2"/>
        <v>0</v>
      </c>
      <c r="H57" s="63">
        <f t="shared" si="22"/>
        <v>50400</v>
      </c>
      <c r="I57" s="63">
        <f>予想損益!D56</f>
        <v>50400</v>
      </c>
      <c r="J57" s="51"/>
    </row>
    <row r="58" spans="1:10" ht="22.5" customHeight="1" x14ac:dyDescent="0.4">
      <c r="A58" s="70" t="str">
        <f>予想損益!A57</f>
        <v xml:space="preserve">            租　税　公　課</v>
      </c>
      <c r="B58" s="63"/>
      <c r="C58" s="63">
        <f t="shared" si="1"/>
        <v>0</v>
      </c>
      <c r="D58" s="63"/>
      <c r="E58" s="63"/>
      <c r="F58" s="63"/>
      <c r="G58" s="63">
        <f t="shared" si="2"/>
        <v>0</v>
      </c>
      <c r="H58" s="63">
        <f t="shared" si="22"/>
        <v>10600</v>
      </c>
      <c r="I58" s="63">
        <f>予想損益!D57</f>
        <v>10600</v>
      </c>
      <c r="J58" s="51"/>
    </row>
    <row r="59" spans="1:10" ht="22.5" customHeight="1" x14ac:dyDescent="0.4">
      <c r="A59" s="70" t="str">
        <f>予想損益!A58</f>
        <v xml:space="preserve">            支　払　利　息</v>
      </c>
      <c r="B59" s="63"/>
      <c r="C59" s="63">
        <f t="shared" si="1"/>
        <v>0</v>
      </c>
      <c r="D59" s="63"/>
      <c r="E59" s="63"/>
      <c r="F59" s="63"/>
      <c r="G59" s="63">
        <f t="shared" si="2"/>
        <v>0</v>
      </c>
      <c r="H59" s="63">
        <f t="shared" si="22"/>
        <v>72064</v>
      </c>
      <c r="I59" s="63">
        <f>予想損益!D58</f>
        <v>72064</v>
      </c>
      <c r="J59" s="51"/>
    </row>
    <row r="60" spans="1:10" ht="22.5" customHeight="1" x14ac:dyDescent="0.4">
      <c r="A60" s="70" t="str">
        <f>予想損益!A59</f>
        <v xml:space="preserve">            雑　　　　　費</v>
      </c>
      <c r="B60" s="63"/>
      <c r="C60" s="63">
        <f t="shared" si="1"/>
        <v>0</v>
      </c>
      <c r="D60" s="63"/>
      <c r="E60" s="63"/>
      <c r="F60" s="63"/>
      <c r="G60" s="63">
        <f t="shared" si="2"/>
        <v>0</v>
      </c>
      <c r="H60" s="63">
        <f t="shared" si="22"/>
        <v>60570</v>
      </c>
      <c r="I60" s="63">
        <f>予想損益!D59</f>
        <v>60570</v>
      </c>
      <c r="J60" s="51"/>
    </row>
    <row r="61" spans="1:10" ht="22.5" customHeight="1" x14ac:dyDescent="0.4">
      <c r="A61" s="70" t="str">
        <f>予想損益!A60</f>
        <v xml:space="preserve">            接待交際費</v>
      </c>
      <c r="B61" s="63"/>
      <c r="C61" s="63">
        <f t="shared" si="1"/>
        <v>0</v>
      </c>
      <c r="D61" s="63"/>
      <c r="E61" s="63"/>
      <c r="F61" s="63"/>
      <c r="G61" s="63">
        <f t="shared" si="2"/>
        <v>0</v>
      </c>
      <c r="H61" s="63">
        <f t="shared" si="22"/>
        <v>221435</v>
      </c>
      <c r="I61" s="63">
        <f>予想損益!D60</f>
        <v>221435</v>
      </c>
    </row>
    <row r="62" spans="1:10" ht="22.5" customHeight="1" x14ac:dyDescent="0.4">
      <c r="A62" s="70" t="str">
        <f>予想損益!A61</f>
        <v xml:space="preserve">            報酬料金</v>
      </c>
      <c r="B62" s="63"/>
      <c r="C62" s="63">
        <f t="shared" si="1"/>
        <v>0</v>
      </c>
      <c r="D62" s="63"/>
      <c r="E62" s="63"/>
      <c r="F62" s="63"/>
      <c r="G62" s="63">
        <f t="shared" si="2"/>
        <v>0</v>
      </c>
      <c r="H62" s="63">
        <f t="shared" si="22"/>
        <v>973820</v>
      </c>
      <c r="I62" s="63">
        <f>予想損益!D61</f>
        <v>973820</v>
      </c>
    </row>
    <row r="63" spans="1:10" ht="22.5" customHeight="1" x14ac:dyDescent="0.4">
      <c r="A63" s="70" t="str">
        <f>予想損益!A62</f>
        <v xml:space="preserve">            広告費</v>
      </c>
      <c r="B63" s="63"/>
      <c r="C63" s="63">
        <f t="shared" si="1"/>
        <v>0</v>
      </c>
      <c r="D63" s="63"/>
      <c r="E63" s="63"/>
      <c r="F63" s="63"/>
      <c r="G63" s="63">
        <f t="shared" si="2"/>
        <v>0</v>
      </c>
      <c r="H63" s="63">
        <f t="shared" si="22"/>
        <v>19669</v>
      </c>
      <c r="I63" s="63">
        <f>予想損益!D62</f>
        <v>19669</v>
      </c>
    </row>
    <row r="64" spans="1:10" ht="22.5" customHeight="1" x14ac:dyDescent="0.4">
      <c r="A64" s="71" t="s">
        <v>45</v>
      </c>
      <c r="B64" s="66">
        <f>SUM(B50:B63)</f>
        <v>3547395</v>
      </c>
      <c r="C64" s="66">
        <f t="shared" ref="C64:H64" si="23">SUM(C50:C63)</f>
        <v>3547395</v>
      </c>
      <c r="D64" s="66">
        <f>SUM(D50:D63)</f>
        <v>394155</v>
      </c>
      <c r="E64" s="66">
        <f t="shared" si="23"/>
        <v>131385</v>
      </c>
      <c r="F64" s="66">
        <f t="shared" si="23"/>
        <v>0</v>
      </c>
      <c r="G64" s="66">
        <f t="shared" si="23"/>
        <v>525540</v>
      </c>
      <c r="H64" s="66">
        <f t="shared" si="23"/>
        <v>1741017</v>
      </c>
      <c r="I64" s="66">
        <f>SUM(I50:I63)</f>
        <v>5813952</v>
      </c>
    </row>
    <row r="65" spans="1:9" ht="22.5" customHeight="1" x14ac:dyDescent="0.4">
      <c r="A65" s="72" t="s">
        <v>46</v>
      </c>
      <c r="B65" s="67">
        <f>B48+B64</f>
        <v>12702503</v>
      </c>
      <c r="C65" s="67">
        <f t="shared" ref="C65:F65" si="24">C48+C64</f>
        <v>12702503</v>
      </c>
      <c r="D65" s="67">
        <f>D48+D64</f>
        <v>705787</v>
      </c>
      <c r="E65" s="67">
        <f t="shared" si="24"/>
        <v>224132</v>
      </c>
      <c r="F65" s="67">
        <f t="shared" si="24"/>
        <v>0</v>
      </c>
      <c r="G65" s="67">
        <f>G48+G64</f>
        <v>929919</v>
      </c>
      <c r="H65" s="67">
        <f>H48+H64</f>
        <v>1741017</v>
      </c>
      <c r="I65" s="67">
        <f>I64+I48</f>
        <v>15373439</v>
      </c>
    </row>
    <row r="66" spans="1:9" ht="22.5" customHeight="1" x14ac:dyDescent="0.4">
      <c r="A66" s="70" t="s">
        <v>47</v>
      </c>
      <c r="B66" s="63">
        <f>B23-B65</f>
        <v>-5936782</v>
      </c>
      <c r="C66" s="63">
        <f t="shared" ref="C66:F66" si="25">C23-C65</f>
        <v>-5936782</v>
      </c>
      <c r="D66" s="63">
        <f>D23-D65</f>
        <v>-481582</v>
      </c>
      <c r="E66" s="63">
        <f>E23-E65</f>
        <v>69868</v>
      </c>
      <c r="F66" s="63">
        <f t="shared" si="25"/>
        <v>0</v>
      </c>
      <c r="G66" s="63">
        <f>G23-G65</f>
        <v>-411714</v>
      </c>
      <c r="H66" s="63">
        <f>H23-H65</f>
        <v>6860354</v>
      </c>
      <c r="I66" s="63">
        <f>G66+H66+C66</f>
        <v>511858</v>
      </c>
    </row>
    <row r="67" spans="1:9" ht="22.5" customHeight="1" x14ac:dyDescent="0.4">
      <c r="A67" s="70" t="s">
        <v>48</v>
      </c>
      <c r="B67" s="63"/>
      <c r="C67" s="63">
        <f t="shared" si="1"/>
        <v>0</v>
      </c>
      <c r="D67" s="63"/>
      <c r="E67" s="63"/>
      <c r="F67" s="63"/>
      <c r="G67" s="63">
        <f t="shared" si="2"/>
        <v>0</v>
      </c>
      <c r="H67" s="63"/>
      <c r="I67" s="63">
        <v>0</v>
      </c>
    </row>
    <row r="68" spans="1:9" x14ac:dyDescent="0.4">
      <c r="A68" s="70" t="s">
        <v>49</v>
      </c>
      <c r="B68" s="63">
        <f>B66</f>
        <v>-5936782</v>
      </c>
      <c r="C68" s="63">
        <f t="shared" ref="C68:H68" si="26">C66</f>
        <v>-5936782</v>
      </c>
      <c r="D68" s="63">
        <f t="shared" si="26"/>
        <v>-481582</v>
      </c>
      <c r="E68" s="63">
        <f t="shared" si="26"/>
        <v>69868</v>
      </c>
      <c r="F68" s="63">
        <f t="shared" si="26"/>
        <v>0</v>
      </c>
      <c r="G68" s="63">
        <f t="shared" si="26"/>
        <v>-411714</v>
      </c>
      <c r="H68" s="63">
        <f t="shared" si="26"/>
        <v>6860354</v>
      </c>
      <c r="I68" s="63">
        <f>I66</f>
        <v>511858</v>
      </c>
    </row>
    <row r="69" spans="1:9" x14ac:dyDescent="0.4">
      <c r="A69" s="70" t="s">
        <v>50</v>
      </c>
      <c r="B69" s="63"/>
      <c r="C69" s="63">
        <f t="shared" si="1"/>
        <v>0</v>
      </c>
      <c r="D69" s="63"/>
      <c r="E69" s="63"/>
      <c r="F69" s="63"/>
      <c r="G69" s="63">
        <f t="shared" si="2"/>
        <v>0</v>
      </c>
      <c r="H69" s="63"/>
      <c r="I69" s="63"/>
    </row>
    <row r="70" spans="1:9" x14ac:dyDescent="0.4">
      <c r="A70" s="71" t="s">
        <v>51</v>
      </c>
      <c r="B70" s="66">
        <f>SUM(B71)</f>
        <v>0</v>
      </c>
      <c r="C70" s="66">
        <f t="shared" ref="C70:H70" si="27">SUM(C71)</f>
        <v>0</v>
      </c>
      <c r="D70" s="66">
        <f t="shared" si="27"/>
        <v>0</v>
      </c>
      <c r="E70" s="66">
        <f t="shared" si="27"/>
        <v>0</v>
      </c>
      <c r="F70" s="66">
        <f t="shared" si="27"/>
        <v>0</v>
      </c>
      <c r="G70" s="66">
        <f t="shared" si="27"/>
        <v>0</v>
      </c>
      <c r="H70" s="66">
        <f t="shared" si="27"/>
        <v>0</v>
      </c>
      <c r="I70" s="66">
        <v>0</v>
      </c>
    </row>
    <row r="71" spans="1:9" x14ac:dyDescent="0.4">
      <c r="A71" s="70" t="s">
        <v>52</v>
      </c>
      <c r="B71" s="63"/>
      <c r="C71" s="63">
        <f t="shared" si="1"/>
        <v>0</v>
      </c>
      <c r="D71" s="63"/>
      <c r="E71" s="63"/>
      <c r="F71" s="63"/>
      <c r="G71" s="63">
        <f t="shared" si="2"/>
        <v>0</v>
      </c>
      <c r="H71" s="63"/>
      <c r="I71" s="63">
        <v>0</v>
      </c>
    </row>
    <row r="72" spans="1:9" x14ac:dyDescent="0.4">
      <c r="A72" s="71" t="s">
        <v>53</v>
      </c>
      <c r="B72" s="66">
        <f>SUM(B73)</f>
        <v>0</v>
      </c>
      <c r="C72" s="66">
        <f t="shared" ref="C72:H72" si="28">SUM(C73)</f>
        <v>0</v>
      </c>
      <c r="D72" s="66">
        <f t="shared" si="28"/>
        <v>0</v>
      </c>
      <c r="E72" s="66">
        <f t="shared" si="28"/>
        <v>0</v>
      </c>
      <c r="F72" s="66">
        <f t="shared" si="28"/>
        <v>0</v>
      </c>
      <c r="G72" s="66">
        <f t="shared" si="28"/>
        <v>0</v>
      </c>
      <c r="H72" s="66">
        <f t="shared" si="28"/>
        <v>0</v>
      </c>
      <c r="I72" s="66">
        <v>0</v>
      </c>
    </row>
    <row r="73" spans="1:9" x14ac:dyDescent="0.4">
      <c r="A73" s="70" t="s">
        <v>54</v>
      </c>
      <c r="B73" s="63"/>
      <c r="C73" s="63">
        <f t="shared" si="1"/>
        <v>0</v>
      </c>
      <c r="D73" s="63"/>
      <c r="E73" s="63"/>
      <c r="F73" s="63"/>
      <c r="G73" s="63">
        <f t="shared" si="2"/>
        <v>0</v>
      </c>
      <c r="H73" s="63"/>
      <c r="I73" s="63">
        <v>0</v>
      </c>
    </row>
    <row r="74" spans="1:9" x14ac:dyDescent="0.4">
      <c r="A74" s="70" t="s">
        <v>55</v>
      </c>
      <c r="B74" s="63"/>
      <c r="C74" s="63">
        <f t="shared" si="1"/>
        <v>0</v>
      </c>
      <c r="D74" s="63"/>
      <c r="E74" s="63"/>
      <c r="F74" s="63"/>
      <c r="G74" s="63">
        <f t="shared" si="2"/>
        <v>0</v>
      </c>
      <c r="H74" s="63"/>
      <c r="I74" s="63">
        <v>0</v>
      </c>
    </row>
    <row r="75" spans="1:9" x14ac:dyDescent="0.4">
      <c r="A75" s="70" t="s">
        <v>125</v>
      </c>
      <c r="B75" s="63"/>
      <c r="C75" s="63">
        <f t="shared" si="1"/>
        <v>0</v>
      </c>
      <c r="D75" s="63"/>
      <c r="E75" s="63"/>
      <c r="F75" s="63"/>
      <c r="G75" s="63">
        <f t="shared" ref="G75" si="29">D75+E75+F75</f>
        <v>0</v>
      </c>
      <c r="H75" s="63"/>
      <c r="I75" s="63">
        <v>0</v>
      </c>
    </row>
    <row r="76" spans="1:9" x14ac:dyDescent="0.4">
      <c r="A76" s="70" t="s">
        <v>56</v>
      </c>
      <c r="B76" s="63">
        <f>B23-B65+B75</f>
        <v>-5936782</v>
      </c>
      <c r="C76" s="63">
        <f>C23-C65+C75</f>
        <v>-5936782</v>
      </c>
      <c r="D76" s="63">
        <f t="shared" ref="D76:H76" si="30">D23-D65</f>
        <v>-481582</v>
      </c>
      <c r="E76" s="63">
        <f t="shared" si="30"/>
        <v>69868</v>
      </c>
      <c r="F76" s="63">
        <f>F23-F65+F75</f>
        <v>0</v>
      </c>
      <c r="G76" s="63">
        <f t="shared" si="30"/>
        <v>-411714</v>
      </c>
      <c r="H76" s="63">
        <f t="shared" si="30"/>
        <v>6860354</v>
      </c>
      <c r="I76" s="63">
        <f>I68</f>
        <v>511858</v>
      </c>
    </row>
    <row r="77" spans="1:9" x14ac:dyDescent="0.4">
      <c r="A77" s="70" t="s">
        <v>57</v>
      </c>
      <c r="B77" s="63"/>
      <c r="C77" s="63">
        <f t="shared" si="1"/>
        <v>0</v>
      </c>
      <c r="D77" s="63"/>
      <c r="E77" s="63"/>
      <c r="F77" s="63"/>
      <c r="G77" s="63">
        <f t="shared" si="2"/>
        <v>0</v>
      </c>
      <c r="H77" s="63">
        <f>I77</f>
        <v>72000</v>
      </c>
      <c r="I77" s="63">
        <v>72000</v>
      </c>
    </row>
    <row r="78" spans="1:9" x14ac:dyDescent="0.4">
      <c r="A78" s="70" t="s">
        <v>58</v>
      </c>
      <c r="B78" s="63">
        <f>B76-B77</f>
        <v>-5936782</v>
      </c>
      <c r="C78" s="63">
        <f t="shared" ref="C78:H78" si="31">C76-C77</f>
        <v>-5936782</v>
      </c>
      <c r="D78" s="63">
        <f t="shared" si="31"/>
        <v>-481582</v>
      </c>
      <c r="E78" s="63">
        <f t="shared" si="31"/>
        <v>69868</v>
      </c>
      <c r="F78" s="63">
        <f t="shared" si="31"/>
        <v>0</v>
      </c>
      <c r="G78" s="63">
        <f t="shared" si="31"/>
        <v>-411714</v>
      </c>
      <c r="H78" s="63">
        <f t="shared" si="31"/>
        <v>6788354</v>
      </c>
      <c r="I78" s="63">
        <f>I76-I77</f>
        <v>439858</v>
      </c>
    </row>
    <row r="79" spans="1:9" x14ac:dyDescent="0.4">
      <c r="A79" s="70" t="s">
        <v>59</v>
      </c>
      <c r="B79" s="63">
        <v>-3616829</v>
      </c>
      <c r="C79" s="63">
        <f t="shared" si="1"/>
        <v>-3616829</v>
      </c>
      <c r="D79" s="63">
        <v>-146451</v>
      </c>
      <c r="E79" s="63">
        <v>1922950</v>
      </c>
      <c r="F79" s="63">
        <v>-457501</v>
      </c>
      <c r="G79" s="63">
        <f t="shared" si="2"/>
        <v>1318998</v>
      </c>
      <c r="H79" s="63">
        <v>-1453930</v>
      </c>
      <c r="I79" s="63">
        <f>C79+G79+H79</f>
        <v>-3751761</v>
      </c>
    </row>
    <row r="80" spans="1:9" x14ac:dyDescent="0.4">
      <c r="A80" s="72" t="s">
        <v>60</v>
      </c>
      <c r="B80" s="67">
        <f>B79+B78</f>
        <v>-9553611</v>
      </c>
      <c r="C80" s="67">
        <f t="shared" ref="C80:H80" si="32">C79+C78</f>
        <v>-9553611</v>
      </c>
      <c r="D80" s="67">
        <f t="shared" si="32"/>
        <v>-628033</v>
      </c>
      <c r="E80" s="67">
        <f t="shared" si="32"/>
        <v>1992818</v>
      </c>
      <c r="F80" s="67">
        <f t="shared" si="32"/>
        <v>-457501</v>
      </c>
      <c r="G80" s="67">
        <f t="shared" si="32"/>
        <v>907284</v>
      </c>
      <c r="H80" s="67">
        <f t="shared" si="32"/>
        <v>5334424</v>
      </c>
      <c r="I80" s="67">
        <f>I78+I79</f>
        <v>-3311903</v>
      </c>
    </row>
    <row r="81" spans="1:9" x14ac:dyDescent="0.4">
      <c r="A81" s="70" t="s">
        <v>61</v>
      </c>
      <c r="B81" s="63"/>
      <c r="C81" s="63">
        <f t="shared" ref="C81:C89" si="33">B81</f>
        <v>0</v>
      </c>
      <c r="D81" s="63"/>
      <c r="E81" s="63"/>
      <c r="F81" s="63"/>
      <c r="G81" s="63">
        <f t="shared" ref="G81:G87" si="34">D81+E81+F81</f>
        <v>0</v>
      </c>
      <c r="H81" s="63"/>
      <c r="I81" s="63"/>
    </row>
    <row r="82" spans="1:9" x14ac:dyDescent="0.4">
      <c r="A82" s="71" t="s">
        <v>62</v>
      </c>
      <c r="B82" s="66">
        <f>SUM(B83)</f>
        <v>0</v>
      </c>
      <c r="C82" s="66">
        <f>SUM(C83)</f>
        <v>0</v>
      </c>
      <c r="D82" s="66">
        <f t="shared" ref="D82:H82" si="35">SUM(D83)</f>
        <v>0</v>
      </c>
      <c r="E82" s="66">
        <f t="shared" si="35"/>
        <v>0</v>
      </c>
      <c r="F82" s="66">
        <f t="shared" si="35"/>
        <v>0</v>
      </c>
      <c r="G82" s="66">
        <f t="shared" si="35"/>
        <v>0</v>
      </c>
      <c r="H82" s="66">
        <f t="shared" si="35"/>
        <v>0</v>
      </c>
      <c r="I82" s="66"/>
    </row>
    <row r="83" spans="1:9" x14ac:dyDescent="0.4">
      <c r="A83" s="70" t="s">
        <v>63</v>
      </c>
      <c r="B83" s="63">
        <f>I83</f>
        <v>0</v>
      </c>
      <c r="C83" s="63">
        <f>B83</f>
        <v>0</v>
      </c>
      <c r="D83" s="63">
        <f t="shared" ref="D83:H83" si="36">K83</f>
        <v>0</v>
      </c>
      <c r="E83" s="63">
        <f t="shared" si="36"/>
        <v>0</v>
      </c>
      <c r="F83" s="63">
        <f t="shared" si="36"/>
        <v>0</v>
      </c>
      <c r="G83" s="63">
        <f t="shared" si="36"/>
        <v>0</v>
      </c>
      <c r="H83" s="63">
        <f t="shared" si="36"/>
        <v>0</v>
      </c>
      <c r="I83" s="63"/>
    </row>
    <row r="84" spans="1:9" x14ac:dyDescent="0.4">
      <c r="A84" s="71" t="s">
        <v>64</v>
      </c>
      <c r="B84" s="66">
        <f>B85</f>
        <v>-120273</v>
      </c>
      <c r="C84" s="66">
        <f t="shared" ref="C84:H84" si="37">C85</f>
        <v>-120273</v>
      </c>
      <c r="D84" s="66">
        <f t="shared" si="37"/>
        <v>0</v>
      </c>
      <c r="E84" s="66">
        <f t="shared" si="37"/>
        <v>0</v>
      </c>
      <c r="F84" s="66">
        <f t="shared" si="37"/>
        <v>0</v>
      </c>
      <c r="G84" s="66">
        <f t="shared" si="37"/>
        <v>0</v>
      </c>
      <c r="H84" s="66">
        <f t="shared" si="37"/>
        <v>0</v>
      </c>
      <c r="I84" s="66">
        <v>-120273</v>
      </c>
    </row>
    <row r="85" spans="1:9" x14ac:dyDescent="0.4">
      <c r="A85" s="70" t="s">
        <v>65</v>
      </c>
      <c r="B85" s="63">
        <v>-120273</v>
      </c>
      <c r="C85" s="63">
        <f t="shared" si="33"/>
        <v>-120273</v>
      </c>
      <c r="D85" s="63"/>
      <c r="E85" s="63"/>
      <c r="F85" s="63"/>
      <c r="G85" s="63">
        <f t="shared" si="34"/>
        <v>0</v>
      </c>
      <c r="H85" s="63"/>
      <c r="I85" s="63">
        <v>-120273</v>
      </c>
    </row>
    <row r="86" spans="1:9" x14ac:dyDescent="0.4">
      <c r="A86" s="70" t="s">
        <v>66</v>
      </c>
      <c r="B86" s="63">
        <f>B82+B84</f>
        <v>-120273</v>
      </c>
      <c r="C86" s="63">
        <f t="shared" si="33"/>
        <v>-120273</v>
      </c>
      <c r="D86" s="63"/>
      <c r="E86" s="63"/>
      <c r="F86" s="63"/>
      <c r="G86" s="63">
        <f t="shared" si="34"/>
        <v>0</v>
      </c>
      <c r="H86" s="63"/>
      <c r="I86" s="63">
        <v>-120273</v>
      </c>
    </row>
    <row r="87" spans="1:9" x14ac:dyDescent="0.4">
      <c r="A87" s="70" t="s">
        <v>67</v>
      </c>
      <c r="B87" s="63">
        <v>129012184</v>
      </c>
      <c r="C87" s="63">
        <f t="shared" si="33"/>
        <v>129012184</v>
      </c>
      <c r="D87" s="63"/>
      <c r="E87" s="63"/>
      <c r="F87" s="63"/>
      <c r="G87" s="63">
        <f t="shared" si="34"/>
        <v>0</v>
      </c>
      <c r="H87" s="63"/>
      <c r="I87" s="63">
        <v>129012184</v>
      </c>
    </row>
    <row r="88" spans="1:9" x14ac:dyDescent="0.4">
      <c r="A88" s="72" t="s">
        <v>68</v>
      </c>
      <c r="B88" s="67">
        <f>B87+B86</f>
        <v>128891911</v>
      </c>
      <c r="C88" s="67">
        <f t="shared" ref="C88:H88" si="38">C87+C86</f>
        <v>128891911</v>
      </c>
      <c r="D88" s="67">
        <f t="shared" si="38"/>
        <v>0</v>
      </c>
      <c r="E88" s="67">
        <f t="shared" si="38"/>
        <v>0</v>
      </c>
      <c r="F88" s="67">
        <f t="shared" si="38"/>
        <v>0</v>
      </c>
      <c r="G88" s="67">
        <f t="shared" si="38"/>
        <v>0</v>
      </c>
      <c r="H88" s="67">
        <f t="shared" si="38"/>
        <v>0</v>
      </c>
      <c r="I88" s="67">
        <f>I87+I86</f>
        <v>128891911</v>
      </c>
    </row>
    <row r="89" spans="1:9" x14ac:dyDescent="0.4">
      <c r="A89" s="73" t="s">
        <v>69</v>
      </c>
      <c r="B89" s="68">
        <f>B80+B88</f>
        <v>119338300</v>
      </c>
      <c r="C89" s="68">
        <f t="shared" si="33"/>
        <v>119338300</v>
      </c>
      <c r="D89" s="68">
        <f t="shared" ref="D89:H89" si="39">D80+D88</f>
        <v>-628033</v>
      </c>
      <c r="E89" s="68">
        <f t="shared" si="39"/>
        <v>1992818</v>
      </c>
      <c r="F89" s="68">
        <f t="shared" si="39"/>
        <v>-457501</v>
      </c>
      <c r="G89" s="68">
        <f t="shared" si="39"/>
        <v>907284</v>
      </c>
      <c r="H89" s="68">
        <f t="shared" si="39"/>
        <v>5334424</v>
      </c>
      <c r="I89" s="68">
        <f>I88+I80</f>
        <v>125580008</v>
      </c>
    </row>
  </sheetData>
  <mergeCells count="9">
    <mergeCell ref="I3:I5"/>
    <mergeCell ref="H3:H5"/>
    <mergeCell ref="A3:A5"/>
    <mergeCell ref="A1:I2"/>
    <mergeCell ref="B3:C3"/>
    <mergeCell ref="D3:G3"/>
    <mergeCell ref="C4:C5"/>
    <mergeCell ref="G4:G5"/>
    <mergeCell ref="F4:F5"/>
  </mergeCells>
  <phoneticPr fontId="2"/>
  <pageMargins left="0.7" right="0.7" top="0.75" bottom="0.75" header="0.3" footer="0.3"/>
  <pageSetup paperSize="8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FB282-A2F4-4949-9979-3749F031DE4C}">
  <sheetPr>
    <pageSetUpPr fitToPage="1"/>
  </sheetPr>
  <dimension ref="A1:D46"/>
  <sheetViews>
    <sheetView zoomScale="80" zoomScaleNormal="80" workbookViewId="0">
      <selection activeCell="D44" sqref="D44"/>
    </sheetView>
  </sheetViews>
  <sheetFormatPr defaultRowHeight="24" x14ac:dyDescent="0.4"/>
  <cols>
    <col min="1" max="1" width="37.5" style="42" customWidth="1"/>
    <col min="2" max="3" width="27.625" style="44" customWidth="1"/>
    <col min="4" max="4" width="27.5" style="43" customWidth="1"/>
    <col min="6" max="6" width="10.625" bestFit="1" customWidth="1"/>
  </cols>
  <sheetData>
    <row r="1" spans="1:4" ht="24" customHeight="1" x14ac:dyDescent="0.4">
      <c r="A1" s="113" t="s">
        <v>158</v>
      </c>
      <c r="B1" s="113"/>
      <c r="C1" s="113"/>
      <c r="D1" s="113"/>
    </row>
    <row r="2" spans="1:4" ht="24" customHeight="1" x14ac:dyDescent="0.4">
      <c r="A2" s="114"/>
      <c r="B2" s="114"/>
      <c r="C2" s="114"/>
      <c r="D2" s="114"/>
    </row>
    <row r="3" spans="1:4" ht="18.75" x14ac:dyDescent="0.4">
      <c r="A3" s="122" t="s">
        <v>0</v>
      </c>
      <c r="B3" s="131" t="s">
        <v>159</v>
      </c>
      <c r="C3" s="133" t="s">
        <v>160</v>
      </c>
      <c r="D3" s="120" t="s">
        <v>1</v>
      </c>
    </row>
    <row r="4" spans="1:4" ht="22.5" customHeight="1" thickBot="1" x14ac:dyDescent="0.45">
      <c r="A4" s="123"/>
      <c r="B4" s="132"/>
      <c r="C4" s="134"/>
      <c r="D4" s="121"/>
    </row>
    <row r="5" spans="1:4" ht="22.5" customHeight="1" thickTop="1" x14ac:dyDescent="0.4">
      <c r="A5" s="55" t="s">
        <v>112</v>
      </c>
      <c r="B5" s="15"/>
      <c r="C5" s="93"/>
      <c r="D5" s="15"/>
    </row>
    <row r="6" spans="1:4" ht="22.5" customHeight="1" x14ac:dyDescent="0.4">
      <c r="A6" s="57" t="s">
        <v>111</v>
      </c>
      <c r="B6" s="20"/>
      <c r="C6" s="94"/>
      <c r="D6" s="20"/>
    </row>
    <row r="7" spans="1:4" ht="22.5" customHeight="1" x14ac:dyDescent="0.4">
      <c r="A7" s="57" t="s">
        <v>110</v>
      </c>
      <c r="B7" s="24">
        <v>50000</v>
      </c>
      <c r="C7" s="95">
        <f>予想貸借!D7</f>
        <v>70000</v>
      </c>
      <c r="D7" s="24">
        <f>B7-C7</f>
        <v>-20000</v>
      </c>
    </row>
    <row r="8" spans="1:4" ht="22.5" customHeight="1" x14ac:dyDescent="0.4">
      <c r="A8" s="57" t="s">
        <v>109</v>
      </c>
      <c r="B8" s="24">
        <v>4000000</v>
      </c>
      <c r="C8" s="97">
        <f>予想貸借!D8</f>
        <v>4132401</v>
      </c>
      <c r="D8" s="24">
        <f>B8-C8</f>
        <v>-132401</v>
      </c>
    </row>
    <row r="9" spans="1:4" ht="22.5" customHeight="1" x14ac:dyDescent="0.4">
      <c r="A9" s="57" t="s">
        <v>108</v>
      </c>
      <c r="B9" s="24">
        <v>200000</v>
      </c>
      <c r="C9" s="95">
        <f>予想貸借!D9</f>
        <v>200000</v>
      </c>
      <c r="D9" s="24">
        <f t="shared" ref="D9:D42" si="0">B9-C9</f>
        <v>0</v>
      </c>
    </row>
    <row r="10" spans="1:4" ht="22.5" customHeight="1" x14ac:dyDescent="0.4">
      <c r="A10" s="57" t="s">
        <v>139</v>
      </c>
      <c r="B10" s="24">
        <v>25000</v>
      </c>
      <c r="C10" s="95">
        <f>予想貸借!D10</f>
        <v>50000</v>
      </c>
      <c r="D10" s="24">
        <f t="shared" ref="D10" si="1">B10-C10</f>
        <v>-25000</v>
      </c>
    </row>
    <row r="11" spans="1:4" ht="22.5" customHeight="1" x14ac:dyDescent="0.4">
      <c r="A11" s="57" t="s">
        <v>107</v>
      </c>
      <c r="B11" s="24">
        <v>500000</v>
      </c>
      <c r="C11" s="95">
        <f>予想貸借!D11</f>
        <v>450000</v>
      </c>
      <c r="D11" s="24">
        <f t="shared" si="0"/>
        <v>50000</v>
      </c>
    </row>
    <row r="12" spans="1:4" ht="22.5" customHeight="1" x14ac:dyDescent="0.4">
      <c r="A12" s="57" t="s">
        <v>106</v>
      </c>
      <c r="B12" s="24">
        <v>0</v>
      </c>
      <c r="C12" s="95">
        <f>予想貸借!D12</f>
        <v>0</v>
      </c>
      <c r="D12" s="24">
        <f t="shared" si="0"/>
        <v>0</v>
      </c>
    </row>
    <row r="13" spans="1:4" ht="22.5" customHeight="1" x14ac:dyDescent="0.4">
      <c r="A13" s="57" t="s">
        <v>105</v>
      </c>
      <c r="B13" s="24">
        <v>30000</v>
      </c>
      <c r="C13" s="21">
        <f>予想貸借!D13</f>
        <v>30000</v>
      </c>
      <c r="D13" s="24">
        <f t="shared" si="0"/>
        <v>0</v>
      </c>
    </row>
    <row r="14" spans="1:4" ht="22.5" customHeight="1" x14ac:dyDescent="0.4">
      <c r="A14" s="84" t="s">
        <v>104</v>
      </c>
      <c r="B14" s="29">
        <f>SUM(B7:B13)</f>
        <v>4805000</v>
      </c>
      <c r="C14" s="99">
        <f>SUM(C7:C13)</f>
        <v>4932401</v>
      </c>
      <c r="D14" s="29">
        <f t="shared" si="0"/>
        <v>-127401</v>
      </c>
    </row>
    <row r="15" spans="1:4" ht="22.5" customHeight="1" x14ac:dyDescent="0.4">
      <c r="A15" s="57" t="s">
        <v>103</v>
      </c>
      <c r="B15" s="24"/>
      <c r="C15" s="96"/>
      <c r="D15" s="24">
        <f t="shared" si="0"/>
        <v>0</v>
      </c>
    </row>
    <row r="16" spans="1:4" ht="22.5" customHeight="1" x14ac:dyDescent="0.4">
      <c r="A16" s="57" t="s">
        <v>102</v>
      </c>
      <c r="B16" s="24"/>
      <c r="C16" s="96"/>
      <c r="D16" s="24">
        <f t="shared" si="0"/>
        <v>0</v>
      </c>
    </row>
    <row r="17" spans="1:4" ht="22.5" customHeight="1" x14ac:dyDescent="0.4">
      <c r="A17" s="57" t="s">
        <v>101</v>
      </c>
      <c r="B17" s="24">
        <v>110119499</v>
      </c>
      <c r="C17" s="21">
        <f>予想貸借!D17</f>
        <v>110119499</v>
      </c>
      <c r="D17" s="24">
        <f t="shared" si="0"/>
        <v>0</v>
      </c>
    </row>
    <row r="18" spans="1:4" ht="22.5" customHeight="1" x14ac:dyDescent="0.4">
      <c r="A18" s="57" t="s">
        <v>100</v>
      </c>
      <c r="B18" s="24">
        <f>C18+予想貸借!C18</f>
        <v>1697676</v>
      </c>
      <c r="C18" s="95">
        <f>予想貸借!D18</f>
        <v>1817949</v>
      </c>
      <c r="D18" s="24">
        <f t="shared" si="0"/>
        <v>-120273</v>
      </c>
    </row>
    <row r="19" spans="1:4" ht="22.5" customHeight="1" x14ac:dyDescent="0.4">
      <c r="A19" s="57" t="s">
        <v>146</v>
      </c>
      <c r="B19" s="24">
        <v>17517453</v>
      </c>
      <c r="C19" s="21">
        <f>予想貸借!D19</f>
        <v>17517453</v>
      </c>
      <c r="D19" s="24">
        <f t="shared" si="0"/>
        <v>0</v>
      </c>
    </row>
    <row r="20" spans="1:4" ht="22.5" customHeight="1" x14ac:dyDescent="0.4">
      <c r="A20" s="57" t="s">
        <v>99</v>
      </c>
      <c r="B20" s="24">
        <f>SUM(B17:B19)</f>
        <v>129334628</v>
      </c>
      <c r="C20" s="24">
        <f>SUM(C17:C19)</f>
        <v>129454901</v>
      </c>
      <c r="D20" s="24">
        <f t="shared" si="0"/>
        <v>-120273</v>
      </c>
    </row>
    <row r="21" spans="1:4" ht="22.5" customHeight="1" x14ac:dyDescent="0.4">
      <c r="A21" s="57" t="s">
        <v>98</v>
      </c>
      <c r="B21" s="24"/>
      <c r="C21" s="95"/>
      <c r="D21" s="24">
        <f t="shared" si="0"/>
        <v>0</v>
      </c>
    </row>
    <row r="22" spans="1:4" ht="22.5" customHeight="1" x14ac:dyDescent="0.4">
      <c r="A22" s="57" t="s">
        <v>97</v>
      </c>
      <c r="B22" s="24">
        <v>1</v>
      </c>
      <c r="C22" s="95">
        <f>予想貸借!D22</f>
        <v>1</v>
      </c>
      <c r="D22" s="24">
        <f t="shared" si="0"/>
        <v>0</v>
      </c>
    </row>
    <row r="23" spans="1:4" ht="22.5" customHeight="1" x14ac:dyDescent="0.4">
      <c r="A23" s="57" t="s">
        <v>96</v>
      </c>
      <c r="B23" s="24">
        <f>C23+予想貸借!C23</f>
        <v>248657</v>
      </c>
      <c r="C23" s="95">
        <f>予想貸借!D23</f>
        <v>382774</v>
      </c>
      <c r="D23" s="24">
        <f t="shared" si="0"/>
        <v>-134117</v>
      </c>
    </row>
    <row r="24" spans="1:4" ht="22.5" customHeight="1" x14ac:dyDescent="0.4">
      <c r="A24" s="57" t="s">
        <v>95</v>
      </c>
      <c r="B24" s="24">
        <f>C24+予想貸借!C24</f>
        <v>497047</v>
      </c>
      <c r="C24" s="95">
        <f>予想貸借!D24</f>
        <v>714500</v>
      </c>
      <c r="D24" s="24">
        <f t="shared" si="0"/>
        <v>-217453</v>
      </c>
    </row>
    <row r="25" spans="1:4" ht="22.5" customHeight="1" x14ac:dyDescent="0.4">
      <c r="A25" s="57" t="s">
        <v>94</v>
      </c>
      <c r="B25" s="24">
        <v>5000</v>
      </c>
      <c r="C25" s="95">
        <f>予想貸借!D25</f>
        <v>5000</v>
      </c>
      <c r="D25" s="24">
        <f t="shared" si="0"/>
        <v>0</v>
      </c>
    </row>
    <row r="26" spans="1:4" ht="22.5" customHeight="1" x14ac:dyDescent="0.4">
      <c r="A26" s="57" t="s">
        <v>93</v>
      </c>
      <c r="B26" s="24">
        <f>SUM(B22:B25)</f>
        <v>750705</v>
      </c>
      <c r="C26" s="24">
        <f>SUM(C22:C25)</f>
        <v>1102275</v>
      </c>
      <c r="D26" s="24">
        <f t="shared" si="0"/>
        <v>-351570</v>
      </c>
    </row>
    <row r="27" spans="1:4" ht="22.5" customHeight="1" x14ac:dyDescent="0.4">
      <c r="A27" s="84" t="s">
        <v>92</v>
      </c>
      <c r="B27" s="29">
        <f>B20+B26</f>
        <v>130085333</v>
      </c>
      <c r="C27" s="29">
        <f>C20+C26</f>
        <v>130557176</v>
      </c>
      <c r="D27" s="29">
        <f t="shared" si="0"/>
        <v>-471843</v>
      </c>
    </row>
    <row r="28" spans="1:4" ht="22.5" customHeight="1" x14ac:dyDescent="0.4">
      <c r="A28" s="78" t="s">
        <v>91</v>
      </c>
      <c r="B28" s="92">
        <f>B14+B27</f>
        <v>134890333</v>
      </c>
      <c r="C28" s="92">
        <f>C14+C27</f>
        <v>135489577</v>
      </c>
      <c r="D28" s="92">
        <f t="shared" si="0"/>
        <v>-599244</v>
      </c>
    </row>
    <row r="29" spans="1:4" ht="22.5" customHeight="1" x14ac:dyDescent="0.4">
      <c r="A29" s="57" t="s">
        <v>90</v>
      </c>
      <c r="B29" s="24"/>
      <c r="C29" s="95"/>
      <c r="D29" s="24">
        <f t="shared" si="0"/>
        <v>0</v>
      </c>
    </row>
    <row r="30" spans="1:4" ht="22.5" customHeight="1" x14ac:dyDescent="0.4">
      <c r="A30" s="57" t="s">
        <v>89</v>
      </c>
      <c r="B30" s="24"/>
      <c r="C30" s="95"/>
      <c r="D30" s="24">
        <f t="shared" si="0"/>
        <v>0</v>
      </c>
    </row>
    <row r="31" spans="1:4" ht="22.5" customHeight="1" x14ac:dyDescent="0.4">
      <c r="A31" s="57" t="s">
        <v>88</v>
      </c>
      <c r="B31" s="24">
        <v>1500000</v>
      </c>
      <c r="C31" s="95">
        <f>予想貸借!D31</f>
        <v>3000000</v>
      </c>
      <c r="D31" s="24">
        <f t="shared" si="0"/>
        <v>-1500000</v>
      </c>
    </row>
    <row r="32" spans="1:4" ht="22.5" customHeight="1" x14ac:dyDescent="0.4">
      <c r="A32" s="57" t="s">
        <v>87</v>
      </c>
      <c r="B32" s="24">
        <v>50000</v>
      </c>
      <c r="C32" s="95">
        <f>予想貸借!D32</f>
        <v>60000</v>
      </c>
      <c r="D32" s="24">
        <f t="shared" si="0"/>
        <v>-10000</v>
      </c>
    </row>
    <row r="33" spans="1:4" ht="22.5" customHeight="1" x14ac:dyDescent="0.4">
      <c r="A33" s="57" t="s">
        <v>86</v>
      </c>
      <c r="B33" s="24">
        <v>0</v>
      </c>
      <c r="C33" s="95">
        <f>予想貸借!D33</f>
        <v>0</v>
      </c>
      <c r="D33" s="24">
        <f t="shared" si="0"/>
        <v>0</v>
      </c>
    </row>
    <row r="34" spans="1:4" ht="22.5" customHeight="1" x14ac:dyDescent="0.4">
      <c r="A34" s="84" t="s">
        <v>85</v>
      </c>
      <c r="B34" s="29">
        <f>SUM(B31:B33)</f>
        <v>1550000</v>
      </c>
      <c r="C34" s="29">
        <f>SUM(C31:C33)</f>
        <v>3060000</v>
      </c>
      <c r="D34" s="29">
        <f t="shared" si="0"/>
        <v>-1510000</v>
      </c>
    </row>
    <row r="35" spans="1:4" ht="22.5" customHeight="1" x14ac:dyDescent="0.4">
      <c r="A35" s="57" t="s">
        <v>84</v>
      </c>
      <c r="B35" s="24"/>
      <c r="C35" s="95"/>
      <c r="D35" s="24">
        <f t="shared" si="0"/>
        <v>0</v>
      </c>
    </row>
    <row r="36" spans="1:4" ht="22.5" customHeight="1" x14ac:dyDescent="0.4">
      <c r="A36" s="57" t="s">
        <v>83</v>
      </c>
      <c r="B36" s="24">
        <v>6700000</v>
      </c>
      <c r="C36" s="95">
        <f>予想貸借!D37</f>
        <v>6700000</v>
      </c>
      <c r="D36" s="24">
        <f t="shared" si="0"/>
        <v>0</v>
      </c>
    </row>
    <row r="37" spans="1:4" ht="22.5" customHeight="1" x14ac:dyDescent="0.4">
      <c r="A37" s="84" t="s">
        <v>82</v>
      </c>
      <c r="B37" s="29">
        <f>SUM(B36)</f>
        <v>6700000</v>
      </c>
      <c r="C37" s="29">
        <f>SUM(C36)</f>
        <v>6700000</v>
      </c>
      <c r="D37" s="29">
        <f t="shared" si="0"/>
        <v>0</v>
      </c>
    </row>
    <row r="38" spans="1:4" ht="22.5" customHeight="1" x14ac:dyDescent="0.4">
      <c r="A38" s="78" t="s">
        <v>81</v>
      </c>
      <c r="B38" s="92">
        <f>B34+B37</f>
        <v>8250000</v>
      </c>
      <c r="C38" s="92">
        <f>C34+C37</f>
        <v>9760000</v>
      </c>
      <c r="D38" s="92">
        <f t="shared" si="0"/>
        <v>-1510000</v>
      </c>
    </row>
    <row r="39" spans="1:4" ht="22.5" customHeight="1" x14ac:dyDescent="0.4">
      <c r="A39" s="57" t="s">
        <v>80</v>
      </c>
      <c r="B39" s="24"/>
      <c r="C39" s="95"/>
      <c r="D39" s="24">
        <f t="shared" si="0"/>
        <v>0</v>
      </c>
    </row>
    <row r="40" spans="1:4" ht="22.5" customHeight="1" x14ac:dyDescent="0.4">
      <c r="A40" s="57" t="s">
        <v>79</v>
      </c>
      <c r="B40" s="24"/>
      <c r="C40" s="95"/>
      <c r="D40" s="24">
        <f t="shared" si="0"/>
        <v>0</v>
      </c>
    </row>
    <row r="41" spans="1:4" ht="22.5" customHeight="1" x14ac:dyDescent="0.4">
      <c r="A41" s="57" t="s">
        <v>153</v>
      </c>
      <c r="B41" s="24">
        <v>-120273</v>
      </c>
      <c r="C41" s="95">
        <f>予想貸借!D42</f>
        <v>-120273</v>
      </c>
      <c r="D41" s="24">
        <f t="shared" si="0"/>
        <v>0</v>
      </c>
    </row>
    <row r="42" spans="1:4" ht="22.5" customHeight="1" x14ac:dyDescent="0.4">
      <c r="A42" s="78" t="s">
        <v>78</v>
      </c>
      <c r="B42" s="92">
        <f>C42+D20</f>
        <v>128771638</v>
      </c>
      <c r="C42" s="98">
        <f>予想貸借!D43</f>
        <v>128891911</v>
      </c>
      <c r="D42" s="92">
        <f t="shared" si="0"/>
        <v>-120273</v>
      </c>
    </row>
    <row r="43" spans="1:4" ht="22.5" customHeight="1" x14ac:dyDescent="0.4">
      <c r="A43" s="57" t="s">
        <v>77</v>
      </c>
      <c r="B43" s="24">
        <f>C43+D20</f>
        <v>128771638</v>
      </c>
      <c r="C43" s="95">
        <f>予想貸借!D44</f>
        <v>128891911</v>
      </c>
      <c r="D43" s="24">
        <f>B43-C43</f>
        <v>-120273</v>
      </c>
    </row>
    <row r="44" spans="1:4" ht="22.5" customHeight="1" x14ac:dyDescent="0.4">
      <c r="A44" s="57" t="s">
        <v>76</v>
      </c>
      <c r="B44" s="24">
        <v>-6068453</v>
      </c>
      <c r="C44" s="95">
        <f>予想貸借!D45</f>
        <v>-3262334</v>
      </c>
      <c r="D44" s="24">
        <f t="shared" ref="D44:D45" si="2">B44-C44</f>
        <v>-2806119</v>
      </c>
    </row>
    <row r="45" spans="1:4" ht="22.5" customHeight="1" x14ac:dyDescent="0.4">
      <c r="A45" s="78" t="s">
        <v>75</v>
      </c>
      <c r="B45" s="92">
        <f>B42+B44</f>
        <v>122703185</v>
      </c>
      <c r="C45" s="92">
        <f>予想貸借!D46</f>
        <v>125629577</v>
      </c>
      <c r="D45" s="92">
        <f t="shared" si="2"/>
        <v>-2926392</v>
      </c>
    </row>
    <row r="46" spans="1:4" ht="22.5" customHeight="1" x14ac:dyDescent="0.4">
      <c r="A46" s="77" t="s">
        <v>74</v>
      </c>
      <c r="B46" s="40">
        <f>B28</f>
        <v>134890333</v>
      </c>
      <c r="C46" s="40">
        <f>予想貸借!D47</f>
        <v>135489577</v>
      </c>
      <c r="D46" s="40">
        <f>B46-C46</f>
        <v>-599244</v>
      </c>
    </row>
  </sheetData>
  <mergeCells count="5">
    <mergeCell ref="A1:D2"/>
    <mergeCell ref="A3:A4"/>
    <mergeCell ref="B3:B4"/>
    <mergeCell ref="C3:C4"/>
    <mergeCell ref="D3:D4"/>
  </mergeCells>
  <phoneticPr fontId="2"/>
  <pageMargins left="0.7" right="0.7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8E926-E42A-4408-9C57-8D53A6444BE4}">
  <sheetPr>
    <pageSetUpPr fitToPage="1"/>
  </sheetPr>
  <dimension ref="A1:D87"/>
  <sheetViews>
    <sheetView topLeftCell="A66" zoomScale="80" zoomScaleNormal="80" workbookViewId="0">
      <selection activeCell="C78" sqref="C78"/>
    </sheetView>
  </sheetViews>
  <sheetFormatPr defaultRowHeight="24" x14ac:dyDescent="0.4"/>
  <cols>
    <col min="1" max="1" width="37.5" style="42" customWidth="1"/>
    <col min="2" max="3" width="27.625" style="44" customWidth="1"/>
    <col min="4" max="4" width="27.5" style="43" customWidth="1"/>
    <col min="6" max="6" width="10.625" bestFit="1" customWidth="1"/>
  </cols>
  <sheetData>
    <row r="1" spans="1:4" ht="24" customHeight="1" x14ac:dyDescent="0.4">
      <c r="A1" s="113" t="s">
        <v>161</v>
      </c>
      <c r="B1" s="113"/>
      <c r="C1" s="113"/>
      <c r="D1" s="113"/>
    </row>
    <row r="2" spans="1:4" ht="24" customHeight="1" x14ac:dyDescent="0.4">
      <c r="A2" s="114"/>
      <c r="B2" s="114"/>
      <c r="C2" s="114"/>
      <c r="D2" s="114"/>
    </row>
    <row r="3" spans="1:4" ht="18.75" x14ac:dyDescent="0.4">
      <c r="A3" s="122" t="s">
        <v>0</v>
      </c>
      <c r="B3" s="131" t="s">
        <v>159</v>
      </c>
      <c r="C3" s="118" t="s">
        <v>160</v>
      </c>
      <c r="D3" s="120" t="s">
        <v>1</v>
      </c>
    </row>
    <row r="4" spans="1:4" ht="22.5" customHeight="1" thickBot="1" x14ac:dyDescent="0.45">
      <c r="A4" s="123"/>
      <c r="B4" s="132"/>
      <c r="C4" s="119"/>
      <c r="D4" s="121"/>
    </row>
    <row r="5" spans="1:4" ht="22.5" customHeight="1" thickTop="1" x14ac:dyDescent="0.4">
      <c r="A5" s="11" t="s">
        <v>2</v>
      </c>
      <c r="B5" s="13"/>
      <c r="C5" s="14"/>
      <c r="D5" s="15"/>
    </row>
    <row r="6" spans="1:4" ht="22.5" customHeight="1" x14ac:dyDescent="0.4">
      <c r="A6" s="16" t="s">
        <v>3</v>
      </c>
      <c r="B6" s="18"/>
      <c r="C6" s="19"/>
      <c r="D6" s="20"/>
    </row>
    <row r="7" spans="1:4" ht="22.5" customHeight="1" x14ac:dyDescent="0.4">
      <c r="A7" s="16" t="s">
        <v>4</v>
      </c>
      <c r="B7" s="22"/>
      <c r="C7" s="23"/>
      <c r="D7" s="24"/>
    </row>
    <row r="8" spans="1:4" ht="22.5" customHeight="1" x14ac:dyDescent="0.4">
      <c r="A8" s="25" t="s">
        <v>5</v>
      </c>
      <c r="B8" s="29">
        <f>SUM(B9:B11)</f>
        <v>11000000</v>
      </c>
      <c r="C8" s="29">
        <f>SUM(C9:C11)</f>
        <v>3053653</v>
      </c>
      <c r="D8" s="29">
        <f>B8-C8</f>
        <v>7946347</v>
      </c>
    </row>
    <row r="9" spans="1:4" ht="22.5" customHeight="1" x14ac:dyDescent="0.4">
      <c r="A9" s="16" t="s">
        <v>6</v>
      </c>
      <c r="B9" s="24">
        <v>7000000</v>
      </c>
      <c r="C9" s="95">
        <f>予想損益!D9</f>
        <v>2535448</v>
      </c>
      <c r="D9" s="24">
        <f t="shared" ref="D9:D78" si="0">B9-C9</f>
        <v>4464552</v>
      </c>
    </row>
    <row r="10" spans="1:4" ht="22.5" customHeight="1" x14ac:dyDescent="0.4">
      <c r="A10" s="16" t="s">
        <v>7</v>
      </c>
      <c r="B10" s="24">
        <v>2000000</v>
      </c>
      <c r="C10" s="95">
        <f>予想損益!D10</f>
        <v>224205</v>
      </c>
      <c r="D10" s="24">
        <f t="shared" si="0"/>
        <v>1775795</v>
      </c>
    </row>
    <row r="11" spans="1:4" ht="22.5" customHeight="1" x14ac:dyDescent="0.4">
      <c r="A11" s="16" t="s">
        <v>8</v>
      </c>
      <c r="B11" s="24">
        <v>2000000</v>
      </c>
      <c r="C11" s="95">
        <f>予想損益!D11</f>
        <v>294000</v>
      </c>
      <c r="D11" s="24">
        <f t="shared" si="0"/>
        <v>1706000</v>
      </c>
    </row>
    <row r="12" spans="1:4" ht="22.5" customHeight="1" x14ac:dyDescent="0.4">
      <c r="A12" s="25" t="s">
        <v>9</v>
      </c>
      <c r="B12" s="29">
        <f>SUM(B13:B15)</f>
        <v>6367000</v>
      </c>
      <c r="C12" s="29">
        <f>SUM(C13:C15)</f>
        <v>4110000</v>
      </c>
      <c r="D12" s="29">
        <f t="shared" si="0"/>
        <v>2257000</v>
      </c>
    </row>
    <row r="13" spans="1:4" ht="22.5" customHeight="1" x14ac:dyDescent="0.4">
      <c r="A13" s="16" t="s">
        <v>10</v>
      </c>
      <c r="B13" s="24">
        <v>69000</v>
      </c>
      <c r="C13" s="95">
        <f>予想損益!D13</f>
        <v>0</v>
      </c>
      <c r="D13" s="24">
        <f t="shared" si="0"/>
        <v>69000</v>
      </c>
    </row>
    <row r="14" spans="1:4" ht="22.5" customHeight="1" x14ac:dyDescent="0.4">
      <c r="A14" s="16" t="s">
        <v>140</v>
      </c>
      <c r="B14" s="24"/>
      <c r="C14" s="96">
        <f>予想損益!D14</f>
        <v>0</v>
      </c>
      <c r="D14" s="24">
        <f t="shared" si="0"/>
        <v>0</v>
      </c>
    </row>
    <row r="15" spans="1:4" ht="22.5" customHeight="1" x14ac:dyDescent="0.4">
      <c r="A15" s="16" t="s">
        <v>141</v>
      </c>
      <c r="B15" s="24">
        <v>6298000</v>
      </c>
      <c r="C15" s="96">
        <f>予想損益!D15</f>
        <v>4110000</v>
      </c>
      <c r="D15" s="24">
        <f t="shared" si="0"/>
        <v>2188000</v>
      </c>
    </row>
    <row r="16" spans="1:4" ht="22.5" customHeight="1" x14ac:dyDescent="0.4">
      <c r="A16" s="25" t="s">
        <v>11</v>
      </c>
      <c r="B16" s="29">
        <f>SUM(B17)</f>
        <v>1000000</v>
      </c>
      <c r="C16" s="29">
        <f>SUM(C17)</f>
        <v>6279041</v>
      </c>
      <c r="D16" s="29">
        <f t="shared" si="0"/>
        <v>-5279041</v>
      </c>
    </row>
    <row r="17" spans="1:4" ht="22.5" customHeight="1" x14ac:dyDescent="0.4">
      <c r="A17" s="16" t="s">
        <v>12</v>
      </c>
      <c r="B17" s="24">
        <v>1000000</v>
      </c>
      <c r="C17" s="95">
        <f>予想損益!D17</f>
        <v>6279041</v>
      </c>
      <c r="D17" s="24">
        <f t="shared" si="0"/>
        <v>-5279041</v>
      </c>
    </row>
    <row r="18" spans="1:4" ht="22.5" customHeight="1" x14ac:dyDescent="0.4">
      <c r="A18" s="25" t="s">
        <v>13</v>
      </c>
      <c r="B18" s="29">
        <f>SUM(B19:B21)</f>
        <v>820293</v>
      </c>
      <c r="C18" s="29">
        <f>SUM(C19:C21)</f>
        <v>2442603</v>
      </c>
      <c r="D18" s="29">
        <f t="shared" si="0"/>
        <v>-1622310</v>
      </c>
    </row>
    <row r="19" spans="1:4" ht="22.5" customHeight="1" x14ac:dyDescent="0.4">
      <c r="A19" s="16" t="s">
        <v>14</v>
      </c>
      <c r="B19" s="24">
        <v>20</v>
      </c>
      <c r="C19" s="95">
        <f>予想損益!D19</f>
        <v>32</v>
      </c>
      <c r="D19" s="24">
        <f t="shared" si="0"/>
        <v>-12</v>
      </c>
    </row>
    <row r="20" spans="1:4" ht="22.5" customHeight="1" x14ac:dyDescent="0.4">
      <c r="A20" s="16" t="s">
        <v>71</v>
      </c>
      <c r="B20" s="24">
        <v>700000</v>
      </c>
      <c r="C20" s="95">
        <f>予想損益!D20</f>
        <v>2322298</v>
      </c>
      <c r="D20" s="24">
        <f t="shared" si="0"/>
        <v>-1622298</v>
      </c>
    </row>
    <row r="21" spans="1:4" ht="22.5" customHeight="1" x14ac:dyDescent="0.4">
      <c r="A21" s="16" t="s">
        <v>15</v>
      </c>
      <c r="B21" s="24">
        <v>120273</v>
      </c>
      <c r="C21" s="95">
        <f>予想損益!D21</f>
        <v>120273</v>
      </c>
      <c r="D21" s="24">
        <f t="shared" si="0"/>
        <v>0</v>
      </c>
    </row>
    <row r="22" spans="1:4" ht="22.5" customHeight="1" x14ac:dyDescent="0.4">
      <c r="A22" s="31" t="s">
        <v>16</v>
      </c>
      <c r="B22" s="35">
        <f>B8+B12+B16+B18</f>
        <v>19187293</v>
      </c>
      <c r="C22" s="35">
        <f>C8+C12+C16+C18</f>
        <v>15885297</v>
      </c>
      <c r="D22" s="35">
        <f t="shared" si="0"/>
        <v>3301996</v>
      </c>
    </row>
    <row r="23" spans="1:4" ht="22.5" customHeight="1" x14ac:dyDescent="0.4">
      <c r="A23" s="16" t="s">
        <v>17</v>
      </c>
      <c r="B23" s="24"/>
      <c r="C23" s="95"/>
      <c r="D23" s="24"/>
    </row>
    <row r="24" spans="1:4" ht="22.5" customHeight="1" x14ac:dyDescent="0.4">
      <c r="A24" s="16" t="s">
        <v>18</v>
      </c>
      <c r="B24" s="24"/>
      <c r="C24" s="95"/>
      <c r="D24" s="24"/>
    </row>
    <row r="25" spans="1:4" ht="22.5" customHeight="1" x14ac:dyDescent="0.4">
      <c r="A25" s="16" t="s">
        <v>73</v>
      </c>
      <c r="B25" s="24">
        <f>B26+B27-B28</f>
        <v>600000</v>
      </c>
      <c r="C25" s="95">
        <f>予想損益!D25</f>
        <v>136627</v>
      </c>
      <c r="D25" s="24">
        <f t="shared" si="0"/>
        <v>463373</v>
      </c>
    </row>
    <row r="26" spans="1:4" ht="22.5" customHeight="1" x14ac:dyDescent="0.4">
      <c r="A26" s="16" t="s">
        <v>19</v>
      </c>
      <c r="B26" s="24">
        <v>600000</v>
      </c>
      <c r="C26" s="95">
        <f>予想損益!D26</f>
        <v>486627</v>
      </c>
      <c r="D26" s="24">
        <f t="shared" si="0"/>
        <v>113373</v>
      </c>
    </row>
    <row r="27" spans="1:4" ht="22.5" customHeight="1" x14ac:dyDescent="0.4">
      <c r="A27" s="16" t="s">
        <v>20</v>
      </c>
      <c r="B27" s="24">
        <v>600000</v>
      </c>
      <c r="C27" s="95">
        <f>予想損益!D27</f>
        <v>100000</v>
      </c>
      <c r="D27" s="24">
        <f t="shared" si="0"/>
        <v>500000</v>
      </c>
    </row>
    <row r="28" spans="1:4" ht="22.5" customHeight="1" x14ac:dyDescent="0.4">
      <c r="A28" s="16" t="s">
        <v>21</v>
      </c>
      <c r="B28" s="24">
        <v>600000</v>
      </c>
      <c r="C28" s="95">
        <f>予想損益!D28</f>
        <v>450000</v>
      </c>
      <c r="D28" s="24">
        <f t="shared" si="0"/>
        <v>150000</v>
      </c>
    </row>
    <row r="29" spans="1:4" ht="22.5" customHeight="1" x14ac:dyDescent="0.4">
      <c r="A29" s="16" t="s">
        <v>72</v>
      </c>
      <c r="B29" s="24">
        <f>SUM(B30:B46)</f>
        <v>15851843</v>
      </c>
      <c r="C29" s="95">
        <f>予想損益!D29</f>
        <v>9422860</v>
      </c>
      <c r="D29" s="24">
        <f t="shared" si="0"/>
        <v>6428983</v>
      </c>
    </row>
    <row r="30" spans="1:4" ht="22.5" customHeight="1" x14ac:dyDescent="0.4">
      <c r="A30" s="16" t="s">
        <v>22</v>
      </c>
      <c r="B30" s="24">
        <v>1500000</v>
      </c>
      <c r="C30" s="95">
        <f>予想損益!D30</f>
        <v>1335440</v>
      </c>
      <c r="D30" s="24">
        <f t="shared" si="0"/>
        <v>164560</v>
      </c>
    </row>
    <row r="31" spans="1:4" ht="22.5" customHeight="1" x14ac:dyDescent="0.4">
      <c r="A31" s="16" t="s">
        <v>129</v>
      </c>
      <c r="B31" s="24">
        <v>30000</v>
      </c>
      <c r="C31" s="95">
        <f>予想損益!D31</f>
        <v>0</v>
      </c>
      <c r="D31" s="24">
        <f t="shared" si="0"/>
        <v>30000</v>
      </c>
    </row>
    <row r="32" spans="1:4" ht="22.5" customHeight="1" x14ac:dyDescent="0.4">
      <c r="A32" s="16" t="s">
        <v>23</v>
      </c>
      <c r="B32" s="24">
        <v>100000</v>
      </c>
      <c r="C32" s="95">
        <f>予想損益!D32</f>
        <v>185220</v>
      </c>
      <c r="D32" s="24">
        <f t="shared" si="0"/>
        <v>-85220</v>
      </c>
    </row>
    <row r="33" spans="1:4" ht="22.5" customHeight="1" x14ac:dyDescent="0.4">
      <c r="A33" s="16" t="s">
        <v>24</v>
      </c>
      <c r="B33" s="24">
        <v>350000</v>
      </c>
      <c r="C33" s="95">
        <f>予想損益!D33</f>
        <v>316562</v>
      </c>
      <c r="D33" s="24">
        <f t="shared" si="0"/>
        <v>33438</v>
      </c>
    </row>
    <row r="34" spans="1:4" ht="22.5" customHeight="1" x14ac:dyDescent="0.4">
      <c r="A34" s="16" t="s">
        <v>25</v>
      </c>
      <c r="B34" s="24">
        <v>471843</v>
      </c>
      <c r="C34" s="95">
        <f>予想損益!D34</f>
        <v>471843</v>
      </c>
      <c r="D34" s="24">
        <f t="shared" si="0"/>
        <v>0</v>
      </c>
    </row>
    <row r="35" spans="1:4" ht="22.5" customHeight="1" x14ac:dyDescent="0.4">
      <c r="A35" s="16" t="s">
        <v>26</v>
      </c>
      <c r="B35" s="24">
        <v>200000</v>
      </c>
      <c r="C35" s="95">
        <f>予想損益!D35</f>
        <v>108109</v>
      </c>
      <c r="D35" s="24">
        <f t="shared" si="0"/>
        <v>91891</v>
      </c>
    </row>
    <row r="36" spans="1:4" ht="22.5" customHeight="1" x14ac:dyDescent="0.4">
      <c r="A36" s="16" t="s">
        <v>27</v>
      </c>
      <c r="B36" s="24">
        <v>500000</v>
      </c>
      <c r="C36" s="95">
        <f>予想損益!D36</f>
        <v>249670</v>
      </c>
      <c r="D36" s="24">
        <f t="shared" si="0"/>
        <v>250330</v>
      </c>
    </row>
    <row r="37" spans="1:4" ht="22.5" customHeight="1" x14ac:dyDescent="0.4">
      <c r="A37" s="16" t="s">
        <v>28</v>
      </c>
      <c r="B37" s="24">
        <v>200000</v>
      </c>
      <c r="C37" s="95">
        <f>予想損益!D37</f>
        <v>203155</v>
      </c>
      <c r="D37" s="24">
        <f t="shared" si="0"/>
        <v>-3155</v>
      </c>
    </row>
    <row r="38" spans="1:4" ht="22.5" customHeight="1" x14ac:dyDescent="0.4">
      <c r="A38" s="16" t="s">
        <v>29</v>
      </c>
      <c r="B38" s="24">
        <v>100000</v>
      </c>
      <c r="C38" s="95">
        <f>予想損益!D38</f>
        <v>64386</v>
      </c>
      <c r="D38" s="24">
        <f t="shared" si="0"/>
        <v>35614</v>
      </c>
    </row>
    <row r="39" spans="1:4" ht="22.5" customHeight="1" x14ac:dyDescent="0.4">
      <c r="A39" s="16" t="s">
        <v>30</v>
      </c>
      <c r="B39" s="24">
        <v>700000</v>
      </c>
      <c r="C39" s="95">
        <f>予想損益!D39</f>
        <v>690643</v>
      </c>
      <c r="D39" s="24">
        <f t="shared" si="0"/>
        <v>9357</v>
      </c>
    </row>
    <row r="40" spans="1:4" ht="22.5" customHeight="1" x14ac:dyDescent="0.4">
      <c r="A40" s="16" t="s">
        <v>143</v>
      </c>
      <c r="B40" s="24">
        <v>0</v>
      </c>
      <c r="C40" s="95">
        <f>予想損益!D40</f>
        <v>223770</v>
      </c>
      <c r="D40" s="24">
        <f t="shared" ref="D40" si="1">B40-C40</f>
        <v>-223770</v>
      </c>
    </row>
    <row r="41" spans="1:4" ht="22.5" customHeight="1" x14ac:dyDescent="0.4">
      <c r="A41" s="16" t="s">
        <v>31</v>
      </c>
      <c r="B41" s="24">
        <v>300000</v>
      </c>
      <c r="C41" s="95">
        <f>予想損益!D41</f>
        <v>325900</v>
      </c>
      <c r="D41" s="24">
        <f t="shared" si="0"/>
        <v>-25900</v>
      </c>
    </row>
    <row r="42" spans="1:4" ht="22.5" customHeight="1" x14ac:dyDescent="0.4">
      <c r="A42" s="16" t="s">
        <v>32</v>
      </c>
      <c r="B42" s="24">
        <v>20000</v>
      </c>
      <c r="C42" s="95">
        <f>予想損益!D42</f>
        <v>15000</v>
      </c>
      <c r="D42" s="24">
        <f t="shared" si="0"/>
        <v>5000</v>
      </c>
    </row>
    <row r="43" spans="1:4" ht="22.5" customHeight="1" x14ac:dyDescent="0.4">
      <c r="A43" s="16" t="s">
        <v>33</v>
      </c>
      <c r="B43" s="24">
        <v>100000</v>
      </c>
      <c r="C43" s="95">
        <f>予想損益!D43</f>
        <v>60439</v>
      </c>
      <c r="D43" s="24">
        <f t="shared" si="0"/>
        <v>39561</v>
      </c>
    </row>
    <row r="44" spans="1:4" ht="22.5" customHeight="1" x14ac:dyDescent="0.4">
      <c r="A44" s="16" t="s">
        <v>34</v>
      </c>
      <c r="B44" s="24">
        <v>1800000</v>
      </c>
      <c r="C44" s="95">
        <f>予想損益!D44</f>
        <v>5152088</v>
      </c>
      <c r="D44" s="24">
        <f>B44-C44</f>
        <v>-3352088</v>
      </c>
    </row>
    <row r="45" spans="1:4" ht="22.5" customHeight="1" x14ac:dyDescent="0.4">
      <c r="A45" s="16" t="s">
        <v>144</v>
      </c>
      <c r="B45" s="24">
        <v>9450000</v>
      </c>
      <c r="C45" s="95">
        <f>予想損益!D45</f>
        <v>0</v>
      </c>
      <c r="D45" s="24">
        <f t="shared" ref="D45" si="2">B45-C45</f>
        <v>9450000</v>
      </c>
    </row>
    <row r="46" spans="1:4" ht="22.5" customHeight="1" x14ac:dyDescent="0.4">
      <c r="A46" s="16" t="s">
        <v>35</v>
      </c>
      <c r="B46" s="24">
        <v>30000</v>
      </c>
      <c r="C46" s="95">
        <f>予想損益!D46</f>
        <v>20635</v>
      </c>
      <c r="D46" s="24">
        <f t="shared" si="0"/>
        <v>9365</v>
      </c>
    </row>
    <row r="47" spans="1:4" ht="22.5" customHeight="1" x14ac:dyDescent="0.4">
      <c r="A47" s="25" t="s">
        <v>36</v>
      </c>
      <c r="B47" s="29">
        <f>B25+B29</f>
        <v>16451843</v>
      </c>
      <c r="C47" s="99">
        <f>C29+C25</f>
        <v>9559487</v>
      </c>
      <c r="D47" s="29">
        <f t="shared" si="0"/>
        <v>6892356</v>
      </c>
    </row>
    <row r="48" spans="1:4" ht="22.5" customHeight="1" x14ac:dyDescent="0.4">
      <c r="A48" s="16" t="s">
        <v>37</v>
      </c>
      <c r="B48" s="24"/>
      <c r="C48" s="95"/>
      <c r="D48" s="24"/>
    </row>
    <row r="49" spans="1:4" ht="22.5" customHeight="1" x14ac:dyDescent="0.4">
      <c r="A49" s="16" t="str">
        <f>予想損益!A49</f>
        <v xml:space="preserve">            役　員　報　酬</v>
      </c>
      <c r="B49" s="24">
        <v>3600000</v>
      </c>
      <c r="C49" s="95">
        <f>予想損益!D49</f>
        <v>3600000</v>
      </c>
      <c r="D49" s="24">
        <f t="shared" si="0"/>
        <v>0</v>
      </c>
    </row>
    <row r="50" spans="1:4" ht="22.5" customHeight="1" x14ac:dyDescent="0.4">
      <c r="A50" s="16" t="str">
        <f>予想損益!A50</f>
        <v xml:space="preserve">            法　定　福利費</v>
      </c>
      <c r="B50" s="24">
        <v>610000</v>
      </c>
      <c r="C50" s="95">
        <f>予想損益!D50</f>
        <v>604319</v>
      </c>
      <c r="D50" s="24">
        <f t="shared" si="0"/>
        <v>5681</v>
      </c>
    </row>
    <row r="51" spans="1:4" ht="22.5" customHeight="1" x14ac:dyDescent="0.4">
      <c r="A51" s="16" t="str">
        <f>予想損益!A51</f>
        <v>　　　 修　　繕　　費</v>
      </c>
      <c r="B51" s="24">
        <v>0</v>
      </c>
      <c r="C51" s="95">
        <f>予想損益!D51</f>
        <v>0</v>
      </c>
      <c r="D51" s="24">
        <f t="shared" si="0"/>
        <v>0</v>
      </c>
    </row>
    <row r="52" spans="1:4" ht="22.5" customHeight="1" x14ac:dyDescent="0.4">
      <c r="A52" s="16" t="str">
        <f>予想損益!A52</f>
        <v xml:space="preserve">            旅　費　交通費</v>
      </c>
      <c r="B52" s="24">
        <v>10000</v>
      </c>
      <c r="C52" s="95">
        <f>予想損益!D52</f>
        <v>10000</v>
      </c>
      <c r="D52" s="24">
        <f t="shared" si="0"/>
        <v>0</v>
      </c>
    </row>
    <row r="53" spans="1:4" ht="22.5" customHeight="1" x14ac:dyDescent="0.4">
      <c r="A53" s="16" t="str">
        <f>予想損益!A53</f>
        <v xml:space="preserve">            通　信　運搬費</v>
      </c>
      <c r="B53" s="24">
        <v>10000</v>
      </c>
      <c r="C53" s="95">
        <f>予想損益!D53</f>
        <v>10000</v>
      </c>
      <c r="D53" s="24">
        <f t="shared" si="0"/>
        <v>0</v>
      </c>
    </row>
    <row r="54" spans="1:4" ht="22.5" customHeight="1" x14ac:dyDescent="0.4">
      <c r="A54" s="16" t="str">
        <f>予想損益!A54</f>
        <v xml:space="preserve">            消　耗　品　費</v>
      </c>
      <c r="B54" s="24">
        <v>30000</v>
      </c>
      <c r="C54" s="95">
        <f>予想損益!D54</f>
        <v>26475</v>
      </c>
      <c r="D54" s="24">
        <f t="shared" si="0"/>
        <v>3525</v>
      </c>
    </row>
    <row r="55" spans="1:4" ht="22.5" customHeight="1" x14ac:dyDescent="0.4">
      <c r="A55" s="16" t="str">
        <f>予想損益!A55</f>
        <v>　　　 負　　担　　金</v>
      </c>
      <c r="B55" s="24">
        <v>150000</v>
      </c>
      <c r="C55" s="95">
        <f>予想損益!D55</f>
        <v>154600</v>
      </c>
      <c r="D55" s="24">
        <f t="shared" si="0"/>
        <v>-4600</v>
      </c>
    </row>
    <row r="56" spans="1:4" ht="22.5" customHeight="1" x14ac:dyDescent="0.4">
      <c r="A56" s="16" t="str">
        <f>予想損益!A56</f>
        <v xml:space="preserve">            保　　険　　料</v>
      </c>
      <c r="B56" s="24">
        <v>50000</v>
      </c>
      <c r="C56" s="95">
        <f>予想損益!D56</f>
        <v>50400</v>
      </c>
      <c r="D56" s="24">
        <f t="shared" si="0"/>
        <v>-400</v>
      </c>
    </row>
    <row r="57" spans="1:4" ht="22.5" customHeight="1" x14ac:dyDescent="0.4">
      <c r="A57" s="16" t="str">
        <f>予想損益!A57</f>
        <v xml:space="preserve">            租　税　公　課</v>
      </c>
      <c r="B57" s="24">
        <v>10000</v>
      </c>
      <c r="C57" s="95">
        <f>予想損益!D57</f>
        <v>10600</v>
      </c>
      <c r="D57" s="24">
        <f t="shared" si="0"/>
        <v>-600</v>
      </c>
    </row>
    <row r="58" spans="1:4" ht="22.5" customHeight="1" x14ac:dyDescent="0.4">
      <c r="A58" s="16" t="str">
        <f>予想損益!A58</f>
        <v xml:space="preserve">            支　払　利　息</v>
      </c>
      <c r="B58" s="24">
        <v>70000</v>
      </c>
      <c r="C58" s="95">
        <f>予想損益!D58</f>
        <v>72064</v>
      </c>
      <c r="D58" s="24">
        <f t="shared" si="0"/>
        <v>-2064</v>
      </c>
    </row>
    <row r="59" spans="1:4" ht="22.5" customHeight="1" x14ac:dyDescent="0.4">
      <c r="A59" s="16" t="str">
        <f>予想損益!A59</f>
        <v xml:space="preserve">            雑　　　　　費</v>
      </c>
      <c r="B59" s="24">
        <v>60000</v>
      </c>
      <c r="C59" s="95">
        <f>予想損益!D59</f>
        <v>60570</v>
      </c>
      <c r="D59" s="24">
        <f t="shared" si="0"/>
        <v>-570</v>
      </c>
    </row>
    <row r="60" spans="1:4" ht="22.5" customHeight="1" x14ac:dyDescent="0.4">
      <c r="A60" s="16" t="str">
        <f>予想損益!A60</f>
        <v xml:space="preserve">            接待交際費</v>
      </c>
      <c r="B60" s="24">
        <v>200000</v>
      </c>
      <c r="C60" s="95">
        <f>予想損益!D60</f>
        <v>221435</v>
      </c>
      <c r="D60" s="24">
        <f t="shared" si="0"/>
        <v>-21435</v>
      </c>
    </row>
    <row r="61" spans="1:4" ht="22.5" customHeight="1" x14ac:dyDescent="0.4">
      <c r="A61" s="16" t="str">
        <f>予想損益!A61</f>
        <v xml:space="preserve">            報酬料金</v>
      </c>
      <c r="B61" s="24">
        <v>600000</v>
      </c>
      <c r="C61" s="95">
        <f>予想損益!D61</f>
        <v>973820</v>
      </c>
      <c r="D61" s="24">
        <f t="shared" si="0"/>
        <v>-373820</v>
      </c>
    </row>
    <row r="62" spans="1:4" ht="22.5" customHeight="1" x14ac:dyDescent="0.4">
      <c r="A62" s="16" t="str">
        <f>予想損益!A62</f>
        <v xml:space="preserve">            広告費</v>
      </c>
      <c r="B62" s="24">
        <v>20000</v>
      </c>
      <c r="C62" s="95">
        <f>予想損益!D62</f>
        <v>19669</v>
      </c>
      <c r="D62" s="24">
        <f t="shared" si="0"/>
        <v>331</v>
      </c>
    </row>
    <row r="63" spans="1:4" ht="22.5" customHeight="1" x14ac:dyDescent="0.4">
      <c r="A63" s="25" t="s">
        <v>45</v>
      </c>
      <c r="B63" s="29">
        <f>SUM(B49:B62)</f>
        <v>5420000</v>
      </c>
      <c r="C63" s="29">
        <f>SUM(C49:C62)</f>
        <v>5813952</v>
      </c>
      <c r="D63" s="29">
        <f t="shared" si="0"/>
        <v>-393952</v>
      </c>
    </row>
    <row r="64" spans="1:4" ht="22.5" customHeight="1" x14ac:dyDescent="0.4">
      <c r="A64" s="31" t="s">
        <v>46</v>
      </c>
      <c r="B64" s="35">
        <f>B47+B63</f>
        <v>21871843</v>
      </c>
      <c r="C64" s="100">
        <f>C47+C63</f>
        <v>15373439</v>
      </c>
      <c r="D64" s="35">
        <f t="shared" si="0"/>
        <v>6498404</v>
      </c>
    </row>
    <row r="65" spans="1:4" ht="22.5" customHeight="1" x14ac:dyDescent="0.4">
      <c r="A65" s="16" t="s">
        <v>47</v>
      </c>
      <c r="B65" s="24">
        <f>B22-B64</f>
        <v>-2684550</v>
      </c>
      <c r="C65" s="95">
        <f>C22-C64</f>
        <v>511858</v>
      </c>
      <c r="D65" s="24">
        <f t="shared" si="0"/>
        <v>-3196408</v>
      </c>
    </row>
    <row r="66" spans="1:4" ht="22.5" customHeight="1" x14ac:dyDescent="0.4">
      <c r="A66" s="16" t="s">
        <v>48</v>
      </c>
      <c r="B66" s="24"/>
      <c r="C66" s="95">
        <v>0</v>
      </c>
      <c r="D66" s="24">
        <f t="shared" si="0"/>
        <v>0</v>
      </c>
    </row>
    <row r="67" spans="1:4" x14ac:dyDescent="0.4">
      <c r="A67" s="16" t="s">
        <v>49</v>
      </c>
      <c r="B67" s="24">
        <f>B65</f>
        <v>-2684550</v>
      </c>
      <c r="C67" s="24">
        <f>C65</f>
        <v>511858</v>
      </c>
      <c r="D67" s="24">
        <f t="shared" si="0"/>
        <v>-3196408</v>
      </c>
    </row>
    <row r="68" spans="1:4" x14ac:dyDescent="0.4">
      <c r="A68" s="16" t="s">
        <v>50</v>
      </c>
      <c r="B68" s="24"/>
      <c r="C68" s="95"/>
      <c r="D68" s="24"/>
    </row>
    <row r="69" spans="1:4" x14ac:dyDescent="0.4">
      <c r="A69" s="25" t="s">
        <v>51</v>
      </c>
      <c r="B69" s="29"/>
      <c r="C69" s="99">
        <v>0</v>
      </c>
      <c r="D69" s="29">
        <f t="shared" si="0"/>
        <v>0</v>
      </c>
    </row>
    <row r="70" spans="1:4" x14ac:dyDescent="0.4">
      <c r="A70" s="16" t="s">
        <v>52</v>
      </c>
      <c r="B70" s="24"/>
      <c r="C70" s="95">
        <v>0</v>
      </c>
      <c r="D70" s="24">
        <f t="shared" si="0"/>
        <v>0</v>
      </c>
    </row>
    <row r="71" spans="1:4" x14ac:dyDescent="0.4">
      <c r="A71" s="25" t="s">
        <v>53</v>
      </c>
      <c r="B71" s="29"/>
      <c r="C71" s="99"/>
      <c r="D71" s="29"/>
    </row>
    <row r="72" spans="1:4" x14ac:dyDescent="0.4">
      <c r="A72" s="16" t="s">
        <v>54</v>
      </c>
      <c r="B72" s="24"/>
      <c r="C72" s="95">
        <v>0</v>
      </c>
      <c r="D72" s="24">
        <f t="shared" si="0"/>
        <v>0</v>
      </c>
    </row>
    <row r="73" spans="1:4" x14ac:dyDescent="0.4">
      <c r="A73" s="16" t="s">
        <v>55</v>
      </c>
      <c r="B73" s="24"/>
      <c r="C73" s="95">
        <v>0</v>
      </c>
      <c r="D73" s="24">
        <f t="shared" si="0"/>
        <v>0</v>
      </c>
    </row>
    <row r="74" spans="1:4" x14ac:dyDescent="0.4">
      <c r="A74" s="16" t="s">
        <v>56</v>
      </c>
      <c r="B74" s="24">
        <f>B67+B70-B72</f>
        <v>-2684550</v>
      </c>
      <c r="C74" s="24">
        <f>C67+C70-C72</f>
        <v>511858</v>
      </c>
      <c r="D74" s="24">
        <f t="shared" si="0"/>
        <v>-3196408</v>
      </c>
    </row>
    <row r="75" spans="1:4" x14ac:dyDescent="0.4">
      <c r="A75" s="16" t="s">
        <v>57</v>
      </c>
      <c r="B75" s="24">
        <v>72000</v>
      </c>
      <c r="C75" s="24">
        <v>72000</v>
      </c>
      <c r="D75" s="24">
        <f t="shared" si="0"/>
        <v>0</v>
      </c>
    </row>
    <row r="76" spans="1:4" x14ac:dyDescent="0.4">
      <c r="A76" s="16" t="s">
        <v>58</v>
      </c>
      <c r="B76" s="24">
        <f>B74-B75</f>
        <v>-2756550</v>
      </c>
      <c r="C76" s="24">
        <f>C74-C75</f>
        <v>439858</v>
      </c>
      <c r="D76" s="24">
        <f t="shared" si="0"/>
        <v>-3196408</v>
      </c>
    </row>
    <row r="77" spans="1:4" x14ac:dyDescent="0.4">
      <c r="A77" s="16" t="s">
        <v>59</v>
      </c>
      <c r="B77" s="24">
        <f>C78</f>
        <v>-3311903</v>
      </c>
      <c r="C77" s="95">
        <f>予想損益!D77</f>
        <v>-3751761</v>
      </c>
      <c r="D77" s="24">
        <f t="shared" si="0"/>
        <v>439858</v>
      </c>
    </row>
    <row r="78" spans="1:4" x14ac:dyDescent="0.4">
      <c r="A78" s="31" t="s">
        <v>60</v>
      </c>
      <c r="B78" s="35">
        <f>B77+B76</f>
        <v>-6068453</v>
      </c>
      <c r="C78" s="35">
        <f>C77+C76</f>
        <v>-3311903</v>
      </c>
      <c r="D78" s="35">
        <f t="shared" si="0"/>
        <v>-2756550</v>
      </c>
    </row>
    <row r="79" spans="1:4" x14ac:dyDescent="0.4">
      <c r="A79" s="16" t="s">
        <v>61</v>
      </c>
      <c r="B79" s="24"/>
      <c r="C79" s="95"/>
      <c r="D79" s="24"/>
    </row>
    <row r="80" spans="1:4" x14ac:dyDescent="0.4">
      <c r="A80" s="25" t="s">
        <v>62</v>
      </c>
      <c r="B80" s="29">
        <f>SUM(B81)</f>
        <v>0</v>
      </c>
      <c r="C80" s="99"/>
      <c r="D80" s="29">
        <f t="shared" ref="D80:D87" si="3">B80-C80</f>
        <v>0</v>
      </c>
    </row>
    <row r="81" spans="1:4" x14ac:dyDescent="0.4">
      <c r="A81" s="16" t="s">
        <v>63</v>
      </c>
      <c r="B81" s="24"/>
      <c r="C81" s="95"/>
      <c r="D81" s="24">
        <f t="shared" si="3"/>
        <v>0</v>
      </c>
    </row>
    <row r="82" spans="1:4" x14ac:dyDescent="0.4">
      <c r="A82" s="25" t="s">
        <v>64</v>
      </c>
      <c r="B82" s="29">
        <f>SUM(B83)</f>
        <v>-120273</v>
      </c>
      <c r="C82" s="99">
        <v>-120273</v>
      </c>
      <c r="D82" s="29">
        <f t="shared" si="3"/>
        <v>0</v>
      </c>
    </row>
    <row r="83" spans="1:4" x14ac:dyDescent="0.4">
      <c r="A83" s="16" t="s">
        <v>65</v>
      </c>
      <c r="B83" s="24">
        <v>-120273</v>
      </c>
      <c r="C83" s="95">
        <v>-120273</v>
      </c>
      <c r="D83" s="24">
        <f t="shared" si="3"/>
        <v>0</v>
      </c>
    </row>
    <row r="84" spans="1:4" x14ac:dyDescent="0.4">
      <c r="A84" s="16" t="s">
        <v>66</v>
      </c>
      <c r="B84" s="24">
        <f>B80+B82</f>
        <v>-120273</v>
      </c>
      <c r="C84" s="95">
        <v>-120273</v>
      </c>
      <c r="D84" s="24">
        <f t="shared" si="3"/>
        <v>0</v>
      </c>
    </row>
    <row r="85" spans="1:4" x14ac:dyDescent="0.4">
      <c r="A85" s="16" t="s">
        <v>67</v>
      </c>
      <c r="B85" s="24">
        <f>C86</f>
        <v>128891911</v>
      </c>
      <c r="C85" s="95">
        <v>129012184</v>
      </c>
      <c r="D85" s="24">
        <f t="shared" si="3"/>
        <v>-120273</v>
      </c>
    </row>
    <row r="86" spans="1:4" x14ac:dyDescent="0.4">
      <c r="A86" s="31" t="s">
        <v>68</v>
      </c>
      <c r="B86" s="35">
        <f>B84+B85</f>
        <v>128771638</v>
      </c>
      <c r="C86" s="35">
        <f>C84+C85</f>
        <v>128891911</v>
      </c>
      <c r="D86" s="35">
        <f t="shared" si="3"/>
        <v>-120273</v>
      </c>
    </row>
    <row r="87" spans="1:4" x14ac:dyDescent="0.4">
      <c r="A87" s="36" t="s">
        <v>69</v>
      </c>
      <c r="B87" s="40">
        <f>B78+B86</f>
        <v>122703185</v>
      </c>
      <c r="C87" s="40">
        <f>C78+C86</f>
        <v>125580008</v>
      </c>
      <c r="D87" s="40">
        <f t="shared" si="3"/>
        <v>-2876823</v>
      </c>
    </row>
  </sheetData>
  <mergeCells count="5">
    <mergeCell ref="A1:D2"/>
    <mergeCell ref="A3:A4"/>
    <mergeCell ref="C3:C4"/>
    <mergeCell ref="D3:D4"/>
    <mergeCell ref="B3:B4"/>
  </mergeCells>
  <phoneticPr fontId="2"/>
  <pageMargins left="0.7" right="0.7" top="0.75" bottom="0.75" header="0.3" footer="0.3"/>
  <pageSetup paperSize="8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72C08-7506-4E00-9953-202A208D7931}">
  <sheetPr>
    <pageSetUpPr fitToPage="1"/>
  </sheetPr>
  <dimension ref="A1:K89"/>
  <sheetViews>
    <sheetView zoomScale="70" zoomScaleNormal="70" workbookViewId="0">
      <selection activeCell="B4" sqref="B4"/>
    </sheetView>
  </sheetViews>
  <sheetFormatPr defaultRowHeight="25.5" x14ac:dyDescent="0.4"/>
  <cols>
    <col min="1" max="1" width="37.5" style="74" customWidth="1"/>
    <col min="2" max="2" width="18.75" style="60" customWidth="1"/>
    <col min="3" max="9" width="18.75" style="64" customWidth="1"/>
    <col min="10" max="10" width="10.625" bestFit="1" customWidth="1"/>
  </cols>
  <sheetData>
    <row r="1" spans="1:9" ht="25.5" customHeight="1" x14ac:dyDescent="0.4">
      <c r="A1" s="113" t="s">
        <v>164</v>
      </c>
      <c r="B1" s="113"/>
      <c r="C1" s="113"/>
      <c r="D1" s="113"/>
      <c r="E1" s="113"/>
      <c r="F1" s="113"/>
      <c r="G1" s="113"/>
      <c r="H1" s="113"/>
      <c r="I1" s="113"/>
    </row>
    <row r="2" spans="1:9" ht="25.5" customHeight="1" x14ac:dyDescent="0.4">
      <c r="A2" s="114"/>
      <c r="B2" s="114"/>
      <c r="C2" s="114"/>
      <c r="D2" s="114"/>
      <c r="E2" s="114"/>
      <c r="F2" s="114"/>
      <c r="G2" s="114"/>
      <c r="H2" s="114"/>
      <c r="I2" s="114"/>
    </row>
    <row r="3" spans="1:9" ht="18.75" customHeight="1" x14ac:dyDescent="0.4">
      <c r="A3" s="127" t="s">
        <v>0</v>
      </c>
      <c r="B3" s="124" t="s">
        <v>167</v>
      </c>
      <c r="C3" s="124"/>
      <c r="D3" s="124" t="s">
        <v>114</v>
      </c>
      <c r="E3" s="124"/>
      <c r="F3" s="124"/>
      <c r="G3" s="124"/>
      <c r="H3" s="124" t="s">
        <v>115</v>
      </c>
      <c r="I3" s="124" t="s">
        <v>116</v>
      </c>
    </row>
    <row r="4" spans="1:9" ht="18.75" customHeight="1" x14ac:dyDescent="0.4">
      <c r="A4" s="128"/>
      <c r="B4" s="75" t="s">
        <v>117</v>
      </c>
      <c r="C4" s="125" t="s">
        <v>119</v>
      </c>
      <c r="D4" s="75" t="s">
        <v>120</v>
      </c>
      <c r="E4" s="75" t="s">
        <v>121</v>
      </c>
      <c r="F4" s="125" t="s">
        <v>118</v>
      </c>
      <c r="G4" s="125" t="s">
        <v>119</v>
      </c>
      <c r="H4" s="125"/>
      <c r="I4" s="125"/>
    </row>
    <row r="5" spans="1:9" ht="22.5" customHeight="1" thickBot="1" x14ac:dyDescent="0.45">
      <c r="A5" s="129"/>
      <c r="B5" s="76" t="s">
        <v>124</v>
      </c>
      <c r="C5" s="130"/>
      <c r="D5" s="76" t="s">
        <v>122</v>
      </c>
      <c r="E5" s="76" t="s">
        <v>123</v>
      </c>
      <c r="F5" s="130"/>
      <c r="G5" s="130"/>
      <c r="H5" s="126"/>
      <c r="I5" s="126"/>
    </row>
    <row r="6" spans="1:9" ht="22.5" customHeight="1" thickTop="1" x14ac:dyDescent="0.4">
      <c r="A6" s="69" t="s">
        <v>2</v>
      </c>
      <c r="B6" s="65"/>
      <c r="C6" s="62"/>
      <c r="D6" s="62"/>
      <c r="E6" s="62"/>
      <c r="F6" s="62"/>
      <c r="G6" s="62"/>
      <c r="H6" s="62"/>
      <c r="I6" s="62"/>
    </row>
    <row r="7" spans="1:9" ht="22.5" customHeight="1" x14ac:dyDescent="0.4">
      <c r="A7" s="70" t="s">
        <v>3</v>
      </c>
      <c r="B7" s="61"/>
      <c r="C7" s="63"/>
      <c r="D7" s="63"/>
      <c r="E7" s="63"/>
      <c r="F7" s="63"/>
      <c r="G7" s="63"/>
      <c r="H7" s="63"/>
      <c r="I7" s="63"/>
    </row>
    <row r="8" spans="1:9" ht="22.5" customHeight="1" x14ac:dyDescent="0.4">
      <c r="A8" s="70" t="s">
        <v>4</v>
      </c>
      <c r="B8" s="63"/>
      <c r="C8" s="63"/>
      <c r="D8" s="63"/>
      <c r="E8" s="63"/>
      <c r="F8" s="63"/>
      <c r="G8" s="63"/>
      <c r="H8" s="88"/>
      <c r="I8" s="63"/>
    </row>
    <row r="9" spans="1:9" ht="22.5" customHeight="1" x14ac:dyDescent="0.4">
      <c r="A9" s="71" t="s">
        <v>5</v>
      </c>
      <c r="B9" s="66">
        <f>SUM(B10:B12)</f>
        <v>7000000</v>
      </c>
      <c r="C9" s="66">
        <f>B9</f>
        <v>7000000</v>
      </c>
      <c r="D9" s="66">
        <f t="shared" ref="D9:F9" si="0">SUM(D10:D12)</f>
        <v>2000000</v>
      </c>
      <c r="E9" s="66">
        <f t="shared" si="0"/>
        <v>2000000</v>
      </c>
      <c r="F9" s="66">
        <f t="shared" si="0"/>
        <v>0</v>
      </c>
      <c r="G9" s="66">
        <f>D9+E9+F9</f>
        <v>4000000</v>
      </c>
      <c r="H9" s="89">
        <f>SUM(H10:H12)</f>
        <v>0</v>
      </c>
      <c r="I9" s="4">
        <f>SUM(I10:I12)</f>
        <v>11000000</v>
      </c>
    </row>
    <row r="10" spans="1:9" ht="22.5" customHeight="1" x14ac:dyDescent="0.4">
      <c r="A10" s="70" t="s">
        <v>6</v>
      </c>
      <c r="B10" s="63">
        <f>I10</f>
        <v>7000000</v>
      </c>
      <c r="C10" s="63">
        <f t="shared" ref="C10:C77" si="1">B10</f>
        <v>7000000</v>
      </c>
      <c r="D10" s="63"/>
      <c r="E10" s="63"/>
      <c r="F10" s="63"/>
      <c r="G10" s="63">
        <f t="shared" ref="G10:G77" si="2">D10+E10+F10</f>
        <v>0</v>
      </c>
      <c r="H10" s="88"/>
      <c r="I10" s="3">
        <f>予算損益!B9</f>
        <v>7000000</v>
      </c>
    </row>
    <row r="11" spans="1:9" ht="22.5" customHeight="1" x14ac:dyDescent="0.4">
      <c r="A11" s="70" t="s">
        <v>7</v>
      </c>
      <c r="B11" s="63"/>
      <c r="C11" s="63">
        <f t="shared" si="1"/>
        <v>0</v>
      </c>
      <c r="D11" s="63">
        <f>I11</f>
        <v>2000000</v>
      </c>
      <c r="E11" s="63"/>
      <c r="F11" s="63"/>
      <c r="G11" s="63">
        <f t="shared" si="2"/>
        <v>2000000</v>
      </c>
      <c r="H11" s="88"/>
      <c r="I11" s="3">
        <f>予算損益!B10</f>
        <v>2000000</v>
      </c>
    </row>
    <row r="12" spans="1:9" ht="22.5" customHeight="1" x14ac:dyDescent="0.4">
      <c r="A12" s="70" t="s">
        <v>8</v>
      </c>
      <c r="B12" s="63"/>
      <c r="C12" s="63">
        <f t="shared" si="1"/>
        <v>0</v>
      </c>
      <c r="D12" s="63"/>
      <c r="E12" s="63">
        <f>I12</f>
        <v>2000000</v>
      </c>
      <c r="F12" s="63"/>
      <c r="G12" s="63">
        <f t="shared" si="2"/>
        <v>2000000</v>
      </c>
      <c r="H12" s="88"/>
      <c r="I12" s="3">
        <f>予算損益!B11</f>
        <v>2000000</v>
      </c>
    </row>
    <row r="13" spans="1:9" ht="22.5" customHeight="1" x14ac:dyDescent="0.4">
      <c r="A13" s="71" t="s">
        <v>9</v>
      </c>
      <c r="B13" s="66">
        <f>SUM(B14:B16)</f>
        <v>6367000</v>
      </c>
      <c r="C13" s="66">
        <f t="shared" si="1"/>
        <v>6367000</v>
      </c>
      <c r="D13" s="66">
        <f t="shared" ref="D13:F13" si="3">SUM(D14)</f>
        <v>0</v>
      </c>
      <c r="E13" s="66">
        <f t="shared" si="3"/>
        <v>0</v>
      </c>
      <c r="F13" s="66">
        <f t="shared" si="3"/>
        <v>0</v>
      </c>
      <c r="G13" s="66">
        <f t="shared" si="2"/>
        <v>0</v>
      </c>
      <c r="H13" s="89">
        <f>SUM(H14)</f>
        <v>0</v>
      </c>
      <c r="I13" s="4">
        <f>SUM(I14:I16)</f>
        <v>6367000</v>
      </c>
    </row>
    <row r="14" spans="1:9" ht="22.5" customHeight="1" x14ac:dyDescent="0.4">
      <c r="A14" s="70" t="s">
        <v>10</v>
      </c>
      <c r="B14" s="63">
        <f>I14</f>
        <v>69000</v>
      </c>
      <c r="C14" s="63">
        <f t="shared" si="1"/>
        <v>69000</v>
      </c>
      <c r="D14" s="63"/>
      <c r="E14" s="63"/>
      <c r="F14" s="63"/>
      <c r="G14" s="63">
        <f>D14+E14+F14</f>
        <v>0</v>
      </c>
      <c r="H14" s="88"/>
      <c r="I14" s="3">
        <f>予算損益!B13</f>
        <v>69000</v>
      </c>
    </row>
    <row r="15" spans="1:9" ht="22.5" customHeight="1" x14ac:dyDescent="0.4">
      <c r="A15" s="101"/>
      <c r="B15" s="86">
        <f>I15</f>
        <v>0</v>
      </c>
      <c r="C15" s="63">
        <f t="shared" si="1"/>
        <v>0</v>
      </c>
      <c r="D15" s="63"/>
      <c r="E15" s="63"/>
      <c r="F15" s="63"/>
      <c r="G15" s="63"/>
      <c r="H15" s="88"/>
      <c r="I15" s="3">
        <f>予算損益!B14</f>
        <v>0</v>
      </c>
    </row>
    <row r="16" spans="1:9" ht="22.5" customHeight="1" x14ac:dyDescent="0.4">
      <c r="A16" s="101" t="s">
        <v>162</v>
      </c>
      <c r="B16" s="86">
        <f>I16</f>
        <v>6298000</v>
      </c>
      <c r="C16" s="63">
        <f t="shared" si="1"/>
        <v>6298000</v>
      </c>
      <c r="D16" s="63"/>
      <c r="E16" s="63"/>
      <c r="F16" s="63"/>
      <c r="G16" s="63"/>
      <c r="H16" s="88"/>
      <c r="I16" s="3">
        <f>予算損益!B15</f>
        <v>6298000</v>
      </c>
    </row>
    <row r="17" spans="1:11" ht="22.5" customHeight="1" x14ac:dyDescent="0.4">
      <c r="A17" s="71" t="s">
        <v>11</v>
      </c>
      <c r="B17" s="66">
        <f>SUM(B18)</f>
        <v>0</v>
      </c>
      <c r="C17" s="66">
        <f t="shared" si="1"/>
        <v>0</v>
      </c>
      <c r="D17" s="66">
        <f t="shared" ref="D17:F17" si="4">SUM(D18)</f>
        <v>0</v>
      </c>
      <c r="E17" s="66">
        <f t="shared" si="4"/>
        <v>0</v>
      </c>
      <c r="F17" s="66">
        <f t="shared" si="4"/>
        <v>0</v>
      </c>
      <c r="G17" s="66">
        <f t="shared" si="2"/>
        <v>0</v>
      </c>
      <c r="H17" s="89">
        <f>SUM(H18)</f>
        <v>1000000</v>
      </c>
      <c r="I17" s="4">
        <f>SUM(I18)</f>
        <v>1000000</v>
      </c>
    </row>
    <row r="18" spans="1:11" ht="22.5" customHeight="1" x14ac:dyDescent="0.4">
      <c r="A18" s="70" t="s">
        <v>12</v>
      </c>
      <c r="B18" s="63"/>
      <c r="C18" s="63">
        <f t="shared" si="1"/>
        <v>0</v>
      </c>
      <c r="D18" s="63"/>
      <c r="E18" s="63"/>
      <c r="F18" s="63"/>
      <c r="G18" s="63">
        <f t="shared" si="2"/>
        <v>0</v>
      </c>
      <c r="H18" s="88">
        <f>I18</f>
        <v>1000000</v>
      </c>
      <c r="I18" s="3">
        <f>予算損益!B17</f>
        <v>1000000</v>
      </c>
    </row>
    <row r="19" spans="1:11" ht="22.5" customHeight="1" x14ac:dyDescent="0.4">
      <c r="A19" s="71" t="s">
        <v>13</v>
      </c>
      <c r="B19" s="66">
        <f>SUM(B20:B22)</f>
        <v>120273</v>
      </c>
      <c r="C19" s="66">
        <f t="shared" si="1"/>
        <v>120273</v>
      </c>
      <c r="D19" s="66">
        <f t="shared" ref="D19:F19" si="5">SUM(D20:D22)</f>
        <v>0</v>
      </c>
      <c r="E19" s="66">
        <f t="shared" si="5"/>
        <v>0</v>
      </c>
      <c r="F19" s="66">
        <f t="shared" si="5"/>
        <v>0</v>
      </c>
      <c r="G19" s="66">
        <f t="shared" si="2"/>
        <v>0</v>
      </c>
      <c r="H19" s="89">
        <f>SUM(H20:H22)</f>
        <v>700020</v>
      </c>
      <c r="I19" s="4">
        <f>SUM(I20:I22)</f>
        <v>820293</v>
      </c>
    </row>
    <row r="20" spans="1:11" ht="22.5" customHeight="1" x14ac:dyDescent="0.4">
      <c r="A20" s="70" t="s">
        <v>14</v>
      </c>
      <c r="B20" s="63"/>
      <c r="C20" s="63">
        <f t="shared" si="1"/>
        <v>0</v>
      </c>
      <c r="D20" s="63"/>
      <c r="E20" s="63"/>
      <c r="F20" s="63"/>
      <c r="G20" s="63">
        <f t="shared" si="2"/>
        <v>0</v>
      </c>
      <c r="H20" s="88">
        <f>I20</f>
        <v>20</v>
      </c>
      <c r="I20" s="3">
        <f>予算損益!B19</f>
        <v>20</v>
      </c>
    </row>
    <row r="21" spans="1:11" ht="22.5" customHeight="1" x14ac:dyDescent="0.4">
      <c r="A21" s="70" t="s">
        <v>71</v>
      </c>
      <c r="B21" s="63"/>
      <c r="C21" s="63">
        <f t="shared" si="1"/>
        <v>0</v>
      </c>
      <c r="D21" s="63"/>
      <c r="E21" s="63"/>
      <c r="F21" s="63"/>
      <c r="G21" s="63">
        <f t="shared" si="2"/>
        <v>0</v>
      </c>
      <c r="H21" s="88">
        <f>I21</f>
        <v>700000</v>
      </c>
      <c r="I21" s="3">
        <f>予算損益!B20</f>
        <v>700000</v>
      </c>
    </row>
    <row r="22" spans="1:11" ht="22.5" customHeight="1" x14ac:dyDescent="0.4">
      <c r="A22" s="70" t="s">
        <v>15</v>
      </c>
      <c r="B22" s="63">
        <f>I22</f>
        <v>120273</v>
      </c>
      <c r="C22" s="63">
        <f t="shared" si="1"/>
        <v>120273</v>
      </c>
      <c r="D22" s="63"/>
      <c r="E22" s="63"/>
      <c r="F22" s="63"/>
      <c r="G22" s="63">
        <f t="shared" si="2"/>
        <v>0</v>
      </c>
      <c r="H22" s="88"/>
      <c r="I22" s="3">
        <f>予算損益!B21</f>
        <v>120273</v>
      </c>
    </row>
    <row r="23" spans="1:11" ht="22.5" customHeight="1" x14ac:dyDescent="0.4">
      <c r="A23" s="72" t="s">
        <v>16</v>
      </c>
      <c r="B23" s="67">
        <f>B9+B13+B17+B19</f>
        <v>13487273</v>
      </c>
      <c r="C23" s="67">
        <f>C9+C13+C17+C19</f>
        <v>13487273</v>
      </c>
      <c r="D23" s="67">
        <f t="shared" ref="D23:H23" si="6">D9+D13+D17+D19</f>
        <v>2000000</v>
      </c>
      <c r="E23" s="67">
        <f t="shared" si="6"/>
        <v>2000000</v>
      </c>
      <c r="F23" s="67">
        <f>F9+F13+F17+F19</f>
        <v>0</v>
      </c>
      <c r="G23" s="67">
        <f>G9+G13+G17+G19</f>
        <v>4000000</v>
      </c>
      <c r="H23" s="90">
        <f t="shared" si="6"/>
        <v>1700020</v>
      </c>
      <c r="I23" s="5">
        <f>I9+I13+I17+I19</f>
        <v>19187293</v>
      </c>
    </row>
    <row r="24" spans="1:11" ht="22.5" customHeight="1" x14ac:dyDescent="0.4">
      <c r="A24" s="70" t="s">
        <v>17</v>
      </c>
      <c r="B24" s="63"/>
      <c r="C24" s="63"/>
      <c r="D24" s="63"/>
      <c r="E24" s="63"/>
      <c r="F24" s="63"/>
      <c r="G24" s="63"/>
      <c r="H24" s="88"/>
      <c r="I24" s="3">
        <f>予算損益!B23</f>
        <v>0</v>
      </c>
    </row>
    <row r="25" spans="1:11" ht="22.5" customHeight="1" x14ac:dyDescent="0.4">
      <c r="A25" s="70" t="s">
        <v>18</v>
      </c>
      <c r="B25" s="63"/>
      <c r="C25" s="63"/>
      <c r="D25" s="63"/>
      <c r="E25" s="63"/>
      <c r="F25" s="63"/>
      <c r="G25" s="63"/>
      <c r="H25" s="88"/>
      <c r="I25" s="3">
        <f>予算損益!B24</f>
        <v>0</v>
      </c>
    </row>
    <row r="26" spans="1:11" ht="22.5" customHeight="1" x14ac:dyDescent="0.4">
      <c r="A26" s="70" t="s">
        <v>73</v>
      </c>
      <c r="B26" s="63">
        <f>B27+B28-B29</f>
        <v>0</v>
      </c>
      <c r="C26" s="63">
        <f t="shared" ref="C26:H26" si="7">C27+C28-C29</f>
        <v>0</v>
      </c>
      <c r="D26" s="63">
        <f t="shared" si="7"/>
        <v>600000</v>
      </c>
      <c r="E26" s="63">
        <f t="shared" si="7"/>
        <v>0</v>
      </c>
      <c r="F26" s="63">
        <f t="shared" si="7"/>
        <v>0</v>
      </c>
      <c r="G26" s="63">
        <f t="shared" si="7"/>
        <v>600000</v>
      </c>
      <c r="H26" s="88">
        <f t="shared" si="7"/>
        <v>0</v>
      </c>
      <c r="I26" s="3">
        <f>予算損益!B25</f>
        <v>600000</v>
      </c>
      <c r="J26" s="51"/>
    </row>
    <row r="27" spans="1:11" ht="22.5" customHeight="1" x14ac:dyDescent="0.4">
      <c r="A27" s="70" t="s">
        <v>19</v>
      </c>
      <c r="B27" s="63"/>
      <c r="C27" s="63">
        <f t="shared" si="1"/>
        <v>0</v>
      </c>
      <c r="D27" s="63">
        <f>I27</f>
        <v>600000</v>
      </c>
      <c r="E27" s="63"/>
      <c r="F27" s="63"/>
      <c r="G27" s="63">
        <f t="shared" si="2"/>
        <v>600000</v>
      </c>
      <c r="H27" s="88"/>
      <c r="I27" s="3">
        <f>予算損益!B26</f>
        <v>600000</v>
      </c>
      <c r="J27" s="51"/>
      <c r="K27" s="51"/>
    </row>
    <row r="28" spans="1:11" ht="22.5" customHeight="1" x14ac:dyDescent="0.4">
      <c r="A28" s="70" t="s">
        <v>20</v>
      </c>
      <c r="B28" s="63"/>
      <c r="C28" s="63">
        <f t="shared" si="1"/>
        <v>0</v>
      </c>
      <c r="D28" s="63">
        <f t="shared" ref="D28:D29" si="8">I28</f>
        <v>600000</v>
      </c>
      <c r="E28" s="63"/>
      <c r="F28" s="63"/>
      <c r="G28" s="63">
        <f t="shared" si="2"/>
        <v>600000</v>
      </c>
      <c r="H28" s="88"/>
      <c r="I28" s="3">
        <f>予算損益!B27</f>
        <v>600000</v>
      </c>
      <c r="J28" s="51"/>
      <c r="K28" s="51"/>
    </row>
    <row r="29" spans="1:11" ht="22.5" customHeight="1" x14ac:dyDescent="0.4">
      <c r="A29" s="70" t="s">
        <v>21</v>
      </c>
      <c r="B29" s="63"/>
      <c r="C29" s="63">
        <f t="shared" si="1"/>
        <v>0</v>
      </c>
      <c r="D29" s="63">
        <f t="shared" si="8"/>
        <v>600000</v>
      </c>
      <c r="E29" s="63"/>
      <c r="F29" s="63"/>
      <c r="G29" s="63">
        <f t="shared" si="2"/>
        <v>600000</v>
      </c>
      <c r="H29" s="88"/>
      <c r="I29" s="3">
        <f>予算損益!B28</f>
        <v>600000</v>
      </c>
      <c r="J29" s="51"/>
      <c r="K29" s="51"/>
    </row>
    <row r="30" spans="1:11" ht="22.5" customHeight="1" x14ac:dyDescent="0.4">
      <c r="A30" s="70" t="s">
        <v>72</v>
      </c>
      <c r="B30" s="63">
        <f t="shared" ref="B30:H30" si="9">SUM(B31:B47)</f>
        <v>14946468</v>
      </c>
      <c r="C30" s="63">
        <f t="shared" si="9"/>
        <v>14946468</v>
      </c>
      <c r="D30" s="63">
        <f t="shared" si="9"/>
        <v>198938</v>
      </c>
      <c r="E30" s="63">
        <f t="shared" si="9"/>
        <v>106438</v>
      </c>
      <c r="F30" s="63">
        <f t="shared" si="9"/>
        <v>0</v>
      </c>
      <c r="G30" s="63">
        <f t="shared" si="9"/>
        <v>305376</v>
      </c>
      <c r="H30" s="88">
        <f t="shared" si="9"/>
        <v>600000</v>
      </c>
      <c r="I30" s="3">
        <f>予算損益!B29</f>
        <v>15851843</v>
      </c>
      <c r="J30" s="51"/>
      <c r="K30" s="51"/>
    </row>
    <row r="31" spans="1:11" ht="22.5" customHeight="1" x14ac:dyDescent="0.4">
      <c r="A31" s="70" t="s">
        <v>22</v>
      </c>
      <c r="B31" s="63">
        <f>ROUNDUP(I31*300/320,0)</f>
        <v>1406250</v>
      </c>
      <c r="C31" s="63">
        <f t="shared" si="1"/>
        <v>1406250</v>
      </c>
      <c r="D31" s="63">
        <f>ROUNDDOWN(I31*20/320,0)</f>
        <v>93750</v>
      </c>
      <c r="E31" s="63"/>
      <c r="F31" s="63"/>
      <c r="G31" s="63">
        <f t="shared" si="2"/>
        <v>93750</v>
      </c>
      <c r="H31" s="88"/>
      <c r="I31" s="3">
        <f>予算損益!B30</f>
        <v>1500000</v>
      </c>
      <c r="J31" s="51"/>
      <c r="K31" s="51"/>
    </row>
    <row r="32" spans="1:11" ht="22.5" customHeight="1" x14ac:dyDescent="0.4">
      <c r="A32" s="70" t="s">
        <v>131</v>
      </c>
      <c r="B32" s="63">
        <f>ROUNDUP(I32*300/320,0)</f>
        <v>28125</v>
      </c>
      <c r="C32" s="63">
        <f t="shared" ref="C32" si="10">B32</f>
        <v>28125</v>
      </c>
      <c r="D32" s="63">
        <f>ROUNDDOWN(I32*20/320,0)</f>
        <v>1875</v>
      </c>
      <c r="E32" s="63"/>
      <c r="F32" s="63"/>
      <c r="G32" s="63">
        <f t="shared" ref="G32" si="11">D32+E32+F32</f>
        <v>1875</v>
      </c>
      <c r="H32" s="88"/>
      <c r="I32" s="3">
        <f>予算損益!B31</f>
        <v>30000</v>
      </c>
      <c r="J32" s="51"/>
      <c r="K32" s="51"/>
    </row>
    <row r="33" spans="1:11" ht="22.5" customHeight="1" x14ac:dyDescent="0.4">
      <c r="A33" s="70" t="s">
        <v>23</v>
      </c>
      <c r="B33" s="63">
        <f>I33</f>
        <v>100000</v>
      </c>
      <c r="C33" s="63">
        <f t="shared" si="1"/>
        <v>100000</v>
      </c>
      <c r="D33" s="63"/>
      <c r="E33" s="63"/>
      <c r="F33" s="63"/>
      <c r="G33" s="63">
        <f t="shared" si="2"/>
        <v>0</v>
      </c>
      <c r="H33" s="88"/>
      <c r="I33" s="3">
        <f>予算損益!B32</f>
        <v>100000</v>
      </c>
      <c r="J33" s="51"/>
      <c r="K33" s="51"/>
    </row>
    <row r="34" spans="1:11" ht="22.5" customHeight="1" x14ac:dyDescent="0.4">
      <c r="A34" s="70" t="s">
        <v>24</v>
      </c>
      <c r="B34" s="63">
        <f>ROUNDUP(I34*90/100,0)</f>
        <v>315000</v>
      </c>
      <c r="C34" s="63">
        <f t="shared" si="1"/>
        <v>315000</v>
      </c>
      <c r="D34" s="63">
        <f>ROUND(I34*5/100,0)</f>
        <v>17500</v>
      </c>
      <c r="E34" s="63">
        <f>ROUND(I34*5/100,0)</f>
        <v>17500</v>
      </c>
      <c r="F34" s="63"/>
      <c r="G34" s="63">
        <f t="shared" si="2"/>
        <v>35000</v>
      </c>
      <c r="H34" s="88"/>
      <c r="I34" s="3">
        <f>予算損益!B33</f>
        <v>350000</v>
      </c>
      <c r="J34" s="51"/>
      <c r="K34" s="51"/>
    </row>
    <row r="35" spans="1:11" ht="22.5" customHeight="1" x14ac:dyDescent="0.4">
      <c r="A35" s="70" t="s">
        <v>25</v>
      </c>
      <c r="B35" s="63">
        <f>I35</f>
        <v>471843</v>
      </c>
      <c r="C35" s="63">
        <f t="shared" si="1"/>
        <v>471843</v>
      </c>
      <c r="D35" s="63"/>
      <c r="E35" s="63"/>
      <c r="F35" s="63"/>
      <c r="G35" s="63">
        <f t="shared" si="2"/>
        <v>0</v>
      </c>
      <c r="H35" s="88"/>
      <c r="I35" s="3">
        <f>予算損益!B34</f>
        <v>471843</v>
      </c>
      <c r="J35" s="51"/>
      <c r="K35" s="51"/>
    </row>
    <row r="36" spans="1:11" ht="22.5" customHeight="1" x14ac:dyDescent="0.4">
      <c r="A36" s="70" t="s">
        <v>26</v>
      </c>
      <c r="B36" s="63">
        <f>ROUNDUP(I36*96/100,0)</f>
        <v>192000</v>
      </c>
      <c r="C36" s="63">
        <f t="shared" si="1"/>
        <v>192000</v>
      </c>
      <c r="D36" s="63">
        <f>ROUND(I36*2/100,0)</f>
        <v>4000</v>
      </c>
      <c r="E36" s="63">
        <f>ROUND(I36*2/100,0)</f>
        <v>4000</v>
      </c>
      <c r="F36" s="63"/>
      <c r="G36" s="63">
        <f t="shared" si="2"/>
        <v>8000</v>
      </c>
      <c r="H36" s="88"/>
      <c r="I36" s="3">
        <f>予算損益!B35</f>
        <v>200000</v>
      </c>
      <c r="J36" s="51"/>
      <c r="K36" s="51"/>
    </row>
    <row r="37" spans="1:11" ht="22.5" customHeight="1" x14ac:dyDescent="0.4">
      <c r="A37" s="70" t="s">
        <v>27</v>
      </c>
      <c r="B37" s="63">
        <f>ROUNDUP(I37*95/100,0)</f>
        <v>475000</v>
      </c>
      <c r="C37" s="63">
        <f t="shared" si="1"/>
        <v>475000</v>
      </c>
      <c r="D37" s="63">
        <f>ROUND(I37*2/100,0)</f>
        <v>10000</v>
      </c>
      <c r="E37" s="63">
        <f>ROUND(I37*3/100,0)</f>
        <v>15000</v>
      </c>
      <c r="F37" s="63"/>
      <c r="G37" s="63">
        <f t="shared" si="2"/>
        <v>25000</v>
      </c>
      <c r="H37" s="88"/>
      <c r="I37" s="3">
        <f>予算損益!B36</f>
        <v>500000</v>
      </c>
      <c r="J37" s="51"/>
      <c r="K37" s="51"/>
    </row>
    <row r="38" spans="1:11" ht="22.5" customHeight="1" x14ac:dyDescent="0.4">
      <c r="A38" s="70" t="s">
        <v>28</v>
      </c>
      <c r="B38" s="63">
        <f>ROUNDUP(I38*90/100,0)</f>
        <v>180000</v>
      </c>
      <c r="C38" s="63">
        <f t="shared" si="1"/>
        <v>180000</v>
      </c>
      <c r="D38" s="63">
        <f>ROUND(I38*5/100,0)</f>
        <v>10000</v>
      </c>
      <c r="E38" s="63">
        <f>ROUND(I38*5/100,0)</f>
        <v>10000</v>
      </c>
      <c r="F38" s="63"/>
      <c r="G38" s="63">
        <f t="shared" si="2"/>
        <v>20000</v>
      </c>
      <c r="H38" s="88"/>
      <c r="I38" s="3">
        <f>予算損益!B37</f>
        <v>200000</v>
      </c>
      <c r="J38" s="51"/>
      <c r="K38" s="51"/>
    </row>
    <row r="39" spans="1:11" ht="22.5" customHeight="1" x14ac:dyDescent="0.4">
      <c r="A39" s="70" t="s">
        <v>29</v>
      </c>
      <c r="B39" s="63">
        <f>ROUNDUP(I39*90/100,0)</f>
        <v>90000</v>
      </c>
      <c r="C39" s="63">
        <f t="shared" si="1"/>
        <v>90000</v>
      </c>
      <c r="D39" s="63">
        <f>ROUND(I39*5/100,0)</f>
        <v>5000</v>
      </c>
      <c r="E39" s="63">
        <f>ROUND(I39*5/100,0)</f>
        <v>5000</v>
      </c>
      <c r="F39" s="63"/>
      <c r="G39" s="63">
        <f t="shared" si="2"/>
        <v>10000</v>
      </c>
      <c r="H39" s="88"/>
      <c r="I39" s="3">
        <f>予算損益!B38</f>
        <v>100000</v>
      </c>
      <c r="J39" s="51"/>
      <c r="K39" s="51"/>
    </row>
    <row r="40" spans="1:11" ht="22.5" customHeight="1" x14ac:dyDescent="0.4">
      <c r="A40" s="70" t="s">
        <v>30</v>
      </c>
      <c r="B40" s="63">
        <f t="shared" ref="B40" si="12">ROUNDUP(I40*90/100,0)</f>
        <v>630000</v>
      </c>
      <c r="C40" s="63">
        <f t="shared" si="1"/>
        <v>630000</v>
      </c>
      <c r="D40" s="63">
        <f>ROUND(I40*5/100,0)</f>
        <v>35000</v>
      </c>
      <c r="E40" s="63">
        <f>ROUND(I40*5/100,0)</f>
        <v>35000</v>
      </c>
      <c r="F40" s="63"/>
      <c r="G40" s="63">
        <f t="shared" si="2"/>
        <v>70000</v>
      </c>
      <c r="H40" s="88"/>
      <c r="I40" s="3">
        <f>予算損益!B39</f>
        <v>700000</v>
      </c>
      <c r="J40" s="51"/>
      <c r="K40" s="51"/>
    </row>
    <row r="41" spans="1:11" ht="22.5" customHeight="1" x14ac:dyDescent="0.4">
      <c r="A41" s="70" t="s">
        <v>142</v>
      </c>
      <c r="B41" s="63">
        <f t="shared" ref="B41" si="13">ROUNDUP(I41*90/100,0)</f>
        <v>0</v>
      </c>
      <c r="C41" s="63">
        <f t="shared" ref="C41" si="14">B41</f>
        <v>0</v>
      </c>
      <c r="D41" s="63">
        <f>ROUND(I41*5/100,0)</f>
        <v>0</v>
      </c>
      <c r="E41" s="63">
        <f>ROUND(I41*5/100,0)</f>
        <v>0</v>
      </c>
      <c r="F41" s="63"/>
      <c r="G41" s="63">
        <f t="shared" ref="G41" si="15">D41+E41+F41</f>
        <v>0</v>
      </c>
      <c r="H41" s="88"/>
      <c r="I41" s="3">
        <f>予算損益!B40</f>
        <v>0</v>
      </c>
      <c r="J41" s="51"/>
      <c r="K41" s="51"/>
    </row>
    <row r="42" spans="1:11" ht="22.5" customHeight="1" x14ac:dyDescent="0.4">
      <c r="A42" s="70" t="s">
        <v>31</v>
      </c>
      <c r="B42" s="63">
        <f>ROUNDUP(I42*90/100,0)</f>
        <v>270000</v>
      </c>
      <c r="C42" s="63">
        <f t="shared" si="1"/>
        <v>270000</v>
      </c>
      <c r="D42" s="63">
        <f>ROUND(I42*5/100,0)</f>
        <v>15000</v>
      </c>
      <c r="E42" s="63">
        <f>ROUND(I42*5/100,0)</f>
        <v>15000</v>
      </c>
      <c r="F42" s="63"/>
      <c r="G42" s="63">
        <f t="shared" si="2"/>
        <v>30000</v>
      </c>
      <c r="H42" s="88"/>
      <c r="I42" s="3">
        <f>予算損益!B41</f>
        <v>300000</v>
      </c>
      <c r="J42" s="51"/>
      <c r="K42" s="51"/>
    </row>
    <row r="43" spans="1:11" ht="22.5" customHeight="1" x14ac:dyDescent="0.4">
      <c r="A43" s="70" t="s">
        <v>32</v>
      </c>
      <c r="B43" s="63">
        <f>I43</f>
        <v>20000</v>
      </c>
      <c r="C43" s="63">
        <f t="shared" si="1"/>
        <v>20000</v>
      </c>
      <c r="D43" s="63"/>
      <c r="E43" s="63"/>
      <c r="F43" s="63"/>
      <c r="G43" s="63">
        <f t="shared" si="2"/>
        <v>0</v>
      </c>
      <c r="H43" s="88"/>
      <c r="I43" s="3">
        <f>予算損益!B42</f>
        <v>20000</v>
      </c>
      <c r="J43" s="51"/>
      <c r="K43" s="51"/>
    </row>
    <row r="44" spans="1:11" ht="22.5" customHeight="1" x14ac:dyDescent="0.4">
      <c r="A44" s="70" t="s">
        <v>33</v>
      </c>
      <c r="B44" s="63">
        <f>ROUNDUP(I44*92/100,0)</f>
        <v>92000</v>
      </c>
      <c r="C44" s="63">
        <f t="shared" si="1"/>
        <v>92000</v>
      </c>
      <c r="D44" s="63">
        <f>ROUND(I44*4/100,0)</f>
        <v>4000</v>
      </c>
      <c r="E44" s="63">
        <f>ROUND(I44*4/100,0)</f>
        <v>4000</v>
      </c>
      <c r="F44" s="63"/>
      <c r="G44" s="63">
        <f t="shared" si="2"/>
        <v>8000</v>
      </c>
      <c r="H44" s="88"/>
      <c r="I44" s="3">
        <f>予算損益!B43</f>
        <v>100000</v>
      </c>
      <c r="J44" s="51"/>
      <c r="K44" s="51"/>
    </row>
    <row r="45" spans="1:11" ht="22.5" customHeight="1" x14ac:dyDescent="0.4">
      <c r="A45" s="70" t="s">
        <v>34</v>
      </c>
      <c r="B45" s="63">
        <f>I45-600000</f>
        <v>1200000</v>
      </c>
      <c r="C45" s="63">
        <f t="shared" si="1"/>
        <v>1200000</v>
      </c>
      <c r="D45" s="63"/>
      <c r="E45" s="63"/>
      <c r="F45" s="63"/>
      <c r="G45" s="63">
        <f t="shared" si="2"/>
        <v>0</v>
      </c>
      <c r="H45" s="88">
        <v>600000</v>
      </c>
      <c r="I45" s="3">
        <f>予算損益!B44</f>
        <v>1800000</v>
      </c>
      <c r="J45" s="51"/>
      <c r="K45" s="51"/>
    </row>
    <row r="46" spans="1:11" ht="22.5" customHeight="1" x14ac:dyDescent="0.4">
      <c r="A46" s="87" t="s">
        <v>145</v>
      </c>
      <c r="B46" s="63">
        <f>I46</f>
        <v>9450000</v>
      </c>
      <c r="C46" s="63">
        <f t="shared" si="1"/>
        <v>9450000</v>
      </c>
      <c r="D46" s="63"/>
      <c r="E46" s="63"/>
      <c r="F46" s="63"/>
      <c r="G46" s="63"/>
      <c r="H46" s="88"/>
      <c r="I46" s="3">
        <f>予算損益!B45</f>
        <v>9450000</v>
      </c>
      <c r="J46" s="51"/>
      <c r="K46" s="51"/>
    </row>
    <row r="47" spans="1:11" ht="22.5" customHeight="1" x14ac:dyDescent="0.4">
      <c r="A47" s="70" t="s">
        <v>35</v>
      </c>
      <c r="B47" s="63">
        <f>ROUNDUP(I47*140/160,0)</f>
        <v>26250</v>
      </c>
      <c r="C47" s="63">
        <f t="shared" si="1"/>
        <v>26250</v>
      </c>
      <c r="D47" s="63">
        <f>ROUND(I47*15/160,0)</f>
        <v>2813</v>
      </c>
      <c r="E47" s="63">
        <f>ROUND(I47*5/160,0)</f>
        <v>938</v>
      </c>
      <c r="F47" s="63"/>
      <c r="G47" s="63">
        <f t="shared" si="2"/>
        <v>3751</v>
      </c>
      <c r="H47" s="88"/>
      <c r="I47" s="3">
        <f>予算損益!B46</f>
        <v>30000</v>
      </c>
      <c r="J47" s="51"/>
      <c r="K47" s="51"/>
    </row>
    <row r="48" spans="1:11" ht="22.5" customHeight="1" x14ac:dyDescent="0.4">
      <c r="A48" s="71" t="s">
        <v>36</v>
      </c>
      <c r="B48" s="66">
        <f>B26+B30</f>
        <v>14946468</v>
      </c>
      <c r="C48" s="66">
        <f>C30</f>
        <v>14946468</v>
      </c>
      <c r="D48" s="66">
        <f t="shared" ref="D48:I48" si="16">D26+D30</f>
        <v>798938</v>
      </c>
      <c r="E48" s="66">
        <f t="shared" si="16"/>
        <v>106438</v>
      </c>
      <c r="F48" s="66">
        <f t="shared" si="16"/>
        <v>0</v>
      </c>
      <c r="G48" s="66">
        <f t="shared" si="16"/>
        <v>905376</v>
      </c>
      <c r="H48" s="89">
        <f t="shared" si="16"/>
        <v>600000</v>
      </c>
      <c r="I48" s="4">
        <f t="shared" si="16"/>
        <v>16451843</v>
      </c>
      <c r="J48" s="51"/>
    </row>
    <row r="49" spans="1:10" ht="22.5" customHeight="1" x14ac:dyDescent="0.4">
      <c r="A49" s="70" t="s">
        <v>37</v>
      </c>
      <c r="B49" s="63"/>
      <c r="C49" s="63"/>
      <c r="D49" s="63"/>
      <c r="E49" s="63"/>
      <c r="F49" s="63"/>
      <c r="G49" s="63"/>
      <c r="H49" s="88"/>
      <c r="I49" s="3"/>
      <c r="J49" s="51"/>
    </row>
    <row r="50" spans="1:10" ht="22.5" customHeight="1" x14ac:dyDescent="0.4">
      <c r="A50" s="70" t="s">
        <v>38</v>
      </c>
      <c r="B50" s="63">
        <f>ROUNDUP(I50*270/320,0)</f>
        <v>3037500</v>
      </c>
      <c r="C50" s="63">
        <f t="shared" si="1"/>
        <v>3037500</v>
      </c>
      <c r="D50" s="63">
        <f>ROUNDDOWN(I50*30/320,0)</f>
        <v>337500</v>
      </c>
      <c r="E50" s="63">
        <f>ROUNDDOWN(I50*10/320,0)</f>
        <v>112500</v>
      </c>
      <c r="F50" s="63"/>
      <c r="G50" s="63">
        <f t="shared" si="2"/>
        <v>450000</v>
      </c>
      <c r="H50" s="88">
        <f>ROUNDDOWN(I50*10/320,0)</f>
        <v>112500</v>
      </c>
      <c r="I50" s="3">
        <f>予算損益!B49</f>
        <v>3600000</v>
      </c>
      <c r="J50" s="51"/>
    </row>
    <row r="51" spans="1:10" ht="22.5" customHeight="1" x14ac:dyDescent="0.4">
      <c r="A51" s="70" t="s">
        <v>39</v>
      </c>
      <c r="B51" s="63">
        <f>ROUNDUP(I51*270/320,0)</f>
        <v>514688</v>
      </c>
      <c r="C51" s="63">
        <f t="shared" si="1"/>
        <v>514688</v>
      </c>
      <c r="D51" s="63">
        <f>ROUNDUP(I51*30/320,0)</f>
        <v>57188</v>
      </c>
      <c r="E51" s="63">
        <f>ROUNDUP(I51*10/320,0)</f>
        <v>19063</v>
      </c>
      <c r="F51" s="63"/>
      <c r="G51" s="63">
        <f t="shared" si="2"/>
        <v>76251</v>
      </c>
      <c r="H51" s="88">
        <f>ROUNDDOWN(I51*10/320,0)</f>
        <v>19062</v>
      </c>
      <c r="I51" s="3">
        <f>予算損益!B50</f>
        <v>610000</v>
      </c>
      <c r="J51" s="51"/>
    </row>
    <row r="52" spans="1:10" ht="22.5" customHeight="1" x14ac:dyDescent="0.4">
      <c r="A52" s="70" t="s">
        <v>40</v>
      </c>
      <c r="B52" s="63"/>
      <c r="C52" s="63">
        <f t="shared" si="1"/>
        <v>0</v>
      </c>
      <c r="D52" s="63">
        <f>I52</f>
        <v>0</v>
      </c>
      <c r="E52" s="63"/>
      <c r="F52" s="63"/>
      <c r="G52" s="63">
        <f t="shared" si="2"/>
        <v>0</v>
      </c>
      <c r="H52" s="88">
        <f>I52</f>
        <v>0</v>
      </c>
      <c r="I52" s="3">
        <f>予算損益!B51</f>
        <v>0</v>
      </c>
      <c r="J52" s="51"/>
    </row>
    <row r="53" spans="1:10" ht="22.5" customHeight="1" x14ac:dyDescent="0.4">
      <c r="A53" s="70" t="s">
        <v>23</v>
      </c>
      <c r="B53" s="63"/>
      <c r="C53" s="63">
        <f t="shared" si="1"/>
        <v>0</v>
      </c>
      <c r="D53" s="63"/>
      <c r="E53" s="63"/>
      <c r="F53" s="63"/>
      <c r="G53" s="63">
        <f t="shared" si="2"/>
        <v>0</v>
      </c>
      <c r="H53" s="88">
        <f t="shared" ref="H53:H63" si="17">I53</f>
        <v>10000</v>
      </c>
      <c r="I53" s="3">
        <f>予算損益!B52</f>
        <v>10000</v>
      </c>
      <c r="J53" s="51"/>
    </row>
    <row r="54" spans="1:10" ht="22.5" customHeight="1" x14ac:dyDescent="0.4">
      <c r="A54" s="70" t="s">
        <v>24</v>
      </c>
      <c r="B54" s="63"/>
      <c r="C54" s="63">
        <f t="shared" si="1"/>
        <v>0</v>
      </c>
      <c r="D54" s="63"/>
      <c r="E54" s="63"/>
      <c r="F54" s="63"/>
      <c r="G54" s="63">
        <f t="shared" si="2"/>
        <v>0</v>
      </c>
      <c r="H54" s="88">
        <f t="shared" si="17"/>
        <v>10000</v>
      </c>
      <c r="I54" s="3">
        <f>予算損益!B53</f>
        <v>10000</v>
      </c>
      <c r="J54" s="51"/>
    </row>
    <row r="55" spans="1:10" ht="22.5" customHeight="1" x14ac:dyDescent="0.4">
      <c r="A55" s="70" t="s">
        <v>26</v>
      </c>
      <c r="B55" s="63"/>
      <c r="C55" s="63">
        <f t="shared" si="1"/>
        <v>0</v>
      </c>
      <c r="D55" s="63"/>
      <c r="E55" s="63"/>
      <c r="F55" s="63"/>
      <c r="G55" s="63">
        <f t="shared" si="2"/>
        <v>0</v>
      </c>
      <c r="H55" s="88">
        <f t="shared" si="17"/>
        <v>30000</v>
      </c>
      <c r="I55" s="3">
        <f>予算損益!B54</f>
        <v>30000</v>
      </c>
      <c r="J55" s="51"/>
    </row>
    <row r="56" spans="1:10" ht="22.5" customHeight="1" x14ac:dyDescent="0.4">
      <c r="A56" s="70" t="s">
        <v>130</v>
      </c>
      <c r="B56" s="63"/>
      <c r="C56" s="63">
        <f t="shared" ref="C56" si="18">B56</f>
        <v>0</v>
      </c>
      <c r="D56" s="63"/>
      <c r="E56" s="63"/>
      <c r="F56" s="63"/>
      <c r="G56" s="63">
        <f t="shared" ref="G56" si="19">D56+E56+F56</f>
        <v>0</v>
      </c>
      <c r="H56" s="88">
        <f t="shared" ref="H56" si="20">I56</f>
        <v>150000</v>
      </c>
      <c r="I56" s="3">
        <f>予算損益!B55</f>
        <v>150000</v>
      </c>
      <c r="J56" s="51"/>
    </row>
    <row r="57" spans="1:10" ht="22.5" customHeight="1" x14ac:dyDescent="0.4">
      <c r="A57" s="70" t="s">
        <v>31</v>
      </c>
      <c r="B57" s="63"/>
      <c r="C57" s="63">
        <f t="shared" si="1"/>
        <v>0</v>
      </c>
      <c r="D57" s="63"/>
      <c r="E57" s="63"/>
      <c r="F57" s="63"/>
      <c r="G57" s="63">
        <f t="shared" si="2"/>
        <v>0</v>
      </c>
      <c r="H57" s="88">
        <f t="shared" si="17"/>
        <v>50000</v>
      </c>
      <c r="I57" s="3">
        <f>予算損益!B56</f>
        <v>50000</v>
      </c>
      <c r="J57" s="51"/>
    </row>
    <row r="58" spans="1:10" ht="22.5" customHeight="1" x14ac:dyDescent="0.4">
      <c r="A58" s="70" t="s">
        <v>32</v>
      </c>
      <c r="B58" s="63"/>
      <c r="C58" s="63">
        <f t="shared" si="1"/>
        <v>0</v>
      </c>
      <c r="D58" s="63"/>
      <c r="E58" s="63"/>
      <c r="F58" s="63"/>
      <c r="G58" s="63">
        <f t="shared" si="2"/>
        <v>0</v>
      </c>
      <c r="H58" s="88">
        <f t="shared" si="17"/>
        <v>10000</v>
      </c>
      <c r="I58" s="3">
        <f>予算損益!B57</f>
        <v>10000</v>
      </c>
      <c r="J58" s="51"/>
    </row>
    <row r="59" spans="1:10" ht="22.5" customHeight="1" x14ac:dyDescent="0.4">
      <c r="A59" s="70" t="s">
        <v>41</v>
      </c>
      <c r="B59" s="63"/>
      <c r="C59" s="63">
        <f t="shared" si="1"/>
        <v>0</v>
      </c>
      <c r="D59" s="63"/>
      <c r="E59" s="63"/>
      <c r="F59" s="63"/>
      <c r="G59" s="63">
        <f t="shared" si="2"/>
        <v>0</v>
      </c>
      <c r="H59" s="88">
        <f t="shared" si="17"/>
        <v>70000</v>
      </c>
      <c r="I59" s="3">
        <f>予算損益!B58</f>
        <v>70000</v>
      </c>
      <c r="J59" s="51"/>
    </row>
    <row r="60" spans="1:10" ht="22.5" customHeight="1" x14ac:dyDescent="0.4">
      <c r="A60" s="70" t="s">
        <v>35</v>
      </c>
      <c r="B60" s="63"/>
      <c r="C60" s="63">
        <f t="shared" si="1"/>
        <v>0</v>
      </c>
      <c r="D60" s="63"/>
      <c r="E60" s="63"/>
      <c r="F60" s="63"/>
      <c r="G60" s="63">
        <f t="shared" si="2"/>
        <v>0</v>
      </c>
      <c r="H60" s="88">
        <f t="shared" si="17"/>
        <v>60000</v>
      </c>
      <c r="I60" s="3">
        <f>予算損益!B59</f>
        <v>60000</v>
      </c>
      <c r="J60" s="51"/>
    </row>
    <row r="61" spans="1:10" ht="22.5" customHeight="1" x14ac:dyDescent="0.4">
      <c r="A61" s="70" t="s">
        <v>42</v>
      </c>
      <c r="B61" s="63"/>
      <c r="C61" s="63">
        <f t="shared" si="1"/>
        <v>0</v>
      </c>
      <c r="D61" s="63"/>
      <c r="E61" s="63"/>
      <c r="F61" s="63"/>
      <c r="G61" s="63">
        <f t="shared" si="2"/>
        <v>0</v>
      </c>
      <c r="H61" s="88">
        <f t="shared" si="17"/>
        <v>200000</v>
      </c>
      <c r="I61" s="3">
        <f>予算損益!B60</f>
        <v>200000</v>
      </c>
    </row>
    <row r="62" spans="1:10" ht="22.5" customHeight="1" x14ac:dyDescent="0.4">
      <c r="A62" s="70" t="s">
        <v>43</v>
      </c>
      <c r="B62" s="63"/>
      <c r="C62" s="63">
        <f t="shared" si="1"/>
        <v>0</v>
      </c>
      <c r="D62" s="63"/>
      <c r="E62" s="63"/>
      <c r="F62" s="63"/>
      <c r="G62" s="63">
        <f t="shared" si="2"/>
        <v>0</v>
      </c>
      <c r="H62" s="88">
        <f t="shared" si="17"/>
        <v>600000</v>
      </c>
      <c r="I62" s="3">
        <f>予算損益!B61</f>
        <v>600000</v>
      </c>
    </row>
    <row r="63" spans="1:10" ht="22.5" customHeight="1" x14ac:dyDescent="0.4">
      <c r="A63" s="70" t="s">
        <v>44</v>
      </c>
      <c r="B63" s="63"/>
      <c r="C63" s="63">
        <f t="shared" si="1"/>
        <v>0</v>
      </c>
      <c r="D63" s="63"/>
      <c r="E63" s="63"/>
      <c r="F63" s="63"/>
      <c r="G63" s="63">
        <f t="shared" si="2"/>
        <v>0</v>
      </c>
      <c r="H63" s="88">
        <f t="shared" si="17"/>
        <v>20000</v>
      </c>
      <c r="I63" s="3">
        <f>予算損益!B62</f>
        <v>20000</v>
      </c>
    </row>
    <row r="64" spans="1:10" ht="22.5" customHeight="1" x14ac:dyDescent="0.4">
      <c r="A64" s="71" t="s">
        <v>45</v>
      </c>
      <c r="B64" s="66">
        <f>SUM(B50:B63)</f>
        <v>3552188</v>
      </c>
      <c r="C64" s="66">
        <f t="shared" ref="C64:H64" si="21">SUM(C50:C63)</f>
        <v>3552188</v>
      </c>
      <c r="D64" s="66">
        <f t="shared" si="21"/>
        <v>394688</v>
      </c>
      <c r="E64" s="66">
        <f t="shared" si="21"/>
        <v>131563</v>
      </c>
      <c r="F64" s="66">
        <f t="shared" si="21"/>
        <v>0</v>
      </c>
      <c r="G64" s="66">
        <f t="shared" si="21"/>
        <v>526251</v>
      </c>
      <c r="H64" s="89">
        <f t="shared" si="21"/>
        <v>1341562</v>
      </c>
      <c r="I64" s="4">
        <f>SUM(I50:I63)</f>
        <v>5420000</v>
      </c>
    </row>
    <row r="65" spans="1:9" ht="22.5" customHeight="1" x14ac:dyDescent="0.4">
      <c r="A65" s="72" t="s">
        <v>46</v>
      </c>
      <c r="B65" s="67">
        <f>B48+B64</f>
        <v>18498656</v>
      </c>
      <c r="C65" s="67">
        <f t="shared" ref="C65:H65" si="22">C48+C64</f>
        <v>18498656</v>
      </c>
      <c r="D65" s="67">
        <f t="shared" si="22"/>
        <v>1193626</v>
      </c>
      <c r="E65" s="67">
        <f t="shared" si="22"/>
        <v>238001</v>
      </c>
      <c r="F65" s="67">
        <f t="shared" si="22"/>
        <v>0</v>
      </c>
      <c r="G65" s="67">
        <f t="shared" si="22"/>
        <v>1431627</v>
      </c>
      <c r="H65" s="90">
        <f t="shared" si="22"/>
        <v>1941562</v>
      </c>
      <c r="I65" s="5">
        <f>I48+I64</f>
        <v>21871843</v>
      </c>
    </row>
    <row r="66" spans="1:9" ht="22.5" customHeight="1" x14ac:dyDescent="0.4">
      <c r="A66" s="70" t="s">
        <v>47</v>
      </c>
      <c r="B66" s="63">
        <f t="shared" ref="B66:I66" si="23">B23-B65</f>
        <v>-5011383</v>
      </c>
      <c r="C66" s="63">
        <f t="shared" si="23"/>
        <v>-5011383</v>
      </c>
      <c r="D66" s="63">
        <f t="shared" si="23"/>
        <v>806374</v>
      </c>
      <c r="E66" s="63">
        <f t="shared" si="23"/>
        <v>1761999</v>
      </c>
      <c r="F66" s="63">
        <f t="shared" si="23"/>
        <v>0</v>
      </c>
      <c r="G66" s="63">
        <f t="shared" si="23"/>
        <v>2568373</v>
      </c>
      <c r="H66" s="88">
        <f t="shared" si="23"/>
        <v>-241542</v>
      </c>
      <c r="I66" s="3">
        <f t="shared" si="23"/>
        <v>-2684550</v>
      </c>
    </row>
    <row r="67" spans="1:9" ht="22.5" customHeight="1" x14ac:dyDescent="0.4">
      <c r="A67" s="70" t="s">
        <v>48</v>
      </c>
      <c r="B67" s="63"/>
      <c r="C67" s="63">
        <f t="shared" si="1"/>
        <v>0</v>
      </c>
      <c r="D67" s="63"/>
      <c r="E67" s="63"/>
      <c r="F67" s="63"/>
      <c r="G67" s="63">
        <f t="shared" si="2"/>
        <v>0</v>
      </c>
      <c r="H67" s="88"/>
      <c r="I67" s="3"/>
    </row>
    <row r="68" spans="1:9" x14ac:dyDescent="0.4">
      <c r="A68" s="70" t="s">
        <v>49</v>
      </c>
      <c r="B68" s="63">
        <f>B66</f>
        <v>-5011383</v>
      </c>
      <c r="C68" s="63">
        <f t="shared" ref="C68:H68" si="24">C66</f>
        <v>-5011383</v>
      </c>
      <c r="D68" s="63">
        <f t="shared" si="24"/>
        <v>806374</v>
      </c>
      <c r="E68" s="63">
        <f t="shared" si="24"/>
        <v>1761999</v>
      </c>
      <c r="F68" s="63">
        <f t="shared" si="24"/>
        <v>0</v>
      </c>
      <c r="G68" s="63">
        <f t="shared" si="24"/>
        <v>2568373</v>
      </c>
      <c r="H68" s="88">
        <f t="shared" si="24"/>
        <v>-241542</v>
      </c>
      <c r="I68" s="3">
        <f>I66</f>
        <v>-2684550</v>
      </c>
    </row>
    <row r="69" spans="1:9" x14ac:dyDescent="0.4">
      <c r="A69" s="70" t="s">
        <v>50</v>
      </c>
      <c r="B69" s="63"/>
      <c r="C69" s="63">
        <f t="shared" si="1"/>
        <v>0</v>
      </c>
      <c r="D69" s="63"/>
      <c r="E69" s="63"/>
      <c r="F69" s="63"/>
      <c r="G69" s="63">
        <f t="shared" si="2"/>
        <v>0</v>
      </c>
      <c r="H69" s="88"/>
      <c r="I69" s="3"/>
    </row>
    <row r="70" spans="1:9" x14ac:dyDescent="0.4">
      <c r="A70" s="71" t="s">
        <v>51</v>
      </c>
      <c r="B70" s="66">
        <f>SUM(B71)</f>
        <v>0</v>
      </c>
      <c r="C70" s="66">
        <f t="shared" ref="C70:H70" si="25">SUM(C71)</f>
        <v>0</v>
      </c>
      <c r="D70" s="66">
        <f t="shared" si="25"/>
        <v>0</v>
      </c>
      <c r="E70" s="66">
        <f t="shared" si="25"/>
        <v>0</v>
      </c>
      <c r="F70" s="66">
        <f t="shared" si="25"/>
        <v>0</v>
      </c>
      <c r="G70" s="66">
        <f t="shared" si="25"/>
        <v>0</v>
      </c>
      <c r="H70" s="89">
        <f t="shared" si="25"/>
        <v>0</v>
      </c>
      <c r="I70" s="4"/>
    </row>
    <row r="71" spans="1:9" x14ac:dyDescent="0.4">
      <c r="A71" s="70" t="s">
        <v>52</v>
      </c>
      <c r="B71" s="63"/>
      <c r="C71" s="63">
        <f t="shared" si="1"/>
        <v>0</v>
      </c>
      <c r="D71" s="63"/>
      <c r="E71" s="63"/>
      <c r="F71" s="63"/>
      <c r="G71" s="63">
        <f t="shared" si="2"/>
        <v>0</v>
      </c>
      <c r="H71" s="88"/>
      <c r="I71" s="3"/>
    </row>
    <row r="72" spans="1:9" x14ac:dyDescent="0.4">
      <c r="A72" s="71" t="s">
        <v>53</v>
      </c>
      <c r="B72" s="66">
        <f>SUM(B73)</f>
        <v>0</v>
      </c>
      <c r="C72" s="66">
        <f t="shared" ref="C72:H72" si="26">SUM(C73)</f>
        <v>0</v>
      </c>
      <c r="D72" s="66">
        <f t="shared" si="26"/>
        <v>0</v>
      </c>
      <c r="E72" s="66">
        <f t="shared" si="26"/>
        <v>0</v>
      </c>
      <c r="F72" s="66">
        <f t="shared" si="26"/>
        <v>0</v>
      </c>
      <c r="G72" s="66">
        <f t="shared" si="26"/>
        <v>0</v>
      </c>
      <c r="H72" s="89">
        <f t="shared" si="26"/>
        <v>0</v>
      </c>
      <c r="I72" s="4"/>
    </row>
    <row r="73" spans="1:9" x14ac:dyDescent="0.4">
      <c r="A73" s="70" t="s">
        <v>54</v>
      </c>
      <c r="B73" s="63"/>
      <c r="C73" s="63">
        <f t="shared" si="1"/>
        <v>0</v>
      </c>
      <c r="D73" s="63"/>
      <c r="E73" s="63"/>
      <c r="F73" s="63"/>
      <c r="G73" s="63">
        <f t="shared" si="2"/>
        <v>0</v>
      </c>
      <c r="H73" s="88"/>
      <c r="I73" s="3"/>
    </row>
    <row r="74" spans="1:9" x14ac:dyDescent="0.4">
      <c r="A74" s="70" t="s">
        <v>55</v>
      </c>
      <c r="B74" s="63"/>
      <c r="C74" s="63">
        <f t="shared" si="1"/>
        <v>0</v>
      </c>
      <c r="D74" s="63"/>
      <c r="E74" s="63"/>
      <c r="F74" s="63"/>
      <c r="G74" s="63">
        <f t="shared" si="2"/>
        <v>0</v>
      </c>
      <c r="H74" s="88"/>
      <c r="I74" s="3"/>
    </row>
    <row r="75" spans="1:9" x14ac:dyDescent="0.4">
      <c r="A75" s="70" t="s">
        <v>125</v>
      </c>
      <c r="B75" s="63">
        <f>-F75</f>
        <v>1214454</v>
      </c>
      <c r="C75" s="63">
        <f t="shared" si="1"/>
        <v>1214454</v>
      </c>
      <c r="D75" s="63"/>
      <c r="E75" s="63"/>
      <c r="F75" s="63">
        <f>-ROUNDUP((G68-ROUNDUP(H65*G65/(C65+G65),0))/2,0)</f>
        <v>-1214454</v>
      </c>
      <c r="G75" s="63">
        <f>D75+E75+F75</f>
        <v>-1214454</v>
      </c>
      <c r="H75" s="88"/>
      <c r="I75" s="3">
        <f>I67+I70-I72</f>
        <v>0</v>
      </c>
    </row>
    <row r="76" spans="1:9" x14ac:dyDescent="0.4">
      <c r="A76" s="70" t="s">
        <v>56</v>
      </c>
      <c r="B76" s="63">
        <f t="shared" ref="B76:H76" si="27">B23-B65+B75</f>
        <v>-3796929</v>
      </c>
      <c r="C76" s="63">
        <f t="shared" si="27"/>
        <v>-3796929</v>
      </c>
      <c r="D76" s="63">
        <f t="shared" si="27"/>
        <v>806374</v>
      </c>
      <c r="E76" s="63">
        <f t="shared" si="27"/>
        <v>1761999</v>
      </c>
      <c r="F76" s="63">
        <f t="shared" si="27"/>
        <v>-1214454</v>
      </c>
      <c r="G76" s="63">
        <f t="shared" si="27"/>
        <v>1353919</v>
      </c>
      <c r="H76" s="63">
        <f t="shared" si="27"/>
        <v>-241542</v>
      </c>
      <c r="I76" s="3">
        <f>I68+I71-I73</f>
        <v>-2684550</v>
      </c>
    </row>
    <row r="77" spans="1:9" x14ac:dyDescent="0.4">
      <c r="A77" s="70" t="s">
        <v>57</v>
      </c>
      <c r="B77" s="63"/>
      <c r="C77" s="63">
        <f t="shared" si="1"/>
        <v>0</v>
      </c>
      <c r="D77" s="63"/>
      <c r="E77" s="63"/>
      <c r="F77" s="63"/>
      <c r="G77" s="63">
        <f t="shared" si="2"/>
        <v>0</v>
      </c>
      <c r="H77" s="88">
        <f>I77</f>
        <v>72000</v>
      </c>
      <c r="I77" s="3">
        <v>72000</v>
      </c>
    </row>
    <row r="78" spans="1:9" x14ac:dyDescent="0.4">
      <c r="A78" s="70" t="s">
        <v>58</v>
      </c>
      <c r="B78" s="63">
        <f>B76-B77</f>
        <v>-3796929</v>
      </c>
      <c r="C78" s="63">
        <f t="shared" ref="C78:E78" si="28">C76-C77</f>
        <v>-3796929</v>
      </c>
      <c r="D78" s="63">
        <f t="shared" si="28"/>
        <v>806374</v>
      </c>
      <c r="E78" s="63">
        <f t="shared" si="28"/>
        <v>1761999</v>
      </c>
      <c r="F78" s="63">
        <f>F76-F77</f>
        <v>-1214454</v>
      </c>
      <c r="G78" s="63">
        <f>G76-G77</f>
        <v>1353919</v>
      </c>
      <c r="H78" s="88">
        <f>H76-H77</f>
        <v>-313542</v>
      </c>
      <c r="I78" s="3">
        <f>I76-I77</f>
        <v>-2756550</v>
      </c>
    </row>
    <row r="79" spans="1:9" x14ac:dyDescent="0.4">
      <c r="A79" s="70" t="s">
        <v>59</v>
      </c>
      <c r="B79" s="63">
        <f>予想内訳!B80</f>
        <v>-9553611</v>
      </c>
      <c r="C79" s="63">
        <f>B79</f>
        <v>-9553611</v>
      </c>
      <c r="D79" s="63">
        <f>予想内訳!D80</f>
        <v>-628033</v>
      </c>
      <c r="E79" s="63">
        <f>予想内訳!E80</f>
        <v>1992818</v>
      </c>
      <c r="F79" s="63">
        <f>予想内訳!F80</f>
        <v>-457501</v>
      </c>
      <c r="G79" s="63">
        <f>D79+E79+F79</f>
        <v>907284</v>
      </c>
      <c r="H79" s="88">
        <f>予想内訳!H80</f>
        <v>5334424</v>
      </c>
      <c r="I79" s="3">
        <f>予算損益!B77</f>
        <v>-3311903</v>
      </c>
    </row>
    <row r="80" spans="1:9" x14ac:dyDescent="0.4">
      <c r="A80" s="72" t="s">
        <v>60</v>
      </c>
      <c r="B80" s="67">
        <f>B79+B78</f>
        <v>-13350540</v>
      </c>
      <c r="C80" s="67">
        <f t="shared" ref="C80:H80" si="29">C79+C78</f>
        <v>-13350540</v>
      </c>
      <c r="D80" s="67">
        <f t="shared" si="29"/>
        <v>178341</v>
      </c>
      <c r="E80" s="67">
        <f t="shared" si="29"/>
        <v>3754817</v>
      </c>
      <c r="F80" s="67">
        <f t="shared" si="29"/>
        <v>-1671955</v>
      </c>
      <c r="G80" s="67">
        <f>G79+G78</f>
        <v>2261203</v>
      </c>
      <c r="H80" s="90">
        <f t="shared" si="29"/>
        <v>5020882</v>
      </c>
      <c r="I80" s="5">
        <f>I78+I79</f>
        <v>-6068453</v>
      </c>
    </row>
    <row r="81" spans="1:9" x14ac:dyDescent="0.4">
      <c r="A81" s="70" t="s">
        <v>61</v>
      </c>
      <c r="B81" s="63"/>
      <c r="C81" s="63">
        <f t="shared" ref="C81:C89" si="30">B81</f>
        <v>0</v>
      </c>
      <c r="D81" s="63"/>
      <c r="E81" s="63"/>
      <c r="F81" s="63"/>
      <c r="G81" s="63">
        <f t="shared" ref="G81:G87" si="31">D81+E81+F81</f>
        <v>0</v>
      </c>
      <c r="H81" s="88"/>
      <c r="I81" s="3"/>
    </row>
    <row r="82" spans="1:9" x14ac:dyDescent="0.4">
      <c r="A82" s="71" t="s">
        <v>62</v>
      </c>
      <c r="B82" s="66">
        <f>SUM(B83)</f>
        <v>0</v>
      </c>
      <c r="C82" s="66">
        <f>SUM(C83)</f>
        <v>0</v>
      </c>
      <c r="D82" s="66">
        <f t="shared" ref="D82:G82" si="32">SUM(D83)</f>
        <v>0</v>
      </c>
      <c r="E82" s="66">
        <f t="shared" si="32"/>
        <v>0</v>
      </c>
      <c r="F82" s="66">
        <f t="shared" si="32"/>
        <v>0</v>
      </c>
      <c r="G82" s="66">
        <f t="shared" si="32"/>
        <v>0</v>
      </c>
      <c r="H82" s="89">
        <f>SUM(H83)</f>
        <v>0</v>
      </c>
      <c r="I82" s="4">
        <f>SUM(I83)</f>
        <v>0</v>
      </c>
    </row>
    <row r="83" spans="1:9" x14ac:dyDescent="0.4">
      <c r="A83" s="70" t="s">
        <v>63</v>
      </c>
      <c r="B83" s="63"/>
      <c r="C83" s="63">
        <f>B83</f>
        <v>0</v>
      </c>
      <c r="D83" s="63">
        <f t="shared" ref="D83:G83" si="33">K83</f>
        <v>0</v>
      </c>
      <c r="E83" s="63">
        <f t="shared" si="33"/>
        <v>0</v>
      </c>
      <c r="F83" s="63">
        <f t="shared" si="33"/>
        <v>0</v>
      </c>
      <c r="G83" s="63">
        <f t="shared" si="33"/>
        <v>0</v>
      </c>
      <c r="H83" s="88">
        <f>O83</f>
        <v>0</v>
      </c>
      <c r="I83" s="3"/>
    </row>
    <row r="84" spans="1:9" x14ac:dyDescent="0.4">
      <c r="A84" s="71" t="s">
        <v>64</v>
      </c>
      <c r="B84" s="66">
        <f>B85</f>
        <v>-120273</v>
      </c>
      <c r="C84" s="66">
        <f t="shared" ref="C84:H84" si="34">C85</f>
        <v>-120273</v>
      </c>
      <c r="D84" s="66">
        <f t="shared" si="34"/>
        <v>0</v>
      </c>
      <c r="E84" s="66">
        <f t="shared" si="34"/>
        <v>0</v>
      </c>
      <c r="F84" s="66">
        <f t="shared" si="34"/>
        <v>0</v>
      </c>
      <c r="G84" s="66">
        <f t="shared" si="34"/>
        <v>0</v>
      </c>
      <c r="H84" s="89">
        <f t="shared" si="34"/>
        <v>0</v>
      </c>
      <c r="I84" s="4">
        <f>SUM(I85)</f>
        <v>-120273</v>
      </c>
    </row>
    <row r="85" spans="1:9" x14ac:dyDescent="0.4">
      <c r="A85" s="70" t="s">
        <v>65</v>
      </c>
      <c r="B85" s="63">
        <v>-120273</v>
      </c>
      <c r="C85" s="63">
        <f t="shared" si="30"/>
        <v>-120273</v>
      </c>
      <c r="D85" s="63"/>
      <c r="E85" s="63"/>
      <c r="F85" s="63"/>
      <c r="G85" s="63">
        <f t="shared" si="31"/>
        <v>0</v>
      </c>
      <c r="H85" s="88"/>
      <c r="I85" s="3">
        <v>-120273</v>
      </c>
    </row>
    <row r="86" spans="1:9" x14ac:dyDescent="0.4">
      <c r="A86" s="70" t="s">
        <v>66</v>
      </c>
      <c r="B86" s="63">
        <f>B82+B84</f>
        <v>-120273</v>
      </c>
      <c r="C86" s="63">
        <f t="shared" si="30"/>
        <v>-120273</v>
      </c>
      <c r="D86" s="63"/>
      <c r="E86" s="63"/>
      <c r="F86" s="63"/>
      <c r="G86" s="63">
        <f t="shared" si="31"/>
        <v>0</v>
      </c>
      <c r="H86" s="88"/>
      <c r="I86" s="3">
        <f>I82+I84</f>
        <v>-120273</v>
      </c>
    </row>
    <row r="87" spans="1:9" x14ac:dyDescent="0.4">
      <c r="A87" s="70" t="s">
        <v>67</v>
      </c>
      <c r="B87" s="63">
        <f>予想内訳!B88</f>
        <v>128891911</v>
      </c>
      <c r="C87" s="63">
        <f t="shared" si="30"/>
        <v>128891911</v>
      </c>
      <c r="D87" s="63">
        <f>予想内訳!D88</f>
        <v>0</v>
      </c>
      <c r="E87" s="63">
        <f>予想内訳!E88</f>
        <v>0</v>
      </c>
      <c r="F87" s="63">
        <f>予想内訳!F88</f>
        <v>0</v>
      </c>
      <c r="G87" s="63">
        <f t="shared" si="31"/>
        <v>0</v>
      </c>
      <c r="H87" s="88">
        <f>予想内訳!H88</f>
        <v>0</v>
      </c>
      <c r="I87" s="3">
        <f>予算損益!B85</f>
        <v>128891911</v>
      </c>
    </row>
    <row r="88" spans="1:9" x14ac:dyDescent="0.4">
      <c r="A88" s="72" t="s">
        <v>68</v>
      </c>
      <c r="B88" s="67">
        <f>B87+B86</f>
        <v>128771638</v>
      </c>
      <c r="C88" s="67">
        <f t="shared" ref="C88:H88" si="35">C87+C86</f>
        <v>128771638</v>
      </c>
      <c r="D88" s="67">
        <f t="shared" si="35"/>
        <v>0</v>
      </c>
      <c r="E88" s="67">
        <f t="shared" si="35"/>
        <v>0</v>
      </c>
      <c r="F88" s="67">
        <f t="shared" si="35"/>
        <v>0</v>
      </c>
      <c r="G88" s="67">
        <f t="shared" si="35"/>
        <v>0</v>
      </c>
      <c r="H88" s="90">
        <f t="shared" si="35"/>
        <v>0</v>
      </c>
      <c r="I88" s="5">
        <f>I86+I87</f>
        <v>128771638</v>
      </c>
    </row>
    <row r="89" spans="1:9" x14ac:dyDescent="0.4">
      <c r="A89" s="73" t="s">
        <v>69</v>
      </c>
      <c r="B89" s="68">
        <f>B80+B88</f>
        <v>115421098</v>
      </c>
      <c r="C89" s="68">
        <f t="shared" si="30"/>
        <v>115421098</v>
      </c>
      <c r="D89" s="68">
        <f t="shared" ref="D89:H89" si="36">D80+D88</f>
        <v>178341</v>
      </c>
      <c r="E89" s="68">
        <f t="shared" si="36"/>
        <v>3754817</v>
      </c>
      <c r="F89" s="68">
        <f t="shared" si="36"/>
        <v>-1671955</v>
      </c>
      <c r="G89" s="68">
        <f t="shared" si="36"/>
        <v>2261203</v>
      </c>
      <c r="H89" s="91">
        <f t="shared" si="36"/>
        <v>5020882</v>
      </c>
      <c r="I89" s="6">
        <f>I80+I88</f>
        <v>122703185</v>
      </c>
    </row>
  </sheetData>
  <mergeCells count="9">
    <mergeCell ref="A1:I2"/>
    <mergeCell ref="A3:A5"/>
    <mergeCell ref="B3:C3"/>
    <mergeCell ref="D3:G3"/>
    <mergeCell ref="H3:H5"/>
    <mergeCell ref="I3:I5"/>
    <mergeCell ref="C4:C5"/>
    <mergeCell ref="F4:F5"/>
    <mergeCell ref="G4:G5"/>
  </mergeCells>
  <phoneticPr fontId="2"/>
  <pageMargins left="0.7" right="0.7" top="0.75" bottom="0.75" header="0.3" footer="0.3"/>
  <pageSetup paperSize="8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A22AD-272D-41F9-9797-F59B93648760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予想貸借</vt:lpstr>
      <vt:lpstr>予想損益</vt:lpstr>
      <vt:lpstr>予想内訳</vt:lpstr>
      <vt:lpstr>予算貸借</vt:lpstr>
      <vt:lpstr>予算損益</vt:lpstr>
      <vt:lpstr>予算内訳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2022-03-02T02:26:56Z</cp:lastPrinted>
  <dcterms:created xsi:type="dcterms:W3CDTF">2019-02-21T11:00:34Z</dcterms:created>
  <dcterms:modified xsi:type="dcterms:W3CDTF">2022-03-02T03:27:16Z</dcterms:modified>
</cp:coreProperties>
</file>