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部門別フォルダ\（部門00）管理運営\（新規8）総会・理事会・代表者会議\総会\2020（通常総会）\2020総会用会計資料\"/>
    </mc:Choice>
  </mc:AlternateContent>
  <bookViews>
    <workbookView xWindow="12900" yWindow="0" windowWidth="14580" windowHeight="15195" activeTab="1"/>
  </bookViews>
  <sheets>
    <sheet name="【訂正】2020年度予算書支出実態補正15％" sheetId="6" r:id="rId1"/>
    <sheet name="補正消去" sheetId="7" r:id="rId2"/>
  </sheets>
  <definedNames>
    <definedName name="_xlnm.Print_Area" localSheetId="0">'【訂正】2020年度予算書支出実態補正15％'!$A$1:$D$116</definedName>
    <definedName name="_xlnm.Print_Area" localSheetId="1">補正消去!$A$1:$D$116</definedName>
    <definedName name="_xlnm.Print_Titles" localSheetId="0">'【訂正】2020年度予算書支出実態補正15％'!$1:$3</definedName>
    <definedName name="_xlnm.Print_Titles" localSheetId="1">補正消去!$1:$3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7" l="1"/>
  <c r="C58" i="7" l="1"/>
  <c r="C67" i="7" l="1"/>
  <c r="C59" i="7"/>
  <c r="C73" i="7"/>
  <c r="C28" i="7"/>
  <c r="C26" i="7"/>
  <c r="D26" i="7" s="1"/>
  <c r="C24" i="7"/>
  <c r="C22" i="7"/>
  <c r="C112" i="7"/>
  <c r="D112" i="7" s="1"/>
  <c r="B109" i="7"/>
  <c r="B110" i="7" s="1"/>
  <c r="C106" i="7"/>
  <c r="D106" i="7" s="1"/>
  <c r="B106" i="7"/>
  <c r="D105" i="7"/>
  <c r="B100" i="7"/>
  <c r="E99" i="7"/>
  <c r="C99" i="7" s="1"/>
  <c r="D99" i="7" s="1"/>
  <c r="D98" i="7"/>
  <c r="C97" i="7"/>
  <c r="D97" i="7" s="1"/>
  <c r="D96" i="7"/>
  <c r="D95" i="7"/>
  <c r="D94" i="7"/>
  <c r="D93" i="7"/>
  <c r="D92" i="7"/>
  <c r="C91" i="7"/>
  <c r="D91" i="7" s="1"/>
  <c r="D90" i="7"/>
  <c r="D89" i="7"/>
  <c r="D88" i="7"/>
  <c r="D87" i="7"/>
  <c r="D86" i="7"/>
  <c r="D85" i="7"/>
  <c r="D84" i="7"/>
  <c r="D83" i="7"/>
  <c r="D82" i="7"/>
  <c r="D81" i="7"/>
  <c r="D80" i="7"/>
  <c r="D79" i="7"/>
  <c r="B77" i="7"/>
  <c r="D75" i="7"/>
  <c r="D74" i="7"/>
  <c r="D72" i="7"/>
  <c r="C72" i="7"/>
  <c r="C71" i="7"/>
  <c r="D71" i="7" s="1"/>
  <c r="C70" i="7"/>
  <c r="D73" i="7" s="1"/>
  <c r="B70" i="7"/>
  <c r="B73" i="7" s="1"/>
  <c r="B76" i="7" s="1"/>
  <c r="B101" i="7" s="1"/>
  <c r="C69" i="7"/>
  <c r="D69" i="7" s="1"/>
  <c r="B69" i="7"/>
  <c r="D67" i="7"/>
  <c r="B65" i="7"/>
  <c r="C64" i="7"/>
  <c r="D64" i="7" s="1"/>
  <c r="C63" i="7"/>
  <c r="D63" i="7" s="1"/>
  <c r="B62" i="7"/>
  <c r="C61" i="7"/>
  <c r="D61" i="7" s="1"/>
  <c r="D60" i="7"/>
  <c r="C77" i="7"/>
  <c r="D77" i="7" s="1"/>
  <c r="B59" i="7"/>
  <c r="C57" i="7"/>
  <c r="D57" i="7" s="1"/>
  <c r="B52" i="7"/>
  <c r="D50" i="7"/>
  <c r="E49" i="7"/>
  <c r="C51" i="7" s="1"/>
  <c r="D47" i="7"/>
  <c r="C46" i="7"/>
  <c r="D46" i="7" s="1"/>
  <c r="B46" i="7"/>
  <c r="C45" i="7"/>
  <c r="D45" i="7" s="1"/>
  <c r="D44" i="7"/>
  <c r="C42" i="7"/>
  <c r="D42" i="7" s="1"/>
  <c r="B42" i="7"/>
  <c r="D41" i="7"/>
  <c r="C39" i="7"/>
  <c r="D39" i="7" s="1"/>
  <c r="B39" i="7"/>
  <c r="D38" i="7"/>
  <c r="C38" i="7"/>
  <c r="C37" i="7"/>
  <c r="D37" i="7" s="1"/>
  <c r="C35" i="7"/>
  <c r="D35" i="7" s="1"/>
  <c r="B35" i="7"/>
  <c r="D34" i="7"/>
  <c r="C34" i="7"/>
  <c r="B32" i="7"/>
  <c r="C29" i="7"/>
  <c r="D29" i="7" s="1"/>
  <c r="B29" i="7"/>
  <c r="B28" i="7"/>
  <c r="D28" i="7" s="1"/>
  <c r="C27" i="7"/>
  <c r="C23" i="7" s="1"/>
  <c r="D23" i="7" s="1"/>
  <c r="B25" i="7"/>
  <c r="B48" i="7" s="1"/>
  <c r="D24" i="7"/>
  <c r="C30" i="7"/>
  <c r="C21" i="7"/>
  <c r="C18" i="7"/>
  <c r="B17" i="7"/>
  <c r="D17" i="7" s="1"/>
  <c r="D16" i="7"/>
  <c r="C13" i="7"/>
  <c r="B13" i="7"/>
  <c r="D13" i="7" s="1"/>
  <c r="D12" i="7"/>
  <c r="C10" i="7"/>
  <c r="B10" i="7"/>
  <c r="D9" i="7"/>
  <c r="D8" i="7"/>
  <c r="C25" i="7" l="1"/>
  <c r="D59" i="7"/>
  <c r="C52" i="7"/>
  <c r="D52" i="7" s="1"/>
  <c r="D51" i="7"/>
  <c r="D30" i="7"/>
  <c r="D58" i="7"/>
  <c r="D27" i="7"/>
  <c r="D70" i="7"/>
  <c r="D22" i="7"/>
  <c r="C62" i="7"/>
  <c r="D62" i="7" s="1"/>
  <c r="C110" i="7"/>
  <c r="D10" i="7"/>
  <c r="D21" i="7"/>
  <c r="C100" i="7"/>
  <c r="D100" i="7" s="1"/>
  <c r="B18" i="7"/>
  <c r="C31" i="7"/>
  <c r="D31" i="7" s="1"/>
  <c r="C65" i="7"/>
  <c r="D65" i="7" s="1"/>
  <c r="C64" i="6"/>
  <c r="C63" i="6"/>
  <c r="C22" i="6"/>
  <c r="C24" i="6"/>
  <c r="C60" i="6"/>
  <c r="C57" i="6"/>
  <c r="C58" i="6"/>
  <c r="C67" i="6"/>
  <c r="C70" i="6"/>
  <c r="C69" i="6"/>
  <c r="C61" i="6"/>
  <c r="C76" i="7" l="1"/>
  <c r="C32" i="7"/>
  <c r="D32" i="7" s="1"/>
  <c r="D25" i="7"/>
  <c r="B53" i="7"/>
  <c r="B102" i="7" s="1"/>
  <c r="B111" i="7" s="1"/>
  <c r="B113" i="7" s="1"/>
  <c r="B115" i="7" s="1"/>
  <c r="C114" i="7" s="1"/>
  <c r="D18" i="7"/>
  <c r="E49" i="6"/>
  <c r="C51" i="6" s="1"/>
  <c r="C52" i="6" s="1"/>
  <c r="D52" i="6" s="1"/>
  <c r="D61" i="6"/>
  <c r="D58" i="6"/>
  <c r="C28" i="6"/>
  <c r="C26" i="6"/>
  <c r="D26" i="6" s="1"/>
  <c r="D24" i="6"/>
  <c r="C30" i="6"/>
  <c r="C112" i="6"/>
  <c r="D112" i="6" s="1"/>
  <c r="B109" i="6"/>
  <c r="C106" i="6"/>
  <c r="D106" i="6" s="1"/>
  <c r="B106" i="6"/>
  <c r="B110" i="6" s="1"/>
  <c r="D105" i="6"/>
  <c r="B100" i="6"/>
  <c r="E99" i="6"/>
  <c r="C99" i="6" s="1"/>
  <c r="D99" i="6" s="1"/>
  <c r="D98" i="6"/>
  <c r="D97" i="6"/>
  <c r="C97" i="6"/>
  <c r="D96" i="6"/>
  <c r="D95" i="6"/>
  <c r="D94" i="6"/>
  <c r="D93" i="6"/>
  <c r="D92" i="6"/>
  <c r="C91" i="6"/>
  <c r="D90" i="6"/>
  <c r="D89" i="6"/>
  <c r="D88" i="6"/>
  <c r="D87" i="6"/>
  <c r="D86" i="6"/>
  <c r="D85" i="6"/>
  <c r="D84" i="6"/>
  <c r="D83" i="6"/>
  <c r="D82" i="6"/>
  <c r="D81" i="6"/>
  <c r="D80" i="6"/>
  <c r="D79" i="6"/>
  <c r="B77" i="6"/>
  <c r="D75" i="6"/>
  <c r="D74" i="6"/>
  <c r="C72" i="6"/>
  <c r="D72" i="6" s="1"/>
  <c r="C71" i="6"/>
  <c r="D71" i="6" s="1"/>
  <c r="D70" i="6"/>
  <c r="B70" i="6"/>
  <c r="B69" i="6"/>
  <c r="B73" i="6" s="1"/>
  <c r="D67" i="6"/>
  <c r="B65" i="6"/>
  <c r="D63" i="6"/>
  <c r="B62" i="6"/>
  <c r="D60" i="6"/>
  <c r="B59" i="6"/>
  <c r="B52" i="6"/>
  <c r="D50" i="6"/>
  <c r="D47" i="6"/>
  <c r="B46" i="6"/>
  <c r="C45" i="6"/>
  <c r="D45" i="6" s="1"/>
  <c r="D44" i="6"/>
  <c r="D42" i="6"/>
  <c r="C42" i="6"/>
  <c r="B42" i="6"/>
  <c r="D41" i="6"/>
  <c r="B39" i="6"/>
  <c r="C38" i="6"/>
  <c r="D38" i="6" s="1"/>
  <c r="C37" i="6"/>
  <c r="B35" i="6"/>
  <c r="C34" i="6"/>
  <c r="C35" i="6" s="1"/>
  <c r="D35" i="6" s="1"/>
  <c r="B32" i="6"/>
  <c r="D28" i="6"/>
  <c r="B28" i="6"/>
  <c r="B29" i="6" s="1"/>
  <c r="C27" i="6"/>
  <c r="D27" i="6" s="1"/>
  <c r="B25" i="6"/>
  <c r="B48" i="6" s="1"/>
  <c r="D22" i="6"/>
  <c r="C21" i="6"/>
  <c r="C18" i="6"/>
  <c r="B17" i="6"/>
  <c r="B18" i="6" s="1"/>
  <c r="D18" i="6" s="1"/>
  <c r="D16" i="6"/>
  <c r="C13" i="6"/>
  <c r="D13" i="6" s="1"/>
  <c r="B13" i="6"/>
  <c r="D12" i="6"/>
  <c r="C10" i="6"/>
  <c r="B10" i="6"/>
  <c r="D9" i="6"/>
  <c r="D8" i="6"/>
  <c r="C101" i="7" l="1"/>
  <c r="D101" i="7" s="1"/>
  <c r="D76" i="7"/>
  <c r="C48" i="7"/>
  <c r="C73" i="6"/>
  <c r="D73" i="6" s="1"/>
  <c r="C23" i="6"/>
  <c r="C31" i="6"/>
  <c r="D31" i="6" s="1"/>
  <c r="C39" i="6"/>
  <c r="D39" i="6" s="1"/>
  <c r="C46" i="6"/>
  <c r="D46" i="6" s="1"/>
  <c r="C62" i="6"/>
  <c r="D62" i="6" s="1"/>
  <c r="C29" i="6"/>
  <c r="D29" i="6" s="1"/>
  <c r="C100" i="6"/>
  <c r="D100" i="6" s="1"/>
  <c r="C77" i="6"/>
  <c r="D77" i="6" s="1"/>
  <c r="D37" i="6"/>
  <c r="C65" i="6"/>
  <c r="D65" i="6" s="1"/>
  <c r="C59" i="6"/>
  <c r="B53" i="6"/>
  <c r="B76" i="6"/>
  <c r="B101" i="6" s="1"/>
  <c r="D30" i="6"/>
  <c r="D17" i="6"/>
  <c r="C110" i="6"/>
  <c r="D10" i="6"/>
  <c r="D21" i="6"/>
  <c r="D34" i="6"/>
  <c r="D51" i="6"/>
  <c r="D57" i="6"/>
  <c r="D64" i="6"/>
  <c r="D69" i="6"/>
  <c r="D91" i="6"/>
  <c r="D48" i="7" l="1"/>
  <c r="C53" i="7"/>
  <c r="C32" i="6"/>
  <c r="D32" i="6" s="1"/>
  <c r="C76" i="6"/>
  <c r="C101" i="6" s="1"/>
  <c r="D101" i="6" s="1"/>
  <c r="D23" i="6"/>
  <c r="C25" i="6"/>
  <c r="D25" i="6" s="1"/>
  <c r="D59" i="6"/>
  <c r="B102" i="6"/>
  <c r="B111" i="6" s="1"/>
  <c r="B113" i="6" s="1"/>
  <c r="B115" i="6" s="1"/>
  <c r="C114" i="6" s="1"/>
  <c r="C102" i="7" l="1"/>
  <c r="D53" i="7"/>
  <c r="C48" i="6"/>
  <c r="D76" i="6"/>
  <c r="D48" i="6"/>
  <c r="C53" i="6"/>
  <c r="D102" i="7" l="1"/>
  <c r="C111" i="7"/>
  <c r="D53" i="6"/>
  <c r="C102" i="6"/>
  <c r="D111" i="7" l="1"/>
  <c r="C113" i="7"/>
  <c r="C111" i="6"/>
  <c r="D102" i="6"/>
  <c r="D113" i="7" l="1"/>
  <c r="C115" i="7"/>
  <c r="C113" i="6"/>
  <c r="D111" i="6"/>
  <c r="C115" i="6" l="1"/>
  <c r="D113" i="6"/>
  <c r="E2" i="6"/>
  <c r="E2" i="7"/>
</calcChain>
</file>

<file path=xl/sharedStrings.xml><?xml version="1.0" encoding="utf-8"?>
<sst xmlns="http://schemas.openxmlformats.org/spreadsheetml/2006/main" count="242" uniqueCount="109">
  <si>
    <t>  </t>
  </si>
  <si>
    <t>円</t>
  </si>
  <si>
    <t>科目</t>
  </si>
  <si>
    <t>（正味財産増減計算）</t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</si>
  <si>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1.経常増減の部</t>
    </r>
  </si>
  <si>
    <r>
      <t>■■</t>
    </r>
    <r>
      <rPr>
        <b/>
        <sz val="10"/>
        <color theme="1"/>
        <rFont val="ＭＳ Ｐゴシック"/>
        <family val="3"/>
        <charset val="128"/>
        <scheme val="minor"/>
      </rPr>
      <t>(1)経常収益</t>
    </r>
  </si>
  <si>
    <r>
      <t>■■■</t>
    </r>
    <r>
      <rPr>
        <sz val="10"/>
        <color theme="1"/>
        <rFont val="ＭＳ Ｐゴシック"/>
        <family val="3"/>
        <charset val="128"/>
        <scheme val="minor"/>
      </rPr>
      <t>受取会費・入会金</t>
    </r>
  </si>
  <si>
    <r>
      <t>■■■■</t>
    </r>
    <r>
      <rPr>
        <sz val="10"/>
        <color theme="1"/>
        <rFont val="ＭＳ Ｐ明朝"/>
        <family val="1"/>
        <charset val="128"/>
      </rPr>
      <t>正会員受取会費</t>
    </r>
  </si>
  <si>
    <r>
      <t>■■■■</t>
    </r>
    <r>
      <rPr>
        <sz val="10"/>
        <color theme="1"/>
        <rFont val="ＭＳ Ｐ明朝"/>
        <family val="1"/>
        <charset val="128"/>
      </rPr>
      <t>賛助会員受取会費</t>
    </r>
  </si>
  <si>
    <r>
      <t>■■■</t>
    </r>
    <r>
      <rPr>
        <sz val="10"/>
        <color theme="1"/>
        <rFont val="ＭＳ Ｐ明朝"/>
        <family val="1"/>
        <charset val="128"/>
      </rPr>
      <t>受取会費・入会金合計</t>
    </r>
  </si>
  <si>
    <r>
      <t>■■■</t>
    </r>
    <r>
      <rPr>
        <sz val="10"/>
        <color theme="1"/>
        <rFont val="ＭＳ Ｐゴシック"/>
        <family val="3"/>
        <charset val="128"/>
        <scheme val="minor"/>
      </rPr>
      <t>受取寄付金</t>
    </r>
  </si>
  <si>
    <r>
      <t>■■■■</t>
    </r>
    <r>
      <rPr>
        <sz val="10"/>
        <color theme="1"/>
        <rFont val="ＭＳ Ｐ明朝"/>
        <family val="1"/>
        <charset val="128"/>
      </rPr>
      <t>受取寄付金</t>
    </r>
  </si>
  <si>
    <r>
      <t>■■■</t>
    </r>
    <r>
      <rPr>
        <sz val="10"/>
        <color theme="1"/>
        <rFont val="ＭＳ Ｐ明朝"/>
        <family val="1"/>
        <charset val="128"/>
      </rPr>
      <t>受取寄付金合計</t>
    </r>
  </si>
  <si>
    <r>
      <t>■■■</t>
    </r>
    <r>
      <rPr>
        <sz val="10"/>
        <color theme="1"/>
        <rFont val="ＭＳ Ｐゴシック"/>
        <family val="3"/>
        <charset val="128"/>
        <scheme val="minor"/>
      </rPr>
      <t>受取助成金等</t>
    </r>
  </si>
  <si>
    <r>
      <t>■■■■</t>
    </r>
    <r>
      <rPr>
        <sz val="10"/>
        <color theme="1"/>
        <rFont val="ＭＳ Ｐ明朝"/>
        <family val="1"/>
        <charset val="128"/>
      </rPr>
      <t>受取国庫補助金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</si>
  <si>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-障害者介助等助成金</t>
    </r>
  </si>
  <si>
    <r>
      <t>■■■■</t>
    </r>
    <r>
      <rPr>
        <sz val="10"/>
        <color theme="1"/>
        <rFont val="ＭＳ Ｐ明朝"/>
        <family val="1"/>
        <charset val="128"/>
      </rPr>
      <t>--小計--</t>
    </r>
  </si>
  <si>
    <r>
      <t>■■■</t>
    </r>
    <r>
      <rPr>
        <sz val="10"/>
        <color theme="1"/>
        <rFont val="ＭＳ Ｐ明朝"/>
        <family val="1"/>
        <charset val="128"/>
      </rPr>
      <t>受取助成金等合計</t>
    </r>
  </si>
  <si>
    <r>
      <t>■■■</t>
    </r>
    <r>
      <rPr>
        <sz val="10"/>
        <color theme="1"/>
        <rFont val="ＭＳ Ｐゴシック"/>
        <family val="3"/>
        <charset val="128"/>
        <scheme val="minor"/>
      </rPr>
      <t>事業収益</t>
    </r>
  </si>
  <si>
    <r>
      <t>■■■■</t>
    </r>
    <r>
      <rPr>
        <sz val="10"/>
        <color theme="1"/>
        <rFont val="ＭＳ Ｐ明朝"/>
        <family val="1"/>
        <charset val="128"/>
      </rPr>
      <t>介護給付費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</si>
  <si>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-指定特定相談支援事業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</si>
  <si>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-重度訪問介護事業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</si>
  <si>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-居宅介護事業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</si>
  <si>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-生活介護事業</t>
    </r>
  </si>
  <si>
    <r>
      <t>■■■■</t>
    </r>
    <r>
      <rPr>
        <sz val="10"/>
        <color theme="1"/>
        <rFont val="ＭＳ Ｐ明朝"/>
        <family val="1"/>
        <charset val="128"/>
      </rPr>
      <t>地域生活支援費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</si>
  <si>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-移動支援事業</t>
    </r>
  </si>
  <si>
    <r>
      <t>■■■■</t>
    </r>
    <r>
      <rPr>
        <sz val="10"/>
        <color theme="1"/>
        <rFont val="ＭＳ Ｐ明朝"/>
        <family val="1"/>
        <charset val="128"/>
      </rPr>
      <t>利用者負担金</t>
    </r>
  </si>
  <si>
    <r>
      <t>■■■■</t>
    </r>
    <r>
      <rPr>
        <sz val="10"/>
        <color theme="1"/>
        <rFont val="ＭＳ Ｐ明朝"/>
        <family val="1"/>
        <charset val="128"/>
      </rPr>
      <t>送迎料金</t>
    </r>
  </si>
  <si>
    <r>
      <t>■■■■</t>
    </r>
    <r>
      <rPr>
        <sz val="10"/>
        <color theme="1"/>
        <rFont val="ＭＳ Ｐ明朝"/>
        <family val="1"/>
        <charset val="128"/>
      </rPr>
      <t>利用料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</si>
  <si>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-制度外介助派遣利用料</t>
    </r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</si>
  <si>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-体験室利用料</t>
    </r>
  </si>
  <si>
    <r>
      <t>■■■■</t>
    </r>
    <r>
      <rPr>
        <sz val="10"/>
        <color theme="1"/>
        <rFont val="ＭＳ Ｐ明朝"/>
        <family val="1"/>
        <charset val="128"/>
      </rPr>
      <t>参加料</t>
    </r>
  </si>
  <si>
    <r>
      <t>■■■</t>
    </r>
    <r>
      <rPr>
        <sz val="10"/>
        <color theme="1"/>
        <rFont val="ＭＳ Ｐ明朝"/>
        <family val="1"/>
        <charset val="128"/>
      </rPr>
      <t>事業収益合計</t>
    </r>
  </si>
  <si>
    <r>
      <t>■■■</t>
    </r>
    <r>
      <rPr>
        <sz val="10"/>
        <color theme="1"/>
        <rFont val="ＭＳ Ｐゴシック"/>
        <family val="3"/>
        <charset val="128"/>
        <scheme val="minor"/>
      </rPr>
      <t>その他収益</t>
    </r>
  </si>
  <si>
    <r>
      <t>■■■■</t>
    </r>
    <r>
      <rPr>
        <sz val="10"/>
        <color theme="1"/>
        <rFont val="ＭＳ Ｐ明朝"/>
        <family val="1"/>
        <charset val="128"/>
      </rPr>
      <t>受取利息</t>
    </r>
  </si>
  <si>
    <r>
      <t>■■■■</t>
    </r>
    <r>
      <rPr>
        <sz val="10"/>
        <color theme="1"/>
        <rFont val="ＭＳ Ｐ明朝"/>
        <family val="1"/>
        <charset val="128"/>
      </rPr>
      <t>雑収益</t>
    </r>
  </si>
  <si>
    <r>
      <t>■■■</t>
    </r>
    <r>
      <rPr>
        <sz val="10"/>
        <color theme="1"/>
        <rFont val="ＭＳ Ｐ明朝"/>
        <family val="1"/>
        <charset val="128"/>
      </rPr>
      <t>その他収益合計</t>
    </r>
  </si>
  <si>
    <r>
      <t>■■</t>
    </r>
    <r>
      <rPr>
        <b/>
        <sz val="10"/>
        <color theme="1"/>
        <rFont val="ＭＳ Ｐゴシック"/>
        <family val="3"/>
        <charset val="128"/>
        <scheme val="minor"/>
      </rPr>
      <t>経常収益合計</t>
    </r>
  </si>
  <si>
    <r>
      <t>■■</t>
    </r>
    <r>
      <rPr>
        <b/>
        <sz val="10"/>
        <color theme="1"/>
        <rFont val="ＭＳ Ｐゴシック"/>
        <family val="3"/>
        <charset val="128"/>
        <scheme val="minor"/>
      </rPr>
      <t>(2)経常費用</t>
    </r>
  </si>
  <si>
    <r>
      <t>■■■■</t>
    </r>
    <r>
      <rPr>
        <sz val="9"/>
        <color theme="1"/>
        <rFont val="ＭＳ Ｐゴシック"/>
        <family val="3"/>
        <charset val="128"/>
        <scheme val="minor"/>
      </rPr>
      <t>【人件費】</t>
    </r>
  </si>
  <si>
    <r>
      <t>■■■</t>
    </r>
    <r>
      <rPr>
        <sz val="10"/>
        <color theme="1"/>
        <rFont val="ＭＳ Ｐ明朝"/>
        <family val="1"/>
        <charset val="128"/>
      </rPr>
      <t>給料手当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</si>
  <si>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-常勤職員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</si>
  <si>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-非常勤職員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</si>
  <si>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</si>
  <si>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-処遇改善（外）</t>
    </r>
  </si>
  <si>
    <r>
      <t>■■■</t>
    </r>
    <r>
      <rPr>
        <sz val="10"/>
        <color theme="1"/>
        <rFont val="ＭＳ Ｐ明朝"/>
        <family val="1"/>
        <charset val="128"/>
      </rPr>
      <t>--小計--</t>
    </r>
  </si>
  <si>
    <r>
      <t>■■■</t>
    </r>
    <r>
      <rPr>
        <sz val="10"/>
        <color theme="1"/>
        <rFont val="ＭＳ Ｐ明朝"/>
        <family val="1"/>
        <charset val="128"/>
      </rPr>
      <t>通勤費</t>
    </r>
  </si>
  <si>
    <r>
      <t>■■■</t>
    </r>
    <r>
      <rPr>
        <sz val="10"/>
        <color theme="1"/>
        <rFont val="ＭＳ Ｐ明朝"/>
        <family val="1"/>
        <charset val="128"/>
      </rPr>
      <t>法定福利費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</si>
  <si>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-社会保険料</t>
    </r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</si>
  <si>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-労働保険料</t>
    </r>
  </si>
  <si>
    <r>
      <t>■■■</t>
    </r>
    <r>
      <rPr>
        <sz val="10"/>
        <color theme="1"/>
        <rFont val="ＭＳ Ｐ明朝"/>
        <family val="1"/>
        <charset val="128"/>
      </rPr>
      <t>退職給付費用</t>
    </r>
  </si>
  <si>
    <r>
      <t>■■■</t>
    </r>
    <r>
      <rPr>
        <sz val="10"/>
        <color theme="1"/>
        <rFont val="ＭＳ Ｐ明朝"/>
        <family val="1"/>
        <charset val="128"/>
      </rPr>
      <t>福利厚生費</t>
    </r>
  </si>
  <si>
    <r>
      <t>■■■■</t>
    </r>
    <r>
      <rPr>
        <sz val="9"/>
        <color theme="1"/>
        <rFont val="ＭＳ Ｐゴシック"/>
        <family val="3"/>
        <charset val="128"/>
        <scheme val="minor"/>
      </rPr>
      <t>【人件費計】</t>
    </r>
  </si>
  <si>
    <r>
      <t>■■■■</t>
    </r>
    <r>
      <rPr>
        <sz val="9"/>
        <color theme="1"/>
        <rFont val="ＭＳ Ｐゴシック"/>
        <family val="3"/>
        <charset val="128"/>
        <scheme val="minor"/>
      </rPr>
      <t>【その他費用】</t>
    </r>
  </si>
  <si>
    <r>
      <t>■■■</t>
    </r>
    <r>
      <rPr>
        <sz val="10"/>
        <color theme="1"/>
        <rFont val="ＭＳ Ｐ明朝"/>
        <family val="1"/>
        <charset val="128"/>
      </rPr>
      <t>旅費交通費</t>
    </r>
  </si>
  <si>
    <r>
      <t>■■■</t>
    </r>
    <r>
      <rPr>
        <sz val="10"/>
        <color theme="1"/>
        <rFont val="ＭＳ Ｐ明朝"/>
        <family val="1"/>
        <charset val="128"/>
      </rPr>
      <t>諸謝金</t>
    </r>
  </si>
  <si>
    <r>
      <t>■■■</t>
    </r>
    <r>
      <rPr>
        <sz val="10"/>
        <color theme="1"/>
        <rFont val="ＭＳ Ｐ明朝"/>
        <family val="1"/>
        <charset val="128"/>
      </rPr>
      <t>通信運搬費</t>
    </r>
  </si>
  <si>
    <r>
      <t>■■■</t>
    </r>
    <r>
      <rPr>
        <sz val="10"/>
        <color theme="1"/>
        <rFont val="ＭＳ Ｐ明朝"/>
        <family val="1"/>
        <charset val="128"/>
      </rPr>
      <t>会議費</t>
    </r>
  </si>
  <si>
    <r>
      <t>■■■</t>
    </r>
    <r>
      <rPr>
        <sz val="10"/>
        <color theme="1"/>
        <rFont val="ＭＳ Ｐ明朝"/>
        <family val="1"/>
        <charset val="128"/>
      </rPr>
      <t>研修費</t>
    </r>
  </si>
  <si>
    <r>
      <t>■■■</t>
    </r>
    <r>
      <rPr>
        <sz val="10"/>
        <color theme="1"/>
        <rFont val="ＭＳ Ｐ明朝"/>
        <family val="1"/>
        <charset val="128"/>
      </rPr>
      <t>広告宣伝費</t>
    </r>
  </si>
  <si>
    <r>
      <t>■■■</t>
    </r>
    <r>
      <rPr>
        <sz val="10"/>
        <color theme="1"/>
        <rFont val="ＭＳ Ｐ明朝"/>
        <family val="1"/>
        <charset val="128"/>
      </rPr>
      <t>消耗品費</t>
    </r>
  </si>
  <si>
    <r>
      <t>■■■</t>
    </r>
    <r>
      <rPr>
        <sz val="10"/>
        <color theme="1"/>
        <rFont val="ＭＳ Ｐ明朝"/>
        <family val="1"/>
        <charset val="128"/>
      </rPr>
      <t>修繕費</t>
    </r>
  </si>
  <si>
    <r>
      <t>■■■</t>
    </r>
    <r>
      <rPr>
        <sz val="10"/>
        <color theme="1"/>
        <rFont val="ＭＳ Ｐ明朝"/>
        <family val="1"/>
        <charset val="128"/>
      </rPr>
      <t>新聞図書費</t>
    </r>
  </si>
  <si>
    <r>
      <t>■■■</t>
    </r>
    <r>
      <rPr>
        <sz val="10"/>
        <color theme="1"/>
        <rFont val="ＭＳ Ｐ明朝"/>
        <family val="1"/>
        <charset val="128"/>
      </rPr>
      <t>印刷製本費</t>
    </r>
  </si>
  <si>
    <r>
      <t>■■■</t>
    </r>
    <r>
      <rPr>
        <sz val="10"/>
        <color theme="1"/>
        <rFont val="ＭＳ Ｐ明朝"/>
        <family val="1"/>
        <charset val="128"/>
      </rPr>
      <t>交際費</t>
    </r>
  </si>
  <si>
    <r>
      <t>■■■</t>
    </r>
    <r>
      <rPr>
        <sz val="10"/>
        <color theme="1"/>
        <rFont val="ＭＳ Ｐ明朝"/>
        <family val="1"/>
        <charset val="128"/>
      </rPr>
      <t>水道光熱費</t>
    </r>
  </si>
  <si>
    <r>
      <t>■■■</t>
    </r>
    <r>
      <rPr>
        <sz val="10"/>
        <color theme="1"/>
        <rFont val="ＭＳ Ｐ明朝"/>
        <family val="1"/>
        <charset val="128"/>
      </rPr>
      <t>地代家賃</t>
    </r>
  </si>
  <si>
    <r>
      <t>■■■</t>
    </r>
    <r>
      <rPr>
        <sz val="10"/>
        <color theme="1"/>
        <rFont val="ＭＳ Ｐ明朝"/>
        <family val="1"/>
        <charset val="128"/>
      </rPr>
      <t>賃借料</t>
    </r>
  </si>
  <si>
    <r>
      <t>■■■</t>
    </r>
    <r>
      <rPr>
        <sz val="10"/>
        <color theme="1"/>
        <rFont val="ＭＳ Ｐ明朝"/>
        <family val="1"/>
        <charset val="128"/>
      </rPr>
      <t>保険料</t>
    </r>
  </si>
  <si>
    <r>
      <t>■■■</t>
    </r>
    <r>
      <rPr>
        <sz val="10"/>
        <color theme="1"/>
        <rFont val="ＭＳ Ｐ明朝"/>
        <family val="1"/>
        <charset val="128"/>
      </rPr>
      <t>諸会費</t>
    </r>
  </si>
  <si>
    <r>
      <t>■■■</t>
    </r>
    <r>
      <rPr>
        <sz val="10"/>
        <color theme="1"/>
        <rFont val="ＭＳ Ｐ明朝"/>
        <family val="1"/>
        <charset val="128"/>
      </rPr>
      <t>支払手数料</t>
    </r>
  </si>
  <si>
    <r>
      <t>■■■</t>
    </r>
    <r>
      <rPr>
        <sz val="10"/>
        <color theme="1"/>
        <rFont val="ＭＳ Ｐ明朝"/>
        <family val="1"/>
        <charset val="128"/>
      </rPr>
      <t>減価償却費</t>
    </r>
  </si>
  <si>
    <r>
      <t>■■■</t>
    </r>
    <r>
      <rPr>
        <sz val="10"/>
        <color theme="1"/>
        <rFont val="ＭＳ Ｐ明朝"/>
        <family val="1"/>
        <charset val="128"/>
      </rPr>
      <t>スロープ寄贈費</t>
    </r>
  </si>
  <si>
    <r>
      <t>■■■■</t>
    </r>
    <r>
      <rPr>
        <sz val="9"/>
        <color theme="1"/>
        <rFont val="ＭＳ Ｐゴシック"/>
        <family val="3"/>
        <charset val="128"/>
        <scheme val="minor"/>
      </rPr>
      <t>【その他費用計】</t>
    </r>
  </si>
  <si>
    <r>
      <t>■■</t>
    </r>
    <r>
      <rPr>
        <b/>
        <sz val="10"/>
        <color theme="1"/>
        <rFont val="ＭＳ Ｐゴシック"/>
        <family val="3"/>
        <charset val="128"/>
        <scheme val="minor"/>
      </rPr>
      <t>経常費用計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</si>
  <si>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当期経常増減額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</si>
  <si>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2.経常外増減の部</t>
    </r>
  </si>
  <si>
    <r>
      <t>■■</t>
    </r>
    <r>
      <rPr>
        <b/>
        <sz val="10"/>
        <color theme="1"/>
        <rFont val="ＭＳ Ｐゴシック"/>
        <family val="3"/>
        <charset val="128"/>
        <scheme val="minor"/>
      </rPr>
      <t>(1)経常外収益</t>
    </r>
  </si>
  <si>
    <r>
      <t>■■■</t>
    </r>
    <r>
      <rPr>
        <sz val="10"/>
        <color theme="1"/>
        <rFont val="ＭＳ Ｐ明朝"/>
        <family val="1"/>
        <charset val="128"/>
      </rPr>
      <t>過年度損益修正益</t>
    </r>
  </si>
  <si>
    <r>
      <t>■■</t>
    </r>
    <r>
      <rPr>
        <b/>
        <sz val="10"/>
        <color theme="1"/>
        <rFont val="ＭＳ Ｐゴシック"/>
        <family val="3"/>
        <charset val="128"/>
        <scheme val="minor"/>
      </rPr>
      <t>経常外収益合計</t>
    </r>
  </si>
  <si>
    <r>
      <t>■■</t>
    </r>
    <r>
      <rPr>
        <b/>
        <sz val="10"/>
        <color theme="1"/>
        <rFont val="ＭＳ Ｐゴシック"/>
        <family val="3"/>
        <charset val="128"/>
        <scheme val="minor"/>
      </rPr>
      <t>(2)経常外費用</t>
    </r>
  </si>
  <si>
    <r>
      <t>■■</t>
    </r>
    <r>
      <rPr>
        <b/>
        <sz val="10"/>
        <color theme="1"/>
        <rFont val="ＭＳ Ｐゴシック"/>
        <family val="3"/>
        <charset val="128"/>
        <scheme val="minor"/>
      </rPr>
      <t>経常外費用計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</si>
  <si>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当期経常外増減額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</si>
  <si>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税引前当期正味財産増減額</t>
    </r>
  </si>
  <si>
    <r>
      <t>■■■</t>
    </r>
    <r>
      <rPr>
        <sz val="10"/>
        <color theme="1"/>
        <rFont val="ＭＳ Ｐ明朝"/>
        <family val="1"/>
        <charset val="128"/>
      </rPr>
      <t>法人税、住民税及び事業税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</si>
  <si>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当期正味財産増減額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</si>
  <si>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前期繰越正味財産額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</si>
  <si>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次期繰越正味財産額</t>
    </r>
  </si>
  <si>
    <t>差異</t>
    <rPh sb="0" eb="2">
      <t>サイ</t>
    </rPh>
    <phoneticPr fontId="31"/>
  </si>
  <si>
    <t>2019年度決算額</t>
    <rPh sb="4" eb="6">
      <t>ネンド</t>
    </rPh>
    <rPh sb="6" eb="8">
      <t>ケッサン</t>
    </rPh>
    <rPh sb="8" eb="9">
      <t>ガク</t>
    </rPh>
    <phoneticPr fontId="31"/>
  </si>
  <si>
    <t>2020年度予算</t>
    <rPh sb="4" eb="6">
      <t>ネンド</t>
    </rPh>
    <rPh sb="6" eb="8">
      <t>ヨサン</t>
    </rPh>
    <phoneticPr fontId="31"/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</si>
  <si>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-処遇改善加算　重度訪問介護</t>
    </r>
    <rPh sb="7" eb="13">
      <t>ショグウカイゼンカサン</t>
    </rPh>
    <phoneticPr fontId="31"/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</si>
  <si>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-処遇改善加算　居宅介護</t>
    </r>
    <rPh sb="7" eb="9">
      <t>ショグウ</t>
    </rPh>
    <rPh sb="9" eb="11">
      <t>カイゼン</t>
    </rPh>
    <rPh sb="11" eb="13">
      <t>カサン</t>
    </rPh>
    <phoneticPr fontId="31"/>
  </si>
  <si>
    <r>
      <t>■■■■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-処遇改善加算　生活介護</t>
    </r>
    <rPh sb="7" eb="9">
      <t>ショグウ</t>
    </rPh>
    <rPh sb="9" eb="11">
      <t>カイゼン</t>
    </rPh>
    <rPh sb="11" eb="13">
      <t>カサン</t>
    </rPh>
    <phoneticPr fontId="31"/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</si>
  <si>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-賞与　処遇改善対象者</t>
    </r>
    <rPh sb="6" eb="8">
      <t>ショウヨ</t>
    </rPh>
    <rPh sb="9" eb="11">
      <t>ショグウ</t>
    </rPh>
    <rPh sb="11" eb="13">
      <t>カイゼン</t>
    </rPh>
    <rPh sb="13" eb="16">
      <t>タイショウシャ</t>
    </rPh>
    <phoneticPr fontId="31"/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</si>
  <si>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-賞与　処遇改善対象者（外）</t>
    </r>
    <rPh sb="6" eb="8">
      <t>ショウヨ</t>
    </rPh>
    <rPh sb="9" eb="11">
      <t>ショグウ</t>
    </rPh>
    <rPh sb="11" eb="13">
      <t>カイゼン</t>
    </rPh>
    <rPh sb="13" eb="15">
      <t>タイショウ</t>
    </rPh>
    <rPh sb="15" eb="16">
      <t>シャ</t>
    </rPh>
    <rPh sb="17" eb="18">
      <t>ガイ</t>
    </rPh>
    <phoneticPr fontId="31"/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</si>
  <si>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　社会保険料</t>
    </r>
    <rPh sb="6" eb="8">
      <t>ショグウ</t>
    </rPh>
    <rPh sb="8" eb="10">
      <t>カイゼン</t>
    </rPh>
    <phoneticPr fontId="31"/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</si>
  <si>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-処遇改善　労働保険料</t>
    </r>
    <rPh sb="6" eb="8">
      <t>ショグウ</t>
    </rPh>
    <rPh sb="8" eb="10">
      <t>カイゼン</t>
    </rPh>
    <phoneticPr fontId="31"/>
  </si>
  <si>
    <r>
      <t>■■■■</t>
    </r>
    <r>
      <rPr>
        <sz val="10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</t>
    </r>
    <r>
      <rPr>
        <sz val="9"/>
        <color theme="1"/>
        <rFont val="ＭＳ Ｐ明朝"/>
        <family val="1"/>
        <charset val="128"/>
      </rPr>
      <t>特定処遇改善加算　重度訪問</t>
    </r>
    <rPh sb="7" eb="9">
      <t>トクテイ</t>
    </rPh>
    <rPh sb="9" eb="15">
      <t>ショグウカイゼンカサン</t>
    </rPh>
    <phoneticPr fontId="31"/>
  </si>
  <si>
    <r>
      <t>2020年度　予算(案）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  2020/04/01～2021/03/31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  特定非営利活動法人　リアライズ</t>
    </r>
    <rPh sb="7" eb="9">
      <t>ヨサン</t>
    </rPh>
    <rPh sb="10" eb="11">
      <t>アン</t>
    </rPh>
    <phoneticPr fontId="31"/>
  </si>
  <si>
    <r>
      <t>■■■  ■</t>
    </r>
    <r>
      <rPr>
        <sz val="9"/>
        <color theme="1"/>
        <rFont val="ＭＳ 明朝"/>
        <family val="1"/>
        <charset val="128"/>
      </rPr>
      <t>--</t>
    </r>
    <r>
      <rPr>
        <sz val="9"/>
        <color theme="1"/>
        <rFont val="ＭＳ Ｐ明朝"/>
        <family val="1"/>
        <charset val="128"/>
      </rPr>
      <t>-特定処遇改善加算　生活介護</t>
    </r>
    <rPh sb="9" eb="11">
      <t>トクテイ</t>
    </rPh>
    <rPh sb="11" eb="13">
      <t>ショグウ</t>
    </rPh>
    <rPh sb="13" eb="15">
      <t>カイゼン</t>
    </rPh>
    <rPh sb="15" eb="17">
      <t>カサン</t>
    </rPh>
    <phoneticPr fontId="31"/>
  </si>
  <si>
    <r>
      <t>■■■</t>
    </r>
    <r>
      <rPr>
        <sz val="10"/>
        <color theme="1"/>
        <rFont val="ＭＳ Ｐ明朝"/>
        <family val="1"/>
        <charset val="128"/>
      </rPr>
      <t>支払寄付金</t>
    </r>
    <rPh sb="5" eb="8">
      <t>キフキン</t>
    </rPh>
    <phoneticPr fontId="31"/>
  </si>
  <si>
    <r>
      <t>■■■</t>
    </r>
    <r>
      <rPr>
        <sz val="11"/>
        <color theme="1"/>
        <rFont val="ＭＳ 明朝"/>
        <family val="1"/>
        <charset val="128"/>
      </rPr>
      <t>--</t>
    </r>
    <r>
      <rPr>
        <sz val="10"/>
        <color theme="1"/>
        <rFont val="ＭＳ Ｐ明朝"/>
        <family val="1"/>
        <charset val="128"/>
      </rPr>
      <t>-特定処遇改善</t>
    </r>
    <rPh sb="6" eb="8">
      <t>トクテイ</t>
    </rPh>
    <phoneticPr fontId="31"/>
  </si>
  <si>
    <r>
      <rPr>
        <sz val="10"/>
        <color theme="0"/>
        <rFont val="ＭＳ Ｐ明朝"/>
        <family val="1"/>
        <charset val="128"/>
      </rPr>
      <t>■■■</t>
    </r>
    <r>
      <rPr>
        <sz val="10"/>
        <rFont val="ＭＳ Ｐ明朝"/>
        <family val="1"/>
        <charset val="128"/>
      </rPr>
      <t>雑費</t>
    </r>
    <rPh sb="3" eb="5">
      <t>ザッピ</t>
    </rPh>
    <phoneticPr fontId="31"/>
  </si>
  <si>
    <r>
      <t>■■■</t>
    </r>
    <r>
      <rPr>
        <sz val="10"/>
        <color theme="1"/>
        <rFont val="ＭＳ Ｐ明朝"/>
        <family val="1"/>
        <charset val="128"/>
      </rPr>
      <t>過年度損益修正損</t>
    </r>
    <rPh sb="10" eb="11">
      <t>ソン</t>
    </rPh>
    <phoneticPr fontId="31"/>
  </si>
  <si>
    <r>
      <t>■■■■</t>
    </r>
    <r>
      <rPr>
        <sz val="9"/>
        <rFont val="ＭＳ Ｐゴシック"/>
        <family val="3"/>
        <charset val="128"/>
        <scheme val="minor"/>
      </rPr>
      <t>---</t>
    </r>
    <r>
      <rPr>
        <sz val="9"/>
        <color theme="1"/>
        <rFont val="ＭＳ Ｐゴシック"/>
        <family val="3"/>
        <charset val="128"/>
        <scheme val="minor"/>
      </rPr>
      <t>処遇改善計合計</t>
    </r>
    <rPh sb="7" eb="9">
      <t>ショグウ</t>
    </rPh>
    <rPh sb="9" eb="11">
      <t>カイゼン</t>
    </rPh>
    <rPh sb="12" eb="14">
      <t>ゴウケイ</t>
    </rPh>
    <phoneticPr fontId="31"/>
  </si>
  <si>
    <t>※　収入補正：重訪15％増　　生活介護15％増　／　支出：実態に合わせて稼働した場合の表</t>
    <rPh sb="2" eb="4">
      <t>シュウニュウ</t>
    </rPh>
    <rPh sb="4" eb="6">
      <t>ホセイ</t>
    </rPh>
    <rPh sb="7" eb="9">
      <t>ジュウホウ</t>
    </rPh>
    <rPh sb="12" eb="13">
      <t>ゾウ</t>
    </rPh>
    <rPh sb="15" eb="17">
      <t>セイカツ</t>
    </rPh>
    <rPh sb="17" eb="19">
      <t>カイゴ</t>
    </rPh>
    <rPh sb="22" eb="23">
      <t>ゾウ</t>
    </rPh>
    <rPh sb="26" eb="28">
      <t>シシュツ</t>
    </rPh>
    <rPh sb="29" eb="31">
      <t>ジッタイ</t>
    </rPh>
    <rPh sb="32" eb="33">
      <t>ア</t>
    </rPh>
    <rPh sb="36" eb="38">
      <t>カドウ</t>
    </rPh>
    <rPh sb="40" eb="42">
      <t>バアイ</t>
    </rPh>
    <rPh sb="43" eb="44">
      <t>ヒョウ</t>
    </rPh>
    <phoneticPr fontId="31"/>
  </si>
  <si>
    <t>新里が300時間利用すれば、約1,000万円は収入上がる</t>
    <rPh sb="0" eb="2">
      <t>ニイザト</t>
    </rPh>
    <rPh sb="6" eb="8">
      <t>ジカン</t>
    </rPh>
    <rPh sb="8" eb="10">
      <t>リヨウ</t>
    </rPh>
    <rPh sb="14" eb="15">
      <t>ヤク</t>
    </rPh>
    <rPh sb="20" eb="22">
      <t>マンエン</t>
    </rPh>
    <rPh sb="23" eb="25">
      <t>シュウニュウ</t>
    </rPh>
    <rPh sb="25" eb="26">
      <t>ア</t>
    </rPh>
    <phoneticPr fontId="31"/>
  </si>
  <si>
    <t>新里が300時間利用すれば、約1,000万円は収入上がる.</t>
    <rPh sb="0" eb="2">
      <t>ニイザト</t>
    </rPh>
    <rPh sb="6" eb="8">
      <t>ジカン</t>
    </rPh>
    <rPh sb="8" eb="10">
      <t>リヨウ</t>
    </rPh>
    <rPh sb="14" eb="15">
      <t>ヤク</t>
    </rPh>
    <rPh sb="20" eb="22">
      <t>マンエン</t>
    </rPh>
    <rPh sb="23" eb="25">
      <t>シュウニュウ</t>
    </rPh>
    <rPh sb="25" eb="26">
      <t>ア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</si>
</sst>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FF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FFFF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FFFF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color rgb="FFFFFFFF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6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right" vertical="center" wrapText="1"/>
    </xf>
    <xf numFmtId="3" fontId="28" fillId="33" borderId="10" xfId="0" applyNumberFormat="1" applyFont="1" applyFill="1" applyBorder="1" applyAlignment="1">
      <alignment horizontal="right" vertical="center" wrapText="1"/>
    </xf>
    <xf numFmtId="3" fontId="32" fillId="0" borderId="10" xfId="0" applyNumberFormat="1" applyFont="1" applyBorder="1" applyAlignment="1">
      <alignment vertical="center" wrapText="1"/>
    </xf>
    <xf numFmtId="0" fontId="21" fillId="35" borderId="12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32" fillId="33" borderId="10" xfId="0" applyNumberFormat="1" applyFont="1" applyFill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3" fontId="28" fillId="0" borderId="12" xfId="0" applyNumberFormat="1" applyFont="1" applyFill="1" applyBorder="1" applyAlignment="1">
      <alignment horizontal="right"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38" fontId="0" fillId="0" borderId="0" xfId="42" applyFont="1">
      <alignment vertical="center"/>
    </xf>
    <xf numFmtId="38" fontId="23" fillId="0" borderId="0" xfId="42" applyFont="1">
      <alignment vertical="center"/>
    </xf>
    <xf numFmtId="38" fontId="21" fillId="0" borderId="0" xfId="42" applyFont="1">
      <alignment vertical="center"/>
    </xf>
    <xf numFmtId="0" fontId="17" fillId="0" borderId="0" xfId="0" applyFont="1">
      <alignment vertical="center"/>
    </xf>
    <xf numFmtId="38" fontId="17" fillId="0" borderId="0" xfId="42" applyFo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38" fontId="38" fillId="0" borderId="12" xfId="42" applyFont="1" applyFill="1" applyBorder="1" applyAlignment="1">
      <alignment vertical="center" wrapText="1"/>
    </xf>
    <xf numFmtId="38" fontId="28" fillId="0" borderId="10" xfId="42" applyFont="1" applyBorder="1" applyAlignment="1">
      <alignment horizontal="right" vertical="center" wrapText="1"/>
    </xf>
    <xf numFmtId="38" fontId="28" fillId="0" borderId="10" xfId="0" applyNumberFormat="1" applyFont="1" applyBorder="1" applyAlignment="1">
      <alignment horizontal="right" vertical="center" wrapTex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38" fontId="41" fillId="0" borderId="0" xfId="42" applyFont="1">
      <alignment vertical="center"/>
    </xf>
    <xf numFmtId="38" fontId="42" fillId="0" borderId="0" xfId="42" applyFont="1">
      <alignment vertical="center"/>
    </xf>
    <xf numFmtId="0" fontId="42" fillId="0" borderId="0" xfId="0" applyFont="1">
      <alignment vertical="center"/>
    </xf>
    <xf numFmtId="0" fontId="41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44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5" fillId="36" borderId="0" xfId="0" applyFont="1" applyFill="1" applyBorder="1" applyAlignment="1">
      <alignment vertical="center" wrapText="1"/>
    </xf>
    <xf numFmtId="0" fontId="46" fillId="0" borderId="0" xfId="0" applyFont="1">
      <alignment vertical="center"/>
    </xf>
    <xf numFmtId="0" fontId="30" fillId="34" borderId="11" xfId="0" applyFont="1" applyFill="1" applyBorder="1" applyAlignment="1">
      <alignment vertical="center" wrapText="1"/>
    </xf>
    <xf numFmtId="0" fontId="30" fillId="34" borderId="12" xfId="0" applyFont="1" applyFill="1" applyBorder="1" applyAlignment="1">
      <alignment vertical="center" wrapText="1"/>
    </xf>
    <xf numFmtId="0" fontId="30" fillId="34" borderId="13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0" fontId="19" fillId="35" borderId="13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12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vertical="center" wrapText="1"/>
    </xf>
    <xf numFmtId="0" fontId="22" fillId="35" borderId="13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30" fillId="33" borderId="12" xfId="0" applyFont="1" applyFill="1" applyBorder="1" applyAlignment="1">
      <alignment vertical="center" wrapText="1"/>
    </xf>
    <xf numFmtId="0" fontId="30" fillId="33" borderId="13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opLeftCell="A91" zoomScale="90" zoomScaleNormal="90" workbookViewId="0">
      <selection activeCell="C113" sqref="C113"/>
    </sheetView>
  </sheetViews>
  <sheetFormatPr defaultRowHeight="13.5" x14ac:dyDescent="0.15"/>
  <cols>
    <col min="1" max="1" width="32.5" customWidth="1"/>
    <col min="2" max="4" width="16" customWidth="1"/>
    <col min="9" max="9" width="11.375" bestFit="1" customWidth="1"/>
    <col min="11" max="11" width="11.375" bestFit="1" customWidth="1"/>
  </cols>
  <sheetData>
    <row r="1" spans="1:5" s="1" customFormat="1" ht="45" customHeight="1" x14ac:dyDescent="0.15">
      <c r="A1" s="55" t="s">
        <v>99</v>
      </c>
      <c r="B1" s="55"/>
      <c r="C1" s="55"/>
      <c r="D1" s="55"/>
    </row>
    <row r="2" spans="1:5" ht="15" customHeight="1" x14ac:dyDescent="0.15">
      <c r="A2" s="56" t="s">
        <v>0</v>
      </c>
      <c r="B2" s="56"/>
      <c r="C2" s="11"/>
      <c r="D2" s="2" t="s">
        <v>1</v>
      </c>
      <c r="E2" s="32">
        <f ca="1">E2:E47</f>
        <v>0</v>
      </c>
    </row>
    <row r="3" spans="1:5" s="3" customFormat="1" ht="15" customHeight="1" x14ac:dyDescent="0.15">
      <c r="A3" s="12" t="s">
        <v>2</v>
      </c>
      <c r="B3" s="21" t="s">
        <v>89</v>
      </c>
      <c r="C3" s="21" t="s">
        <v>90</v>
      </c>
      <c r="D3" s="21" t="s">
        <v>88</v>
      </c>
      <c r="E3" s="48"/>
    </row>
    <row r="4" spans="1:5" s="4" customFormat="1" ht="13.5" customHeight="1" x14ac:dyDescent="0.15">
      <c r="A4" s="57" t="s">
        <v>3</v>
      </c>
      <c r="B4" s="58"/>
      <c r="C4" s="58"/>
      <c r="D4" s="59"/>
      <c r="E4" s="49"/>
    </row>
    <row r="5" spans="1:5" s="5" customFormat="1" ht="12" customHeight="1" x14ac:dyDescent="0.15">
      <c r="A5" s="60" t="s">
        <v>4</v>
      </c>
      <c r="B5" s="61"/>
      <c r="C5" s="61"/>
      <c r="D5" s="62"/>
      <c r="E5" s="43"/>
    </row>
    <row r="6" spans="1:5" s="5" customFormat="1" ht="12" customHeight="1" x14ac:dyDescent="0.15">
      <c r="A6" s="60" t="s">
        <v>5</v>
      </c>
      <c r="B6" s="61"/>
      <c r="C6" s="61"/>
      <c r="D6" s="62"/>
      <c r="E6" s="43"/>
    </row>
    <row r="7" spans="1:5" s="6" customFormat="1" ht="12" customHeight="1" x14ac:dyDescent="0.15">
      <c r="A7" s="63" t="s">
        <v>6</v>
      </c>
      <c r="B7" s="64"/>
      <c r="C7" s="64"/>
      <c r="D7" s="65"/>
      <c r="E7" s="44"/>
    </row>
    <row r="8" spans="1:5" x14ac:dyDescent="0.15">
      <c r="A8" s="7" t="s">
        <v>7</v>
      </c>
      <c r="B8" s="8">
        <v>11000</v>
      </c>
      <c r="C8" s="8">
        <v>15000</v>
      </c>
      <c r="D8" s="20">
        <f>C8-B8</f>
        <v>4000</v>
      </c>
      <c r="E8" s="32"/>
    </row>
    <row r="9" spans="1:5" x14ac:dyDescent="0.15">
      <c r="A9" s="7" t="s">
        <v>8</v>
      </c>
      <c r="B9" s="8">
        <v>363500</v>
      </c>
      <c r="C9" s="8">
        <v>50000</v>
      </c>
      <c r="D9" s="20">
        <f t="shared" ref="D9:D13" si="0">C9-B9</f>
        <v>-313500</v>
      </c>
      <c r="E9" s="32"/>
    </row>
    <row r="10" spans="1:5" x14ac:dyDescent="0.15">
      <c r="A10" s="7" t="s">
        <v>9</v>
      </c>
      <c r="B10" s="8">
        <f>SUM(B8:B9)</f>
        <v>374500</v>
      </c>
      <c r="C10" s="8">
        <f>SUM(C8:C9)</f>
        <v>65000</v>
      </c>
      <c r="D10" s="20">
        <f t="shared" si="0"/>
        <v>-309500</v>
      </c>
      <c r="E10" s="32"/>
    </row>
    <row r="11" spans="1:5" s="6" customFormat="1" ht="12" customHeight="1" x14ac:dyDescent="0.15">
      <c r="A11" s="63" t="s">
        <v>10</v>
      </c>
      <c r="B11" s="64"/>
      <c r="C11" s="64"/>
      <c r="D11" s="65"/>
      <c r="E11" s="44"/>
    </row>
    <row r="12" spans="1:5" x14ac:dyDescent="0.15">
      <c r="A12" s="7" t="s">
        <v>11</v>
      </c>
      <c r="B12" s="8">
        <v>235854</v>
      </c>
      <c r="C12" s="8">
        <v>200000</v>
      </c>
      <c r="D12" s="20">
        <f t="shared" si="0"/>
        <v>-35854</v>
      </c>
      <c r="E12" s="32"/>
    </row>
    <row r="13" spans="1:5" x14ac:dyDescent="0.15">
      <c r="A13" s="7" t="s">
        <v>12</v>
      </c>
      <c r="B13" s="8">
        <f>SUM(B12)</f>
        <v>235854</v>
      </c>
      <c r="C13" s="8">
        <f>SUM(C12)</f>
        <v>200000</v>
      </c>
      <c r="D13" s="20">
        <f t="shared" si="0"/>
        <v>-35854</v>
      </c>
      <c r="E13" s="32"/>
    </row>
    <row r="14" spans="1:5" s="6" customFormat="1" ht="12" customHeight="1" x14ac:dyDescent="0.15">
      <c r="A14" s="63" t="s">
        <v>13</v>
      </c>
      <c r="B14" s="64"/>
      <c r="C14" s="64"/>
      <c r="D14" s="65"/>
      <c r="E14" s="44"/>
    </row>
    <row r="15" spans="1:5" x14ac:dyDescent="0.15">
      <c r="A15" s="13" t="s">
        <v>14</v>
      </c>
      <c r="B15" s="14"/>
      <c r="C15" s="14"/>
      <c r="D15" s="15"/>
      <c r="E15" s="32"/>
    </row>
    <row r="16" spans="1:5" x14ac:dyDescent="0.15">
      <c r="A16" s="7" t="s">
        <v>15</v>
      </c>
      <c r="B16" s="8">
        <v>735521</v>
      </c>
      <c r="C16" s="8">
        <v>675000</v>
      </c>
      <c r="D16" s="20">
        <f t="shared" ref="D16:D18" si="1">C16-B16</f>
        <v>-60521</v>
      </c>
      <c r="E16" s="32"/>
    </row>
    <row r="17" spans="1:7" x14ac:dyDescent="0.15">
      <c r="A17" s="7" t="s">
        <v>16</v>
      </c>
      <c r="B17" s="8">
        <f>SUM(B16)</f>
        <v>735521</v>
      </c>
      <c r="C17" s="8">
        <v>675000</v>
      </c>
      <c r="D17" s="20">
        <f t="shared" si="1"/>
        <v>-60521</v>
      </c>
      <c r="E17" s="32"/>
      <c r="F17" s="39"/>
    </row>
    <row r="18" spans="1:7" x14ac:dyDescent="0.15">
      <c r="A18" s="7" t="s">
        <v>17</v>
      </c>
      <c r="B18" s="8">
        <f>SUM(B17)</f>
        <v>735521</v>
      </c>
      <c r="C18" s="8">
        <f>SUM(C17)</f>
        <v>675000</v>
      </c>
      <c r="D18" s="20">
        <f t="shared" si="1"/>
        <v>-60521</v>
      </c>
      <c r="E18" s="32"/>
      <c r="F18" s="39"/>
    </row>
    <row r="19" spans="1:7" s="6" customFormat="1" ht="12" customHeight="1" x14ac:dyDescent="0.15">
      <c r="A19" s="63" t="s">
        <v>18</v>
      </c>
      <c r="B19" s="64"/>
      <c r="C19" s="64"/>
      <c r="D19" s="65"/>
      <c r="E19" s="44"/>
      <c r="F19" s="40"/>
    </row>
    <row r="20" spans="1:7" x14ac:dyDescent="0.15">
      <c r="A20" s="13" t="s">
        <v>19</v>
      </c>
      <c r="B20" s="14"/>
      <c r="C20" s="14"/>
      <c r="D20" s="15"/>
      <c r="E20" s="32"/>
      <c r="F20" s="39"/>
    </row>
    <row r="21" spans="1:7" x14ac:dyDescent="0.15">
      <c r="A21" s="7" t="s">
        <v>20</v>
      </c>
      <c r="B21" s="25">
        <v>772984</v>
      </c>
      <c r="C21" s="25">
        <f>733168-E21</f>
        <v>733000</v>
      </c>
      <c r="D21" s="27">
        <f t="shared" ref="D21:D32" si="2">C21-B21</f>
        <v>-39984</v>
      </c>
      <c r="E21" s="33">
        <v>168</v>
      </c>
      <c r="F21" s="33"/>
      <c r="G21" s="29"/>
    </row>
    <row r="22" spans="1:7" x14ac:dyDescent="0.15">
      <c r="A22" s="7" t="s">
        <v>21</v>
      </c>
      <c r="B22" s="25">
        <v>94865982</v>
      </c>
      <c r="C22" s="25">
        <f>SUM(114382950/1.191)*1.15-E22</f>
        <v>110444999.7531486</v>
      </c>
      <c r="D22" s="27">
        <f t="shared" si="2"/>
        <v>15579017.7531486</v>
      </c>
      <c r="E22" s="33">
        <v>334</v>
      </c>
      <c r="F22" s="33"/>
      <c r="G22" s="29"/>
    </row>
    <row r="23" spans="1:7" x14ac:dyDescent="0.15">
      <c r="A23" s="7" t="s">
        <v>22</v>
      </c>
      <c r="B23" s="25">
        <v>342857</v>
      </c>
      <c r="C23" s="25">
        <f>226517-C27-E23</f>
        <v>187000</v>
      </c>
      <c r="D23" s="27">
        <f t="shared" si="2"/>
        <v>-155857</v>
      </c>
      <c r="E23" s="33">
        <v>517</v>
      </c>
      <c r="F23" s="33"/>
      <c r="G23" s="29"/>
    </row>
    <row r="24" spans="1:7" x14ac:dyDescent="0.15">
      <c r="A24" s="7" t="s">
        <v>23</v>
      </c>
      <c r="B24" s="25">
        <v>14618135</v>
      </c>
      <c r="C24" s="25">
        <f>(16920436/1.042)*1.15-E24</f>
        <v>18673999.604606524</v>
      </c>
      <c r="D24" s="27">
        <f t="shared" si="2"/>
        <v>4055864.6046065241</v>
      </c>
      <c r="E24" s="33">
        <v>186</v>
      </c>
      <c r="F24" s="33"/>
      <c r="G24" s="29"/>
    </row>
    <row r="25" spans="1:7" x14ac:dyDescent="0.15">
      <c r="A25" s="7" t="s">
        <v>16</v>
      </c>
      <c r="B25" s="25">
        <f>SUM(B21:B24)</f>
        <v>110599958</v>
      </c>
      <c r="C25" s="25">
        <f>SUM(C21:C24)-E25</f>
        <v>130039000.35775512</v>
      </c>
      <c r="D25" s="27">
        <f t="shared" si="2"/>
        <v>19439042.357755125</v>
      </c>
      <c r="E25" s="33">
        <v>-1</v>
      </c>
      <c r="F25" s="33"/>
      <c r="G25" s="29"/>
    </row>
    <row r="26" spans="1:7" x14ac:dyDescent="0.15">
      <c r="A26" s="7" t="s">
        <v>91</v>
      </c>
      <c r="B26" s="26">
        <v>18266336</v>
      </c>
      <c r="C26" s="26">
        <f>(114382950/1.191*0.191)*1.15-E26</f>
        <v>21094999.746851385</v>
      </c>
      <c r="D26" s="27">
        <f t="shared" si="2"/>
        <v>2828663.7468513846</v>
      </c>
      <c r="E26" s="33">
        <v>59</v>
      </c>
      <c r="F26" s="33"/>
      <c r="G26" s="29"/>
    </row>
    <row r="27" spans="1:7" x14ac:dyDescent="0.15">
      <c r="A27" s="7" t="s">
        <v>92</v>
      </c>
      <c r="B27" s="26">
        <v>58433</v>
      </c>
      <c r="C27" s="26">
        <f>39517-E27</f>
        <v>39000</v>
      </c>
      <c r="D27" s="27">
        <f t="shared" si="2"/>
        <v>-19433</v>
      </c>
      <c r="E27" s="33">
        <v>517</v>
      </c>
      <c r="F27" s="33"/>
      <c r="G27" s="29"/>
    </row>
    <row r="28" spans="1:7" x14ac:dyDescent="0.15">
      <c r="A28" s="7" t="s">
        <v>93</v>
      </c>
      <c r="B28" s="26">
        <f>612459+12787</f>
        <v>625246</v>
      </c>
      <c r="C28" s="26">
        <f>(16920436/1.042*0.042)*1.15-E28</f>
        <v>783999.79539347405</v>
      </c>
      <c r="D28" s="27">
        <f t="shared" si="2"/>
        <v>158753.79539347405</v>
      </c>
      <c r="E28" s="33">
        <v>316</v>
      </c>
      <c r="F28" s="33"/>
      <c r="G28" s="29"/>
    </row>
    <row r="29" spans="1:7" x14ac:dyDescent="0.15">
      <c r="A29" s="7" t="s">
        <v>16</v>
      </c>
      <c r="B29" s="26">
        <f>SUM(B26:B28)</f>
        <v>18950015</v>
      </c>
      <c r="C29" s="26">
        <f>SUM(C26:C28)-E29</f>
        <v>21917999.542244859</v>
      </c>
      <c r="D29" s="27">
        <f t="shared" si="2"/>
        <v>2967984.542244859</v>
      </c>
      <c r="E29" s="33"/>
      <c r="F29" s="33"/>
      <c r="G29" s="29"/>
    </row>
    <row r="30" spans="1:7" x14ac:dyDescent="0.15">
      <c r="A30" s="7" t="s">
        <v>98</v>
      </c>
      <c r="B30" s="26">
        <v>0</v>
      </c>
      <c r="C30" s="26">
        <f>SUM(C22*0.045)-E30</f>
        <v>4969999.9888916872</v>
      </c>
      <c r="D30" s="27">
        <f t="shared" si="2"/>
        <v>4969999.9888916872</v>
      </c>
      <c r="E30" s="33">
        <v>25</v>
      </c>
      <c r="F30" s="33"/>
      <c r="G30" s="29"/>
    </row>
    <row r="31" spans="1:7" x14ac:dyDescent="0.15">
      <c r="A31" s="24" t="s">
        <v>100</v>
      </c>
      <c r="B31" s="26">
        <v>0</v>
      </c>
      <c r="C31" s="26">
        <f>SUM(C24*0.014)-E31</f>
        <v>260999.99446449135</v>
      </c>
      <c r="D31" s="27">
        <f t="shared" si="2"/>
        <v>260999.99446449135</v>
      </c>
      <c r="E31" s="33">
        <v>436</v>
      </c>
      <c r="F31" s="33"/>
      <c r="G31" s="29"/>
    </row>
    <row r="32" spans="1:7" x14ac:dyDescent="0.15">
      <c r="A32" s="7" t="s">
        <v>16</v>
      </c>
      <c r="B32" s="26">
        <f>SUM(B30:B31)</f>
        <v>0</v>
      </c>
      <c r="C32" s="26">
        <f>SUM(C30:C31)</f>
        <v>5230999.9833561787</v>
      </c>
      <c r="D32" s="27">
        <f t="shared" si="2"/>
        <v>5230999.9833561787</v>
      </c>
      <c r="E32" s="33"/>
      <c r="F32" s="33"/>
      <c r="G32" s="29"/>
    </row>
    <row r="33" spans="1:7" x14ac:dyDescent="0.15">
      <c r="A33" s="13" t="s">
        <v>24</v>
      </c>
      <c r="B33" s="14"/>
      <c r="C33" s="14"/>
      <c r="D33" s="15"/>
      <c r="E33" s="33"/>
      <c r="F33" s="33"/>
      <c r="G33" s="29"/>
    </row>
    <row r="34" spans="1:7" x14ac:dyDescent="0.15">
      <c r="A34" s="7" t="s">
        <v>25</v>
      </c>
      <c r="B34" s="8">
        <v>2091300</v>
      </c>
      <c r="C34" s="8">
        <f>2282923-E34</f>
        <v>2282000</v>
      </c>
      <c r="D34" s="20">
        <f t="shared" ref="D34:D35" si="3">C34-B34</f>
        <v>190700</v>
      </c>
      <c r="E34" s="33">
        <v>923</v>
      </c>
      <c r="F34" s="33"/>
      <c r="G34" s="29"/>
    </row>
    <row r="35" spans="1:7" x14ac:dyDescent="0.15">
      <c r="A35" s="7" t="s">
        <v>16</v>
      </c>
      <c r="B35" s="8">
        <f>SUM(B34)</f>
        <v>2091300</v>
      </c>
      <c r="C35" s="8">
        <f>SUM(C34)</f>
        <v>2282000</v>
      </c>
      <c r="D35" s="20">
        <f t="shared" si="3"/>
        <v>190700</v>
      </c>
      <c r="E35" s="33"/>
      <c r="F35" s="33"/>
      <c r="G35" s="29"/>
    </row>
    <row r="36" spans="1:7" x14ac:dyDescent="0.15">
      <c r="A36" s="13" t="s">
        <v>26</v>
      </c>
      <c r="B36" s="14"/>
      <c r="C36" s="14"/>
      <c r="D36" s="15"/>
      <c r="E36" s="33"/>
      <c r="F36" s="33"/>
      <c r="G36" s="29"/>
    </row>
    <row r="37" spans="1:7" x14ac:dyDescent="0.15">
      <c r="A37" s="7" t="s">
        <v>21</v>
      </c>
      <c r="B37" s="8">
        <v>387393</v>
      </c>
      <c r="C37" s="8">
        <f>SUM(18600*2)+(9300*2*12)+(2500*12)-E37</f>
        <v>290000</v>
      </c>
      <c r="D37" s="20">
        <f t="shared" ref="D37:D48" si="4">C37-B37</f>
        <v>-97393</v>
      </c>
      <c r="E37" s="33">
        <v>400</v>
      </c>
      <c r="F37" s="33"/>
      <c r="G37" s="29"/>
    </row>
    <row r="38" spans="1:7" x14ac:dyDescent="0.15">
      <c r="A38" s="7" t="s">
        <v>23</v>
      </c>
      <c r="B38" s="8">
        <v>270017</v>
      </c>
      <c r="C38" s="8">
        <f>SUM((285992-111600)/12+9300)*2-E38</f>
        <v>47000.333333333328</v>
      </c>
      <c r="D38" s="20">
        <f t="shared" si="4"/>
        <v>-223016.66666666669</v>
      </c>
      <c r="E38" s="33">
        <v>665</v>
      </c>
      <c r="F38" s="33"/>
      <c r="G38" s="29"/>
    </row>
    <row r="39" spans="1:7" x14ac:dyDescent="0.15">
      <c r="A39" s="7" t="s">
        <v>16</v>
      </c>
      <c r="B39" s="8">
        <f>SUM(B37:B38)</f>
        <v>657410</v>
      </c>
      <c r="C39" s="8">
        <f>SUM(C37:C38)</f>
        <v>337000.33333333331</v>
      </c>
      <c r="D39" s="20">
        <f t="shared" si="4"/>
        <v>-320409.66666666669</v>
      </c>
      <c r="E39" s="33"/>
      <c r="F39" s="33"/>
      <c r="G39" s="29"/>
    </row>
    <row r="40" spans="1:7" x14ac:dyDescent="0.15">
      <c r="A40" s="13" t="s">
        <v>27</v>
      </c>
      <c r="B40" s="14"/>
      <c r="C40" s="14"/>
      <c r="D40" s="15"/>
      <c r="E40" s="33"/>
      <c r="F40" s="33"/>
      <c r="G40" s="29"/>
    </row>
    <row r="41" spans="1:7" x14ac:dyDescent="0.15">
      <c r="A41" s="7" t="s">
        <v>23</v>
      </c>
      <c r="B41" s="8">
        <v>57300</v>
      </c>
      <c r="C41" s="8">
        <v>65000</v>
      </c>
      <c r="D41" s="20">
        <f t="shared" si="4"/>
        <v>7700</v>
      </c>
      <c r="E41" s="33"/>
      <c r="F41" s="33"/>
      <c r="G41" s="29"/>
    </row>
    <row r="42" spans="1:7" x14ac:dyDescent="0.15">
      <c r="A42" s="7" t="s">
        <v>16</v>
      </c>
      <c r="B42" s="8">
        <f>SUM(B41)</f>
        <v>57300</v>
      </c>
      <c r="C42" s="8">
        <f>SUM(C41)</f>
        <v>65000</v>
      </c>
      <c r="D42" s="20">
        <f t="shared" si="4"/>
        <v>7700</v>
      </c>
      <c r="E42" s="33"/>
      <c r="F42" s="33"/>
      <c r="G42" s="29"/>
    </row>
    <row r="43" spans="1:7" x14ac:dyDescent="0.15">
      <c r="A43" s="13" t="s">
        <v>28</v>
      </c>
      <c r="B43" s="14"/>
      <c r="C43" s="14"/>
      <c r="D43" s="15"/>
      <c r="E43" s="33"/>
      <c r="F43" s="33"/>
      <c r="G43" s="29"/>
    </row>
    <row r="44" spans="1:7" x14ac:dyDescent="0.15">
      <c r="A44" s="7" t="s">
        <v>29</v>
      </c>
      <c r="B44" s="8">
        <v>2052000</v>
      </c>
      <c r="C44" s="8">
        <v>2052000</v>
      </c>
      <c r="D44" s="20">
        <f t="shared" si="4"/>
        <v>0</v>
      </c>
      <c r="E44" s="33"/>
      <c r="F44" s="33"/>
      <c r="G44" s="29"/>
    </row>
    <row r="45" spans="1:7" x14ac:dyDescent="0.15">
      <c r="A45" s="7" t="s">
        <v>30</v>
      </c>
      <c r="B45" s="8">
        <v>142200</v>
      </c>
      <c r="C45" s="8">
        <f>129600-E45</f>
        <v>129600</v>
      </c>
      <c r="D45" s="20">
        <f t="shared" si="4"/>
        <v>-12600</v>
      </c>
      <c r="E45" s="33"/>
      <c r="F45" s="33"/>
      <c r="G45" s="29"/>
    </row>
    <row r="46" spans="1:7" x14ac:dyDescent="0.15">
      <c r="A46" s="7" t="s">
        <v>16</v>
      </c>
      <c r="B46" s="8">
        <f>SUM(B44:B45)</f>
        <v>2194200</v>
      </c>
      <c r="C46" s="8">
        <f>SUM(C44:C45)</f>
        <v>2181600</v>
      </c>
      <c r="D46" s="20">
        <f t="shared" si="4"/>
        <v>-12600</v>
      </c>
      <c r="E46" s="33"/>
      <c r="F46" s="33"/>
      <c r="G46" s="29"/>
    </row>
    <row r="47" spans="1:7" x14ac:dyDescent="0.15">
      <c r="A47" s="7" t="s">
        <v>31</v>
      </c>
      <c r="B47" s="8">
        <v>205000</v>
      </c>
      <c r="C47" s="8">
        <v>320000</v>
      </c>
      <c r="D47" s="20">
        <f t="shared" si="4"/>
        <v>115000</v>
      </c>
      <c r="E47" s="33"/>
      <c r="F47" s="33"/>
      <c r="G47" s="29"/>
    </row>
    <row r="48" spans="1:7" x14ac:dyDescent="0.15">
      <c r="A48" s="7" t="s">
        <v>32</v>
      </c>
      <c r="B48" s="8">
        <f>B25+B29+B32+B35+B39+B42+B46+B47</f>
        <v>134755183</v>
      </c>
      <c r="C48" s="8">
        <f>C25+C29+C32+C35+C39+C42+C46+C47</f>
        <v>162373600.2166895</v>
      </c>
      <c r="D48" s="20">
        <f t="shared" si="4"/>
        <v>27618417.216689497</v>
      </c>
      <c r="E48" s="33"/>
      <c r="F48" s="33"/>
      <c r="G48" s="29"/>
    </row>
    <row r="49" spans="1:11" s="6" customFormat="1" ht="12" customHeight="1" x14ac:dyDescent="0.15">
      <c r="A49" s="63" t="s">
        <v>33</v>
      </c>
      <c r="B49" s="64"/>
      <c r="C49" s="64"/>
      <c r="D49" s="65"/>
      <c r="E49" s="33">
        <f>E21+E22+E24+E26+E27+E28+E30+E31+E34+E37+E38+E45+E46</f>
        <v>4029</v>
      </c>
      <c r="F49" s="41"/>
      <c r="G49" s="30"/>
    </row>
    <row r="50" spans="1:11" x14ac:dyDescent="0.15">
      <c r="A50" s="7" t="s">
        <v>34</v>
      </c>
      <c r="B50" s="8">
        <v>3026</v>
      </c>
      <c r="C50" s="8">
        <v>2000</v>
      </c>
      <c r="D50" s="20">
        <f t="shared" ref="D50:D53" si="5">C50-B50</f>
        <v>-1026</v>
      </c>
      <c r="E50" s="33"/>
      <c r="F50" s="33"/>
      <c r="G50" s="29"/>
    </row>
    <row r="51" spans="1:11" x14ac:dyDescent="0.15">
      <c r="A51" s="7" t="s">
        <v>35</v>
      </c>
      <c r="B51" s="8">
        <v>204040</v>
      </c>
      <c r="C51" s="8">
        <f>250000+E49</f>
        <v>254029</v>
      </c>
      <c r="D51" s="20">
        <f t="shared" si="5"/>
        <v>49989</v>
      </c>
      <c r="E51" s="33"/>
      <c r="F51" s="33"/>
      <c r="G51" s="29"/>
    </row>
    <row r="52" spans="1:11" x14ac:dyDescent="0.15">
      <c r="A52" s="7" t="s">
        <v>36</v>
      </c>
      <c r="B52" s="8">
        <f>SUM(B50:B51)</f>
        <v>207066</v>
      </c>
      <c r="C52" s="8">
        <f>SUM(C50:C51)</f>
        <v>256029</v>
      </c>
      <c r="D52" s="20">
        <f t="shared" si="5"/>
        <v>48963</v>
      </c>
      <c r="E52" s="33"/>
      <c r="F52" s="33"/>
      <c r="G52" s="29"/>
    </row>
    <row r="53" spans="1:11" x14ac:dyDescent="0.15">
      <c r="A53" s="9" t="s">
        <v>37</v>
      </c>
      <c r="B53" s="8">
        <f>B10+B13+B18+B48+B52</f>
        <v>136308124</v>
      </c>
      <c r="C53" s="8">
        <f>C10+C13+C18+C48+C52</f>
        <v>163569629.2166895</v>
      </c>
      <c r="D53" s="20">
        <f t="shared" si="5"/>
        <v>27261505.216689497</v>
      </c>
      <c r="E53" s="33"/>
      <c r="F53" s="33"/>
      <c r="G53" s="29"/>
    </row>
    <row r="54" spans="1:11" s="5" customFormat="1" ht="12" customHeight="1" x14ac:dyDescent="0.15">
      <c r="A54" s="66" t="s">
        <v>38</v>
      </c>
      <c r="B54" s="67"/>
      <c r="C54" s="67"/>
      <c r="D54" s="68"/>
      <c r="E54" s="42"/>
      <c r="F54" s="42"/>
      <c r="G54" s="31"/>
    </row>
    <row r="55" spans="1:11" x14ac:dyDescent="0.15">
      <c r="A55" s="52" t="s">
        <v>39</v>
      </c>
      <c r="B55" s="53"/>
      <c r="C55" s="53"/>
      <c r="D55" s="54"/>
      <c r="E55" s="32"/>
      <c r="F55" s="32"/>
    </row>
    <row r="56" spans="1:11" x14ac:dyDescent="0.15">
      <c r="A56" s="13" t="s">
        <v>40</v>
      </c>
      <c r="B56" s="14"/>
      <c r="C56" s="14"/>
      <c r="D56" s="15"/>
      <c r="E56" s="32"/>
      <c r="F56" s="32"/>
    </row>
    <row r="57" spans="1:11" x14ac:dyDescent="0.15">
      <c r="A57" s="7" t="s">
        <v>41</v>
      </c>
      <c r="B57" s="25">
        <v>48158460</v>
      </c>
      <c r="C57" s="25">
        <f>(51565703-2564451-1023210+4551660)-E57</f>
        <v>52529000</v>
      </c>
      <c r="D57" s="27">
        <f t="shared" ref="D57:D67" si="6">C57-B57</f>
        <v>4370540</v>
      </c>
      <c r="E57" s="32">
        <v>702</v>
      </c>
      <c r="F57" s="32"/>
    </row>
    <row r="58" spans="1:11" x14ac:dyDescent="0.15">
      <c r="A58" s="7" t="s">
        <v>42</v>
      </c>
      <c r="B58" s="25">
        <v>24561326</v>
      </c>
      <c r="C58" s="25">
        <f>(24791016-924960-3900)-E58</f>
        <v>23862000</v>
      </c>
      <c r="D58" s="27">
        <f t="shared" si="6"/>
        <v>-699326</v>
      </c>
      <c r="E58" s="33">
        <v>156</v>
      </c>
      <c r="F58" s="32"/>
    </row>
    <row r="59" spans="1:11" x14ac:dyDescent="0.15">
      <c r="A59" s="7" t="s">
        <v>45</v>
      </c>
      <c r="B59" s="25">
        <f>B57+B58</f>
        <v>72719786</v>
      </c>
      <c r="C59" s="25">
        <f>SUM(C57:C58)-E59</f>
        <v>76391000</v>
      </c>
      <c r="D59" s="27">
        <f t="shared" si="6"/>
        <v>3671214</v>
      </c>
      <c r="E59" s="33"/>
      <c r="F59" s="32"/>
      <c r="I59" s="22"/>
      <c r="K59" s="22"/>
    </row>
    <row r="60" spans="1:11" x14ac:dyDescent="0.15">
      <c r="A60" s="7" t="s">
        <v>43</v>
      </c>
      <c r="B60" s="25">
        <v>19235946</v>
      </c>
      <c r="C60" s="25">
        <f>(3489411+4440000+12097252)-E60</f>
        <v>20026000</v>
      </c>
      <c r="D60" s="27">
        <f t="shared" si="6"/>
        <v>790054</v>
      </c>
      <c r="E60" s="33">
        <v>663</v>
      </c>
      <c r="F60" s="32"/>
    </row>
    <row r="61" spans="1:11" x14ac:dyDescent="0.15">
      <c r="A61" s="7" t="s">
        <v>44</v>
      </c>
      <c r="B61" s="25">
        <v>1026470</v>
      </c>
      <c r="C61" s="25">
        <f>(1061850+1320000+1249350)-E61</f>
        <v>3631000</v>
      </c>
      <c r="D61" s="27">
        <f t="shared" si="6"/>
        <v>2604530</v>
      </c>
      <c r="E61" s="33">
        <v>200</v>
      </c>
      <c r="F61" s="32"/>
      <c r="K61" s="22"/>
    </row>
    <row r="62" spans="1:11" x14ac:dyDescent="0.15">
      <c r="A62" s="7" t="s">
        <v>45</v>
      </c>
      <c r="B62" s="25">
        <f>SUM(B60:B61)</f>
        <v>20262416</v>
      </c>
      <c r="C62" s="25">
        <f>SUM(C60:C61)</f>
        <v>23657000</v>
      </c>
      <c r="D62" s="27">
        <f t="shared" si="6"/>
        <v>3394584</v>
      </c>
      <c r="E62" s="33"/>
      <c r="F62" s="32"/>
    </row>
    <row r="63" spans="1:11" x14ac:dyDescent="0.15">
      <c r="A63" s="7" t="s">
        <v>94</v>
      </c>
      <c r="B63" s="25">
        <v>1843600</v>
      </c>
      <c r="C63" s="25">
        <f>4417100-E63-340000</f>
        <v>4077000</v>
      </c>
      <c r="D63" s="27">
        <f t="shared" si="6"/>
        <v>2233400</v>
      </c>
      <c r="E63" s="33">
        <v>100</v>
      </c>
      <c r="F63" s="32"/>
    </row>
    <row r="64" spans="1:11" x14ac:dyDescent="0.15">
      <c r="A64" s="7" t="s">
        <v>95</v>
      </c>
      <c r="B64" s="25">
        <v>609390</v>
      </c>
      <c r="C64" s="25">
        <f>2201200-E64-250000</f>
        <v>1951000</v>
      </c>
      <c r="D64" s="27">
        <f t="shared" si="6"/>
        <v>1341610</v>
      </c>
      <c r="E64" s="33">
        <v>200</v>
      </c>
      <c r="F64" s="32"/>
    </row>
    <row r="65" spans="1:6" x14ac:dyDescent="0.15">
      <c r="A65" s="7" t="s">
        <v>45</v>
      </c>
      <c r="B65" s="25">
        <f>SUM(B63:B64)</f>
        <v>2452990</v>
      </c>
      <c r="C65" s="25">
        <f>SUM(C63:C64)</f>
        <v>6028000</v>
      </c>
      <c r="D65" s="27">
        <f t="shared" si="6"/>
        <v>3575010</v>
      </c>
      <c r="E65" s="33"/>
      <c r="F65" s="32"/>
    </row>
    <row r="66" spans="1:6" x14ac:dyDescent="0.15">
      <c r="A66" s="7" t="s">
        <v>102</v>
      </c>
      <c r="B66" s="25">
        <v>0</v>
      </c>
      <c r="C66" s="25">
        <v>5231000</v>
      </c>
      <c r="D66" s="27"/>
      <c r="E66" s="33"/>
      <c r="F66" s="32"/>
    </row>
    <row r="67" spans="1:6" x14ac:dyDescent="0.15">
      <c r="A67" s="7" t="s">
        <v>46</v>
      </c>
      <c r="B67" s="25">
        <v>2574090</v>
      </c>
      <c r="C67" s="25">
        <f>2708121*1.15-E67</f>
        <v>3114000.15</v>
      </c>
      <c r="D67" s="27">
        <f t="shared" si="6"/>
        <v>539910.14999999991</v>
      </c>
      <c r="E67" s="33">
        <v>339</v>
      </c>
      <c r="F67" s="32"/>
    </row>
    <row r="68" spans="1:6" x14ac:dyDescent="0.15">
      <c r="A68" s="13" t="s">
        <v>47</v>
      </c>
      <c r="B68" s="16"/>
      <c r="C68" s="16"/>
      <c r="D68" s="16"/>
      <c r="E68" s="33"/>
      <c r="F68" s="32"/>
    </row>
    <row r="69" spans="1:6" x14ac:dyDescent="0.15">
      <c r="A69" s="7" t="s">
        <v>48</v>
      </c>
      <c r="B69" s="25">
        <f>10861752-B71</f>
        <v>10599131</v>
      </c>
      <c r="C69" s="25">
        <f>SUM(11205312+511082)-E69</f>
        <v>11716000</v>
      </c>
      <c r="D69" s="27">
        <f t="shared" ref="D69:D77" si="7">C69-B69</f>
        <v>1116869</v>
      </c>
      <c r="E69" s="33">
        <v>394</v>
      </c>
      <c r="F69" s="32"/>
    </row>
    <row r="70" spans="1:6" x14ac:dyDescent="0.15">
      <c r="A70" s="7" t="s">
        <v>49</v>
      </c>
      <c r="B70" s="25">
        <f>701011-B72</f>
        <v>684419</v>
      </c>
      <c r="C70" s="25">
        <f>SUM(769372+31974)-E70</f>
        <v>801000</v>
      </c>
      <c r="D70" s="27">
        <f t="shared" si="7"/>
        <v>116581</v>
      </c>
      <c r="E70" s="33">
        <v>346</v>
      </c>
      <c r="F70" s="32"/>
    </row>
    <row r="71" spans="1:6" x14ac:dyDescent="0.15">
      <c r="A71" s="7" t="s">
        <v>96</v>
      </c>
      <c r="B71" s="25">
        <v>262621</v>
      </c>
      <c r="C71" s="25">
        <f>775225-E71</f>
        <v>775000</v>
      </c>
      <c r="D71" s="27">
        <f t="shared" si="7"/>
        <v>512379</v>
      </c>
      <c r="E71" s="33">
        <v>225</v>
      </c>
      <c r="F71" s="32"/>
    </row>
    <row r="72" spans="1:6" x14ac:dyDescent="0.15">
      <c r="A72" s="7" t="s">
        <v>97</v>
      </c>
      <c r="B72" s="25">
        <v>16592</v>
      </c>
      <c r="C72" s="25">
        <f>48163-E72</f>
        <v>48000</v>
      </c>
      <c r="D72" s="27">
        <f t="shared" si="7"/>
        <v>31408</v>
      </c>
      <c r="E72" s="33">
        <v>163</v>
      </c>
      <c r="F72" s="32"/>
    </row>
    <row r="73" spans="1:6" x14ac:dyDescent="0.15">
      <c r="A73" s="7" t="s">
        <v>45</v>
      </c>
      <c r="B73" s="25">
        <f>SUM(B69:B72)</f>
        <v>11562763</v>
      </c>
      <c r="C73" s="25">
        <f>SUM(C69:C72)*1.15-E73</f>
        <v>15340999.999999998</v>
      </c>
      <c r="D73" s="27">
        <f t="shared" si="7"/>
        <v>3778236.9999999981</v>
      </c>
      <c r="E73" s="33"/>
      <c r="F73" s="32"/>
    </row>
    <row r="74" spans="1:6" x14ac:dyDescent="0.15">
      <c r="A74" s="7" t="s">
        <v>50</v>
      </c>
      <c r="B74" s="25">
        <v>1290000</v>
      </c>
      <c r="C74" s="25">
        <v>1320000</v>
      </c>
      <c r="D74" s="27">
        <f t="shared" si="7"/>
        <v>30000</v>
      </c>
      <c r="E74" s="33"/>
      <c r="F74" s="32"/>
    </row>
    <row r="75" spans="1:6" x14ac:dyDescent="0.15">
      <c r="A75" s="7" t="s">
        <v>51</v>
      </c>
      <c r="B75" s="25">
        <v>641874</v>
      </c>
      <c r="C75" s="25">
        <v>600000</v>
      </c>
      <c r="D75" s="27">
        <f t="shared" si="7"/>
        <v>-41874</v>
      </c>
      <c r="E75" s="33"/>
      <c r="F75" s="32"/>
    </row>
    <row r="76" spans="1:6" x14ac:dyDescent="0.15">
      <c r="A76" s="10" t="s">
        <v>52</v>
      </c>
      <c r="B76" s="25">
        <f>B59+B62+B65+B67+B73+B74+B75</f>
        <v>111503919</v>
      </c>
      <c r="C76" s="25">
        <f>C59+C62+C65+C67+C73+C74+C75+C66+E76</f>
        <v>131682000.15000001</v>
      </c>
      <c r="D76" s="27">
        <f t="shared" si="7"/>
        <v>20178081.150000006</v>
      </c>
      <c r="E76" s="33"/>
      <c r="F76" s="32"/>
    </row>
    <row r="77" spans="1:6" x14ac:dyDescent="0.15">
      <c r="A77" s="10" t="s">
        <v>105</v>
      </c>
      <c r="B77" s="26">
        <f>B60+B63+B71+B72</f>
        <v>21358759</v>
      </c>
      <c r="C77" s="26">
        <f>C60+C63+C71+C72</f>
        <v>24926000</v>
      </c>
      <c r="D77" s="27">
        <f t="shared" si="7"/>
        <v>3567241</v>
      </c>
      <c r="E77" s="33"/>
      <c r="F77" s="32"/>
    </row>
    <row r="78" spans="1:6" x14ac:dyDescent="0.15">
      <c r="A78" s="69" t="s">
        <v>53</v>
      </c>
      <c r="B78" s="70"/>
      <c r="C78" s="70"/>
      <c r="D78" s="71"/>
      <c r="E78" s="33"/>
      <c r="F78" s="32"/>
    </row>
    <row r="79" spans="1:6" x14ac:dyDescent="0.15">
      <c r="A79" s="7" t="s">
        <v>54</v>
      </c>
      <c r="B79" s="8">
        <v>1272587</v>
      </c>
      <c r="C79" s="8">
        <v>1460000</v>
      </c>
      <c r="D79" s="20">
        <f t="shared" ref="D79:D102" si="8">C79-B79</f>
        <v>187413</v>
      </c>
      <c r="E79" s="33"/>
      <c r="F79" s="32"/>
    </row>
    <row r="80" spans="1:6" x14ac:dyDescent="0.15">
      <c r="A80" s="7" t="s">
        <v>55</v>
      </c>
      <c r="B80" s="8">
        <v>90937</v>
      </c>
      <c r="C80" s="8">
        <v>90000</v>
      </c>
      <c r="D80" s="20">
        <f t="shared" si="8"/>
        <v>-937</v>
      </c>
      <c r="E80" s="33"/>
      <c r="F80" s="32"/>
    </row>
    <row r="81" spans="1:6" x14ac:dyDescent="0.15">
      <c r="A81" s="7" t="s">
        <v>56</v>
      </c>
      <c r="B81" s="8">
        <v>688140</v>
      </c>
      <c r="C81" s="8">
        <v>720000</v>
      </c>
      <c r="D81" s="20">
        <f t="shared" si="8"/>
        <v>31860</v>
      </c>
      <c r="E81" s="33"/>
      <c r="F81" s="32"/>
    </row>
    <row r="82" spans="1:6" x14ac:dyDescent="0.15">
      <c r="A82" s="7" t="s">
        <v>57</v>
      </c>
      <c r="B82" s="8">
        <v>42185</v>
      </c>
      <c r="C82" s="8">
        <v>50000</v>
      </c>
      <c r="D82" s="20">
        <f t="shared" si="8"/>
        <v>7815</v>
      </c>
      <c r="E82" s="33"/>
      <c r="F82" s="32"/>
    </row>
    <row r="83" spans="1:6" x14ac:dyDescent="0.15">
      <c r="A83" s="7" t="s">
        <v>58</v>
      </c>
      <c r="B83" s="8">
        <v>176123</v>
      </c>
      <c r="C83" s="8">
        <v>400000</v>
      </c>
      <c r="D83" s="20">
        <f t="shared" si="8"/>
        <v>223877</v>
      </c>
      <c r="E83" s="33"/>
      <c r="F83" s="32"/>
    </row>
    <row r="84" spans="1:6" x14ac:dyDescent="0.15">
      <c r="A84" s="7" t="s">
        <v>59</v>
      </c>
      <c r="B84" s="8">
        <v>1532679</v>
      </c>
      <c r="C84" s="8">
        <v>1500000</v>
      </c>
      <c r="D84" s="20">
        <f t="shared" si="8"/>
        <v>-32679</v>
      </c>
      <c r="E84" s="33"/>
      <c r="F84" s="32"/>
    </row>
    <row r="85" spans="1:6" x14ac:dyDescent="0.15">
      <c r="A85" s="7" t="s">
        <v>60</v>
      </c>
      <c r="B85" s="8">
        <v>1900475</v>
      </c>
      <c r="C85" s="8">
        <v>1300000</v>
      </c>
      <c r="D85" s="20">
        <f t="shared" si="8"/>
        <v>-600475</v>
      </c>
      <c r="E85" s="33"/>
      <c r="F85" s="32"/>
    </row>
    <row r="86" spans="1:6" x14ac:dyDescent="0.15">
      <c r="A86" s="7" t="s">
        <v>61</v>
      </c>
      <c r="B86" s="8">
        <v>37550</v>
      </c>
      <c r="C86" s="8">
        <v>100000</v>
      </c>
      <c r="D86" s="20">
        <f t="shared" si="8"/>
        <v>62450</v>
      </c>
      <c r="E86" s="33"/>
      <c r="F86" s="32"/>
    </row>
    <row r="87" spans="1:6" x14ac:dyDescent="0.15">
      <c r="A87" s="7" t="s">
        <v>62</v>
      </c>
      <c r="B87" s="8">
        <v>149657</v>
      </c>
      <c r="C87" s="8">
        <v>100000</v>
      </c>
      <c r="D87" s="20">
        <f t="shared" si="8"/>
        <v>-49657</v>
      </c>
      <c r="E87" s="33"/>
      <c r="F87" s="32"/>
    </row>
    <row r="88" spans="1:6" x14ac:dyDescent="0.15">
      <c r="A88" s="7" t="s">
        <v>63</v>
      </c>
      <c r="B88" s="8">
        <v>104985</v>
      </c>
      <c r="C88" s="8">
        <v>200000</v>
      </c>
      <c r="D88" s="20">
        <f t="shared" si="8"/>
        <v>95015</v>
      </c>
      <c r="E88" s="33"/>
      <c r="F88" s="32"/>
    </row>
    <row r="89" spans="1:6" x14ac:dyDescent="0.15">
      <c r="A89" s="7" t="s">
        <v>64</v>
      </c>
      <c r="B89" s="8">
        <v>80352</v>
      </c>
      <c r="C89" s="8">
        <v>345000</v>
      </c>
      <c r="D89" s="20">
        <f t="shared" si="8"/>
        <v>264648</v>
      </c>
      <c r="E89" s="33"/>
      <c r="F89" s="32"/>
    </row>
    <row r="90" spans="1:6" x14ac:dyDescent="0.15">
      <c r="A90" s="7" t="s">
        <v>65</v>
      </c>
      <c r="B90" s="8">
        <v>598154</v>
      </c>
      <c r="C90" s="8">
        <v>600000</v>
      </c>
      <c r="D90" s="20">
        <f t="shared" si="8"/>
        <v>1846</v>
      </c>
      <c r="E90" s="33"/>
      <c r="F90" s="32"/>
    </row>
    <row r="91" spans="1:6" x14ac:dyDescent="0.15">
      <c r="A91" s="7" t="s">
        <v>66</v>
      </c>
      <c r="B91" s="8">
        <v>4083180</v>
      </c>
      <c r="C91" s="8">
        <f>4071721-E91</f>
        <v>4071000</v>
      </c>
      <c r="D91" s="20">
        <f t="shared" si="8"/>
        <v>-12180</v>
      </c>
      <c r="E91" s="33">
        <v>721</v>
      </c>
      <c r="F91" s="32"/>
    </row>
    <row r="92" spans="1:6" x14ac:dyDescent="0.15">
      <c r="A92" s="7" t="s">
        <v>67</v>
      </c>
      <c r="B92" s="8">
        <v>683410</v>
      </c>
      <c r="C92" s="8">
        <v>705000</v>
      </c>
      <c r="D92" s="20">
        <f t="shared" si="8"/>
        <v>21590</v>
      </c>
      <c r="E92" s="33"/>
      <c r="F92" s="32"/>
    </row>
    <row r="93" spans="1:6" x14ac:dyDescent="0.15">
      <c r="A93" s="7" t="s">
        <v>68</v>
      </c>
      <c r="B93" s="8">
        <v>825188</v>
      </c>
      <c r="C93" s="8">
        <v>1010000</v>
      </c>
      <c r="D93" s="20">
        <f t="shared" si="8"/>
        <v>184812</v>
      </c>
      <c r="E93" s="33"/>
      <c r="F93" s="32"/>
    </row>
    <row r="94" spans="1:6" x14ac:dyDescent="0.15">
      <c r="A94" s="7" t="s">
        <v>69</v>
      </c>
      <c r="B94" s="8">
        <v>1043108</v>
      </c>
      <c r="C94" s="8">
        <v>1350000</v>
      </c>
      <c r="D94" s="20">
        <f t="shared" si="8"/>
        <v>306892</v>
      </c>
      <c r="E94" s="33"/>
      <c r="F94" s="32"/>
    </row>
    <row r="95" spans="1:6" x14ac:dyDescent="0.15">
      <c r="A95" s="7" t="s">
        <v>101</v>
      </c>
      <c r="B95" s="8">
        <v>348388</v>
      </c>
      <c r="C95" s="8">
        <v>0</v>
      </c>
      <c r="D95" s="20">
        <f t="shared" si="8"/>
        <v>-348388</v>
      </c>
      <c r="E95" s="33"/>
      <c r="F95" s="32"/>
    </row>
    <row r="96" spans="1:6" x14ac:dyDescent="0.15">
      <c r="A96" s="7" t="s">
        <v>70</v>
      </c>
      <c r="B96" s="8">
        <v>1377176</v>
      </c>
      <c r="C96" s="8">
        <v>1380000</v>
      </c>
      <c r="D96" s="20">
        <f t="shared" si="8"/>
        <v>2824</v>
      </c>
      <c r="E96" s="33"/>
      <c r="F96" s="32"/>
    </row>
    <row r="97" spans="1:6" x14ac:dyDescent="0.15">
      <c r="A97" s="7" t="s">
        <v>71</v>
      </c>
      <c r="B97" s="8">
        <v>498271</v>
      </c>
      <c r="C97" s="8">
        <f>594782-E97</f>
        <v>594000</v>
      </c>
      <c r="D97" s="20">
        <f t="shared" si="8"/>
        <v>95729</v>
      </c>
      <c r="E97" s="33">
        <v>782</v>
      </c>
      <c r="F97" s="32"/>
    </row>
    <row r="98" spans="1:6" x14ac:dyDescent="0.15">
      <c r="A98" s="7" t="s">
        <v>72</v>
      </c>
      <c r="B98" s="8">
        <v>150602</v>
      </c>
      <c r="C98" s="8">
        <v>100000</v>
      </c>
      <c r="D98" s="20">
        <f t="shared" si="8"/>
        <v>-50602</v>
      </c>
      <c r="E98" s="33"/>
      <c r="F98" s="32"/>
    </row>
    <row r="99" spans="1:6" x14ac:dyDescent="0.15">
      <c r="A99" s="28" t="s">
        <v>103</v>
      </c>
      <c r="B99" s="8">
        <v>0</v>
      </c>
      <c r="C99" s="8">
        <f>E99</f>
        <v>4289</v>
      </c>
      <c r="D99" s="20">
        <f t="shared" si="8"/>
        <v>4289</v>
      </c>
      <c r="E99" s="33">
        <f>SUM(E58:E98)</f>
        <v>4289</v>
      </c>
      <c r="F99" s="32"/>
    </row>
    <row r="100" spans="1:6" x14ac:dyDescent="0.15">
      <c r="A100" s="10" t="s">
        <v>73</v>
      </c>
      <c r="B100" s="8">
        <f>SUM(B79:B99)</f>
        <v>15683147</v>
      </c>
      <c r="C100" s="8">
        <f>SUM(C79:C99)</f>
        <v>16079289</v>
      </c>
      <c r="D100" s="20">
        <f t="shared" si="8"/>
        <v>396142</v>
      </c>
      <c r="E100" s="32"/>
    </row>
    <row r="101" spans="1:6" x14ac:dyDescent="0.15">
      <c r="A101" s="9" t="s">
        <v>74</v>
      </c>
      <c r="B101" s="8">
        <f>B76+B100</f>
        <v>127187066</v>
      </c>
      <c r="C101" s="8">
        <f>C76+C100</f>
        <v>147761289.15000001</v>
      </c>
      <c r="D101" s="20">
        <f t="shared" si="8"/>
        <v>20574223.150000006</v>
      </c>
      <c r="E101" s="32"/>
    </row>
    <row r="102" spans="1:6" x14ac:dyDescent="0.15">
      <c r="A102" s="9" t="s">
        <v>75</v>
      </c>
      <c r="B102" s="8">
        <f>B53-B101</f>
        <v>9121058</v>
      </c>
      <c r="C102" s="8">
        <f>C53-C101</f>
        <v>15808340.066689491</v>
      </c>
      <c r="D102" s="20">
        <f t="shared" si="8"/>
        <v>6687282.0666894913</v>
      </c>
      <c r="E102" s="46"/>
    </row>
    <row r="103" spans="1:6" s="5" customFormat="1" ht="12" customHeight="1" x14ac:dyDescent="0.15">
      <c r="A103" s="72" t="s">
        <v>76</v>
      </c>
      <c r="B103" s="73"/>
      <c r="C103" s="73"/>
      <c r="D103" s="74"/>
      <c r="E103" s="47"/>
    </row>
    <row r="104" spans="1:6" s="5" customFormat="1" ht="12" customHeight="1" x14ac:dyDescent="0.15">
      <c r="A104" s="72" t="s">
        <v>77</v>
      </c>
      <c r="B104" s="73"/>
      <c r="C104" s="73"/>
      <c r="D104" s="74"/>
      <c r="E104" s="47"/>
    </row>
    <row r="105" spans="1:6" x14ac:dyDescent="0.15">
      <c r="A105" s="7" t="s">
        <v>78</v>
      </c>
      <c r="B105" s="18">
        <v>277</v>
      </c>
      <c r="C105" s="18">
        <v>0</v>
      </c>
      <c r="D105" s="20">
        <f t="shared" ref="D105:D106" si="9">C105-B105</f>
        <v>-277</v>
      </c>
      <c r="E105" s="46"/>
    </row>
    <row r="106" spans="1:6" x14ac:dyDescent="0.15">
      <c r="A106" s="9" t="s">
        <v>79</v>
      </c>
      <c r="B106" s="18">
        <f>SUM(B105)</f>
        <v>277</v>
      </c>
      <c r="C106" s="18">
        <f>SUM(C105)</f>
        <v>0</v>
      </c>
      <c r="D106" s="20">
        <f t="shared" si="9"/>
        <v>-277</v>
      </c>
      <c r="E106" s="46"/>
    </row>
    <row r="107" spans="1:6" s="5" customFormat="1" ht="12" customHeight="1" x14ac:dyDescent="0.15">
      <c r="A107" s="72" t="s">
        <v>80</v>
      </c>
      <c r="B107" s="73"/>
      <c r="C107" s="73"/>
      <c r="D107" s="74"/>
      <c r="E107" s="47"/>
    </row>
    <row r="108" spans="1:6" s="5" customFormat="1" ht="12" customHeight="1" x14ac:dyDescent="0.15">
      <c r="A108" s="7" t="s">
        <v>104</v>
      </c>
      <c r="B108" s="36">
        <v>7950</v>
      </c>
      <c r="C108" s="34"/>
      <c r="D108" s="35"/>
      <c r="E108" s="47"/>
    </row>
    <row r="109" spans="1:6" x14ac:dyDescent="0.15">
      <c r="A109" s="9" t="s">
        <v>81</v>
      </c>
      <c r="B109" s="37">
        <f>B108</f>
        <v>7950</v>
      </c>
      <c r="C109" s="18">
        <v>0</v>
      </c>
      <c r="D109" s="18"/>
      <c r="E109" s="46"/>
    </row>
    <row r="110" spans="1:6" x14ac:dyDescent="0.15">
      <c r="A110" s="9" t="s">
        <v>82</v>
      </c>
      <c r="B110" s="38">
        <f>B106-B109</f>
        <v>-7673</v>
      </c>
      <c r="C110" s="18">
        <f>C106-C109</f>
        <v>0</v>
      </c>
      <c r="D110" s="18"/>
      <c r="E110" s="46"/>
    </row>
    <row r="111" spans="1:6" x14ac:dyDescent="0.15">
      <c r="A111" s="9" t="s">
        <v>83</v>
      </c>
      <c r="B111" s="8">
        <f>B102+B110</f>
        <v>9113385</v>
      </c>
      <c r="C111" s="8">
        <f>C102+C110</f>
        <v>15808340.066689491</v>
      </c>
      <c r="D111" s="20">
        <f t="shared" ref="D111:D113" si="10">C111-B111</f>
        <v>6694955.0666894913</v>
      </c>
      <c r="E111" s="46"/>
    </row>
    <row r="112" spans="1:6" x14ac:dyDescent="0.15">
      <c r="A112" s="7" t="s">
        <v>84</v>
      </c>
      <c r="B112" s="8">
        <v>776200</v>
      </c>
      <c r="C112" s="8">
        <f>1399400+61500+634200+229200</f>
        <v>2324300</v>
      </c>
      <c r="D112" s="20">
        <f t="shared" si="10"/>
        <v>1548100</v>
      </c>
      <c r="E112" s="46"/>
    </row>
    <row r="113" spans="1:5" x14ac:dyDescent="0.15">
      <c r="A113" s="17" t="s">
        <v>85</v>
      </c>
      <c r="B113" s="19">
        <f>B111-B112</f>
        <v>8337185</v>
      </c>
      <c r="C113" s="19">
        <f>C111-C112</f>
        <v>13484040.066689491</v>
      </c>
      <c r="D113" s="23">
        <f t="shared" si="10"/>
        <v>5146855.0666894913</v>
      </c>
      <c r="E113" s="45"/>
    </row>
    <row r="114" spans="1:5" x14ac:dyDescent="0.15">
      <c r="A114" s="17" t="s">
        <v>86</v>
      </c>
      <c r="B114" s="19">
        <v>50988035</v>
      </c>
      <c r="C114" s="19">
        <f>B115</f>
        <v>59325220</v>
      </c>
      <c r="D114" s="19"/>
      <c r="E114" s="45"/>
    </row>
    <row r="115" spans="1:5" x14ac:dyDescent="0.15">
      <c r="A115" s="17" t="s">
        <v>87</v>
      </c>
      <c r="B115" s="19">
        <f>B113+B114</f>
        <v>59325220</v>
      </c>
      <c r="C115" s="19">
        <f>C113+C114</f>
        <v>72809260.066689491</v>
      </c>
      <c r="D115" s="19"/>
      <c r="E115" s="45"/>
    </row>
    <row r="116" spans="1:5" ht="24" customHeight="1" x14ac:dyDescent="0.15">
      <c r="A116" s="75" t="s">
        <v>106</v>
      </c>
      <c r="B116" s="76"/>
      <c r="C116" s="76"/>
      <c r="D116" s="76"/>
      <c r="E116" s="45"/>
    </row>
    <row r="117" spans="1:5" x14ac:dyDescent="0.15">
      <c r="A117" s="50"/>
    </row>
    <row r="119" spans="1:5" x14ac:dyDescent="0.15">
      <c r="A119" s="51" t="s">
        <v>107</v>
      </c>
    </row>
  </sheetData>
  <mergeCells count="17">
    <mergeCell ref="A78:D78"/>
    <mergeCell ref="A103:D103"/>
    <mergeCell ref="A104:D104"/>
    <mergeCell ref="A107:D107"/>
    <mergeCell ref="A116:D116"/>
    <mergeCell ref="A55:D55"/>
    <mergeCell ref="A1:D1"/>
    <mergeCell ref="A2:B2"/>
    <mergeCell ref="A4:D4"/>
    <mergeCell ref="A5:D5"/>
    <mergeCell ref="A6:D6"/>
    <mergeCell ref="A7:D7"/>
    <mergeCell ref="A11:D11"/>
    <mergeCell ref="A14:D14"/>
    <mergeCell ref="A19:D19"/>
    <mergeCell ref="A49:D49"/>
    <mergeCell ref="A54:D54"/>
  </mergeCells>
  <phoneticPr fontId="31"/>
  <printOptions horizontalCentered="1"/>
  <pageMargins left="0.59055118110236227" right="0.39370078740157483" top="0.39370078740157483" bottom="0.39370078740157483" header="0.51181102362204722" footer="0.51181102362204722"/>
  <pageSetup paperSize="9" scale="93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49" zoomScale="90" zoomScaleNormal="90" workbookViewId="0">
      <selection activeCell="C57" sqref="C57"/>
    </sheetView>
  </sheetViews>
  <sheetFormatPr defaultRowHeight="13.5" x14ac:dyDescent="0.15"/>
  <cols>
    <col min="1" max="1" width="32.5" customWidth="1"/>
    <col min="2" max="4" width="16" customWidth="1"/>
    <col min="9" max="9" width="11.375" bestFit="1" customWidth="1"/>
    <col min="11" max="11" width="11.375" bestFit="1" customWidth="1"/>
  </cols>
  <sheetData>
    <row r="1" spans="1:5" s="1" customFormat="1" ht="45" customHeight="1" x14ac:dyDescent="0.15">
      <c r="A1" s="55" t="s">
        <v>99</v>
      </c>
      <c r="B1" s="55"/>
      <c r="C1" s="55"/>
      <c r="D1" s="55"/>
    </row>
    <row r="2" spans="1:5" ht="15" customHeight="1" x14ac:dyDescent="0.15">
      <c r="A2" s="56" t="s">
        <v>0</v>
      </c>
      <c r="B2" s="56"/>
      <c r="C2" s="11"/>
      <c r="D2" s="2" t="s">
        <v>1</v>
      </c>
      <c r="E2" s="32">
        <f ca="1">E2:E47</f>
        <v>0</v>
      </c>
    </row>
    <row r="3" spans="1:5" s="3" customFormat="1" ht="15" customHeight="1" x14ac:dyDescent="0.15">
      <c r="A3" s="12" t="s">
        <v>2</v>
      </c>
      <c r="B3" s="21" t="s">
        <v>89</v>
      </c>
      <c r="C3" s="21" t="s">
        <v>90</v>
      </c>
      <c r="D3" s="21" t="s">
        <v>88</v>
      </c>
      <c r="E3" s="48"/>
    </row>
    <row r="4" spans="1:5" s="4" customFormat="1" ht="13.5" customHeight="1" x14ac:dyDescent="0.15">
      <c r="A4" s="57" t="s">
        <v>3</v>
      </c>
      <c r="B4" s="58"/>
      <c r="C4" s="58"/>
      <c r="D4" s="59"/>
      <c r="E4" s="49"/>
    </row>
    <row r="5" spans="1:5" s="5" customFormat="1" ht="12" customHeight="1" x14ac:dyDescent="0.15">
      <c r="A5" s="60" t="s">
        <v>4</v>
      </c>
      <c r="B5" s="61"/>
      <c r="C5" s="61"/>
      <c r="D5" s="62"/>
      <c r="E5" s="43"/>
    </row>
    <row r="6" spans="1:5" s="5" customFormat="1" ht="12" customHeight="1" x14ac:dyDescent="0.15">
      <c r="A6" s="60" t="s">
        <v>5</v>
      </c>
      <c r="B6" s="61"/>
      <c r="C6" s="61"/>
      <c r="D6" s="62"/>
      <c r="E6" s="43"/>
    </row>
    <row r="7" spans="1:5" s="6" customFormat="1" ht="12" customHeight="1" x14ac:dyDescent="0.15">
      <c r="A7" s="63" t="s">
        <v>6</v>
      </c>
      <c r="B7" s="64"/>
      <c r="C7" s="64"/>
      <c r="D7" s="65"/>
      <c r="E7" s="44"/>
    </row>
    <row r="8" spans="1:5" x14ac:dyDescent="0.15">
      <c r="A8" s="7" t="s">
        <v>7</v>
      </c>
      <c r="B8" s="8">
        <v>11000</v>
      </c>
      <c r="C8" s="8">
        <v>15000</v>
      </c>
      <c r="D8" s="20">
        <f>C8-B8</f>
        <v>4000</v>
      </c>
      <c r="E8" s="32"/>
    </row>
    <row r="9" spans="1:5" x14ac:dyDescent="0.15">
      <c r="A9" s="7" t="s">
        <v>8</v>
      </c>
      <c r="B9" s="8">
        <v>363500</v>
      </c>
      <c r="C9" s="8">
        <v>50000</v>
      </c>
      <c r="D9" s="20">
        <f t="shared" ref="D9:D13" si="0">C9-B9</f>
        <v>-313500</v>
      </c>
      <c r="E9" s="32"/>
    </row>
    <row r="10" spans="1:5" x14ac:dyDescent="0.15">
      <c r="A10" s="7" t="s">
        <v>9</v>
      </c>
      <c r="B10" s="8">
        <f>SUM(B8:B9)</f>
        <v>374500</v>
      </c>
      <c r="C10" s="8">
        <f>SUM(C8:C9)</f>
        <v>65000</v>
      </c>
      <c r="D10" s="20">
        <f t="shared" si="0"/>
        <v>-309500</v>
      </c>
      <c r="E10" s="32"/>
    </row>
    <row r="11" spans="1:5" s="6" customFormat="1" ht="12" customHeight="1" x14ac:dyDescent="0.15">
      <c r="A11" s="63" t="s">
        <v>10</v>
      </c>
      <c r="B11" s="64"/>
      <c r="C11" s="64"/>
      <c r="D11" s="65"/>
      <c r="E11" s="44"/>
    </row>
    <row r="12" spans="1:5" x14ac:dyDescent="0.15">
      <c r="A12" s="7" t="s">
        <v>11</v>
      </c>
      <c r="B12" s="8">
        <v>235854</v>
      </c>
      <c r="C12" s="8">
        <v>200000</v>
      </c>
      <c r="D12" s="20">
        <f t="shared" si="0"/>
        <v>-35854</v>
      </c>
      <c r="E12" s="32"/>
    </row>
    <row r="13" spans="1:5" x14ac:dyDescent="0.15">
      <c r="A13" s="7" t="s">
        <v>12</v>
      </c>
      <c r="B13" s="8">
        <f>SUM(B12)</f>
        <v>235854</v>
      </c>
      <c r="C13" s="8">
        <f>SUM(C12)</f>
        <v>200000</v>
      </c>
      <c r="D13" s="20">
        <f t="shared" si="0"/>
        <v>-35854</v>
      </c>
      <c r="E13" s="32"/>
    </row>
    <row r="14" spans="1:5" s="6" customFormat="1" ht="12" customHeight="1" x14ac:dyDescent="0.15">
      <c r="A14" s="63" t="s">
        <v>13</v>
      </c>
      <c r="B14" s="64"/>
      <c r="C14" s="64"/>
      <c r="D14" s="65"/>
      <c r="E14" s="44"/>
    </row>
    <row r="15" spans="1:5" x14ac:dyDescent="0.15">
      <c r="A15" s="13" t="s">
        <v>14</v>
      </c>
      <c r="B15" s="14"/>
      <c r="C15" s="14"/>
      <c r="D15" s="15"/>
      <c r="E15" s="32"/>
    </row>
    <row r="16" spans="1:5" x14ac:dyDescent="0.15">
      <c r="A16" s="7" t="s">
        <v>15</v>
      </c>
      <c r="B16" s="8">
        <v>735521</v>
      </c>
      <c r="C16" s="8">
        <v>675000</v>
      </c>
      <c r="D16" s="20">
        <f t="shared" ref="D16:D18" si="1">C16-B16</f>
        <v>-60521</v>
      </c>
      <c r="E16" s="32"/>
    </row>
    <row r="17" spans="1:7" x14ac:dyDescent="0.15">
      <c r="A17" s="7" t="s">
        <v>16</v>
      </c>
      <c r="B17" s="8">
        <f>SUM(B16)</f>
        <v>735521</v>
      </c>
      <c r="C17" s="8">
        <v>675000</v>
      </c>
      <c r="D17" s="20">
        <f t="shared" si="1"/>
        <v>-60521</v>
      </c>
      <c r="E17" s="32"/>
      <c r="F17" s="39"/>
    </row>
    <row r="18" spans="1:7" x14ac:dyDescent="0.15">
      <c r="A18" s="7" t="s">
        <v>17</v>
      </c>
      <c r="B18" s="8">
        <f>SUM(B17)</f>
        <v>735521</v>
      </c>
      <c r="C18" s="8">
        <f>SUM(C17)</f>
        <v>675000</v>
      </c>
      <c r="D18" s="20">
        <f t="shared" si="1"/>
        <v>-60521</v>
      </c>
      <c r="E18" s="32"/>
      <c r="F18" s="39"/>
    </row>
    <row r="19" spans="1:7" s="6" customFormat="1" ht="12" customHeight="1" x14ac:dyDescent="0.15">
      <c r="A19" s="63" t="s">
        <v>18</v>
      </c>
      <c r="B19" s="64"/>
      <c r="C19" s="64"/>
      <c r="D19" s="65"/>
      <c r="E19" s="44"/>
      <c r="F19" s="40"/>
    </row>
    <row r="20" spans="1:7" x14ac:dyDescent="0.15">
      <c r="A20" s="13" t="s">
        <v>19</v>
      </c>
      <c r="B20" s="14"/>
      <c r="C20" s="14"/>
      <c r="D20" s="15"/>
      <c r="E20" s="32"/>
      <c r="F20" s="39"/>
    </row>
    <row r="21" spans="1:7" x14ac:dyDescent="0.15">
      <c r="A21" s="7" t="s">
        <v>20</v>
      </c>
      <c r="B21" s="25">
        <v>772984</v>
      </c>
      <c r="C21" s="25">
        <f>733168-E21</f>
        <v>733000</v>
      </c>
      <c r="D21" s="27">
        <f t="shared" ref="D21:D32" si="2">C21-B21</f>
        <v>-39984</v>
      </c>
      <c r="E21" s="33">
        <v>168</v>
      </c>
      <c r="F21" s="33"/>
      <c r="G21" s="29"/>
    </row>
    <row r="22" spans="1:7" x14ac:dyDescent="0.15">
      <c r="A22" s="7" t="s">
        <v>21</v>
      </c>
      <c r="B22" s="25">
        <v>94865982</v>
      </c>
      <c r="C22" s="25">
        <f>SUM(114382950/1.191)-E22</f>
        <v>96039086.654911831</v>
      </c>
      <c r="D22" s="27">
        <f t="shared" si="2"/>
        <v>1173104.654911831</v>
      </c>
      <c r="E22" s="33">
        <v>334</v>
      </c>
      <c r="F22" s="33"/>
      <c r="G22" s="29"/>
    </row>
    <row r="23" spans="1:7" x14ac:dyDescent="0.15">
      <c r="A23" s="7" t="s">
        <v>22</v>
      </c>
      <c r="B23" s="25">
        <v>342857</v>
      </c>
      <c r="C23" s="25">
        <f>226517-C27-E23</f>
        <v>187000</v>
      </c>
      <c r="D23" s="27">
        <f t="shared" si="2"/>
        <v>-155857</v>
      </c>
      <c r="E23" s="33">
        <v>517</v>
      </c>
      <c r="F23" s="33"/>
      <c r="G23" s="29"/>
    </row>
    <row r="24" spans="1:7" x14ac:dyDescent="0.15">
      <c r="A24" s="7" t="s">
        <v>23</v>
      </c>
      <c r="B24" s="25">
        <v>14618135</v>
      </c>
      <c r="C24" s="25">
        <f>(16920436/1.042)-E24</f>
        <v>16238236.264875239</v>
      </c>
      <c r="D24" s="27">
        <f t="shared" si="2"/>
        <v>1620101.2648752388</v>
      </c>
      <c r="E24" s="33">
        <v>186</v>
      </c>
      <c r="F24" s="33"/>
      <c r="G24" s="29"/>
    </row>
    <row r="25" spans="1:7" x14ac:dyDescent="0.15">
      <c r="A25" s="7" t="s">
        <v>16</v>
      </c>
      <c r="B25" s="25">
        <f>SUM(B21:B24)</f>
        <v>110599958</v>
      </c>
      <c r="C25" s="25">
        <f>SUM(C21:C24)-E25</f>
        <v>113197323.91978706</v>
      </c>
      <c r="D25" s="27">
        <f t="shared" si="2"/>
        <v>2597365.9197870642</v>
      </c>
      <c r="E25" s="33">
        <v>-1</v>
      </c>
      <c r="F25" s="33"/>
      <c r="G25" s="29"/>
    </row>
    <row r="26" spans="1:7" x14ac:dyDescent="0.15">
      <c r="A26" s="7" t="s">
        <v>91</v>
      </c>
      <c r="B26" s="26">
        <v>18266336</v>
      </c>
      <c r="C26" s="26">
        <f>(114382950/1.191*0.191)-E26</f>
        <v>18343470.345088162</v>
      </c>
      <c r="D26" s="27">
        <f t="shared" si="2"/>
        <v>77134.345088161528</v>
      </c>
      <c r="E26" s="33">
        <v>59</v>
      </c>
      <c r="F26" s="33"/>
      <c r="G26" s="29"/>
    </row>
    <row r="27" spans="1:7" x14ac:dyDescent="0.15">
      <c r="A27" s="7" t="s">
        <v>92</v>
      </c>
      <c r="B27" s="26">
        <v>58433</v>
      </c>
      <c r="C27" s="26">
        <f>39517-E27</f>
        <v>39000</v>
      </c>
      <c r="D27" s="27">
        <f t="shared" si="2"/>
        <v>-19433</v>
      </c>
      <c r="E27" s="33">
        <v>517</v>
      </c>
      <c r="F27" s="33"/>
      <c r="G27" s="29"/>
    </row>
    <row r="28" spans="1:7" x14ac:dyDescent="0.15">
      <c r="A28" s="7" t="s">
        <v>93</v>
      </c>
      <c r="B28" s="26">
        <f>612459+12787</f>
        <v>625246</v>
      </c>
      <c r="C28" s="26">
        <f>(16920436/1.042*0.042)-E28</f>
        <v>681697.73512476007</v>
      </c>
      <c r="D28" s="27">
        <f t="shared" si="2"/>
        <v>56451.735124760075</v>
      </c>
      <c r="E28" s="33">
        <v>316</v>
      </c>
      <c r="F28" s="33"/>
      <c r="G28" s="29"/>
    </row>
    <row r="29" spans="1:7" x14ac:dyDescent="0.15">
      <c r="A29" s="7" t="s">
        <v>16</v>
      </c>
      <c r="B29" s="26">
        <f>SUM(B26:B28)</f>
        <v>18950015</v>
      </c>
      <c r="C29" s="26">
        <f>SUM(C26:C28)-E29</f>
        <v>19064168.080212921</v>
      </c>
      <c r="D29" s="27">
        <f t="shared" si="2"/>
        <v>114153.0802129209</v>
      </c>
      <c r="E29" s="33"/>
      <c r="F29" s="33"/>
      <c r="G29" s="29"/>
    </row>
    <row r="30" spans="1:7" x14ac:dyDescent="0.15">
      <c r="A30" s="7" t="s">
        <v>98</v>
      </c>
      <c r="B30" s="26">
        <v>0</v>
      </c>
      <c r="C30" s="26">
        <f>SUM(C22*0.045)-E30</f>
        <v>4321733.8994710324</v>
      </c>
      <c r="D30" s="27">
        <f t="shared" si="2"/>
        <v>4321733.8994710324</v>
      </c>
      <c r="E30" s="33">
        <v>25</v>
      </c>
      <c r="F30" s="33"/>
      <c r="G30" s="29"/>
    </row>
    <row r="31" spans="1:7" x14ac:dyDescent="0.15">
      <c r="A31" s="24" t="s">
        <v>100</v>
      </c>
      <c r="B31" s="26">
        <v>0</v>
      </c>
      <c r="C31" s="26">
        <f>SUM(C24*0.014)-E31</f>
        <v>226899.30770825336</v>
      </c>
      <c r="D31" s="27">
        <f t="shared" si="2"/>
        <v>226899.30770825336</v>
      </c>
      <c r="E31" s="33">
        <v>436</v>
      </c>
      <c r="F31" s="33"/>
      <c r="G31" s="29"/>
    </row>
    <row r="32" spans="1:7" x14ac:dyDescent="0.15">
      <c r="A32" s="7" t="s">
        <v>16</v>
      </c>
      <c r="B32" s="26">
        <f>SUM(B30:B31)</f>
        <v>0</v>
      </c>
      <c r="C32" s="26">
        <f>SUM(C30:C31)</f>
        <v>4548633.2071792856</v>
      </c>
      <c r="D32" s="27">
        <f t="shared" si="2"/>
        <v>4548633.2071792856</v>
      </c>
      <c r="E32" s="33"/>
      <c r="F32" s="33"/>
      <c r="G32" s="29"/>
    </row>
    <row r="33" spans="1:7" x14ac:dyDescent="0.15">
      <c r="A33" s="13" t="s">
        <v>24</v>
      </c>
      <c r="B33" s="14"/>
      <c r="C33" s="14"/>
      <c r="D33" s="15"/>
      <c r="E33" s="33"/>
      <c r="F33" s="33"/>
      <c r="G33" s="29"/>
    </row>
    <row r="34" spans="1:7" x14ac:dyDescent="0.15">
      <c r="A34" s="7" t="s">
        <v>25</v>
      </c>
      <c r="B34" s="8">
        <v>2091300</v>
      </c>
      <c r="C34" s="8">
        <f>2282923-E34</f>
        <v>2282000</v>
      </c>
      <c r="D34" s="20">
        <f t="shared" ref="D34:D35" si="3">C34-B34</f>
        <v>190700</v>
      </c>
      <c r="E34" s="33">
        <v>923</v>
      </c>
      <c r="F34" s="33"/>
      <c r="G34" s="29"/>
    </row>
    <row r="35" spans="1:7" x14ac:dyDescent="0.15">
      <c r="A35" s="7" t="s">
        <v>16</v>
      </c>
      <c r="B35" s="8">
        <f>SUM(B34)</f>
        <v>2091300</v>
      </c>
      <c r="C35" s="8">
        <f>SUM(C34)</f>
        <v>2282000</v>
      </c>
      <c r="D35" s="20">
        <f t="shared" si="3"/>
        <v>190700</v>
      </c>
      <c r="E35" s="33"/>
      <c r="F35" s="33"/>
      <c r="G35" s="29"/>
    </row>
    <row r="36" spans="1:7" x14ac:dyDescent="0.15">
      <c r="A36" s="13" t="s">
        <v>26</v>
      </c>
      <c r="B36" s="14"/>
      <c r="C36" s="14"/>
      <c r="D36" s="15"/>
      <c r="E36" s="33"/>
      <c r="F36" s="33"/>
      <c r="G36" s="29"/>
    </row>
    <row r="37" spans="1:7" x14ac:dyDescent="0.15">
      <c r="A37" s="7" t="s">
        <v>21</v>
      </c>
      <c r="B37" s="8">
        <v>387393</v>
      </c>
      <c r="C37" s="8">
        <f>SUM(18600*2)+(9300*2*12)+(2500*12)-E37</f>
        <v>290000</v>
      </c>
      <c r="D37" s="20">
        <f t="shared" ref="D37:D48" si="4">C37-B37</f>
        <v>-97393</v>
      </c>
      <c r="E37" s="33">
        <v>400</v>
      </c>
      <c r="F37" s="33"/>
      <c r="G37" s="29"/>
    </row>
    <row r="38" spans="1:7" x14ac:dyDescent="0.15">
      <c r="A38" s="7" t="s">
        <v>23</v>
      </c>
      <c r="B38" s="8">
        <v>270017</v>
      </c>
      <c r="C38" s="8">
        <f>SUM((285992-111600)/12+9300)*2-E38</f>
        <v>47000.333333333328</v>
      </c>
      <c r="D38" s="20">
        <f t="shared" si="4"/>
        <v>-223016.66666666669</v>
      </c>
      <c r="E38" s="33">
        <v>665</v>
      </c>
      <c r="F38" s="33"/>
      <c r="G38" s="29"/>
    </row>
    <row r="39" spans="1:7" x14ac:dyDescent="0.15">
      <c r="A39" s="7" t="s">
        <v>16</v>
      </c>
      <c r="B39" s="8">
        <f>SUM(B37:B38)</f>
        <v>657410</v>
      </c>
      <c r="C39" s="8">
        <f>SUM(C37:C38)</f>
        <v>337000.33333333331</v>
      </c>
      <c r="D39" s="20">
        <f t="shared" si="4"/>
        <v>-320409.66666666669</v>
      </c>
      <c r="E39" s="33"/>
      <c r="F39" s="33"/>
      <c r="G39" s="29"/>
    </row>
    <row r="40" spans="1:7" x14ac:dyDescent="0.15">
      <c r="A40" s="13" t="s">
        <v>27</v>
      </c>
      <c r="B40" s="14"/>
      <c r="C40" s="14"/>
      <c r="D40" s="15"/>
      <c r="E40" s="33"/>
      <c r="F40" s="33"/>
      <c r="G40" s="29"/>
    </row>
    <row r="41" spans="1:7" x14ac:dyDescent="0.15">
      <c r="A41" s="7" t="s">
        <v>23</v>
      </c>
      <c r="B41" s="8">
        <v>57300</v>
      </c>
      <c r="C41" s="8">
        <v>65000</v>
      </c>
      <c r="D41" s="20">
        <f t="shared" si="4"/>
        <v>7700</v>
      </c>
      <c r="E41" s="33"/>
      <c r="F41" s="33"/>
      <c r="G41" s="29"/>
    </row>
    <row r="42" spans="1:7" x14ac:dyDescent="0.15">
      <c r="A42" s="7" t="s">
        <v>16</v>
      </c>
      <c r="B42" s="8">
        <f>SUM(B41)</f>
        <v>57300</v>
      </c>
      <c r="C42" s="8">
        <f>SUM(C41)</f>
        <v>65000</v>
      </c>
      <c r="D42" s="20">
        <f t="shared" si="4"/>
        <v>7700</v>
      </c>
      <c r="E42" s="33"/>
      <c r="F42" s="33"/>
      <c r="G42" s="29"/>
    </row>
    <row r="43" spans="1:7" x14ac:dyDescent="0.15">
      <c r="A43" s="13" t="s">
        <v>28</v>
      </c>
      <c r="B43" s="14"/>
      <c r="C43" s="14"/>
      <c r="D43" s="15"/>
      <c r="E43" s="33"/>
      <c r="F43" s="33"/>
      <c r="G43" s="29"/>
    </row>
    <row r="44" spans="1:7" x14ac:dyDescent="0.15">
      <c r="A44" s="7" t="s">
        <v>29</v>
      </c>
      <c r="B44" s="8">
        <v>2052000</v>
      </c>
      <c r="C44" s="8">
        <v>2052000</v>
      </c>
      <c r="D44" s="20">
        <f t="shared" si="4"/>
        <v>0</v>
      </c>
      <c r="E44" s="33"/>
      <c r="F44" s="33"/>
      <c r="G44" s="29"/>
    </row>
    <row r="45" spans="1:7" x14ac:dyDescent="0.15">
      <c r="A45" s="7" t="s">
        <v>30</v>
      </c>
      <c r="B45" s="8">
        <v>142200</v>
      </c>
      <c r="C45" s="8">
        <f>129600-E45</f>
        <v>129600</v>
      </c>
      <c r="D45" s="20">
        <f t="shared" si="4"/>
        <v>-12600</v>
      </c>
      <c r="E45" s="33"/>
      <c r="F45" s="33"/>
      <c r="G45" s="29"/>
    </row>
    <row r="46" spans="1:7" x14ac:dyDescent="0.15">
      <c r="A46" s="7" t="s">
        <v>16</v>
      </c>
      <c r="B46" s="8">
        <f>SUM(B44:B45)</f>
        <v>2194200</v>
      </c>
      <c r="C46" s="8">
        <f>SUM(C44:C45)</f>
        <v>2181600</v>
      </c>
      <c r="D46" s="20">
        <f t="shared" si="4"/>
        <v>-12600</v>
      </c>
      <c r="E46" s="33"/>
      <c r="F46" s="33"/>
      <c r="G46" s="29"/>
    </row>
    <row r="47" spans="1:7" x14ac:dyDescent="0.15">
      <c r="A47" s="7" t="s">
        <v>31</v>
      </c>
      <c r="B47" s="8">
        <v>205000</v>
      </c>
      <c r="C47" s="8">
        <v>320000</v>
      </c>
      <c r="D47" s="20">
        <f t="shared" si="4"/>
        <v>115000</v>
      </c>
      <c r="E47" s="33"/>
      <c r="F47" s="33"/>
      <c r="G47" s="29"/>
    </row>
    <row r="48" spans="1:7" x14ac:dyDescent="0.15">
      <c r="A48" s="7" t="s">
        <v>32</v>
      </c>
      <c r="B48" s="8">
        <f>B25+B29+B32+B35+B39+B42+B46+B47</f>
        <v>134755183</v>
      </c>
      <c r="C48" s="8">
        <f>C25+C29+C32+C35+C39+C42+C46+C47</f>
        <v>141995725.54051262</v>
      </c>
      <c r="D48" s="20">
        <f t="shared" si="4"/>
        <v>7240542.5405126214</v>
      </c>
      <c r="E48" s="33"/>
      <c r="F48" s="33"/>
      <c r="G48" s="29"/>
    </row>
    <row r="49" spans="1:11" s="6" customFormat="1" ht="12" customHeight="1" x14ac:dyDescent="0.15">
      <c r="A49" s="63" t="s">
        <v>33</v>
      </c>
      <c r="B49" s="64"/>
      <c r="C49" s="64"/>
      <c r="D49" s="65"/>
      <c r="E49" s="33">
        <f>E21+E22+E24+E26+E27+E28+E30+E31+E34+E37+E38+E45+E46</f>
        <v>4029</v>
      </c>
      <c r="F49" s="41"/>
      <c r="G49" s="30"/>
    </row>
    <row r="50" spans="1:11" x14ac:dyDescent="0.15">
      <c r="A50" s="7" t="s">
        <v>34</v>
      </c>
      <c r="B50" s="8">
        <v>3026</v>
      </c>
      <c r="C50" s="8">
        <v>2000</v>
      </c>
      <c r="D50" s="20">
        <f t="shared" ref="D50:D53" si="5">C50-B50</f>
        <v>-1026</v>
      </c>
      <c r="E50" s="33"/>
      <c r="F50" s="33"/>
      <c r="G50" s="29"/>
    </row>
    <row r="51" spans="1:11" x14ac:dyDescent="0.15">
      <c r="A51" s="7" t="s">
        <v>35</v>
      </c>
      <c r="B51" s="8">
        <v>204040</v>
      </c>
      <c r="C51" s="8">
        <f>250000+E49</f>
        <v>254029</v>
      </c>
      <c r="D51" s="20">
        <f t="shared" si="5"/>
        <v>49989</v>
      </c>
      <c r="E51" s="33"/>
      <c r="F51" s="33"/>
      <c r="G51" s="29"/>
    </row>
    <row r="52" spans="1:11" x14ac:dyDescent="0.15">
      <c r="A52" s="7" t="s">
        <v>36</v>
      </c>
      <c r="B52" s="8">
        <f>SUM(B50:B51)</f>
        <v>207066</v>
      </c>
      <c r="C52" s="8">
        <f>SUM(C50:C51)</f>
        <v>256029</v>
      </c>
      <c r="D52" s="20">
        <f t="shared" si="5"/>
        <v>48963</v>
      </c>
      <c r="E52" s="33"/>
      <c r="F52" s="33"/>
      <c r="G52" s="29"/>
    </row>
    <row r="53" spans="1:11" x14ac:dyDescent="0.15">
      <c r="A53" s="9" t="s">
        <v>37</v>
      </c>
      <c r="B53" s="8">
        <f>B10+B13+B18+B48+B52</f>
        <v>136308124</v>
      </c>
      <c r="C53" s="8">
        <f>C10+C13+C18+C48+C52</f>
        <v>143191754.54051262</v>
      </c>
      <c r="D53" s="20">
        <f t="shared" si="5"/>
        <v>6883630.5405126214</v>
      </c>
      <c r="E53" s="33"/>
      <c r="F53" s="33"/>
      <c r="G53" s="29"/>
    </row>
    <row r="54" spans="1:11" s="5" customFormat="1" ht="12" customHeight="1" x14ac:dyDescent="0.15">
      <c r="A54" s="66" t="s">
        <v>38</v>
      </c>
      <c r="B54" s="67"/>
      <c r="C54" s="67"/>
      <c r="D54" s="68"/>
      <c r="E54" s="42"/>
      <c r="F54" s="42"/>
      <c r="G54" s="31"/>
    </row>
    <row r="55" spans="1:11" x14ac:dyDescent="0.15">
      <c r="A55" s="52" t="s">
        <v>39</v>
      </c>
      <c r="B55" s="53"/>
      <c r="C55" s="53"/>
      <c r="D55" s="54"/>
      <c r="E55" s="32"/>
      <c r="F55" s="32"/>
    </row>
    <row r="56" spans="1:11" x14ac:dyDescent="0.15">
      <c r="A56" s="13" t="s">
        <v>40</v>
      </c>
      <c r="B56" s="14"/>
      <c r="C56" s="14"/>
      <c r="D56" s="15"/>
      <c r="E56" s="32"/>
      <c r="F56" s="32"/>
    </row>
    <row r="57" spans="1:11" x14ac:dyDescent="0.15">
      <c r="A57" s="7" t="s">
        <v>41</v>
      </c>
      <c r="B57" s="25">
        <v>48158460</v>
      </c>
      <c r="C57" s="25">
        <f>(51565703-2564451-1023210+4551660)-E57</f>
        <v>52529000</v>
      </c>
      <c r="D57" s="27">
        <f t="shared" ref="D57:D67" si="6">C57-B57</f>
        <v>4370540</v>
      </c>
      <c r="E57" s="32">
        <v>702</v>
      </c>
      <c r="F57" s="32"/>
    </row>
    <row r="58" spans="1:11" x14ac:dyDescent="0.15">
      <c r="A58" s="7" t="s">
        <v>42</v>
      </c>
      <c r="B58" s="25">
        <v>24561326</v>
      </c>
      <c r="C58" s="25">
        <f>(24791016-924960-3900)-E58-4000000</f>
        <v>19862000</v>
      </c>
      <c r="D58" s="27">
        <f t="shared" si="6"/>
        <v>-4699326</v>
      </c>
      <c r="E58" s="33">
        <v>156</v>
      </c>
      <c r="F58" s="32"/>
    </row>
    <row r="59" spans="1:11" x14ac:dyDescent="0.15">
      <c r="A59" s="7" t="s">
        <v>45</v>
      </c>
      <c r="B59" s="25">
        <f>B57+B58</f>
        <v>72719786</v>
      </c>
      <c r="C59" s="25">
        <f>SUM(C57:C58)-E59</f>
        <v>72391000</v>
      </c>
      <c r="D59" s="27">
        <f t="shared" si="6"/>
        <v>-328786</v>
      </c>
      <c r="E59" s="33"/>
      <c r="F59" s="32"/>
      <c r="I59" s="22"/>
      <c r="K59" s="22"/>
    </row>
    <row r="60" spans="1:11" x14ac:dyDescent="0.15">
      <c r="A60" s="7" t="s">
        <v>43</v>
      </c>
      <c r="B60" s="25">
        <v>19235946</v>
      </c>
      <c r="C60" s="25">
        <f>(3489411+4440000+12097252)-E60-1243497</f>
        <v>18782503</v>
      </c>
      <c r="D60" s="27">
        <f t="shared" si="6"/>
        <v>-453443</v>
      </c>
      <c r="E60" s="33">
        <v>663</v>
      </c>
      <c r="F60" s="32"/>
    </row>
    <row r="61" spans="1:11" x14ac:dyDescent="0.15">
      <c r="A61" s="7" t="s">
        <v>44</v>
      </c>
      <c r="B61" s="25">
        <v>1026470</v>
      </c>
      <c r="C61" s="25">
        <f>(1061850+1320000+1249350)-E61</f>
        <v>3631000</v>
      </c>
      <c r="D61" s="27">
        <f t="shared" si="6"/>
        <v>2604530</v>
      </c>
      <c r="E61" s="33">
        <v>200</v>
      </c>
      <c r="F61" s="32"/>
      <c r="K61" s="22"/>
    </row>
    <row r="62" spans="1:11" x14ac:dyDescent="0.15">
      <c r="A62" s="7" t="s">
        <v>45</v>
      </c>
      <c r="B62" s="25">
        <f>SUM(B60:B61)</f>
        <v>20262416</v>
      </c>
      <c r="C62" s="25">
        <f>SUM(C60:C61)</f>
        <v>22413503</v>
      </c>
      <c r="D62" s="27">
        <f t="shared" si="6"/>
        <v>2151087</v>
      </c>
      <c r="E62" s="33"/>
      <c r="F62" s="32"/>
    </row>
    <row r="63" spans="1:11" x14ac:dyDescent="0.15">
      <c r="A63" s="7" t="s">
        <v>94</v>
      </c>
      <c r="B63" s="25">
        <v>1843600</v>
      </c>
      <c r="C63" s="25">
        <f>4417100-E63-340000</f>
        <v>4077000</v>
      </c>
      <c r="D63" s="27">
        <f t="shared" si="6"/>
        <v>2233400</v>
      </c>
      <c r="E63" s="33">
        <v>100</v>
      </c>
      <c r="F63" s="32"/>
    </row>
    <row r="64" spans="1:11" x14ac:dyDescent="0.15">
      <c r="A64" s="7" t="s">
        <v>95</v>
      </c>
      <c r="B64" s="25">
        <v>609390</v>
      </c>
      <c r="C64" s="25">
        <f>2201200-E64-250000</f>
        <v>1951000</v>
      </c>
      <c r="D64" s="27">
        <f t="shared" si="6"/>
        <v>1341610</v>
      </c>
      <c r="E64" s="33">
        <v>200</v>
      </c>
      <c r="F64" s="32"/>
    </row>
    <row r="65" spans="1:6" x14ac:dyDescent="0.15">
      <c r="A65" s="7" t="s">
        <v>45</v>
      </c>
      <c r="B65" s="25">
        <f>SUM(B63:B64)</f>
        <v>2452990</v>
      </c>
      <c r="C65" s="25">
        <f>SUM(C63:C64)</f>
        <v>6028000</v>
      </c>
      <c r="D65" s="27">
        <f t="shared" si="6"/>
        <v>3575010</v>
      </c>
      <c r="E65" s="33"/>
      <c r="F65" s="32"/>
    </row>
    <row r="66" spans="1:6" x14ac:dyDescent="0.15">
      <c r="A66" s="7" t="s">
        <v>102</v>
      </c>
      <c r="B66" s="25">
        <v>0</v>
      </c>
      <c r="C66" s="25">
        <v>4548633</v>
      </c>
      <c r="D66" s="27"/>
      <c r="E66" s="33"/>
      <c r="F66" s="32"/>
    </row>
    <row r="67" spans="1:6" x14ac:dyDescent="0.15">
      <c r="A67" s="7" t="s">
        <v>46</v>
      </c>
      <c r="B67" s="25">
        <v>2574090</v>
      </c>
      <c r="C67" s="25">
        <f>2708121-E67</f>
        <v>2707782</v>
      </c>
      <c r="D67" s="27">
        <f t="shared" si="6"/>
        <v>133692</v>
      </c>
      <c r="E67" s="33">
        <v>339</v>
      </c>
      <c r="F67" s="32"/>
    </row>
    <row r="68" spans="1:6" x14ac:dyDescent="0.15">
      <c r="A68" s="13" t="s">
        <v>47</v>
      </c>
      <c r="B68" s="16"/>
      <c r="C68" s="16"/>
      <c r="D68" s="16"/>
      <c r="E68" s="33"/>
      <c r="F68" s="32"/>
    </row>
    <row r="69" spans="1:6" x14ac:dyDescent="0.15">
      <c r="A69" s="7" t="s">
        <v>48</v>
      </c>
      <c r="B69" s="25">
        <f>10861752-B71</f>
        <v>10599131</v>
      </c>
      <c r="C69" s="25">
        <f>SUM(11205312+511082)-E69</f>
        <v>11716000</v>
      </c>
      <c r="D69" s="27">
        <f t="shared" ref="D69:D77" si="7">C69-B69</f>
        <v>1116869</v>
      </c>
      <c r="E69" s="33">
        <v>394</v>
      </c>
      <c r="F69" s="32"/>
    </row>
    <row r="70" spans="1:6" x14ac:dyDescent="0.15">
      <c r="A70" s="7" t="s">
        <v>49</v>
      </c>
      <c r="B70" s="25">
        <f>701011-B72</f>
        <v>684419</v>
      </c>
      <c r="C70" s="25">
        <f>SUM(769372+31974)-E70</f>
        <v>801000</v>
      </c>
      <c r="D70" s="27">
        <f t="shared" si="7"/>
        <v>116581</v>
      </c>
      <c r="E70" s="33">
        <v>346</v>
      </c>
      <c r="F70" s="32"/>
    </row>
    <row r="71" spans="1:6" x14ac:dyDescent="0.15">
      <c r="A71" s="7" t="s">
        <v>96</v>
      </c>
      <c r="B71" s="25">
        <v>262621</v>
      </c>
      <c r="C71" s="25">
        <f>775225-E71</f>
        <v>775000</v>
      </c>
      <c r="D71" s="27">
        <f t="shared" si="7"/>
        <v>512379</v>
      </c>
      <c r="E71" s="33">
        <v>225</v>
      </c>
      <c r="F71" s="32"/>
    </row>
    <row r="72" spans="1:6" x14ac:dyDescent="0.15">
      <c r="A72" s="7" t="s">
        <v>97</v>
      </c>
      <c r="B72" s="25">
        <v>16592</v>
      </c>
      <c r="C72" s="25">
        <f>48163-E72</f>
        <v>48000</v>
      </c>
      <c r="D72" s="27">
        <f t="shared" si="7"/>
        <v>31408</v>
      </c>
      <c r="E72" s="33">
        <v>163</v>
      </c>
      <c r="F72" s="32"/>
    </row>
    <row r="73" spans="1:6" x14ac:dyDescent="0.15">
      <c r="A73" s="7" t="s">
        <v>45</v>
      </c>
      <c r="B73" s="25">
        <f>SUM(B69:B72)</f>
        <v>11562763</v>
      </c>
      <c r="C73" s="25">
        <f>SUM(C69:C72)-E73</f>
        <v>13340000</v>
      </c>
      <c r="D73" s="27">
        <f t="shared" si="7"/>
        <v>1777237</v>
      </c>
      <c r="E73" s="33"/>
      <c r="F73" s="32"/>
    </row>
    <row r="74" spans="1:6" x14ac:dyDescent="0.15">
      <c r="A74" s="7" t="s">
        <v>50</v>
      </c>
      <c r="B74" s="25">
        <v>1290000</v>
      </c>
      <c r="C74" s="25">
        <v>1320000</v>
      </c>
      <c r="D74" s="27">
        <f t="shared" si="7"/>
        <v>30000</v>
      </c>
      <c r="E74" s="33"/>
      <c r="F74" s="32"/>
    </row>
    <row r="75" spans="1:6" x14ac:dyDescent="0.15">
      <c r="A75" s="7" t="s">
        <v>51</v>
      </c>
      <c r="B75" s="25">
        <v>641874</v>
      </c>
      <c r="C75" s="25">
        <v>600000</v>
      </c>
      <c r="D75" s="27">
        <f t="shared" si="7"/>
        <v>-41874</v>
      </c>
      <c r="E75" s="33"/>
      <c r="F75" s="32"/>
    </row>
    <row r="76" spans="1:6" x14ac:dyDescent="0.15">
      <c r="A76" s="10" t="s">
        <v>52</v>
      </c>
      <c r="B76" s="25">
        <f>B59+B62+B65+B67+B73+B74+B75</f>
        <v>111503919</v>
      </c>
      <c r="C76" s="25">
        <f>C59+C62+C65+C67+C73+C74+C75+C66+E76</f>
        <v>123348918</v>
      </c>
      <c r="D76" s="27">
        <f t="shared" si="7"/>
        <v>11844999</v>
      </c>
      <c r="E76" s="33"/>
      <c r="F76" s="32"/>
    </row>
    <row r="77" spans="1:6" x14ac:dyDescent="0.15">
      <c r="A77" s="10" t="s">
        <v>105</v>
      </c>
      <c r="B77" s="26">
        <f>B60+B63+B71+B72</f>
        <v>21358759</v>
      </c>
      <c r="C77" s="26">
        <f>C60+C63+C71+C72</f>
        <v>23682503</v>
      </c>
      <c r="D77" s="27">
        <f t="shared" si="7"/>
        <v>2323744</v>
      </c>
      <c r="E77" s="33"/>
      <c r="F77" s="32"/>
    </row>
    <row r="78" spans="1:6" x14ac:dyDescent="0.15">
      <c r="A78" s="69" t="s">
        <v>53</v>
      </c>
      <c r="B78" s="70"/>
      <c r="C78" s="70"/>
      <c r="D78" s="71"/>
      <c r="E78" s="33"/>
      <c r="F78" s="32"/>
    </row>
    <row r="79" spans="1:6" x14ac:dyDescent="0.15">
      <c r="A79" s="7" t="s">
        <v>54</v>
      </c>
      <c r="B79" s="8">
        <v>1272587</v>
      </c>
      <c r="C79" s="8">
        <v>1460000</v>
      </c>
      <c r="D79" s="20">
        <f t="shared" ref="D79:D102" si="8">C79-B79</f>
        <v>187413</v>
      </c>
      <c r="E79" s="33"/>
      <c r="F79" s="32"/>
    </row>
    <row r="80" spans="1:6" x14ac:dyDescent="0.15">
      <c r="A80" s="7" t="s">
        <v>55</v>
      </c>
      <c r="B80" s="8">
        <v>90937</v>
      </c>
      <c r="C80" s="8">
        <v>90000</v>
      </c>
      <c r="D80" s="20">
        <f t="shared" si="8"/>
        <v>-937</v>
      </c>
      <c r="E80" s="33"/>
      <c r="F80" s="32"/>
    </row>
    <row r="81" spans="1:6" x14ac:dyDescent="0.15">
      <c r="A81" s="7" t="s">
        <v>56</v>
      </c>
      <c r="B81" s="8">
        <v>688140</v>
      </c>
      <c r="C81" s="8">
        <v>720000</v>
      </c>
      <c r="D81" s="20">
        <f t="shared" si="8"/>
        <v>31860</v>
      </c>
      <c r="E81" s="33"/>
      <c r="F81" s="32"/>
    </row>
    <row r="82" spans="1:6" x14ac:dyDescent="0.15">
      <c r="A82" s="7" t="s">
        <v>57</v>
      </c>
      <c r="B82" s="8">
        <v>42185</v>
      </c>
      <c r="C82" s="8">
        <v>50000</v>
      </c>
      <c r="D82" s="20">
        <f t="shared" si="8"/>
        <v>7815</v>
      </c>
      <c r="E82" s="33"/>
      <c r="F82" s="32"/>
    </row>
    <row r="83" spans="1:6" x14ac:dyDescent="0.15">
      <c r="A83" s="7" t="s">
        <v>58</v>
      </c>
      <c r="B83" s="8">
        <v>176123</v>
      </c>
      <c r="C83" s="8">
        <v>400000</v>
      </c>
      <c r="D83" s="20">
        <f t="shared" si="8"/>
        <v>223877</v>
      </c>
      <c r="E83" s="33"/>
      <c r="F83" s="32"/>
    </row>
    <row r="84" spans="1:6" x14ac:dyDescent="0.15">
      <c r="A84" s="7" t="s">
        <v>59</v>
      </c>
      <c r="B84" s="8">
        <v>1532679</v>
      </c>
      <c r="C84" s="8">
        <v>1500000</v>
      </c>
      <c r="D84" s="20">
        <f t="shared" si="8"/>
        <v>-32679</v>
      </c>
      <c r="E84" s="33"/>
      <c r="F84" s="32"/>
    </row>
    <row r="85" spans="1:6" x14ac:dyDescent="0.15">
      <c r="A85" s="7" t="s">
        <v>60</v>
      </c>
      <c r="B85" s="8">
        <v>1900475</v>
      </c>
      <c r="C85" s="8">
        <v>1300000</v>
      </c>
      <c r="D85" s="20">
        <f t="shared" si="8"/>
        <v>-600475</v>
      </c>
      <c r="E85" s="33"/>
      <c r="F85" s="32"/>
    </row>
    <row r="86" spans="1:6" x14ac:dyDescent="0.15">
      <c r="A86" s="7" t="s">
        <v>61</v>
      </c>
      <c r="B86" s="8">
        <v>37550</v>
      </c>
      <c r="C86" s="8">
        <v>100000</v>
      </c>
      <c r="D86" s="20">
        <f t="shared" si="8"/>
        <v>62450</v>
      </c>
      <c r="E86" s="33"/>
      <c r="F86" s="32"/>
    </row>
    <row r="87" spans="1:6" x14ac:dyDescent="0.15">
      <c r="A87" s="7" t="s">
        <v>62</v>
      </c>
      <c r="B87" s="8">
        <v>149657</v>
      </c>
      <c r="C87" s="8">
        <v>100000</v>
      </c>
      <c r="D87" s="20">
        <f t="shared" si="8"/>
        <v>-49657</v>
      </c>
      <c r="E87" s="33"/>
      <c r="F87" s="32"/>
    </row>
    <row r="88" spans="1:6" x14ac:dyDescent="0.15">
      <c r="A88" s="7" t="s">
        <v>63</v>
      </c>
      <c r="B88" s="8">
        <v>104985</v>
      </c>
      <c r="C88" s="8">
        <v>200000</v>
      </c>
      <c r="D88" s="20">
        <f t="shared" si="8"/>
        <v>95015</v>
      </c>
      <c r="E88" s="33"/>
      <c r="F88" s="32"/>
    </row>
    <row r="89" spans="1:6" x14ac:dyDescent="0.15">
      <c r="A89" s="7" t="s">
        <v>64</v>
      </c>
      <c r="B89" s="8">
        <v>80352</v>
      </c>
      <c r="C89" s="8">
        <v>345000</v>
      </c>
      <c r="D89" s="20">
        <f t="shared" si="8"/>
        <v>264648</v>
      </c>
      <c r="E89" s="33"/>
      <c r="F89" s="32"/>
    </row>
    <row r="90" spans="1:6" x14ac:dyDescent="0.15">
      <c r="A90" s="7" t="s">
        <v>65</v>
      </c>
      <c r="B90" s="8">
        <v>598154</v>
      </c>
      <c r="C90" s="8">
        <v>600000</v>
      </c>
      <c r="D90" s="20">
        <f t="shared" si="8"/>
        <v>1846</v>
      </c>
      <c r="E90" s="33"/>
      <c r="F90" s="32"/>
    </row>
    <row r="91" spans="1:6" x14ac:dyDescent="0.15">
      <c r="A91" s="7" t="s">
        <v>66</v>
      </c>
      <c r="B91" s="8">
        <v>4083180</v>
      </c>
      <c r="C91" s="8">
        <f>4071721-E91</f>
        <v>4071000</v>
      </c>
      <c r="D91" s="20">
        <f t="shared" si="8"/>
        <v>-12180</v>
      </c>
      <c r="E91" s="33">
        <v>721</v>
      </c>
      <c r="F91" s="32"/>
    </row>
    <row r="92" spans="1:6" x14ac:dyDescent="0.15">
      <c r="A92" s="7" t="s">
        <v>67</v>
      </c>
      <c r="B92" s="8">
        <v>683410</v>
      </c>
      <c r="C92" s="8">
        <v>705000</v>
      </c>
      <c r="D92" s="20">
        <f t="shared" si="8"/>
        <v>21590</v>
      </c>
      <c r="E92" s="33"/>
      <c r="F92" s="32"/>
    </row>
    <row r="93" spans="1:6" x14ac:dyDescent="0.15">
      <c r="A93" s="7" t="s">
        <v>68</v>
      </c>
      <c r="B93" s="8">
        <v>825188</v>
      </c>
      <c r="C93" s="8">
        <v>1010000</v>
      </c>
      <c r="D93" s="20">
        <f t="shared" si="8"/>
        <v>184812</v>
      </c>
      <c r="E93" s="33"/>
      <c r="F93" s="32"/>
    </row>
    <row r="94" spans="1:6" x14ac:dyDescent="0.15">
      <c r="A94" s="7" t="s">
        <v>69</v>
      </c>
      <c r="B94" s="8">
        <v>1043108</v>
      </c>
      <c r="C94" s="8">
        <v>1350000</v>
      </c>
      <c r="D94" s="20">
        <f t="shared" si="8"/>
        <v>306892</v>
      </c>
      <c r="E94" s="33"/>
      <c r="F94" s="32"/>
    </row>
    <row r="95" spans="1:6" x14ac:dyDescent="0.15">
      <c r="A95" s="7" t="s">
        <v>101</v>
      </c>
      <c r="B95" s="8">
        <v>348388</v>
      </c>
      <c r="C95" s="8">
        <v>0</v>
      </c>
      <c r="D95" s="20">
        <f t="shared" si="8"/>
        <v>-348388</v>
      </c>
      <c r="E95" s="33"/>
      <c r="F95" s="32"/>
    </row>
    <row r="96" spans="1:6" x14ac:dyDescent="0.15">
      <c r="A96" s="7" t="s">
        <v>70</v>
      </c>
      <c r="B96" s="8">
        <v>1377176</v>
      </c>
      <c r="C96" s="8">
        <v>1380000</v>
      </c>
      <c r="D96" s="20">
        <f t="shared" si="8"/>
        <v>2824</v>
      </c>
      <c r="E96" s="33"/>
      <c r="F96" s="32"/>
    </row>
    <row r="97" spans="1:6" x14ac:dyDescent="0.15">
      <c r="A97" s="7" t="s">
        <v>71</v>
      </c>
      <c r="B97" s="8">
        <v>498271</v>
      </c>
      <c r="C97" s="8">
        <f>594782-E97</f>
        <v>594000</v>
      </c>
      <c r="D97" s="20">
        <f t="shared" si="8"/>
        <v>95729</v>
      </c>
      <c r="E97" s="33">
        <v>782</v>
      </c>
      <c r="F97" s="32"/>
    </row>
    <row r="98" spans="1:6" x14ac:dyDescent="0.15">
      <c r="A98" s="7" t="s">
        <v>72</v>
      </c>
      <c r="B98" s="8">
        <v>150602</v>
      </c>
      <c r="C98" s="8">
        <v>100000</v>
      </c>
      <c r="D98" s="20">
        <f t="shared" si="8"/>
        <v>-50602</v>
      </c>
      <c r="E98" s="33"/>
      <c r="F98" s="32"/>
    </row>
    <row r="99" spans="1:6" x14ac:dyDescent="0.15">
      <c r="A99" s="28" t="s">
        <v>103</v>
      </c>
      <c r="B99" s="8">
        <v>0</v>
      </c>
      <c r="C99" s="8">
        <f>E99</f>
        <v>4289</v>
      </c>
      <c r="D99" s="20">
        <f t="shared" si="8"/>
        <v>4289</v>
      </c>
      <c r="E99" s="33">
        <f>SUM(E58:E98)</f>
        <v>4289</v>
      </c>
      <c r="F99" s="32"/>
    </row>
    <row r="100" spans="1:6" x14ac:dyDescent="0.15">
      <c r="A100" s="10" t="s">
        <v>73</v>
      </c>
      <c r="B100" s="8">
        <f>SUM(B79:B99)</f>
        <v>15683147</v>
      </c>
      <c r="C100" s="8">
        <f>SUM(C79:C99)</f>
        <v>16079289</v>
      </c>
      <c r="D100" s="20">
        <f t="shared" si="8"/>
        <v>396142</v>
      </c>
      <c r="E100" s="32"/>
    </row>
    <row r="101" spans="1:6" x14ac:dyDescent="0.15">
      <c r="A101" s="9" t="s">
        <v>74</v>
      </c>
      <c r="B101" s="8">
        <f>B76+B100</f>
        <v>127187066</v>
      </c>
      <c r="C101" s="8">
        <f>C76+C100</f>
        <v>139428207</v>
      </c>
      <c r="D101" s="20">
        <f t="shared" si="8"/>
        <v>12241141</v>
      </c>
      <c r="E101" s="32"/>
    </row>
    <row r="102" spans="1:6" x14ac:dyDescent="0.15">
      <c r="A102" s="9" t="s">
        <v>75</v>
      </c>
      <c r="B102" s="8">
        <f>B53-B101</f>
        <v>9121058</v>
      </c>
      <c r="C102" s="8">
        <f>C53-C101</f>
        <v>3763547.5405126214</v>
      </c>
      <c r="D102" s="20">
        <f t="shared" si="8"/>
        <v>-5357510.4594873786</v>
      </c>
      <c r="E102" s="46"/>
    </row>
    <row r="103" spans="1:6" s="5" customFormat="1" ht="12" customHeight="1" x14ac:dyDescent="0.15">
      <c r="A103" s="72" t="s">
        <v>76</v>
      </c>
      <c r="B103" s="73"/>
      <c r="C103" s="73"/>
      <c r="D103" s="74"/>
      <c r="E103" s="47"/>
    </row>
    <row r="104" spans="1:6" s="5" customFormat="1" ht="12" customHeight="1" x14ac:dyDescent="0.15">
      <c r="A104" s="72" t="s">
        <v>77</v>
      </c>
      <c r="B104" s="73"/>
      <c r="C104" s="73"/>
      <c r="D104" s="74"/>
      <c r="E104" s="47"/>
    </row>
    <row r="105" spans="1:6" x14ac:dyDescent="0.15">
      <c r="A105" s="7" t="s">
        <v>78</v>
      </c>
      <c r="B105" s="18">
        <v>277</v>
      </c>
      <c r="C105" s="18">
        <v>0</v>
      </c>
      <c r="D105" s="20">
        <f t="shared" ref="D105:D106" si="9">C105-B105</f>
        <v>-277</v>
      </c>
      <c r="E105" s="46"/>
    </row>
    <row r="106" spans="1:6" x14ac:dyDescent="0.15">
      <c r="A106" s="9" t="s">
        <v>79</v>
      </c>
      <c r="B106" s="18">
        <f>SUM(B105)</f>
        <v>277</v>
      </c>
      <c r="C106" s="18">
        <f>SUM(C105)</f>
        <v>0</v>
      </c>
      <c r="D106" s="20">
        <f t="shared" si="9"/>
        <v>-277</v>
      </c>
      <c r="E106" s="46"/>
    </row>
    <row r="107" spans="1:6" s="5" customFormat="1" ht="12" customHeight="1" x14ac:dyDescent="0.15">
      <c r="A107" s="72" t="s">
        <v>80</v>
      </c>
      <c r="B107" s="73"/>
      <c r="C107" s="73"/>
      <c r="D107" s="74"/>
      <c r="E107" s="47"/>
    </row>
    <row r="108" spans="1:6" s="5" customFormat="1" ht="12" customHeight="1" x14ac:dyDescent="0.15">
      <c r="A108" s="7" t="s">
        <v>104</v>
      </c>
      <c r="B108" s="36">
        <v>7950</v>
      </c>
      <c r="C108" s="34"/>
      <c r="D108" s="35"/>
      <c r="E108" s="47"/>
    </row>
    <row r="109" spans="1:6" x14ac:dyDescent="0.15">
      <c r="A109" s="9" t="s">
        <v>81</v>
      </c>
      <c r="B109" s="37">
        <f>B108</f>
        <v>7950</v>
      </c>
      <c r="C109" s="18">
        <v>0</v>
      </c>
      <c r="D109" s="18"/>
      <c r="E109" s="46"/>
    </row>
    <row r="110" spans="1:6" x14ac:dyDescent="0.15">
      <c r="A110" s="9" t="s">
        <v>82</v>
      </c>
      <c r="B110" s="38">
        <f>B106-B109</f>
        <v>-7673</v>
      </c>
      <c r="C110" s="18">
        <f>C106-C109</f>
        <v>0</v>
      </c>
      <c r="D110" s="18"/>
      <c r="E110" s="46"/>
    </row>
    <row r="111" spans="1:6" x14ac:dyDescent="0.15">
      <c r="A111" s="9" t="s">
        <v>83</v>
      </c>
      <c r="B111" s="8">
        <f>B102+B110</f>
        <v>9113385</v>
      </c>
      <c r="C111" s="8">
        <f>C102+C110</f>
        <v>3763547.5405126214</v>
      </c>
      <c r="D111" s="20">
        <f t="shared" ref="D111:D113" si="10">C111-B111</f>
        <v>-5349837.4594873786</v>
      </c>
      <c r="E111" s="46"/>
    </row>
    <row r="112" spans="1:6" x14ac:dyDescent="0.15">
      <c r="A112" s="7" t="s">
        <v>84</v>
      </c>
      <c r="B112" s="8">
        <v>776200</v>
      </c>
      <c r="C112" s="8">
        <f>1399400+61500+634200+229200</f>
        <v>2324300</v>
      </c>
      <c r="D112" s="20">
        <f t="shared" si="10"/>
        <v>1548100</v>
      </c>
      <c r="E112" s="46"/>
    </row>
    <row r="113" spans="1:5" x14ac:dyDescent="0.15">
      <c r="A113" s="17" t="s">
        <v>85</v>
      </c>
      <c r="B113" s="19">
        <f>B111-B112</f>
        <v>8337185</v>
      </c>
      <c r="C113" s="19">
        <f>C111-C112</f>
        <v>1439247.5405126214</v>
      </c>
      <c r="D113" s="23">
        <f t="shared" si="10"/>
        <v>-6897937.4594873786</v>
      </c>
      <c r="E113" s="45"/>
    </row>
    <row r="114" spans="1:5" x14ac:dyDescent="0.15">
      <c r="A114" s="17" t="s">
        <v>86</v>
      </c>
      <c r="B114" s="19">
        <v>50988035</v>
      </c>
      <c r="C114" s="19">
        <f>B115</f>
        <v>59325220</v>
      </c>
      <c r="D114" s="19"/>
      <c r="E114" s="45"/>
    </row>
    <row r="115" spans="1:5" x14ac:dyDescent="0.15">
      <c r="A115" s="17" t="s">
        <v>87</v>
      </c>
      <c r="B115" s="19">
        <f>B113+B114</f>
        <v>59325220</v>
      </c>
      <c r="C115" s="19">
        <f>C113+C114</f>
        <v>60764467.540512621</v>
      </c>
      <c r="D115" s="19"/>
      <c r="E115" s="45"/>
    </row>
    <row r="116" spans="1:5" ht="24" customHeight="1" x14ac:dyDescent="0.15">
      <c r="A116" s="75" t="s">
        <v>106</v>
      </c>
      <c r="B116" s="76"/>
      <c r="C116" s="76"/>
      <c r="D116" s="76"/>
      <c r="E116" s="45"/>
    </row>
    <row r="117" spans="1:5" x14ac:dyDescent="0.15">
      <c r="A117" s="50"/>
    </row>
    <row r="119" spans="1:5" x14ac:dyDescent="0.15">
      <c r="A119" s="51" t="s">
        <v>108</v>
      </c>
    </row>
  </sheetData>
  <mergeCells count="17">
    <mergeCell ref="A55:D55"/>
    <mergeCell ref="A1:D1"/>
    <mergeCell ref="A2:B2"/>
    <mergeCell ref="A4:D4"/>
    <mergeCell ref="A5:D5"/>
    <mergeCell ref="A6:D6"/>
    <mergeCell ref="A7:D7"/>
    <mergeCell ref="A11:D11"/>
    <mergeCell ref="A14:D14"/>
    <mergeCell ref="A19:D19"/>
    <mergeCell ref="A49:D49"/>
    <mergeCell ref="A54:D54"/>
    <mergeCell ref="A78:D78"/>
    <mergeCell ref="A103:D103"/>
    <mergeCell ref="A104:D104"/>
    <mergeCell ref="A107:D107"/>
    <mergeCell ref="A116:D116"/>
  </mergeCells>
  <phoneticPr fontId="31"/>
  <printOptions horizontalCentered="1"/>
  <pageMargins left="0.59055118110236227" right="0.39370078740157483" top="0.39370078740157483" bottom="0.39370078740157483" header="0.51181102362204722" footer="0.51181102362204722"/>
  <pageSetup paperSize="9" scale="93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【訂正】2020年度予算書支出実態補正15％</vt:lpstr>
      <vt:lpstr>補正消去</vt:lpstr>
      <vt:lpstr>'【訂正】2020年度予算書支出実態補正15％'!Print_Area</vt:lpstr>
      <vt:lpstr>補正消去!Print_Area</vt:lpstr>
      <vt:lpstr>'【訂正】2020年度予算書支出実態補正15％'!Print_Titles</vt:lpstr>
      <vt:lpstr>補正消去!Print_Titles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リアライズPC</dc:creator>
  <cp:lastModifiedBy>リアライズPC</cp:lastModifiedBy>
  <cp:lastPrinted>2020-07-24T06:50:14Z</cp:lastPrinted>
  <dcterms:created xsi:type="dcterms:W3CDTF">2020-02-29T19:44:49Z</dcterms:created>
  <dcterms:modified xsi:type="dcterms:W3CDTF">2020-07-24T06:50:38Z</dcterms:modified>
</cp:coreProperties>
</file>