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12975" windowHeight="12060"/>
  </bookViews>
  <sheets>
    <sheet name="201706" sheetId="6" r:id="rId1"/>
    <sheet name="201707" sheetId="5" r:id="rId2"/>
    <sheet name="201708" sheetId="7" r:id="rId3"/>
    <sheet name="201709" sheetId="8" r:id="rId4"/>
    <sheet name="201710" sheetId="9" r:id="rId5"/>
    <sheet name="Display me" sheetId="4" state="hidden" r:id="rId6"/>
    <sheet name="201711" sheetId="11" r:id="rId7"/>
  </sheets>
  <definedNames>
    <definedName name="_xlnm.Print_Titles" localSheetId="0">'201706'!$4:$4</definedName>
    <definedName name="_xlnm.Print_Titles" localSheetId="1">'201707'!$4:$4</definedName>
    <definedName name="_xlnm.Print_Titles" localSheetId="2">'201708'!$4:$4</definedName>
    <definedName name="_xlnm.Print_Titles" localSheetId="3">'201709'!$4:$4</definedName>
    <definedName name="_xlnm.Print_Titles" localSheetId="4">'201710'!$4:$4</definedName>
  </definedNames>
  <calcPr calcId="144525"/>
</workbook>
</file>

<file path=xl/calcChain.xml><?xml version="1.0" encoding="utf-8"?>
<calcChain xmlns="http://schemas.openxmlformats.org/spreadsheetml/2006/main"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69" i="9" l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135" i="6" l="1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<sst xmlns="http://schemas.openxmlformats.org/spreadsheetml/2006/main" count="7875" uniqueCount="1402">
  <si>
    <t>This sheet was hidden in the template, and it becomes visible.</t>
  </si>
  <si>
    <t>案件名</t>
    <rPh sb="0" eb="3">
      <t>ｱﾝｹﾝﾒｲ</t>
    </rPh>
    <phoneticPr fontId="1" type="noConversion"/>
  </si>
  <si>
    <t xml:space="preserve">媒体名
</t>
    <phoneticPr fontId="1" type="noConversion"/>
  </si>
  <si>
    <t xml:space="preserve">記事タイトル
</t>
    <phoneticPr fontId="1" type="noConversion"/>
  </si>
  <si>
    <t xml:space="preserve">URL
</t>
    <phoneticPr fontId="1" type="noConversion"/>
  </si>
  <si>
    <t xml:space="preserve">掲載日
</t>
    <phoneticPr fontId="1" type="noConversion"/>
  </si>
  <si>
    <t xml:space="preserve">報告日
</t>
    <rPh sb="0" eb="2">
      <t>ﾎｳｺｸ</t>
    </rPh>
    <rPh sb="2" eb="3">
      <t>ﾋﾞ</t>
    </rPh>
    <phoneticPr fontId="1" type="noConversion"/>
  </si>
  <si>
    <t>※キュレーションメディアでの掲載有無</t>
    <rPh sb="14" eb="16">
      <t>ケイサイ</t>
    </rPh>
    <rPh sb="16" eb="18">
      <t>ウム</t>
    </rPh>
    <phoneticPr fontId="2"/>
  </si>
  <si>
    <t>報告記事数
※当月合計</t>
    <rPh sb="0" eb="2">
      <t>ﾎｳｺｸ</t>
    </rPh>
    <rPh sb="2" eb="5">
      <t>ｷｼﾞｽｳ</t>
    </rPh>
    <rPh sb="7" eb="9">
      <t>ﾄｳｹﾞﾂ</t>
    </rPh>
    <rPh sb="9" eb="11">
      <t>ｺﾞｳｹｲ</t>
    </rPh>
    <phoneticPr fontId="1" type="noConversion"/>
  </si>
  <si>
    <t>恋する灯台</t>
  </si>
  <si>
    <t>LINE
NEWS</t>
  </si>
  <si>
    <t>News
Picks</t>
  </si>
  <si>
    <t>Antenna
　</t>
  </si>
  <si>
    <t>Vingow
　</t>
  </si>
  <si>
    <t>カメリオ
　</t>
  </si>
  <si>
    <t>2017/07/29</t>
  </si>
  <si>
    <t>2017/07/30</t>
  </si>
  <si>
    <t>夕刊デイリーWeb</t>
  </si>
  <si>
    <t>夕刊デイリーWeb　ヘッドラインニュース</t>
  </si>
  <si>
    <t>http://www.yukan-daily.co.jp/news.php?id=67157</t>
  </si>
  <si>
    <t>-</t>
  </si>
  <si>
    <t>2017/07/26</t>
  </si>
  <si>
    <t>2017/07/27</t>
  </si>
  <si>
    <t>Bizloopサーチ</t>
  </si>
  <si>
    <t>『恋する灯台』日御碕灯台が立地する島根県出雲市を「恋する灯台のまち」として認定　日本ロマンチスト協会会長が長岡 秀人 市長を表敬訪問、認定証を贈呈　日時：2017年8月3日（木） 一般社団法人日本ロマンチスト協会 </t>
  </si>
  <si>
    <t>http://www.bizloop.jp/release/DRN0000156968/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</si>
  <si>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 一般社団法人日本ロマンチスト協会 </t>
  </si>
  <si>
    <t>http://www.bizloop.jp/release/DRN0000156973/</t>
  </si>
  <si>
    <t>ORICON NEWS</t>
  </si>
  <si>
    <t>絶景！海へと続く道。日本一の高さを誇る宮崎日向「馬ケ背」</t>
  </si>
  <si>
    <t>http://www.oricon.co.jp/article/262478/</t>
  </si>
  <si>
    <t>グノシー</t>
  </si>
  <si>
    <t>https://gunosy.com/articles/RXgvL</t>
  </si>
  <si>
    <t>2017/07/25</t>
  </si>
  <si>
    <t>起業SNS</t>
  </si>
  <si>
    <t>『恋する灯台』日御碕灯台が立地する島根県出雲市を「恋する灯台のまち」として認定　日本ロマンチスト協会会長が長岡 秀人 市長を表敬訪問、認定証を贈呈　日時：2017年8月3日（木）</t>
  </si>
  <si>
    <t>http://www.kigyou-sns.com/press/press_228186/</t>
  </si>
  <si>
    <t>SEOTOOLS</t>
  </si>
  <si>
    <t>『恋する灯台』禄剛埼灯台が立地する石川県珠洲市を「恋する灯台のまち」として認定 日本ロマンチスト協会会長が泉谷 満寿裕 市長を表敬訪問、認定証を贈呈 2017年8月4日（金）11：00〜 11：30</t>
  </si>
  <si>
    <t>http://www.seotools.jp/news/id_0000156959.html</t>
  </si>
  <si>
    <t>@nifty ビジネス</t>
  </si>
  <si>
    <t>『恋する灯台』禄剛埼灯台が立地する石川県珠洲市を「恋する灯台のまち」として認定 日本ロマンチスト協会会長が泉谷 満寿裕 市長を表敬訪問、認定証を贈呈 2017年8月4日（金）11：00～ 11：30</t>
  </si>
  <si>
    <t>https://business.nifty.com/cs/catalog/business_release/catalog_drm0000156959_1.htm</t>
  </si>
  <si>
    <t>BIGLOBEニュース</t>
  </si>
  <si>
    <t>https://news.biglobe.ne.jp/economy/0725/dre_170725_3769606372.html</t>
  </si>
  <si>
    <t>FIDELI</t>
  </si>
  <si>
    <t>http://press.fideli.com/d/156959/</t>
  </si>
  <si>
    <t>http://press.fideli.com/d/156959/7</t>
  </si>
  <si>
    <t>Infoseekニュース</t>
  </si>
  <si>
    <t>https://news.infoseek.co.jp/article/dreamnews_0000156959/</t>
  </si>
  <si>
    <t>MarkeZine</t>
  </si>
  <si>
    <t>http://markezine.jp/release/detail/772536</t>
  </si>
  <si>
    <t>N+NewsRelease</t>
  </si>
  <si>
    <t>http://news.nplus-inc.co.jp/index.php?action=ViewDetail&amp;number=385966</t>
  </si>
  <si>
    <t>みやビズ</t>
  </si>
  <si>
    <t>https://miyabiz.com/special/dreamNews/detail.php?id=0000156959</t>
  </si>
  <si>
    <t>ニュースナビ</t>
  </si>
  <si>
    <t>http://newsnavi.jp/detail/633635/</t>
  </si>
  <si>
    <t>徳島新聞Web</t>
  </si>
  <si>
    <t>http://www.topics.or.jp/press/news/2017/07/DreamNewsDN0000156959.html</t>
  </si>
  <si>
    <t>朝日新聞デジタル＆m</t>
  </si>
  <si>
    <t>http://www.asahi.com/and_M/information/pressrelease/Cdpress000156959.html</t>
  </si>
  <si>
    <t>週刊女性PRIME</t>
  </si>
  <si>
    <t>http://www.jprime.jp/ud/pressrelease/guid/dn0000156959</t>
  </si>
  <si>
    <t>excite.ニュース</t>
  </si>
  <si>
    <t>『恋する灯台』禄剛埼灯台が立地する石川県珠洲市を「恋する灯台のまち」として認定 日本ロマンチスト協会会長が泉谷 満寿裕 市長を表敬訪問、認定証を贈呈 2017年8月4日（金）11：00～ 11：30 (プレスリリース)</t>
  </si>
  <si>
    <t>http://www.excite.co.jp/News/release/20170725/Dreamnews_0000156959.html</t>
  </si>
  <si>
    <t>StartHome</t>
  </si>
  <si>
    <t>『恋する灯台』禄剛埼灯台が立地する石川県珠洲市を「恋する灯台のまち」として認定 日本ロマンチスト協会会長が泉谷 満寿裕 市長を表敬訪問、認定証を贈呈 2017年8月4日（金）11：00～ 11：30 </t>
  </si>
  <si>
    <t>http://home.kingsoft.jp/news/pr/dreamnews/0000156959.html</t>
  </si>
  <si>
    <t>とれまがニュース</t>
  </si>
  <si>
    <t>『恋する灯台』禄剛埼灯台が立地する石川県珠洲市を「恋する灯台のまち」として認定 日本ロマンチスト協会会長が泉谷 満寿裕 市長を表敬訪問、認定証を贈呈 2017年8月4日（金）11：00～ 11：30 – とれまがニュース</t>
  </si>
  <si>
    <t>http://news.toremaga.com/release/others/976753.html</t>
  </si>
  <si>
    <t>Mapionニュース</t>
  </si>
  <si>
    <t>『恋する灯台』禄剛埼灯台が立地する石川県珠洲市を「恋する灯台のまち」として認定 日本ロマンチスト協会会長が泉谷 満寿裕 市長を表敬訪問、認定証を贈呈 2017年8月4日（金）11：00～ 11：30：マピオンニュース</t>
  </si>
  <si>
    <t>http://www.mapion.co.jp/news/release/dn0000156959-all/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</si>
  <si>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</t>
  </si>
  <si>
    <t>http://www.kigyou-sns.com/press/press_228184/</t>
  </si>
  <si>
    <t>絶景！海へと続く道。日本一の高さを誇る宮崎日向「馬ケ背」：マピオンニュース</t>
  </si>
  <si>
    <t>http://www.mapion.co.jp/news/local/tabiness-27730-all/</t>
  </si>
  <si>
    <t>YOMIURI ONLINE</t>
  </si>
  <si>
    <t>越前岬　恋する灯台 : 地域</t>
  </si>
  <si>
    <t>http://www.yomiuri.co.jp/local/fukui/news/20170725-OYTNT50000.html</t>
  </si>
  <si>
    <t>2017/07/24</t>
  </si>
  <si>
    <t>https://business.nifty.com/cs/catalog/business_release/catalog_drm0000156968_1.htm</t>
  </si>
  <si>
    <t>https://news.biglobe.ne.jp/economy/0724/dre_170724_1032191026.html</t>
  </si>
  <si>
    <t>http://press.fideli.com/d/156968/5</t>
  </si>
  <si>
    <t>http://press.fideli.com/d/156968/</t>
  </si>
  <si>
    <t>https://news.infoseek.co.jp/article/dreamnews_0000156968/</t>
  </si>
  <si>
    <t>http://markezine.jp/release/detail/771923</t>
  </si>
  <si>
    <t>http://news.nplus-inc.co.jp/index.php?action=ViewDetail&amp;number=385728</t>
  </si>
  <si>
    <t>http://www.seotools.jp/news/id_0000156968.html</t>
  </si>
  <si>
    <t>https://miyabiz.com/special/dreamNews/detail.php?id=0000156968</t>
  </si>
  <si>
    <t>http://newsnavi.jp/detail/633030/</t>
  </si>
  <si>
    <t>http://www.topics.or.jp/press/news/2017/07/DreamNewsDN0000156968.html</t>
  </si>
  <si>
    <t>http://www.asahi.com/and_M/information/pressrelease/Cdpress000156968.html</t>
  </si>
  <si>
    <t>http://www.jprime.jp/ud/pressrelease/guid/dn0000156968</t>
  </si>
  <si>
    <t>『恋する灯台』日御碕灯台が立地する島根県出雲市を「恋する灯台のまち」として認定　日本ロマンチスト協会会長が長岡 秀人 市長を表敬訪問、認定証を贈呈　日時：2017年8月3日（木） (プレスリリース)</t>
  </si>
  <si>
    <t>http://www.excite.co.jp/News/release/20170724/Dreamnews_0000156968.html</t>
  </si>
  <si>
    <t>『恋する灯台』日御碕灯台が立地する島根県出雲市を「恋する灯台のまち」として認定　日本ロマンチスト協会会長が長岡 秀人 市長を表敬訪問、認定証を贈呈　日時：2017年8月3日（木） </t>
  </si>
  <si>
    <t>http://home.kingsoft.jp/news/pr/dreamnews/0000156968.html</t>
  </si>
  <si>
    <t>『恋する灯台』日御碕灯台が立地する島根県出雲市を「恋する灯台のまち」として認定　日本ロマンチスト協会会長が長岡 秀人 市長を表敬訪問、認定証を贈呈　日時：2017年8月3日（木） – とれまがニュース</t>
  </si>
  <si>
    <t>http://news.toremaga.com/release/others/976097.html</t>
  </si>
  <si>
    <t>『恋する灯台』日御碕灯台が立地する島根県出雲市を「恋する灯台のまち」として認定　日本ロマンチスト協会会長が長岡 秀人 市長を表敬訪問、認定証を贈呈　日時：2017年8月3日（木）：マピオンニュース</t>
  </si>
  <si>
    <t>http://www.mapion.co.jp/news/release/dn0000156968-all/</t>
  </si>
  <si>
    <t>https://business.nifty.com/cs/catalog/business_release/catalog_drm0000156973_1.htm</t>
  </si>
  <si>
    <t>https://news.biglobe.ne.jp/economy/0724/dre_170724_8656578115.html</t>
  </si>
  <si>
    <t>http://press.fideli.com/d/156973/5</t>
  </si>
  <si>
    <t>http://press.fideli.com/d/156973/</t>
  </si>
  <si>
    <t>https://news.infoseek.co.jp/article/dreamnews_0000156973/</t>
  </si>
  <si>
    <t>http://markezine.jp/release/detail/771922</t>
  </si>
  <si>
    <t>http://news.nplus-inc.co.jp/index.php?action=ViewDetail&amp;number=385729</t>
  </si>
  <si>
    <t>http://www.seotools.jp/news/id_0000156973.html</t>
  </si>
  <si>
    <t>https://miyabiz.com/special/dreamNews/detail.php?id=0000156973</t>
  </si>
  <si>
    <t>http://newsnavi.jp/detail/633031/</t>
  </si>
  <si>
    <t>http://www.topics.or.jp/press/news/2017/07/DreamNewsDN0000156973.html</t>
  </si>
  <si>
    <t>http://www.asahi.com/and_M/information/pressrelease/Cdpress000156973.html</t>
  </si>
  <si>
    <t>http://www.jprime.jp/ud/pressrelease/guid/dn0000156973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</si>
  <si>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 (プレスリリース)</t>
  </si>
  <si>
    <t>http://www.excite.co.jp/News/release/20170724/Dreamnews_0000156973.html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</si>
  <si>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 </t>
  </si>
  <si>
    <t>http://home.kingsoft.jp/news/pr/dreamnews/0000156973.html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</si>
  <si>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 – とれまがニュース</t>
  </si>
  <si>
    <t>http://news.toremaga.com/release/others/976096.html</t>
  </si>
  <si>
    <t>『恋する灯台』足摺岬灯台が立地する高知県土佐清水市を「恋する灯台のまち」として認定日本ロマンチスト協会会長が泥谷　光信 市長を表敬訪問、認定証を贈呈 日時：2017年8月1日（火）：マピオンニュース</t>
  </si>
  <si>
    <t>http://www.mapion.co.jp/news/release/dn0000156973-all/</t>
  </si>
  <si>
    <t>2017/07/18</t>
  </si>
  <si>
    <t>2017/07/19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</si>
  <si>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市長を表敬訪問、認定証を贈呈日時：2017年7月25日（火）10：00〜 10：30</t>
  </si>
  <si>
    <t>http://www.seotools.jp/news/id_0000156588.html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</si>
  <si>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市長を表敬訪問、認定証を贈呈日時：2017年7月25日（火）10：00～ 10：30</t>
  </si>
  <si>
    <t>https://business.nifty.com/cs/catalog/business_release/catalog_drm0000156588_1.htm</t>
  </si>
  <si>
    <t>https://news.biglobe.ne.jp/economy/0718/dre_170718_6086063478.html</t>
  </si>
  <si>
    <t>http://press.fideli.com/d/156588/</t>
  </si>
  <si>
    <t>http://press.fideli.com/d/156588/5</t>
  </si>
  <si>
    <t>https://news.infoseek.co.jp/article/dreamnews_0000156588/</t>
  </si>
  <si>
    <t>http://news.nplus-inc.co.jp/index.php?action=ViewDetail&amp;number=384813</t>
  </si>
  <si>
    <t>https://miyabiz.com/special/dreamNews/detail.php?id=0000156588</t>
  </si>
  <si>
    <t>http://newsnavi.jp/detail/630182/</t>
  </si>
  <si>
    <t>http://www.topics.or.jp/press/news/2017/07/DreamNewsDN0000156588.html</t>
  </si>
  <si>
    <t>http://www.asahi.com/and_M/information/pressrelease/Cdpress000156588.html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</si>
  <si>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市長を表敬訪問、認定証を贈呈日時：2017年7月25日（火）10：00～ 10：30 - プレスリリース：MarkeZine（マーケジン）</t>
  </si>
  <si>
    <t>http://markezine.jp/release/detail/769409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</si>
  <si>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市長を表敬訪問、認定証を贈呈日時：2017年7月25日（火）10：00～ 10：30 </t>
  </si>
  <si>
    <t>http://home.kingsoft.jp/news/pr/dreamnews/0000156588.html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</si>
  <si>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市長を表敬訪問、認定証を贈呈日時：2017年7月25日（火）10：00～ 10：30 – とれまがニュース</t>
  </si>
  <si>
    <t>http://news.toremaga.com/release/others/973446.html</t>
  </si>
  <si>
    <t>『恋する灯台』佐木島灯台が立地する広島県三原市を「恋する灯台のまち」として認定 日本ロマンチスト協会会長が天満祥典 市長を表敬訪問、認定証を贈呈日時：2017年7月25日（火）10：00～ 10：30：マピオンニュース</t>
  </si>
  <si>
    <t>http://www.mapion.co.jp/news/release/dn0000156588-all/</t>
  </si>
  <si>
    <t>恋する灯台のまち広島県三原市の新たな地域資源を発掘！“2人の仲が深まる10のコト” 恋する目線で観光フライヤーを制作 「ワールドクエスト」式ワークショップを開催 7月25日（火）に佐木区民会館で開催</t>
  </si>
  <si>
    <t>https://business.nifty.com/cs/catalog/business_release/catalog_drm0000156596_1.htm</t>
  </si>
  <si>
    <t>https://news.biglobe.ne.jp/economy/0718/dre_170718_7480121243.html</t>
  </si>
  <si>
    <t>http://press.fideli.com/d/156596/</t>
  </si>
  <si>
    <t>http://press.fideli.com/d/156596/5</t>
  </si>
  <si>
    <t>https://news.infoseek.co.jp/article/dreamnews_0000156596/</t>
  </si>
  <si>
    <t>http://news.nplus-inc.co.jp/index.php?action=ViewDetail&amp;number=384814</t>
  </si>
  <si>
    <t>http://www.seotools.jp/news/id_0000156596.html</t>
  </si>
  <si>
    <t>https://miyabiz.com/special/dreamNews/detail.php?id=0000156596</t>
  </si>
  <si>
    <t>http://newsnavi.jp/detail/630183/</t>
  </si>
  <si>
    <t>http://www.topics.or.jp/press/news/2017/07/DreamNewsDN0000156596.html</t>
  </si>
  <si>
    <t>http://www.asahi.com/and_M/information/pressrelease/Cdpress000156596.html</t>
  </si>
  <si>
    <t>恋する灯台のまち広島県三原市の新たな地域資源を発掘！“2人の仲が深まる10のコト” 恋する目線で観光フライヤーを制作 「ワールドクエスト」式ワークショップを開催 7月25日（火）に佐木区民会館で開催 - プレスリリース：MarkeZine（マーケジン）</t>
  </si>
  <si>
    <t>http://markezine.jp/release/detail/769408</t>
  </si>
  <si>
    <t>恋する灯台のまち広島県三原市の新たな地域資源を発掘！“2人の仲が深まる10のコト” 恋する目線で観光フライヤーを制作 「ワールドクエスト」式ワークショップを開催 7月25日（火）に佐木区民会館で開催 </t>
  </si>
  <si>
    <t>http://home.kingsoft.jp/news/pr/dreamnews/0000156596.html</t>
  </si>
  <si>
    <t>恋する灯台のまち広島県三原市の新たな地域資源を発掘！“2人の仲が深まる10のコト” 恋する目線で観光フライヤーを制作 「ワールドクエスト」式ワークショップを開催 7月25日（火）に佐木区民会館で開催 – とれまがニュース</t>
  </si>
  <si>
    <t>http://news.toremaga.com/release/others/973445.html</t>
  </si>
  <si>
    <t>恋する灯台のまち広島県三原市の新たな地域資源を発掘！“2人の仲が深まる10のコト” 恋する目線で観光フライヤーを制作 「ワールドクエスト」式ワークショップを開催 7月25日（火）に佐木区民会館で開催：マピオンニュース</t>
  </si>
  <si>
    <t>http://www.mapion.co.jp/news/release/dn0000156596-all/</t>
  </si>
  <si>
    <t>週刊女性PRIME [シュージョプライム]</t>
  </si>
  <si>
    <t>http://www.jprime.jp/ud/pressrelease/guid/dn0000156588</t>
  </si>
  <si>
    <t>http://www.jprime.jp/ud/pressrelease/guid/dn0000156596</t>
  </si>
  <si>
    <t>2017/07/13</t>
  </si>
  <si>
    <t>2017/07/14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</si>
  <si>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</t>
  </si>
  <si>
    <t>http://newsnavi.jp/detail/626987/</t>
  </si>
  <si>
    <t>2017/07/12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</si>
  <si>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 一般社団法人日本ロマンチスト協会 </t>
  </si>
  <si>
    <t>http://www.bizloop.jp/release/DRN0000156227/</t>
  </si>
  <si>
    <t>ESTART</t>
  </si>
  <si>
    <t>日向で「恋する灯台」ワークショップ　細島灯台の認定を機に地元の「キュン」再発見</t>
  </si>
  <si>
    <t>http://start.jword.jp/topics/link/1102132/animan</t>
  </si>
  <si>
    <t>Yahoo! ニュース</t>
  </si>
  <si>
    <t>日向で「恋する灯台」ワークショップ　細島灯台の認定を機に地元の「キュン」再発見　／宮崎 （みんなの経済新聞ネットワーク）</t>
  </si>
  <si>
    <t>https://headlines.yahoo.co.jp/hl?a=20170712-00000025-minkei-l45</t>
  </si>
  <si>
    <t>2017/07/11</t>
  </si>
  <si>
    <t>http://www.kigyou-sns.com/press/press_226587/</t>
  </si>
  <si>
    <t>2017/07/10</t>
  </si>
  <si>
    <t>https://business.nifty.com/cs/catalog/business_release/catalog_drm0000156227_1.htm</t>
  </si>
  <si>
    <t>https://news.biglobe.ne.jp/economy/0710/dre_170710_1128989658.html</t>
  </si>
  <si>
    <t>https://news.infoseek.co.jp/article/dreamnews_0000156227/</t>
  </si>
  <si>
    <t>http://news.nplus-inc.co.jp/index.php?action=ViewDetail&amp;number=383645</t>
  </si>
  <si>
    <t>http://www.seotools.jp/news/id_0000156227.html</t>
  </si>
  <si>
    <t>https://miyabiz.com/special/dreamNews/detail.php?id=0000156227</t>
  </si>
  <si>
    <t>フィデリ・プレスリリース</t>
  </si>
  <si>
    <t>http://press.fideli.com/d/156227/</t>
  </si>
  <si>
    <t>http://press.fideli.com/d/156227/7</t>
  </si>
  <si>
    <t>http://www.topics.or.jp/press/news/2017/07/DreamNewsDN0000156227.html</t>
  </si>
  <si>
    <t>http://www.asahi.com/and_M/information/pressrelease/Cdpress000156227.html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</si>
  <si>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 (プレスリリース)</t>
  </si>
  <si>
    <t>http://www.excite.co.jp/News/release/20170710/Dreamnews_0000156227.html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</si>
  <si>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 - プレスリリース：MarkeZine（マーケジン）</t>
  </si>
  <si>
    <t>http://markezine.jp/release/detail/766274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</si>
  <si>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 </t>
  </si>
  <si>
    <t>http://home.kingsoft.jp/news/pr/dreamnews/0000156227.html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</si>
  <si>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 – とれまがニュース</t>
  </si>
  <si>
    <t>http://news.toremaga.com/entertainment/others/970023.html</t>
  </si>
  <si>
    <t>http://news.toremaga.com/release/others/970023.html</t>
  </si>
  <si>
    <t>『恋する灯台』爪木埼灯台が立地する静岡県下田市を「恋する灯台のまち」として認定 日本ロマンチスト協会会長が福井 祐輔 市長を表敬訪問、認定証を贈呈 日時：2017年7月20日:（木）場所：下田市役所：マピオンニュース</t>
  </si>
  <si>
    <t>http://www.mapion.co.jp/news/release/dn0000156227-all/</t>
  </si>
  <si>
    <t>2017/07/06</t>
  </si>
  <si>
    <t>2017/07/07</t>
  </si>
  <si>
    <t>『恋する灯台』越前岬灯台が立地する福井県越前町を「恋する灯台のまち」として認定 日本ロマンチスト協会会長が内藤 俊三 町長を2017年7月14日（金）に表敬訪問、認定証を贈呈</t>
  </si>
  <si>
    <t>http://www.kigyou-sns.com/press/press_225966/</t>
  </si>
  <si>
    <t>2017/07/05</t>
  </si>
  <si>
    <t>『恋する灯台』越前岬灯台が立地する福井県越前町を「恋する灯台のまち」として認定 日本ロマンチスト協会会長が内藤 俊三 町長を2017年7月14日（金）に表敬訪問、認定証を贈呈 一般社団法人日本ロマンチスト協会 </t>
  </si>
  <si>
    <t>http://www.bizloop.jp/release/DRN0000155706/</t>
  </si>
  <si>
    <t>2017/07/04</t>
  </si>
  <si>
    <t>https://business.nifty.com/cs/catalog/business_release/catalog_drm0000155706_1.htm</t>
  </si>
  <si>
    <t>https://news.biglobe.ne.jp/economy/0704/dre_170704_8914854179.html</t>
  </si>
  <si>
    <t>https://news.infoseek.co.jp/article/dreamnews_0000155706/</t>
  </si>
  <si>
    <t>http://news.nplus-inc.co.jp/index.php?action=ViewDetail&amp;number=382864</t>
  </si>
  <si>
    <t>http://www.seotools.jp/news/id_0000155706.html</t>
  </si>
  <si>
    <t>http://newsnavi.jp/detail/624623/</t>
  </si>
  <si>
    <t>http://press.fideli.com/d/155706/</t>
  </si>
  <si>
    <t>http://press.fideli.com/d/155706/7</t>
  </si>
  <si>
    <t>http://www.topics.or.jp/press/news/2017/07/DreamNewsDN0000155706.html</t>
  </si>
  <si>
    <t>http://www.asahi.com/and_M/information/pressrelease/Cdpress000155706.html</t>
  </si>
  <si>
    <t>『恋する灯台』越前岬灯台が立地する福井県越前町を「恋する灯台のまち」として認定 日本ロマンチスト協会会長が内藤 俊三 町長を2017年7月14日（金）に表敬訪問、認定証を贈呈 (プレスリリース)</t>
  </si>
  <si>
    <t>http://www.excite.co.jp/News/release/20170704/Dreamnews_0000155706.html</t>
  </si>
  <si>
    <t>『恋する灯台』越前岬灯台が立地する福井県越前町を「恋する灯台のまち」として認定 日本ロマンチスト協会会長が内藤 俊三 町長を2017年7月14日（金）に表敬訪問、認定証を贈呈 - プレスリリース：MarkeZine（マーケジン）</t>
  </si>
  <si>
    <t>http://markezine.jp/release/detail/763972</t>
  </si>
  <si>
    <t>『恋する灯台』越前岬灯台が立地する福井県越前町を「恋する灯台のまち」として認定 日本ロマンチスト協会会長が内藤 俊三 町長を2017年7月14日（金）に表敬訪問、認定証を贈呈 </t>
  </si>
  <si>
    <t>http://home.kingsoft.jp/news/pr/dreamnews/0000155706.html</t>
  </si>
  <si>
    <t>『恋する灯台』越前岬灯台が立地する福井県越前町を「恋する灯台のまち」として認定 日本ロマンチスト協会会長が内藤 俊三 町長を2017年7月14日（金）に表敬訪問、認定証を贈呈 – とれまがニュース</t>
  </si>
  <si>
    <t>http://news.toremaga.com/release/others/967570.html</t>
  </si>
  <si>
    <t>『恋する灯台』越前岬灯台が立地する福井県越前町を「恋する灯台のまち」として認定 日本ロマンチスト協会会長が内藤 俊三 町長を2017年7月14日（金）に表敬訪問、認定証を贈呈：マピオンニュース</t>
  </si>
  <si>
    <t>http://www.mapion.co.jp/news/release/dn0000155706-all/</t>
  </si>
  <si>
    <t>2017/07/03</t>
  </si>
  <si>
    <t>「恋する灯台のまち」宮崎県日向市の新たな地域資源を発掘 2人の仲が深まる10のコト恋する目線で観光フライヤーを制作  ワールドクエスト式ワークショップを開催 7月10日（月）日向市日向商工会議所で開催 - プレスリリース：MarkeZine（マーケジン）</t>
  </si>
  <si>
    <t>http://markezine.jp/release/detail/763317</t>
  </si>
  <si>
    <t>「恋する灯台のまち」宮崎県日向市の新たな地域資源を発掘 2人の仲が深まる10のコト恋する目線で観光フライヤーを制作 ワールドクエスト式ワークショップを開催 7月10日（月）日向市日向商工会議所で開催</t>
  </si>
  <si>
    <t>https://business.nifty.com/cs/catalog/business_release/catalog_drm0000155700_1.htm</t>
  </si>
  <si>
    <t>https://news.biglobe.ne.jp/economy/0703/dre_170703_6702838866.html</t>
  </si>
  <si>
    <t>https://news.infoseek.co.jp/article/dreamnews_0000155700/</t>
  </si>
  <si>
    <t>http://news.nplus-inc.co.jp/index.php?action=ViewDetail&amp;number=382612</t>
  </si>
  <si>
    <t>http://www.seotools.jp/news/id_0000155700.html</t>
  </si>
  <si>
    <t>https://miyabiz.com/special/dreamNews/detail.php?id=0000155700</t>
  </si>
  <si>
    <t>http://newsnavi.jp/detail/623992/</t>
  </si>
  <si>
    <t>http://press.fideli.com/d/155700/5</t>
  </si>
  <si>
    <t>http://press.fideli.com/d/155700/</t>
  </si>
  <si>
    <t>http://www.topics.or.jp/press/news/2017/07/DreamNewsDN0000155700.html</t>
  </si>
  <si>
    <t>http://www.asahi.com/and_M/information/pressrelease/Cdpress000155700.html</t>
  </si>
  <si>
    <t>「恋する灯台のまち」宮崎県日向市の新たな地域資源を発掘 2人の仲が深まる10のコト恋する目線で観光フライヤーを制作 ワールドクエスト式ワークショップを開催 7月10日（月）日向市日向商工会議所で開催 (プレスリリース)</t>
  </si>
  <si>
    <t>http://www.excite.co.jp/News/release/20170703/Dreamnews_0000155700.html</t>
  </si>
  <si>
    <t>「恋する灯台のまち」宮崎県日向市の新たな地域資源を発掘 2人の仲が深まる10のコト恋する目線で観光フライヤーを制作 ワールドクエスト式ワークショップを開催 7月10日（月）日向市日向商工会議所で開催 </t>
  </si>
  <si>
    <t>http://home.kingsoft.jp/news/pr/dreamnews/0000155700.html</t>
  </si>
  <si>
    <t>「恋する灯台のまち」宮崎県日向市の新たな地域資源を発掘 2人の仲が深まる10のコト恋する目線で観光フライヤーを制作 ワールドクエスト式ワークショップを開催 7月10日（月）日向市日向商工会議所で開催 – とれまがニュース</t>
  </si>
  <si>
    <t>http://news.toremaga.com/nation/notice/966849.html</t>
  </si>
  <si>
    <t>http://news.toremaga.com/release/notice/966849.html</t>
  </si>
  <si>
    <t>「恋する灯台のまち」宮崎県日向市の新たな地域資源を発掘 2人の仲が深まる10のコト恋する目線で観光フライヤーを制作 ワールドクエスト式ワークショップを開催 7月10日（月）日向市日向商工会議所で開催：マピオンニュース</t>
  </si>
  <si>
    <t>http://www.mapion.co.jp/news/release/dn0000155700-all/</t>
  </si>
  <si>
    <t xml:space="preserve">掲載日
</t>
    <phoneticPr fontId="1" type="noConversion"/>
  </si>
  <si>
    <t xml:space="preserve">媒体名
</t>
    <phoneticPr fontId="1" type="noConversion"/>
  </si>
  <si>
    <t xml:space="preserve">記事タイトル
</t>
    <phoneticPr fontId="1" type="noConversion"/>
  </si>
  <si>
    <t xml:space="preserve">URL
</t>
    <phoneticPr fontId="1" type="noConversion"/>
  </si>
  <si>
    <t>2017/06/28</t>
  </si>
  <si>
    <t>2017/06/29</t>
  </si>
  <si>
    <t>47NEWS</t>
  </si>
  <si>
    <t>「恋する灯台」認定　日向の細島灯台</t>
  </si>
  <si>
    <t>http://www.47news.jp/localnews/miyazaki/2017/06/post_20170628113400.html</t>
  </si>
  <si>
    <t>Miyanichi e-press</t>
  </si>
  <si>
    <t>http://www.the-miyanichi.co.jp/kennai/_26629.html</t>
  </si>
  <si>
    <t>コネクト</t>
  </si>
  <si>
    <t>「恋する灯台」認定　日向の細島灯台 [宮崎日日新聞 MIYANICHI ePRESS]</t>
  </si>
  <si>
    <t>http://soonhome.jp/connect/post?id=252447456471401975</t>
  </si>
  <si>
    <t>「恋する灯台」認定　日向の細島灯台 （宮崎日日新聞）</t>
  </si>
  <si>
    <t>https://headlines.yahoo.co.jp/hl?a=20170628-00010348-miyazaki-l45</t>
  </si>
  <si>
    <t>恋する灯台に「細島」　日向市役所で認定証贈呈式 : 地域</t>
  </si>
  <si>
    <t>http://www.yomiuri.co.jp/local/miyazaki/news/20170627-OYTNT50282.html</t>
  </si>
  <si>
    <t>毎日新聞</t>
  </si>
  <si>
    <t>日向・細島が認定　「ロマンスの聖地に」　／宮崎</t>
  </si>
  <si>
    <t>https://mainichi.jp/articles/20170628/ddl/k45/040/269000c</t>
  </si>
  <si>
    <t>goo ニュース</t>
  </si>
  <si>
    <t>＜恋する灯台＞日向・細島が認定　「ロマンスの聖地に」　／宮崎(毎日新聞)</t>
  </si>
  <si>
    <t>https://news.goo.ne.jp/article/mainichi_region/region/mainichi_region-20170628ddlk45040269000c.html</t>
  </si>
  <si>
    <t>dメニュー</t>
  </si>
  <si>
    <t>＜恋する灯台＞日向・細島が認定　「ロマンスの聖地に」　／宮崎（毎日新聞）　日本ロマンチスト協会が日本財団と共催で…</t>
  </si>
  <si>
    <t>http://topics.smt.docomo.ne.jp/article/mainichi_region/region/mainichi_region-20170628ddlk45040269000c?fm=latestnews</t>
  </si>
  <si>
    <t>2017/06/26</t>
  </si>
  <si>
    <t>2017/06/27</t>
  </si>
  <si>
    <t>http://www.yukan-daily.co.jp/news.php?id=66592</t>
  </si>
  <si>
    <t>2017/06/23</t>
  </si>
  <si>
    <t>2017/06/24</t>
  </si>
  <si>
    <t>30min.</t>
  </si>
  <si>
    <t>福井県越前町新観光ポスター「あなたに見せたい風景(まち)がある」を製作しました。</t>
  </si>
  <si>
    <t>http://30min.jp/release/prtimes/detail/41158</t>
  </si>
  <si>
    <t>https://business.nifty.com/cs/catalog/business_release/catalog_prt000000046000017744_1.htm</t>
  </si>
  <si>
    <t>BEST TIMES</t>
  </si>
  <si>
    <t>http://best-times.jp/ud/pressrelease_besttimes/594cc12d7765615c0b010000</t>
  </si>
  <si>
    <t>https://news.biglobe.ne.jp/economy/0623/prt_170623_5089527240.html</t>
  </si>
  <si>
    <t>CREA WEB</t>
  </si>
  <si>
    <t>http://crea.bunshun.jp/ud/pressrelease/594cbffcb31ac9697b000002</t>
  </si>
  <si>
    <t>eltha</t>
  </si>
  <si>
    <t>http://beauty.oricon.co.jp/pressrelease/170691/</t>
  </si>
  <si>
    <t>https://news.infoseek.co.jp/article/prtimes_000000046_000017744/</t>
  </si>
  <si>
    <t>JBPRESS</t>
  </si>
  <si>
    <t>http://jbpress.ismedia.jp/ud/pressrelease/594cce19b31ac925ee000011</t>
  </si>
  <si>
    <t>JOSHI+</t>
  </si>
  <si>
    <t>http://joshiplus.jp/pressrelease/170651/</t>
  </si>
  <si>
    <t>OKGuide</t>
  </si>
  <si>
    <t>http://okguide.okwave.jp/cafe/2631074</t>
  </si>
  <si>
    <t>http://www.oricon.co.jp/pressrelease/170637/</t>
  </si>
  <si>
    <t>PRESIDENT ONLINE</t>
  </si>
  <si>
    <t>http://president.jp/ud/pressrelease/594cce2a776561352a100000</t>
  </si>
  <si>
    <t>http://www.seotools.jp/news/id_000000046.000017744.html</t>
  </si>
  <si>
    <t>STRAIGHT PRESS</t>
  </si>
  <si>
    <t>http://straightpress.jp/company_news/detail?pr=000000046.000017744</t>
  </si>
  <si>
    <t>Traicy</t>
  </si>
  <si>
    <t>http://release.traicy.com/archives/2017062350205.html</t>
  </si>
  <si>
    <t>ジョルダンニュース！</t>
  </si>
  <si>
    <t>http://news.jorudan.co.jp/docs/news/detail.cgi?newsid=PT000046A000017744</t>
  </si>
  <si>
    <t>ダイヤモンド・オンライン</t>
  </si>
  <si>
    <t>http://diamond.jp/ud/pressrelease/594ccf487765618f8a100000</t>
  </si>
  <si>
    <t>時事ドットコム</t>
  </si>
  <si>
    <t>http://www.jiji.com/jc/article?g=prt&amp;k=000000046.000017744</t>
  </si>
  <si>
    <t>http://www.asahi.com/and_M/information/pressrelease/CPRT201738950.html</t>
  </si>
  <si>
    <t>東洋経済 ONLINE</t>
  </si>
  <si>
    <t>http://toyokeizai.net/ud/pressrelease/594cce747765614f30100000</t>
  </si>
  <si>
    <t>現代ビジネス</t>
  </si>
  <si>
    <t>http://gendai.ismedia.jp/ud/pressrelease/594ccec577656166b7100000</t>
  </si>
  <si>
    <t>産経ニュース</t>
  </si>
  <si>
    <t>http://www.sankei.com/economy/news/170623/prl1706230282-n1.html</t>
  </si>
  <si>
    <t>財経新聞</t>
  </si>
  <si>
    <t>http://www.zaikei.co.jp/releases/494631/</t>
  </si>
  <si>
    <t>福井県越前町新観光ポスター「あなたに見せたい風景(まち)がある」を製作しました。 (プレスリリース)</t>
  </si>
  <si>
    <t>http://www.excite.co.jp/News/release/20170623/Prtimes_2017-06-23-17744-46.html</t>
  </si>
  <si>
    <t>福井県越前町新観光ポスター「あなたに見せたい風景(まち)がある」を製作しました。 - プレスリリース：MarkeZine（マーケジン）</t>
  </si>
  <si>
    <t>http://markezine.jp/release/detail/759566</t>
  </si>
  <si>
    <t>福井県越前町新観光ポスター「あなたに見せたい風景(まち)がある」を製作しました。 : ニュースリリース : 経済</t>
  </si>
  <si>
    <t>http://www.yomiuri.co.jp/adv/economy/release/detail/00304297.html</t>
  </si>
  <si>
    <t>@DIME</t>
  </si>
  <si>
    <t>福井県越前町新観光ポスター「あなたに見せたい風景(まち)がある」を製作しました。 （06.23）</t>
  </si>
  <si>
    <t>https://dime.jp/company_news/detail/?pr=230551</t>
  </si>
  <si>
    <t>Cubeニュース</t>
  </si>
  <si>
    <t>福井県越前町新観光ポスター「あなたに見せたい風景(まち)がある」を製作しました。:Cubeニュース</t>
  </si>
  <si>
    <t>http://news.cube-soft.jp/prtimes/archive.php?id=179056</t>
  </si>
  <si>
    <t>福井県越前町新観光ポスター「あなたに見せたい風景(まち)がある」を製作しました。 – とれまがニュース</t>
  </si>
  <si>
    <t>http://news.toremaga.com/release/others/962848.html</t>
  </si>
  <si>
    <t>イザ！</t>
  </si>
  <si>
    <t>福井県越前町新観光ポスター「あなたに見せたい風景(まち)がある」を製作しました。：イザ！</t>
  </si>
  <si>
    <t>http://www.iza.ne.jp/kiji/pressrelease/news/170623/prl17062316440282-n1.html</t>
  </si>
  <si>
    <t>福井県越前町新観光ポスター「あなたに見せたい風景(まち)がある」を製作しました。：マピオンニュース</t>
  </si>
  <si>
    <t>http://www.mapion.co.jp/news/release/000000046.000017744-all/</t>
  </si>
  <si>
    <t>2017/06/21</t>
  </si>
  <si>
    <t>2017/06/22</t>
  </si>
  <si>
    <t>『恋する灯台』細島灯台が立地する宮崎県日向市を 「恋する灯台のまち」として認定 日本ロマンチスト協会会長が十屋 幸平市長を表敬訪問、認定証を贈呈 一般社団法人日本ロマンチスト協会 </t>
  </si>
  <si>
    <t>http://www.bizloop.jp/release/DRN0000154565/</t>
  </si>
  <si>
    <t>2017/06/19</t>
  </si>
  <si>
    <t>2017/06/20</t>
  </si>
  <si>
    <t>『恋する灯台』細島灯台が立地する宮崎県日向市を 「恋する灯台のまち」として認定 日本ロマンチスト協会会長が十屋 幸平市長を表敬訪問、認定証を贈呈</t>
  </si>
  <si>
    <t>https://business.nifty.com/cs/catalog/business_release/catalog_drm0000154565_1.htm</t>
  </si>
  <si>
    <t>https://news.biglobe.ne.jp/economy/0619/dre_170619_9118432432.html</t>
  </si>
  <si>
    <t>https://news.infoseek.co.jp/article/dreamnews_0000154565/</t>
  </si>
  <si>
    <t>http://news.nplus-inc.co.jp/index.php?action=ViewDetail&amp;number=380365</t>
  </si>
  <si>
    <t>http://www.seotools.jp/news/id_0000154565.html</t>
  </si>
  <si>
    <t>http://newsnavi.jp/detail/616956/</t>
  </si>
  <si>
    <t>http://press.fideli.com/d/154565/7</t>
  </si>
  <si>
    <t>http://press.fideli.com/d/154565/</t>
  </si>
  <si>
    <t>http://www.topics.or.jp/press/news/2017/06/DreamNewsDN0000154565.html</t>
  </si>
  <si>
    <t>http://www.asahi.com/and_M/information/pressrelease/Cdpress000154565.html</t>
  </si>
  <si>
    <t>『恋する灯台』細島灯台が立地する宮崎県日向市を 「恋する灯台のまち」として認定 日本ロマンチスト協会会長が十屋 幸平市長を表敬訪問、認定証を贈呈 (プレスリリース)</t>
  </si>
  <si>
    <t>http://www.excite.co.jp/News/release/20170619/Dreamnews_0000154565.html</t>
  </si>
  <si>
    <t>『恋する灯台』細島灯台が立地する宮崎県日向市を 「恋する灯台のまち」として認定 日本ロマンチスト協会会長が十屋 幸平市長を表敬訪問、認定証を贈呈 - プレスリリース：MarkeZine（マーケジン）</t>
  </si>
  <si>
    <t>http://markezine.jp/release/detail/757140</t>
  </si>
  <si>
    <t>『恋する灯台』細島灯台が立地する宮崎県日向市を 「恋する灯台のまち」として認定 日本ロマンチスト協会会長が十屋 幸平市長を表敬訪問、認定証を贈呈 </t>
  </si>
  <si>
    <t>http://home.kingsoft.jp/news/pr/dreamnews/0000154565.html</t>
  </si>
  <si>
    <t>『恋する灯台』細島灯台が立地する宮崎県日向市を 「恋する灯台のまち」として認定 日本ロマンチスト協会会長が十屋 幸平市長を表敬訪問、認定証を贈呈 – とれまがニュース</t>
  </si>
  <si>
    <t>http://news.toremaga.com/release/notice/960323.html</t>
  </si>
  <si>
    <t>http://news.toremaga.com/nation/notice/960323.html</t>
  </si>
  <si>
    <t>『恋する灯台』細島灯台が立地する宮崎県日向市を 「恋する灯台のまち」として認定 日本ロマンチスト協会会長が十屋 幸平市長を表敬訪問、認定証を贈呈：マピオンニュース</t>
  </si>
  <si>
    <t>http://www.mapion.co.jp/news/release/dn0000154565-all/</t>
  </si>
  <si>
    <t>2017/06/18</t>
  </si>
  <si>
    <t>NHK NEWS WEB</t>
  </si>
  <si>
    <t>釣島灯台 恋する灯台に認定</t>
  </si>
  <si>
    <t>http://www3.nhk.or.jp/matsuyama-news/20170618/4234421.html</t>
  </si>
  <si>
    <t>2017/06/10</t>
  </si>
  <si>
    <t>2017/06/11</t>
  </si>
  <si>
    <t>福井新聞ONLINE</t>
  </si>
  <si>
    <t>人生物語風、注目の観光ポスター ４枚セット、越前町観光連盟</t>
  </si>
  <si>
    <t>http://www.fukuishimbun.co.jp/articles/-/203884</t>
  </si>
  <si>
    <t>観光ポスター4枚に男女の人生ストーリー （福井新聞ＯＮＬＩＮＥ）</t>
  </si>
  <si>
    <t>https://headlines.yahoo.co.jp/hl?a=20170610-00010001-fukui-l18</t>
  </si>
  <si>
    <t>観光ポスター４枚に男女の人生ストーリー(福井新聞)</t>
  </si>
  <si>
    <t>https://news.goo.ne.jp/article/fukui/region/fukui-20170610102538026.html</t>
  </si>
  <si>
    <t>観光ポスター４枚に男女の人生ストーリー（福井新聞）　岬の高台で恋人とロマンスに浸り、結婚後…</t>
  </si>
  <si>
    <t>http://topics.smt.docomo.ne.jp/article/fukui/region/fukui-20170610102538026?fm=latestnews</t>
  </si>
  <si>
    <t>2017/06/08</t>
  </si>
  <si>
    <t>2017/06/09</t>
  </si>
  <si>
    <t>三原・佐木島もロマンス聖地に　「恋する灯台プロジェクト」</t>
  </si>
  <si>
    <t>http://www.sankei.com/region/news/170608/rgn1706080066-n1.html</t>
  </si>
  <si>
    <t>三原・佐木島もロマンス聖地に　「恋する灯台プロジェクト」 （産経新聞）</t>
  </si>
  <si>
    <t>https://headlines.yahoo.co.jp/hl?a=20170608-00000061-san-l34</t>
  </si>
  <si>
    <t>livedoor</t>
  </si>
  <si>
    <t>恋愛の前途示す道しるべ＝「恋する灯台」に選定　広島の離島・佐木島</t>
  </si>
  <si>
    <t>http://news.livedoor.com/article/detail/13173220/</t>
  </si>
  <si>
    <t>mixiニュース</t>
  </si>
  <si>
    <t>http://news.mixi.jp/view_news.pl?id=4610607&amp;media_id=3</t>
  </si>
  <si>
    <t>SankeiBiz</t>
  </si>
  <si>
    <t>恋愛の前途示す道しるべ＝「恋する灯台」に選定　広島の離島・佐木島 (1/2ページ)</t>
  </si>
  <si>
    <t>http://www.sankeibiz.jp/compliance/news/170608/cpd1706081701009-n1.htm</t>
  </si>
  <si>
    <t>恋愛の前途示す道しるべ＝「恋する灯台」に選定　広島の離島・佐木島 = 社会</t>
  </si>
  <si>
    <t>https://news.goo.ne.jp/picture/nation/sankei-wst1706080026.html</t>
  </si>
  <si>
    <t>恋愛の前途示す道しるべ＝「恋する灯台」に選定　広島の離島・佐木島(産経新聞)</t>
  </si>
  <si>
    <t>https://news.goo.ne.jp/article/sankei/nation/sankei-wst1706080026.html</t>
  </si>
  <si>
    <t>恋愛の前途示す道しるべ＝「恋する灯台」に選定　広島の離島・佐木島（1/2ページ）</t>
  </si>
  <si>
    <t>http://www.sankei.com/west/news/170608/wst1706080026-n1.html</t>
  </si>
  <si>
    <t>恋愛の前途示す道しるべ＝「恋する灯台」に選定　広島の離島・佐木島（産経新聞）　日本ロマンチスト協会が進める「恋する灯…</t>
  </si>
  <si>
    <t>http://topics.smt.docomo.ne.jp/article/sankei/nation/sankei-wst1706080026?fm=latestnews</t>
  </si>
  <si>
    <t>2017/06/07</t>
  </si>
  <si>
    <t>「恋する灯台」県内で初認定</t>
  </si>
  <si>
    <t>http://www3.nhk.or.jp/lnews/miyazaki/5064038511.html</t>
  </si>
  <si>
    <t>47都道府県で女子に愛されてる地元のメイブツ【香川県編】</t>
  </si>
  <si>
    <t>https://gunosy.com/articles/aWtlJ</t>
  </si>
  <si>
    <t>佐木島灯台　２人の道標 : 地域</t>
  </si>
  <si>
    <t>http://www.yomiuri.co.jp/local/hiroshima/news/20170606-OYTNT50365.html</t>
  </si>
  <si>
    <t>2017/06/06</t>
  </si>
  <si>
    <t>北海道新聞 どうしんウェブ</t>
  </si>
  <si>
    <t>「恋する灯台」に神威岬 道内２カ所目</t>
  </si>
  <si>
    <t>http://dd.hokkaido-np.co.jp/news/area/doo/1-0407331.html</t>
  </si>
  <si>
    <t>「恋する灯台」に神威岬　道内２カ所目</t>
  </si>
  <si>
    <t>http://www.47news.jp/localnews/hokkaido/2017/06/post_20170606071712.html</t>
  </si>
  <si>
    <t>https://news.biglobe.ne.jp/domestic/0606/hkd_170606_3360982125.html</t>
  </si>
  <si>
    <t>「恋する灯台」に神威岬　道内２カ所目 [北海道新聞</t>
  </si>
  <si>
    <t>http://soonhome.jp/connect/post?id=244583718996149754</t>
  </si>
  <si>
    <t>「恋する灯台」に神威岬　道内２カ所目(北海道新聞)</t>
  </si>
  <si>
    <t>https://news.goo.ne.jp/article/hokkaido/region/hokkaido-201706060591.html</t>
  </si>
  <si>
    <t>「恋する灯台」に神威岬　道内２カ所目（北海道新聞）　【積丹】町内の景勝地、神威岬先端にある…</t>
  </si>
  <si>
    <t>http://topics.smt.docomo.ne.jp/article/hokkaido/region/hokkaido-201706060591?fm=latestnews</t>
  </si>
  <si>
    <t>越前岬を“恋する灯台”に認定</t>
  </si>
  <si>
    <t>http://www.47news.jp/localnews/hukui/2017/06/post_20170606080524.html</t>
  </si>
  <si>
    <t>越前岬を“恋する灯台”に認定(中日新聞プラス)</t>
  </si>
  <si>
    <t>https://news.goo.ne.jp/article/chuplus/region/chuplus-CK2017060602000022.html</t>
  </si>
  <si>
    <t>CHUNICHI Web</t>
  </si>
  <si>
    <t>越前岬を“恋する灯台”に認定:福井:中日新聞(CHUNICHI Web)</t>
  </si>
  <si>
    <t>http://www.chunichi.co.jp/article/fukui/20170606/CK2017060602000022.html</t>
  </si>
  <si>
    <t>越前岬を“恋する灯台”に認定（中日新聞プラス）　一般社団法人日本ロマンチスト協会（本部…</t>
  </si>
  <si>
    <t>http://topics.smt.docomo.ne.jp/article/chuplus/region/chuplus-CK2017060602000022?fm=latestnews</t>
  </si>
  <si>
    <t>2017/06/05</t>
  </si>
  <si>
    <t>https://news.biglobe.ne.jp/domestic/0605/joj_170605_8520507228.html</t>
  </si>
  <si>
    <t>http://www.excite.co.jp/News/society_clm/20170605/Jisin_29174.html</t>
  </si>
  <si>
    <t>https://news.infoseek.co.jp/article/joseijishin_d29174/</t>
  </si>
  <si>
    <t>http://news.livedoor.com/article/detail/13160269/</t>
  </si>
  <si>
    <t>http://news.mixi.jp/view_news.pl?id=4605965&amp;media_id=145</t>
  </si>
  <si>
    <t>woman.excite</t>
  </si>
  <si>
    <t>https://woman.excite.co.jp/article/lifestyle/rid_Jisin_29174/</t>
  </si>
  <si>
    <t>https://gunosy.com/articles/aXuTL</t>
  </si>
  <si>
    <t>47都道府県で女子に愛されてる地元のメイブツ【香川県編】 （女性自身）</t>
  </si>
  <si>
    <t>https://headlines.yahoo.co.jp/article?a=20170605-00010007-jisin-soci</t>
  </si>
  <si>
    <t>47都道府県で女子に愛されてる地元のメイブツ【香川県編】(女性自身)</t>
  </si>
  <si>
    <t>https://news.goo.ne.jp/article/jisin/nation/jisin-29174.html</t>
  </si>
  <si>
    <t>47都道府県で女子に愛されてる地元のメイブツ【香川県編】（女性自身） 自ら“うどん県”と称しアツい…</t>
  </si>
  <si>
    <t>http://topics.smt.docomo.ne.jp/article/jisin/nation/jisin-29174?fm=latestnews</t>
  </si>
  <si>
    <t>ジョグネット</t>
  </si>
  <si>
    <t>古城マラソン、３４３８人が快走</t>
  </si>
  <si>
    <t>http://jognet.jp/news/2017/06/29270666/</t>
  </si>
  <si>
    <t>2017/06/03</t>
  </si>
  <si>
    <t>2017/06/04</t>
  </si>
  <si>
    <t>「恋する灯台」に福井県越前岬</t>
  </si>
  <si>
    <t>http://www.47news.jp/localnews/hukui/2017/06/post_20170603112027.html</t>
  </si>
  <si>
    <t>http://www.excite.co.jp/News/local/20170603/Fukuishimbun_201452.html</t>
  </si>
  <si>
    <t>「恋する灯台」に福井県越前岬 [福井新聞]</t>
  </si>
  <si>
    <t>http://soonhome.jp/connect/post?id=243555652814356485</t>
  </si>
  <si>
    <t>「恋する灯台」に福井県越前岬 　夕日、水仙の絶景スポット評価</t>
  </si>
  <si>
    <t>http://www.47news.jp/news/2017/06/post_20170603144727.html</t>
  </si>
  <si>
    <t>「恋する灯台」に福井県越前岬灯台を選出 = 地域</t>
  </si>
  <si>
    <t>https://news.goo.ne.jp/picture/region/fukui-20170603172940869.html</t>
  </si>
  <si>
    <t>「恋する灯台」に福井県越前岬灯台を選出(福井新聞)</t>
  </si>
  <si>
    <t>https://news.goo.ne.jp/article/fukui/region/fukui-20170603172940869.html</t>
  </si>
  <si>
    <t>「恋する灯台」に福井県越前岬灯台を選出（福井新聞）　一般社団法人日本ロマンチスト協会（長崎…</t>
  </si>
  <si>
    <t>http://topics.smt.docomo.ne.jp/article/fukui/region/fukui-20170603172940869?fm=latestnews</t>
  </si>
  <si>
    <t>「恋する灯台」に福井県越前岬：おでかけ</t>
  </si>
  <si>
    <t>http://www.47news.jp/localnews/odekake/2017/06/post-20170603115915.html</t>
  </si>
  <si>
    <t>「恋する灯台」に越前岬灯台を選出 （福井新聞ＯＮＬＩＮＥ）</t>
  </si>
  <si>
    <t>https://headlines.yahoo.co.jp/hl?a=20170603-00010002-fukui-l18</t>
  </si>
  <si>
    <t>恋する灯台に越前岬　夕日、水仙の景観評価 （北陸新幹線で行こう！　北陸・信越観光ナビ）</t>
  </si>
  <si>
    <t>https://headlines.yahoo.co.jp/hl?a=20170603-00000001-hokuriku-l18</t>
  </si>
  <si>
    <t>恋する灯台に越前岬　夕日、水仙の景観評価(北陸新幹線で行こう！ 北陸・信越観光ナビ)</t>
  </si>
  <si>
    <t>https://news.goo.ne.jp/article/hokurikushinkansen/region/hokurikushinkansen-NEWS0000010921.html</t>
  </si>
  <si>
    <t>恋する灯台に越前岬　夕日、水仙の景観評価（北陸新幹線で行こう！ 北陸・信越観光ナビ）　一般社団法人日本ロマンチスト協会（長崎…</t>
  </si>
  <si>
    <t>http://topics.smt.docomo.ne.jp/article/hokurikushinkansen/region/hokurikushinkansen-NEWS0000010921?fm=latestnews</t>
  </si>
  <si>
    <t>2017/06/02</t>
  </si>
  <si>
    <t>全国各地の灯台をロマンスの聖地として、新たに10カ所認定『恋する灯台プロジェクト』2017年6月1日始動　恋するふたりよ、今年も灯台のもとに集え！</t>
  </si>
  <si>
    <t>http://www.kigyou-sns.com/press/press_222466/</t>
  </si>
  <si>
    <t>ビズハック！</t>
  </si>
  <si>
    <t>全国各地の灯台をロマンスの聖地として、新たに10カ所認定『恋する灯台プロジェクト』2017年6月1日始動　恋するふたりよ、今年も灯台のもとに集え！ 一般社団法人日本ロマンチスト協会</t>
  </si>
  <si>
    <t>http://www.biz-hacks.com/pressrelease/?id=60621</t>
  </si>
  <si>
    <t>全国各地の灯台をロマンスの聖地として、新たに10カ所認定『恋する灯台プロジェクト』2017年6月1日始動　恋するふたりよ、今年も灯台のもとに集え！ 一般社団法人日本ロマンチスト協会 </t>
  </si>
  <si>
    <t>http://www.bizloop.jp/release/AT129815/</t>
  </si>
  <si>
    <t>2017/06/01</t>
  </si>
  <si>
    <t>愛媛新聞ONLINE</t>
  </si>
  <si>
    <t>佐田岬灯台公園（伊方町）</t>
  </si>
  <si>
    <t>https://www.ehime-np.co.jp/article/news201706012049</t>
  </si>
  <si>
    <t>全国各地の灯台をロマンスの聖地として、新たに10カ所認定 『恋する灯台プロジェクト』2017年6月1日始動　 恋するふたりよ、今年も灯台のもとに集え！</t>
  </si>
  <si>
    <t>http://www.asahi.com/and_M/information/pressrelease/CATP2017129815.html</t>
  </si>
  <si>
    <t>えんウチ</t>
  </si>
  <si>
    <t>全国各地の灯台をロマンスの聖地として、新たに10カ所認定 『恋する灯台プロジェクト』2017年6月1日始動　 恋するふたりよ、今年も灯台のもとに集え！（プレスリリース 提供元：＠Press）</t>
  </si>
  <si>
    <t>https://enuchi.jp/press-release/95529</t>
  </si>
  <si>
    <t>https://business.nifty.com/cs/catalog/business_release/catalog_atp129815_1.htm</t>
  </si>
  <si>
    <t>https://news.biglobe.ne.jp/economy/0601/atp_170601_0945485488.html</t>
  </si>
  <si>
    <t>https://news.infoseek.co.jp/article/atpress_129815/</t>
  </si>
  <si>
    <t>http://news.nplus-inc.co.jp/index.php?action=ViewDetail&amp;number=377846</t>
  </si>
  <si>
    <t>http://www.sankeibiz.jp/business/news/170601/prl1706011432185-n1.htm</t>
  </si>
  <si>
    <t>SANSPO.COM</t>
  </si>
  <si>
    <t>http://www.sanspo.com/geino/news/20170601/prl17060114320161-n1.html</t>
  </si>
  <si>
    <t>http://www.seotools.jp/news/id_at_129815.html</t>
  </si>
  <si>
    <t>zakzak</t>
  </si>
  <si>
    <t>http://www.zakzak.co.jp/economy/pressrelease/news/20170601/prl1706011432161-n1.htm</t>
  </si>
  <si>
    <t>http://newsnavi.jp/detail/610162/</t>
  </si>
  <si>
    <t>リセマム</t>
  </si>
  <si>
    <t>https://resemom.jp/feature/newsrelease/atpress/press_detail.html?pr_id=129815&amp;charset=UTF-8</t>
  </si>
  <si>
    <t>伝説の営業マン</t>
  </si>
  <si>
    <t>http://www.topsalesman.net/press/index.php?id=137355</t>
  </si>
  <si>
    <t>http://www.topics.or.jp/press/news/2017/06/Atpress129815.html</t>
  </si>
  <si>
    <t>http://www.zaikei.co.jp/releases/486735/</t>
  </si>
  <si>
    <t>全国各地の灯台をロマンスの聖地として、新たに10カ所認定『恋する灯台プロジェクト』2017年6月1日始動　恋するふたりよ、今年も灯台のもとに集え！ (プレスリリース)</t>
  </si>
  <si>
    <t>http://www.excite.co.jp/News/release/20170601/Atpress_129815.html</t>
  </si>
  <si>
    <t>全国各地の灯台をロマンスの聖地として、新たに10カ所認定『恋する灯台プロジェクト』2017年6月1日始動　恋するふたりよ、今年も灯台のもとに集え！ - プレスリリース：MarkeZine（マーケジン）</t>
  </si>
  <si>
    <t>http://markezine.jp/release/detail/750572</t>
  </si>
  <si>
    <t>全国各地の灯台をロマンスの聖地として、新たに10カ所認定『恋する灯台プロジェクト』2017年6月1日始動　恋するふたりよ、今年も灯台のもとに集え！ </t>
  </si>
  <si>
    <t>http://home.kingsoft.jp/news/pr/atpress/129815.html</t>
  </si>
  <si>
    <t>全国各地の灯台をロマンスの聖地として、新たに10カ所認定『恋する灯台プロジェクト』2017年6月1日始動　恋するふたりよ、今年も灯台のもとに集え！ – とれまがニュース</t>
  </si>
  <si>
    <t>http://news.toremaga.com/nation/eco/953358.html</t>
  </si>
  <si>
    <t>全国各地の灯台をロマンスの聖地として、新たに10カ所認定『恋する灯台プロジェクト』2017年6月1日始動　恋するふたりよ、今年も灯台のもとに集え！：マピオンニュース</t>
  </si>
  <si>
    <t>http://www.mapion.co.jp/news/release/ap129815-all/</t>
  </si>
  <si>
    <t xml:space="preserve">掲載日
</t>
    <phoneticPr fontId="1" type="noConversion"/>
  </si>
  <si>
    <t xml:space="preserve">媒体名
</t>
    <phoneticPr fontId="1" type="noConversion"/>
  </si>
  <si>
    <t xml:space="preserve">記事タイトル
</t>
    <phoneticPr fontId="1" type="noConversion"/>
  </si>
  <si>
    <t xml:space="preserve">URL
</t>
    <phoneticPr fontId="1" type="noConversion"/>
  </si>
  <si>
    <t>2017/08/31</t>
  </si>
  <si>
    <t>2017/09/01</t>
  </si>
  <si>
    <t>琉球新報</t>
  </si>
  <si>
    <t>北海道・積丹の灯台認定　ロマンチスト協会</t>
  </si>
  <si>
    <t>https://ryukyushimpo.jp/mainichi/entry-565535.html</t>
  </si>
  <si>
    <t>恋する灯台：北海道・積丹の灯台認定　ロマンチスト協会</t>
  </si>
  <si>
    <t>https://news.infoseek.co.jp/article/mainichi_20170831k0000m040045000c/</t>
  </si>
  <si>
    <t>日本ロマンチスト協会と日本財団は…</t>
  </si>
  <si>
    <t>http://mainichi.jp/articles/20170831/ddr/041/040/007000c</t>
  </si>
  <si>
    <t>2017/08/30</t>
  </si>
  <si>
    <t>http://mainichi.jp/articles/20170831/k00/00m/040/045000c</t>
  </si>
  <si>
    <t>MSNニュース</t>
  </si>
  <si>
    <t>恋する灯台：北海道・積丹の灯台認定 ロマンチスト協会</t>
  </si>
  <si>
    <t>http://www.msn.com/ja-jp/news/national/%E6%81%8B%E3%81%99%E3%82%8B%E7%81%AF%E5%8F%B0%E5%8C%97%E6%B5%B7%E9%81%93%E3%83%BB%E7%A9%8D%E4%B8%B9%E3%81%AE%E7%81%AF%E5%8F%B0%E8%AA%8D%E5%AE%9A-%E3%83%AD%E3%83%9E%E3%83%B3%E3%83%81%E3%82%B9%E3%83%88%E5%8D%94%E4%BC%9A/ar-AAqYbuL</t>
  </si>
  <si>
    <t>TNCニュース</t>
  </si>
  <si>
    <t>http://news.tnc.ne.jp/social/196058_1.html</t>
  </si>
  <si>
    <t>@T COM</t>
  </si>
  <si>
    <t>恋する灯台：北海道・積丹の灯台認定　ロマンチスト協会│@T COM(アットティーコム)ニュース</t>
  </si>
  <si>
    <t>http://cont.t-com.ne.jp/social/196058_1.html</t>
  </si>
  <si>
    <t>広テレ！Web</t>
  </si>
  <si>
    <t>松山市釣島灯台　「恋する灯台」に認定</t>
  </si>
  <si>
    <t>http://www.htv.jp/nnn/news8788825.html</t>
  </si>
  <si>
    <t>釣島ちなみ「恋する灯台のまち」　松山市認定 （愛媛新聞ONLINE）</t>
  </si>
  <si>
    <t>https://headlines.yahoo.co.jp/hl?a=20170829-29466101-ehime-l38</t>
  </si>
  <si>
    <t>釣島ちなみ「恋する灯台のまち」　松山市認定　日本ロマンチスト協会</t>
  </si>
  <si>
    <t>http://www.47news.jp/localnews/ehime/2017/08/post_20170830064147.html</t>
  </si>
  <si>
    <t>釣島ちなみ「恋する灯台のまち」　松山市認定　日本ロマンチスト協会 [愛媛新聞社]</t>
  </si>
  <si>
    <t>http://soonhome.jp/connect/post?id=275385888736559110</t>
  </si>
  <si>
    <t>釣島ちなみ「恋する灯台のまち」　松山市認定　日本ロマンチスト協会(愛媛新聞ONLINE)</t>
  </si>
  <si>
    <t>https://news.goo.ne.jp/article/ehimenp/region/ehimenp-news201708294661.html</t>
  </si>
  <si>
    <t>釣島ちなみ「恋する灯台のまち」　松山市認定　日本ロマンチスト協会（愛媛新聞ONLINE）　愛する２人を照らして−。全国各地の灯台を…</t>
  </si>
  <si>
    <t>http://topics.smt.docomo.ne.jp/article/ehimenp/region/ehimenp-news201708294661?fm=latestnews</t>
  </si>
  <si>
    <t>＜恋する灯台＞北海道・積丹の灯台認定　ロマンチスト協会</t>
  </si>
  <si>
    <t>https://news.biglobe.ne.jp/domestic/0830/mai_170830_6128826919.html</t>
  </si>
  <si>
    <t>http://www.excite.co.jp/News/society_g/20170830/Mainichi_20170831k0000m040045000c.html</t>
  </si>
  <si>
    <t>http://news.mixi.jp/view_news.pl?id=4741879&amp;media_id=2</t>
  </si>
  <si>
    <t>ニコニコニュース</t>
  </si>
  <si>
    <t>http://news.nicovideo.jp/watch/nw2948118?news_ref=top_latest</t>
  </si>
  <si>
    <t>＜恋する灯台＞北海道・積丹の灯台認定　ロマンチスト協会 = 社会</t>
  </si>
  <si>
    <t>https://news.goo.ne.jp/picture/nation/mainichi-20170831k0000m040045000c.html</t>
  </si>
  <si>
    <t>＜恋する灯台＞北海道・積丹の灯台認定　ロマンチスト協会 （毎日新聞）</t>
  </si>
  <si>
    <t>https://headlines.yahoo.co.jp/hl?a=20170830-00000070-mai-soci</t>
  </si>
  <si>
    <t>＜恋する灯台＞北海道・積丹の灯台認定　ロマンチスト協会(毎日新聞)</t>
  </si>
  <si>
    <t>https://news.goo.ne.jp/article/mainichi/nation/mainichi-20170831k0000m040045000c.html</t>
  </si>
  <si>
    <t>＜恋する灯台＞北海道・積丹の灯台認定　ロマンチスト協会（毎日新聞）　日本ロマンチスト協会と日本財団は、北海…</t>
  </si>
  <si>
    <t>http://topics.smt.docomo.ne.jp/article/mainichi/nation/mainichi-20170831k0000m040045000c?fm=latestnews</t>
  </si>
  <si>
    <t>2017/08/29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</si>
  <si>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</t>
  </si>
  <si>
    <t>http://www.asahi.com/and_M/information/pressrelease/Cdpress000158888.html</t>
  </si>
  <si>
    <t>http://www.kigyou-sns.com/press/press_231840/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</si>
  <si>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 一般社団法人日本ロマンチスト協会 </t>
  </si>
  <si>
    <t>http://www.bizloop.jp/release/DRN0000158888/</t>
  </si>
  <si>
    <t>JRT 四国放送</t>
  </si>
  <si>
    <t>http://www.jrt.co.jp/nnn/news8788825.html</t>
  </si>
  <si>
    <t>KKTくまもと県民テレビ</t>
  </si>
  <si>
    <t>http://www.kkt.jp/news/nnn/news8788825.html</t>
  </si>
  <si>
    <t>KRY山口放送</t>
  </si>
  <si>
    <t>http://kry.co.jp/news/news8788825.html</t>
  </si>
  <si>
    <t>KYT 鹿児島読売テレビ</t>
  </si>
  <si>
    <t>http://www.kyt-tv.com/nnn/news8788825.html</t>
  </si>
  <si>
    <t>NIB長崎国際テレビ</t>
  </si>
  <si>
    <t>http://www.nib.jp/nnn/news8788825.html</t>
  </si>
  <si>
    <t>YBC 山形放送</t>
  </si>
  <si>
    <t>http://www.ybc.co.jp/nnn/news8788825.html</t>
  </si>
  <si>
    <t>テレビ信州</t>
  </si>
  <si>
    <t>http://www.tsb.jp/news/nnn/news8788825.html</t>
  </si>
  <si>
    <t>南海放送</t>
  </si>
  <si>
    <t>http://www.rnb.co.jp/nnn/news8788825.html</t>
  </si>
  <si>
    <t>日本海テレビ</t>
  </si>
  <si>
    <t>http://www.nkt-tv.co.jp/pc-news/news8788825.html</t>
  </si>
  <si>
    <t>福島中央テレビ</t>
  </si>
  <si>
    <t>http://www.fct.co.jp/nnn_news/news8788825.html</t>
  </si>
  <si>
    <t>日テレNEWS24</t>
  </si>
  <si>
    <t>松山市釣島灯台　「恋する灯台」に認定（愛媛県）</t>
  </si>
  <si>
    <t>http://www.news24.jp/nnn/news8788825.html</t>
  </si>
  <si>
    <t>釣島ちなみ「恋する灯台のまち」　松山市認定</t>
  </si>
  <si>
    <t>https://www.ehime-np.co.jp/article/news201708294661</t>
  </si>
  <si>
    <t>2017/08/28</t>
  </si>
  <si>
    <t>https://business.nifty.com/cs/catalog/business_release/catalog_drm0000158888_1.htm</t>
  </si>
  <si>
    <t>https://news.biglobe.ne.jp/economy/0828/dre_170828_9635297707.html</t>
  </si>
  <si>
    <t>http://press.fideli.com/d/158888/</t>
  </si>
  <si>
    <t>http://press.fideli.com/d/158888/5</t>
  </si>
  <si>
    <t>https://news.infoseek.co.jp/article/dreamnews_0000158888/</t>
  </si>
  <si>
    <t>http://www.the-miyanichi.co.jp/special/dreamNews/detailep.php?id=0000158888</t>
  </si>
  <si>
    <t>http://news.nplus-inc.co.jp/index.php?action=ViewDetail&amp;number=390443</t>
  </si>
  <si>
    <t>http://www.seotools.jp/news/id_0000158888.html</t>
  </si>
  <si>
    <t>https://miyabiz.com/special/dreamNews/detail.php?id=0000158888</t>
  </si>
  <si>
    <t>http://newsnavi.jp/detail/648601/</t>
  </si>
  <si>
    <t>http://www.topics.or.jp/press/news/2017/08/DreamNewsDN0000158888.html</t>
  </si>
  <si>
    <t>http://www.jprime.jp/ud/pressrelease/guid/dn0000158888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</si>
  <si>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 (プレスリリース)</t>
  </si>
  <si>
    <t>http://www.excite.co.jp/News/release/20170828/Dreamnews_0000158888.html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</si>
  <si>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 - プレスリリース：MarkeZine（マーケジン）</t>
  </si>
  <si>
    <t>http://markezine.jp/release/detail/785268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</si>
  <si>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 </t>
  </si>
  <si>
    <t>http://home.kingsoft.jp/news/pr/dreamnews/0000158888.html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</si>
  <si>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 – とれまがニュース</t>
  </si>
  <si>
    <t>http://news.toremaga.com/release/others/990401.html</t>
  </si>
  <si>
    <t>「恋する灯台のまち」福井県越前町の新たな地域資源を発掘！ “2人の仲が深まる10のコト” 恋する目線で観光フライヤーを制作 ワークショップを9月3日（日）に越前岬水仙ランド内「水仙の館」で開催：マピオンニュース</t>
  </si>
  <si>
    <t>http://www.mapion.co.jp/news/release/dn0000158888-all/</t>
  </si>
  <si>
    <t>2017/08/26</t>
  </si>
  <si>
    <t>2017/08/27</t>
  </si>
  <si>
    <t>積丹デートにお薦め穴場　ハートの宝島など１０選　ロマンチスト協会など(北海道新聞)</t>
  </si>
  <si>
    <t>https://news.goo.ne.jp/article/hokkaido/region/hokkaido-127978.html</t>
  </si>
  <si>
    <t>積丹デートにお薦め穴場　ハートの宝島など１０選　ロマンチスト協会など（北海道新聞）　【積丹】日本ロマンチスト協会（長崎）は…</t>
  </si>
  <si>
    <t>http://topics.smt.docomo.ne.jp/article/hokkaido/region/hokkaido-127978?fm=latestnews</t>
  </si>
  <si>
    <t>どうしん電子版</t>
  </si>
  <si>
    <t>積丹デートにお薦め穴場　ハートの宝島など１０選　ロマンチスト協会など：どうしん電子版（北海道新聞）</t>
  </si>
  <si>
    <t>https://www.hokkaido-np.co.jp/article/127978?rct=l_otaru</t>
  </si>
  <si>
    <t>https://www.hokkaido-np.co.jp/article/127978?rct=n_activation</t>
  </si>
  <si>
    <t>https://www.hokkaido-np.co.jp/article/127978?rct=n_sightseeing</t>
  </si>
  <si>
    <t>https://www.hokkaido-np.co.jp/article/127978?rct=news</t>
  </si>
  <si>
    <t>2017/08/25</t>
  </si>
  <si>
    <t>神威岬灯台　恋の聖地に　ロマンチスト協会、積丹町に認定証</t>
  </si>
  <si>
    <t>https://news.biglobe.ne.jp/domestic/0825/hkd_170825_3174498477.html</t>
  </si>
  <si>
    <t>神威岬灯台　恋の聖地に　ロマンチスト協会、積丹町に認定証 [北海道新聞</t>
  </si>
  <si>
    <t>http://soonhome.jp/connect/post?id=273544564634320902</t>
  </si>
  <si>
    <t>神威岬灯台　恋の聖地に　ロマンチスト協会、積丹町に認定証(北海道新聞)</t>
  </si>
  <si>
    <t>https://news.goo.ne.jp/article/hokkaido/region/hokkaido-127706.html</t>
  </si>
  <si>
    <t>神威岬灯台　恋の聖地に　ロマンチスト協会、積丹町に認定証（北海道新聞）　【積丹】町内の景勝地、神威岬灯台を道内…</t>
  </si>
  <si>
    <t>http://topics.smt.docomo.ne.jp/article/hokkaido/region/hokkaido-127706?fm=latestnews</t>
  </si>
  <si>
    <t>神威岬灯台　恋の聖地に　ロマンチスト協会、積丹町に認定証：どうしん電子版（北海道新聞）</t>
  </si>
  <si>
    <t>https://www.hokkaido-np.co.jp/article/127706?rct=l_otaru</t>
  </si>
  <si>
    <t>https://www.hokkaido-np.co.jp/article/127706?rct=local</t>
  </si>
  <si>
    <t>2017/08/24</t>
  </si>
  <si>
    <t>伊方・佐田岬灯台のＰＲソング完成</t>
  </si>
  <si>
    <t>https://www.ehime-np.co.jp/article/news201708243915</t>
  </si>
  <si>
    <t>2017/08/22</t>
  </si>
  <si>
    <t>2017/08/23</t>
  </si>
  <si>
    <t>『恋する灯台』釣島灯台が立地する愛媛県松山市を「恋する灯台のまち」として認定 日本ロマンチスト協会会長が野志 克仁 市長を表敬訪問、認定証を贈呈 日時：2017年8月29日（火）13：30〜14：00 一般社団法人日本ロマンチスト協会 </t>
  </si>
  <si>
    <t>http://www.bizloop.jp/release/DRN0000158420/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</si>
  <si>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</t>
  </si>
  <si>
    <t>http://www.kigyou-sns.com/press/press_230996/</t>
  </si>
  <si>
    <t>2017/08/21</t>
  </si>
  <si>
    <t>『恋する灯台』釣島灯台が立地する愛媛県松山市を「恋する灯台のまち」として認定 日本ロマンチスト協会会長が野志 克仁 市長を表敬訪問、認定証を贈呈 日時：2017年8月29日（火）13：30〜14：00</t>
  </si>
  <si>
    <t>http://www.seotools.jp/news/id_0000158420.html</t>
  </si>
  <si>
    <t>https://business.nifty.com/cs/catalog/business_release/catalog_drm0000158420_1.htm</t>
  </si>
  <si>
    <t>https://news.biglobe.ne.jp/economy/0821/dre_170821_8992018976.html</t>
  </si>
  <si>
    <t>http://press.fideli.com/d/158420/5</t>
  </si>
  <si>
    <t>http://press.fideli.com/d/158420/</t>
  </si>
  <si>
    <t>https://news.infoseek.co.jp/article/dreamnews_0000158420/</t>
  </si>
  <si>
    <t>http://news.nplus-inc.co.jp/index.php?action=ViewDetail&amp;number=389409</t>
  </si>
  <si>
    <t>https://miyabiz.com/special/dreamNews/detail.php?id=0000158420</t>
  </si>
  <si>
    <t>http://newsnavi.jp/detail/645766/</t>
  </si>
  <si>
    <t>http://www.topics.or.jp/press/news/2017/08/DreamNewsDN0000158420.html</t>
  </si>
  <si>
    <t>http://www.asahi.com/and_M/information/pressrelease/Cdpress000158420.html</t>
  </si>
  <si>
    <t>http://www.jprime.jp/ud/pressrelease/guid/dn0000158420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</si>
  <si>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 (プレスリリース)</t>
  </si>
  <si>
    <t>http://www.excite.co.jp/News/release/20170821/Dreamnews_0000158420.html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</si>
  <si>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日時：2017年8月29日（火）13：30～14：00 - プレスリリース：MarkeZine（マーケジン）</t>
  </si>
  <si>
    <t>http://markezine.jp/release/detail/782175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</si>
  <si>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 </t>
  </si>
  <si>
    <t>http://home.kingsoft.jp/news/pr/dreamnews/0000158420.html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</si>
  <si>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 – とれまがニュース</t>
  </si>
  <si>
    <t>http://news.toremaga.com/release/others/987193.html</t>
  </si>
  <si>
    <t>『恋する灯台』釣島灯台が立地する愛媛県松山市を「恋する灯台のまち」として認定 日本ロマンチスト協会会長が野志 克仁 市長を表敬訪問、認定証を贈呈 日時：2017年8月29日（火）13：30～14：00：マピオンニュース</t>
  </si>
  <si>
    <t>http://www.mapion.co.jp/news/release/dn0000158420-all/</t>
  </si>
  <si>
    <t>2017/08/20</t>
  </si>
  <si>
    <t>ロマンスの聖地「恋する灯台」どんなとこ？　デートプラン策定も</t>
  </si>
  <si>
    <t>http://www.47news.jp/news/2017/08/post_20170820111052.html</t>
  </si>
  <si>
    <t>2017/08/19</t>
  </si>
  <si>
    <t>高知県の足摺岬灯台を「恋する灯台」に認定　ロマンチスト協会：おでかけ</t>
  </si>
  <si>
    <t>http://www.47news.jp/localnews/odekake/2017/08/post-20170819103723.html</t>
  </si>
  <si>
    <t>2017/08/18</t>
  </si>
  <si>
    <t>高知新聞</t>
  </si>
  <si>
    <t>足摺岬「恋する灯台」に</t>
  </si>
  <si>
    <t>http://www.kochinews.co.jp/article/119427/</t>
  </si>
  <si>
    <t>足摺岬「恋する灯台」に - 高知のニュース - 都道府県別 - 47NEWS（よんななニュース）</t>
  </si>
  <si>
    <t>http://www.47news.jp/localnews/kochi/2017/08/post_20170818180229.html</t>
  </si>
  <si>
    <t>2017/08/17</t>
  </si>
  <si>
    <t>日向「地域おこし企業人」梶原さんが就任4カ月　観光振興に尽力　／宮崎 （みんなの経済新聞ネットワーク）</t>
  </si>
  <si>
    <t>https://headlines.yahoo.co.jp/hl?a=20170817-00000015-minkei-l45</t>
  </si>
  <si>
    <t>2017/08/16</t>
  </si>
  <si>
    <t>出雲日御碕灯台、恋愛聖地に　日本ロマンチスト協会が認定　島根</t>
  </si>
  <si>
    <t>http://www.sankei.com/region/news/170816/rgn1708160043-n1.html</t>
  </si>
  <si>
    <t>出雲日御碕灯台、恋愛聖地に　日本ロマンチスト協会が認定　島根 （産経新聞）</t>
  </si>
  <si>
    <t>https://headlines.yahoo.co.jp/hl?a=20170816-00000042-san-l32</t>
  </si>
  <si>
    <t>http://www.yukan-daily.co.jp/news.php?id=67407</t>
  </si>
  <si>
    <t>島根・出雲の日御碕灯台が「恋する灯台」に 日本ロマンチスト協会が認定 「夕日素晴らしく、ふさわしい」</t>
  </si>
  <si>
    <t>http://www.msn.com/ja-jp/news/national/%E5%B3%B6%E6%A0%B9%E3%83%BB%E5%87%BA%E9%9B%B2%E3%81%AE%E6%97%A5%E5%BE%A1%E7%A2%95%E7%81%AF%E5%8F%B0%E3%81%8C%E3%80%8C%E6%81%8B%E3%81%99%E3%82%8B%E7%81%AF%E5%8F%B0%E3%80%8D%E3%81%AB-%E6%97%A5%E6%9C%AC%E3%83%AD%E3%83%9E%E3%83%B3%E3%83%81%E3%82%B9%E3%83%88%E5%8D%94%E4%BC%9A%E3%81%8C%E8%AA%8D%E5%AE%9A-%E3%80%8C%E5%A4%95%E6%97%A5%E7%B4%A0%E6%99%B4%E3%82%89%E3%81%97%E3%81%8F%E3%80%81%E3%81%B5%E3%81%95%E3%82%8F%E3%81%97%E3%81%84%E3%80%8D/ar-AAqamIH</t>
  </si>
  <si>
    <t>島根・出雲の日御碕灯台が「恋する灯台」に　日本ロマンチスト協会が認定　「夕日素晴らしく、ふさわしい」</t>
  </si>
  <si>
    <t>http://news.livedoor.com/article/detail/13478610/</t>
  </si>
  <si>
    <t>http://news.mixi.jp/view_news.pl?id=4719052&amp;media_id=3</t>
  </si>
  <si>
    <t>http://www.sankei.com/west/news/170816/wst1708160020-n1.html</t>
  </si>
  <si>
    <t>島根・出雲の日御碕灯台が「恋する灯台」に　日本ロマンチスト協会が認定　「夕日素晴らしく、ふさわしい」(産経新聞)</t>
  </si>
  <si>
    <t>https://news.goo.ne.jp/article/sankei/nation/sankei-wst1708160020.html</t>
  </si>
  <si>
    <t>島根・出雲の日御碕灯台が「恋する灯台」に　日本ロマンチスト協会が認定　「夕日素晴らしく、ふさわしい」（産経新聞）　島根県出雲市大社町の出雲日御碕灯台が、…</t>
  </si>
  <si>
    <t>http://topics.smt.docomo.ne.jp/article/sankei/nation/sankei-wst1708160020?fm=latestnews</t>
  </si>
  <si>
    <t>2017/08/15</t>
  </si>
  <si>
    <t>「恋する灯台のまち」北海道積丹町の新たな地域資源を発掘！ “2人の仲が深まる10のコト” 恋する目線で観光フライヤーを制作 「ワールドクエスト」式ワークショップを開催</t>
  </si>
  <si>
    <t>http://www.kigyou-sns.com/press/press_230391/</t>
  </si>
  <si>
    <t>「恋する灯台のまち」北海道積丹町の新たな地域資源を発掘！ “2人の仲が深まる10のコト” 恋する目線で観光フライヤーを制作 「ワールドクエスト」式ワークショップを開催 一般社団法人日本ロマンチスト協会 </t>
  </si>
  <si>
    <t>http://www.bizloop.jp/release/DRN0000158166/</t>
  </si>
  <si>
    <t>『恋する灯台』神威岬灯台が立地する北海道積丹町を「恋する灯台のまち」として認定 日本ロマンチスト協会会長が松井 秀紀 町長を表敬訪問、認定証を贈呈：2017年8月24日（木）11：00〜 11：30 一般社団法人日本ロマンチスト協会 </t>
  </si>
  <si>
    <t>http://www.bizloop.jp/release/DRN0000158169/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</si>
  <si>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</t>
  </si>
  <si>
    <t>http://www.kigyou-sns.com/press/press_230389/</t>
  </si>
  <si>
    <t>2017/08/14</t>
  </si>
  <si>
    <t>https://business.nifty.com/cs/catalog/business_release/catalog_drm0000158166_1.htm</t>
  </si>
  <si>
    <t>https://news.biglobe.ne.jp/economy/0814/dre_170814_5525035036.html</t>
  </si>
  <si>
    <t>http://press.fideli.com/d/158166/</t>
  </si>
  <si>
    <t>http://press.fideli.com/d/158166/5</t>
  </si>
  <si>
    <t>https://news.infoseek.co.jp/article/dreamnews_0000158166/</t>
  </si>
  <si>
    <t>http://news.nplus-inc.co.jp/index.php?action=ViewDetail&amp;number=388704</t>
  </si>
  <si>
    <t>http://www.seotools.jp/news/id_0000158166.html</t>
  </si>
  <si>
    <t>https://miyabiz.com/special/dreamNews/detail.php?id=0000158166</t>
  </si>
  <si>
    <t>http://newsnavi.jp/detail/643734/</t>
  </si>
  <si>
    <t>http://www.topics.or.jp/press/news/2017/08/DreamNewsDN0000158166.html</t>
  </si>
  <si>
    <t>http://www.asahi.com/and_M/information/pressrelease/Cdpress000158166.html</t>
  </si>
  <si>
    <t>http://www.jprime.jp/ud/pressrelease/guid/dn0000158166</t>
  </si>
  <si>
    <t>「恋する灯台のまち」北海道積丹町の新たな地域資源を発掘！ “2人の仲が深まる10のコト” 恋する目線で観光フライヤーを制作 「ワールドクエスト」式ワークショップを開催 (プレスリリース)</t>
  </si>
  <si>
    <t>http://www.excite.co.jp/News/release/20170814/Dreamnews_0000158166.html</t>
  </si>
  <si>
    <t>「恋する灯台のまち」北海道積丹町の新たな地域資源を発掘！ “2人の仲が深まる10のコト” 恋する目線で観光フライヤーを制作 「ワールドクエスト」式ワークショップを開催 - プレスリリース：MarkeZine（マーケジン）</t>
  </si>
  <si>
    <t>http://markezine.jp/release/detail/780196</t>
  </si>
  <si>
    <t>「恋する灯台のまち」北海道積丹町の新たな地域資源を発掘！ “2人の仲が深まる10のコト” 恋する目線で観光フライヤーを制作 「ワールドクエスト」式ワークショップを開催 </t>
  </si>
  <si>
    <t>http://home.kingsoft.jp/news/pr/dreamnews/0000158166.html</t>
  </si>
  <si>
    <t>「恋する灯台のまち」北海道積丹町の新たな地域資源を発掘！ “2人の仲が深まる10のコト” 恋する目線で観光フライヤーを制作 「ワールドクエスト」式ワークショップを開催 – とれまがニュース</t>
  </si>
  <si>
    <t>http://news.toremaga.com/nation/notice/985119.html</t>
  </si>
  <si>
    <t>http://news.toremaga.com/release/notice/985119.html</t>
  </si>
  <si>
    <t>「恋する灯台のまち」北海道積丹町の新たな地域資源を発掘！ “2人の仲が深まる10のコト” 恋する目線で観光フライヤーを制作 「ワールドクエスト」式ワークショップを開催：マピオンニュース</t>
  </si>
  <si>
    <t>http://www.mapion.co.jp/news/release/dn0000158166-all/</t>
  </si>
  <si>
    <t>『恋する灯台』神威岬灯台が立地する北海道積丹町を「恋する灯台のまち」として認定 日本ロマンチスト協会会長が松井 秀紀 町長を表敬訪問、認定証を贈呈：2017年8月24日（木）11：00〜 11：30</t>
  </si>
  <si>
    <t>http://www.seotools.jp/news/id_0000158169.html</t>
  </si>
  <si>
    <t>https://business.nifty.com/cs/catalog/business_release/catalog_drm0000158169_1.htm</t>
  </si>
  <si>
    <t>https://news.biglobe.ne.jp/economy/0814/dre_170814_4796011648.html</t>
  </si>
  <si>
    <t>http://press.fideli.com/d/158169/</t>
  </si>
  <si>
    <t>http://press.fideli.com/d/158169/5</t>
  </si>
  <si>
    <t>https://news.infoseek.co.jp/article/dreamnews_0000158169/</t>
  </si>
  <si>
    <t>http://news.nplus-inc.co.jp/index.php?action=ViewDetail&amp;number=388705</t>
  </si>
  <si>
    <t>https://miyabiz.com/special/dreamNews/detail.php?id=0000158169</t>
  </si>
  <si>
    <t>http://newsnavi.jp/detail/643735/</t>
  </si>
  <si>
    <t>http://www.topics.or.jp/press/news/2017/08/DreamNewsDN0000158169.html</t>
  </si>
  <si>
    <t>http://www.asahi.com/and_M/information/pressrelease/Cdpress000158169.html</t>
  </si>
  <si>
    <t>http://www.jprime.jp/ud/pressrelease/guid/dn0000158169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</si>
  <si>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 (プレスリリース)</t>
  </si>
  <si>
    <t>http://www.excite.co.jp/News/release/20170814/Dreamnews_0000158169.html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</si>
  <si>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11：30 - プレスリリース：MarkeZine（マーケジン）</t>
  </si>
  <si>
    <t>http://markezine.jp/release/detail/780195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</si>
  <si>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 </t>
  </si>
  <si>
    <t>http://home.kingsoft.jp/news/pr/dreamnews/0000158169.html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</si>
  <si>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 – とれまがニュース</t>
  </si>
  <si>
    <t>http://news.toremaga.com/entertainment/others/985118.html</t>
  </si>
  <si>
    <t>http://news.toremaga.com/release/others/985118.html</t>
  </si>
  <si>
    <t>『恋する灯台』神威岬灯台が立地する北海道積丹町を「恋する灯台のまち」として認定 日本ロマンチスト協会会長が松井 秀紀 町長を表敬訪問、認定証を贈呈：2017年8月24日（木）11：00～ 11：30：マピオンニュース</t>
  </si>
  <si>
    <t>http://www.mapion.co.jp/news/release/dn0000158169-all/</t>
  </si>
  <si>
    <t>2017/08/10</t>
  </si>
  <si>
    <t>2017/08/11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</si>
  <si>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</t>
  </si>
  <si>
    <t>https://business.nifty.com/cs/catalog/business_release/catalog_drm0000157933_1.htm</t>
  </si>
  <si>
    <t>https://news.biglobe.ne.jp/economy/0810/dre_170810_5398009326.html</t>
  </si>
  <si>
    <t>http://press.fideli.com/d/157933/</t>
  </si>
  <si>
    <t>http://press.fideli.com/d/157933/5</t>
  </si>
  <si>
    <t>https://news.infoseek.co.jp/article/dreamnews_0000157933/</t>
  </si>
  <si>
    <t>http://news.nplus-inc.co.jp/index.php?action=ViewDetail&amp;number=388500</t>
  </si>
  <si>
    <t>http://www.seotools.jp/news/id_0000157933.html</t>
  </si>
  <si>
    <t>https://miyabiz.com/special/dreamNews/detail.php?id=0000157933</t>
  </si>
  <si>
    <t>http://newsnavi.jp/detail/642686/</t>
  </si>
  <si>
    <t>http://www.topics.or.jp/press/news/2017/08/DreamNewsDN0000157933.html</t>
  </si>
  <si>
    <t>http://www.asahi.com/and_M/information/pressrelease/Cdpress000157933.html</t>
  </si>
  <si>
    <t>http://www.jprime.jp/ud/pressrelease/guid/dn0000157933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</si>
  <si>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 (プレスリリース)</t>
  </si>
  <si>
    <t>http://www.excite.co.jp/News/release/20170810/Dreamnews_0000157933.html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</si>
  <si>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 - プレスリリース：MarkeZine（マーケジン）</t>
  </si>
  <si>
    <t>http://markezine.jp/release/detail/779633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</si>
  <si>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 </t>
  </si>
  <si>
    <t>http://home.kingsoft.jp/news/pr/dreamnews/0000157933.html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</si>
  <si>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 – とれまがニュース</t>
  </si>
  <si>
    <t>http://news.toremaga.com/nation/notice/984442.html</t>
  </si>
  <si>
    <t>http://news.toremaga.com/release/notice/984442.html</t>
  </si>
  <si>
    <t>「恋する灯台のまち」石川県珠洲市の新たな地域資源を発掘！ 恋する目線で観光フライヤーを制作 「ワールドクエスト」式ワークショップを開催 8月20日（日）にすず市民交流センター３階　第５会議室で開催：マピオンニュース</t>
  </si>
  <si>
    <t>http://www.mapion.co.jp/news/release/dn0000157933-all/</t>
  </si>
  <si>
    <t>来訪カップル増加なるか…「恋する灯台のまち」広島・三原市を認定</t>
  </si>
  <si>
    <t>http://www.sankei.com/west/news/170809/wst1708090027-n1.html</t>
  </si>
  <si>
    <t>2017/08/09</t>
  </si>
  <si>
    <t>三原は恋する灯台のまち　ロマンチスト協会市長に認定証　広島</t>
  </si>
  <si>
    <t>http://www.sankei.com/region/news/170809/rgn1708090032-n1.html</t>
  </si>
  <si>
    <t>三原は恋する灯台のまち　ロマンチスト協会市長に認定証　広島 （産経新聞）</t>
  </si>
  <si>
    <t>https://headlines.yahoo.co.jp/hl?a=20170809-00000029-san-l34</t>
  </si>
  <si>
    <t>2017/08/08</t>
  </si>
  <si>
    <t>恋する灯台に「日御碕」　日本ロマンチスト協会が認定</t>
  </si>
  <si>
    <t>http://www.47news.jp/localnews/shimane/2017/08/post_20170808110609.html</t>
  </si>
  <si>
    <t>http://www.47news.jp/photo/1687804.php</t>
  </si>
  <si>
    <t>恋する灯台に「日御碕」　日本ロマンチスト協会が認定：おでかけ</t>
  </si>
  <si>
    <t>http://www.47news.jp/localnews/odekake/2017/08/post-20170808104939.html</t>
  </si>
  <si>
    <t>2017/08/05</t>
  </si>
  <si>
    <t>2017/08/06</t>
  </si>
  <si>
    <t>「恋する灯台」に認定 禄剛埼で永遠の愛誓って(中日新聞プラス)</t>
  </si>
  <si>
    <t>https://news.goo.ne.jp/article/chuplus/region/chuplus-CK2017080502000050.html</t>
  </si>
  <si>
    <t>「恋する灯台」に認定 禄剛埼で永遠の愛誓って（中日新聞プラス）日本ロマンチスト協会 　日本ロマンチスト協…</t>
  </si>
  <si>
    <t>http://topics.smt.docomo.ne.jp/article/chuplus/region/chuplus-CK2017080502000050?fm=latestnews</t>
  </si>
  <si>
    <t>「恋する灯台」に認定　禄剛埼で永遠の愛誓って:石川:中日新聞(CHUNICHI Web)</t>
  </si>
  <si>
    <t>http://www.chunichi.co.jp/article/ishikawa/20170805/CK2017080502000050.html</t>
  </si>
  <si>
    <t>「恋する灯台」に認定禄剛埼で永遠の愛誓って</t>
  </si>
  <si>
    <t>http://www.47news.jp/localnews/ishikawa/2017/08/post_20170805080545.html</t>
  </si>
  <si>
    <t>http://www.47news.jp/photo/1685021.php</t>
  </si>
  <si>
    <t>2017/08/04</t>
  </si>
  <si>
    <t>「恋する灯台」に認定　県内初　造形美や眺望、評価　／島根</t>
  </si>
  <si>
    <t>http://mainichi.jp/articles/20170804/ddl/k32/040/431000c</t>
  </si>
  <si>
    <t>出雲日御碕　恋する灯台 : 地域</t>
  </si>
  <si>
    <t>http://www.yomiuri.co.jp/local/shimane/news/20170803-OYTNT50258.html</t>
  </si>
  <si>
    <t xml:space="preserve">記事タイトル
</t>
    <phoneticPr fontId="1" type="noConversion"/>
  </si>
  <si>
    <t xml:space="preserve">URL
</t>
    <phoneticPr fontId="1" type="noConversion"/>
  </si>
  <si>
    <t>2017/09/30</t>
  </si>
  <si>
    <t>2017/10/01</t>
  </si>
  <si>
    <t>伊豆新聞</t>
  </si>
  <si>
    <t>１面コラム　潮の響＝灯台の役割、存在を見直そう － 伊豆新聞</t>
  </si>
  <si>
    <t>http://izu-np.co.jp/column/news/20170930iz0002000015000c.html</t>
  </si>
  <si>
    <t>2017/09/25</t>
  </si>
  <si>
    <t>2017/09/26</t>
  </si>
  <si>
    <t>恋する灯台のまち」富山県高岡市の新たな地域資源を発掘 2人の仲が深まる10のコト 恋する目線で観光フライヤーを制作 「ワールドクエスト」式ワークショップを10月2日（月）に高岡市役所8階会議室で開催</t>
  </si>
  <si>
    <t>https://business.nifty.com/cs/catalog/business_release/catalog_drm0000160523_1.htm</t>
  </si>
  <si>
    <t>https://news.biglobe.ne.jp/economy/0925/dre_170925_9121740821.html</t>
  </si>
  <si>
    <t>http://press.fideli.com/d/160523/5</t>
  </si>
  <si>
    <t>http://press.fideli.com/d/160523/</t>
  </si>
  <si>
    <t>https://news.infoseek.co.jp/article/dreamnews_0000160523/</t>
  </si>
  <si>
    <t>https://markezine.jp/release/detail/797315</t>
  </si>
  <si>
    <t>http://www.the-miyanichi.co.jp/special/dreamNews/detailep.php?id=0000160523</t>
  </si>
  <si>
    <t>https://news.nplus-inc.co.jp/index.php?action=ViewDetail&amp;number=394685</t>
  </si>
  <si>
    <t>http://www.seotools.jp/news/id_0000160523.html</t>
  </si>
  <si>
    <t>https://miyabiz.com/special/dreamNews/detail.php?id=0000160523</t>
  </si>
  <si>
    <t>http://newsnavi.jp/detail/661521/</t>
  </si>
  <si>
    <t>http://www.topics.or.jp/press/news/2017/09/DreamNewsDN0000160523.html</t>
  </si>
  <si>
    <t>http://www.asahi.com/and_M/information/pressrelease/Cdpress000160523.html</t>
  </si>
  <si>
    <t>http://www.jprime.jp/ud/pressrelease/guid/dn0000160523</t>
  </si>
  <si>
    <t>恋する灯台のまち」富山県高岡市の新たな地域資源を発掘 2人の仲が深まる10のコト 恋する目線で観光フライヤーを制作 「ワールドクエスト」式ワークショップを10月2日（月）に高岡市役所8階会議室で開催 (プレスリリース)</t>
  </si>
  <si>
    <t>http://www.excite.co.jp/News/release/20170925/Dreamnews_0000160523.html</t>
  </si>
  <si>
    <t>恋する灯台のまち」富山県高岡市の新たな地域資源を発掘 2人の仲が深まる10のコト 恋する目線で観光フライヤーを制作 「ワールドクエスト」式ワークショップを10月2日（月）に高岡市役所8階会議室で開催 </t>
  </si>
  <si>
    <t>http://home.kingsoft.jp/news/pr/dreamnews/0000160523.html</t>
  </si>
  <si>
    <t>恋する灯台のまち」富山県高岡市の新たな地域資源を発掘 2人の仲が深まる10のコト 恋する目線で観光フライヤーを制作 「ワールドクエスト」式ワークショップを10月2日（月）に高岡市役所8階会議室で開催 – とれまがニュース</t>
  </si>
  <si>
    <t>http://news.toremaga.com/release/others/1003375.html</t>
  </si>
  <si>
    <t>恋する灯台のまち」富山県高岡市の新たな地域資源を発掘 2人の仲が深まる10のコト 恋する目線で観光フライヤーを制作 「ワールドクエスト」式ワークショップを10月2日（月）に高岡市役所8階会議室で開催：マピオンニュース</t>
  </si>
  <si>
    <t>http://www.mapion.co.jp/news/release/dn0000160523-all/</t>
  </si>
  <si>
    <t>2017/09/23</t>
  </si>
  <si>
    <t>2017/09/24</t>
  </si>
  <si>
    <t>「恋する灯台」に認定　下田・爪木埼、ロマンスで町づくり （伊豆新聞）</t>
  </si>
  <si>
    <t>https://headlines.yahoo.co.jp/hl?a=20170923-00000006-izu-l22</t>
  </si>
  <si>
    <t>「恋する灯台」に認定　下田・爪木埼、ロマンスで町づくり － 伊豆新聞</t>
  </si>
  <si>
    <t>http://izu-np.co.jp/shimoda/news/20170923iz1000000006000c.html</t>
  </si>
  <si>
    <t>下北で「愛」育んで　５市町村が婚活支援組織(デーリー東北)</t>
  </si>
  <si>
    <t>https://news.goo.ne.jp/article/dtohoku/region/dtohoku-104619145.html</t>
  </si>
  <si>
    <t>下北で「愛」育んで　５市町村が婚活支援組織（デーリー東北）　人口減少対策としての婚活事業に広域で取…</t>
  </si>
  <si>
    <t>http://topics.smt.docomo.ne.jp/article/dtohoku/region/dtohoku-104619145?fm=latestnews</t>
  </si>
  <si>
    <t>下北で「愛」育んで！5市町村が婚活支援組織を設立／青森 （デーリー東北新聞社）</t>
  </si>
  <si>
    <t>https://headlines.yahoo.co.jp/hl?a=20170923-00010003-dtohoku-l02</t>
  </si>
  <si>
    <t>下北ジオパークで恋しよう／むつなど5市町村、10月21、22日に婚活ツアー （Web東奥）</t>
  </si>
  <si>
    <t>https://headlines.yahoo.co.jp/hl?a=20170923-23121517-webtoo-l02</t>
  </si>
  <si>
    <t>絶景で“インスタ映え”拡散して　休暇村紀州加太にマリンベル</t>
  </si>
  <si>
    <t>http://www.47news.jp/localnews/wakayama/2017/09/post_20170923073351.html</t>
  </si>
  <si>
    <t>http://news.livedoor.com/article/detail/13651283/</t>
  </si>
  <si>
    <t>http://www.sankei.com/region/news/170923/rgn1709230038-n1.html</t>
  </si>
  <si>
    <t>絶景で“インスタ映え”拡散して　休暇村紀州加太にマリンベル （産経新聞）</t>
  </si>
  <si>
    <t>https://headlines.yahoo.co.jp/hl?a=20170923-00000035-san-l30</t>
  </si>
  <si>
    <t>絶景で“インスタ映え”狙う 和歌山・休暇村紀州加太にマリンベル</t>
  </si>
  <si>
    <t>http://www.msn.com/ja-jp/news/national/%E7%B5%B6%E6%99%AF%E3%81%A7%E2%80%9C%E3%82%A4%E3%83%B3%E3%82%B9%E3%82%BF%E6%98%A0%E3%81%88%E2%80%9D%E7%8B%99%E3%81%86-%E5%92%8C%E6%AD%8C%E5%B1%B1%E3%83%BB%E4%BC%91%E6%9A%87%E6%9D%91%E7%B4%80%E5%B7%9E%E5%8A%A0%E5%A4%AA%E3%81%AB%E3%83%9E%E3%83%AA%E3%83%B3%E3%83%99%E3%83%AB/ar-AAsn19k</t>
  </si>
  <si>
    <t>絶景で“インスタ映え”狙う　和歌山・休暇村紀州加太にマリンベル　</t>
  </si>
  <si>
    <t>http://news.livedoor.com/article/detail/13652266/</t>
  </si>
  <si>
    <t>http://news.mixi.jp/view_news.pl?id=4779676&amp;media_id=3</t>
  </si>
  <si>
    <t>http://www.sankei.com/west/news/170923/wst1709230020-n1.html</t>
  </si>
  <si>
    <t>○</t>
  </si>
  <si>
    <t>絶景で“インスタ映え”狙う　和歌山・休暇村紀州加太にマリンベル　(産経新聞)</t>
  </si>
  <si>
    <t>https://news.goo.ne.jp/article/sankei/nation/sankei-wst1709230020.html</t>
  </si>
  <si>
    <t>絶景で“インスタ映え”狙う　和歌山・休暇村紀州加太にマリンベル　（産経新聞）　和歌山市深山の観光ホテル「休暇村紀州加…</t>
  </si>
  <si>
    <t>http://topics.smt.docomo.ne.jp/article/sankei/nation/sankei-wst1709230020?fm=latestnews</t>
  </si>
  <si>
    <t>2017/09/22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</si>
  <si>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 一般社団法人日本ロマンチスト協会 </t>
  </si>
  <si>
    <t>http://www.bizloop.jp/release/DRN0000160252/</t>
  </si>
  <si>
    <t>@S［アットエス］</t>
  </si>
  <si>
    <t>下田・爪木埼「日本百名灯台」に　静岡県内で初認定</t>
  </si>
  <si>
    <t>http://www.at-s.com/news/article/topics/shizuoka/404946.html</t>
  </si>
  <si>
    <t>下田・爪木埼「日本百名灯台」に　静岡県内で初認定 （＠S［アットエス］ by 静岡新聞SBS）</t>
  </si>
  <si>
    <t>https://headlines.yahoo.co.jp/hl?a=20170922-00000027-at_s-l22</t>
  </si>
  <si>
    <t>下田・爪木埼「日本百名灯台」に　静岡県内で初認定│静岡ニュース</t>
  </si>
  <si>
    <t>http://news.tnc.ne.jp/shizuoka/199918_1.html</t>
  </si>
  <si>
    <t>松山・忽那諸島の住民ら　釣島の象徴生かし集客探る</t>
  </si>
  <si>
    <t>https://www.ehime-np.co.jp/article/news201709221747</t>
  </si>
  <si>
    <t>松山・忽那諸島の住民ら　釣島の象徴生かし集客探る （愛媛新聞ONLINE）</t>
  </si>
  <si>
    <t>https://headlines.yahoo.co.jp/hl?a=20170922-22174701-ehime-l38</t>
  </si>
  <si>
    <t>松山・忽那諸島の住民ら　釣島の象徴生かし集客探る　灯台デートどうだい？</t>
  </si>
  <si>
    <t>http://www.47news.jp/localnews/ehime/2017/09/post_20170922130758.html</t>
  </si>
  <si>
    <t>松山・忽那諸島の住民ら　釣島の象徴生かし集客探る　灯台デートどうだい？ [愛媛新聞社]</t>
  </si>
  <si>
    <t>http://soonhome.jp/connect/post?id=283819022595605601</t>
  </si>
  <si>
    <t>松山・忽那諸島の住民ら　釣島の象徴生かし集客探る　灯台デートどうだい？(愛媛新聞ONLINE)</t>
  </si>
  <si>
    <t>https://news.goo.ne.jp/article/ehimenp/region/ehimenp-news201709221747.html</t>
  </si>
  <si>
    <t>松山・忽那諸島の住民ら　釣島の象徴生かし集客探る　灯台デートどうだい？（愛媛新聞ONLINE）　日本ロマンチスト協会（長崎県）が「恋す…</t>
  </si>
  <si>
    <t>http://topics.smt.docomo.ne.jp/article/ehimenp/region/ehimenp-news201709221747?fm=latestnews</t>
  </si>
  <si>
    <t>2017/09/21</t>
  </si>
  <si>
    <t>「恋する灯台」に　日本ロマンチスト協・日本財団認定　白亜の姿、新たな可能性に期待　／高知</t>
  </si>
  <si>
    <t>http://mainichi.jp/articles/20170921/ddl/k39/040/549000c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</si>
  <si>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</t>
  </si>
  <si>
    <t>http://www.kigyou-sns.com/press/press_234465/</t>
  </si>
  <si>
    <t>友ケ島など一望　高台に休暇村紀州加太が設置　／和歌山</t>
  </si>
  <si>
    <t>http://mainichi.jp/articles/20170921/ddl/k30/040/397000c</t>
  </si>
  <si>
    <t>＜恋するマリンベル＞友ケ島など一望　高台に休暇村紀州加太が設置　／和歌山(毎日新聞)</t>
  </si>
  <si>
    <t>https://news.goo.ne.jp/article/mainichi_region/region/mainichi_region-20170921ddlk30040397000c.html</t>
  </si>
  <si>
    <t>＜恋するマリンベル＞友ケ島など一望　高台に休暇村紀州加太が設置　／和歌山（毎日新聞）　◇マリンベルの下で愛を　和歌山市加太の観…</t>
  </si>
  <si>
    <t>http://topics.smt.docomo.ne.jp/article/mainichi_region/region/mainichi_region-20170921ddlk30040397000c?fm=latestnews</t>
  </si>
  <si>
    <t>＜足摺岬灯台＞「恋する灯台」に　日本ロマンチスト協・日本財団認定　白亜の姿、新たな可能性に期待　／高知(毎日新聞)</t>
  </si>
  <si>
    <t>https://news.goo.ne.jp/article/mainichi_region/region/mainichi_region-20170921ddlk39040549000c.html</t>
  </si>
  <si>
    <t>＜足摺岬灯台＞「恋する灯台」に　日本ロマンチスト協・日本財団認定　白亜の姿、新たな可能性に期待　／高知（毎日新聞）　土佐清水市の足摺岬灯台がこのほど、一般…</t>
  </si>
  <si>
    <t>http://topics.smt.docomo.ne.jp/article/mainichi_region/region/mainichi_region-20170921ddlk39040549000c?fm=latestnews</t>
  </si>
  <si>
    <t>2017/09/20</t>
  </si>
  <si>
    <t>八重山毎日新聞</t>
  </si>
  <si>
    <t>「恋する灯台」看板設置</t>
  </si>
  <si>
    <t>http://www.y-mainichi.co.jp/news/32277/</t>
  </si>
  <si>
    <t>高所作業ニュース</t>
  </si>
  <si>
    <t>「恋する灯台」看板設置 – 八重山毎日オンライン</t>
  </si>
  <si>
    <t>http://www.kousyo-sagyo-car.com/another_news/220835.html</t>
  </si>
  <si>
    <t>https://business.nifty.com/cs/catalog/business_release/catalog_drm0000160252_1.htm</t>
  </si>
  <si>
    <t>https://news.biglobe.ne.jp/economy/0920/dre_170920_9544832867.html</t>
  </si>
  <si>
    <t>http://press.fideli.com/d/160252/</t>
  </si>
  <si>
    <t>http://press.fideli.com/d/160252/5</t>
  </si>
  <si>
    <t>https://news.infoseek.co.jp/article/dreamnews_0000160252/</t>
  </si>
  <si>
    <t>https://markezine.jp/release/detail/795340</t>
  </si>
  <si>
    <t>http://www.the-miyanichi.co.jp/special/dreamNews/detailep.php?id=0000160252</t>
  </si>
  <si>
    <t>https://news.nplus-inc.co.jp/index.php?action=ViewDetail&amp;number=394022</t>
  </si>
  <si>
    <t>http://www.seotools.jp/news/id_0000160252.html</t>
  </si>
  <si>
    <t>https://miyabiz.com/special/dreamNews/detail.php?id=0000160252</t>
  </si>
  <si>
    <t>http://newsnavi.jp/detail/658346/</t>
  </si>
  <si>
    <t>http://www.topics.or.jp/press/news/2017/09/DreamNewsDN0000160252.html</t>
  </si>
  <si>
    <t>http://www.asahi.com/and_M/information/pressrelease/Cdpress000160252.html</t>
  </si>
  <si>
    <t>http://www.jprime.jp/ud/pressrelease/guid/dn0000160252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</si>
  <si>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 (プレスリリース)</t>
  </si>
  <si>
    <t>http://www.excite.co.jp/News/release/20170920/Dreamnews_0000160252.html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</si>
  <si>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 </t>
  </si>
  <si>
    <t>http://home.kingsoft.jp/news/pr/dreamnews/0000160252.html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</si>
  <si>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 – とれまがニュース</t>
  </si>
  <si>
    <t>http://news.toremaga.com/release/others/1001294.html</t>
  </si>
  <si>
    <t>「恋する灯台のまち」静岡県下田市の新たな地域資源を発掘 2人の仲が深まる10のコト。恋する目線で観光フライヤー制作ワークショップを9月30日（土）に下田市民スポーツセンター「サンワーク下田」で開催：マピオンニュース</t>
  </si>
  <si>
    <t>http://www.mapion.co.jp/news/release/dn0000160252-all/</t>
  </si>
  <si>
    <t>愛される灯台に期待 | 八重山毎日新聞社</t>
  </si>
  <si>
    <t>http://www.y-mainichi.co.jp/news/32273/</t>
  </si>
  <si>
    <t>2017/09/15</t>
  </si>
  <si>
    <t>2017/09/16</t>
  </si>
  <si>
    <t>[ 一般社団法人越前町観光連盟 ] 【福井県越前町】「灯台記念日」にちなんで越前岬灯台を一般公開します</t>
  </si>
  <si>
    <t>http://diamond.jp/ud/pressrelease/59bb38ea7765616452280000</t>
  </si>
  <si>
    <t>「恋する灯台のまち」愛媛県松山市の地域資源を発掘 2人の仲が深まる10のコト 恋する目線で観光フライヤーを制作 「ワールドクエスト」式ワークショップを9月20日（水）松山観光港ターミナル研修室で開催</t>
  </si>
  <si>
    <t>https://business.nifty.com/cs/catalog/business_release/catalog_drm0000159808_1.htm</t>
  </si>
  <si>
    <t>https://news.biglobe.ne.jp/economy/0915/dre_170915_6948806024.html</t>
  </si>
  <si>
    <t>http://press.fideli.com/d/159808/5</t>
  </si>
  <si>
    <t>http://press.fideli.com/d/159808/</t>
  </si>
  <si>
    <t>https://news.infoseek.co.jp/article/dreamnews_0000159808/</t>
  </si>
  <si>
    <t>https://markezine.jp/release/detail/793882</t>
  </si>
  <si>
    <t>http://www.the-miyanichi.co.jp/special/dreamNews/detailep.php?id=0000159808</t>
  </si>
  <si>
    <t>https://news.nplus-inc.co.jp/index.php?action=ViewDetail&amp;number=393497</t>
  </si>
  <si>
    <t>http://www.seotools.jp/news/id_0000159808.html</t>
  </si>
  <si>
    <t>http://newsnavi.jp/detail/656876/</t>
  </si>
  <si>
    <t>http://www.topics.or.jp/press/news/2017/09/DreamNewsDN0000159808.html</t>
  </si>
  <si>
    <t>http://www.asahi.com/and_M/information/pressrelease/Cdpress000159808.html</t>
  </si>
  <si>
    <t>http://www.jprime.jp/ud/pressrelease/guid/dn0000159808</t>
  </si>
  <si>
    <t>「恋する灯台のまち」愛媛県松山市の地域資源を発掘 2人の仲が深まる10のコト 恋する目線で観光フライヤーを制作 「ワールドクエスト」式ワークショップを9月20日（水）松山観光港ターミナル研修室で開催 (プレスリリース)</t>
  </si>
  <si>
    <t>http://www.excite.co.jp/News/release/20170915/Dreamnews_0000159808.html</t>
  </si>
  <si>
    <t>「恋する灯台のまち」愛媛県松山市の地域資源を発掘 2人の仲が深まる10のコト 恋する目線で観光フライヤーを制作 「ワールドクエスト」式ワークショップを9月20日（水）松山観光港ターミナル研修室で開催 </t>
  </si>
  <si>
    <t>http://home.kingsoft.jp/news/pr/dreamnews/0000159808.html</t>
  </si>
  <si>
    <t>「恋する灯台のまち」愛媛県松山市の地域資源を発掘 2人の仲が深まる10のコト 恋する目線で観光フライヤーを制作 「ワールドクエスト」式ワークショップを9月20日（水）松山観光港ターミナル研修室で開催 – とれまがニュース</t>
  </si>
  <si>
    <t>http://news.toremaga.com/nation/notice/999659.html</t>
  </si>
  <si>
    <t>http://news.toremaga.com/release/notice/999659.html</t>
  </si>
  <si>
    <t>「恋する灯台のまち」愛媛県松山市の地域資源を発掘 2人の仲が深まる10のコト 恋する目線で観光フライヤーを制作 「ワールドクエスト」式ワークショップを9月20日（水）松山観光港ターミナル研修室で開催：マピオンニュース</t>
  </si>
  <si>
    <t>http://www.mapion.co.jp/news/release/dn0000159808-all/</t>
  </si>
  <si>
    <t>【福井県越前町】「灯台記念日」にちなんで越前岬灯台を一般公開します</t>
  </si>
  <si>
    <t>http://30min.jp/release/prtimes/detail/49982</t>
  </si>
  <si>
    <t>https://business.nifty.com/cs/catalog/business_release/catalog_prt000000072000017744_1.htm</t>
  </si>
  <si>
    <t>http://best-times.jp/ud/pressrelease_besttimes/59bb38e0776561553a220000</t>
  </si>
  <si>
    <t>https://news.biglobe.ne.jp/economy/0915/prt_170915_0815665877.html</t>
  </si>
  <si>
    <t>http://crea.bunshun.jp/ud/pressrelease/59bb37adb31ac9027a000017</t>
  </si>
  <si>
    <t>http://beauty.oricon.co.jp/pressrelease/209257/</t>
  </si>
  <si>
    <t>https://news.infoseek.co.jp/article/prtimes_000000072_000017744/</t>
  </si>
  <si>
    <t>http://jbpress.ismedia.jp/ud/pressrelease/59bb37bf7765619cd02d0000</t>
  </si>
  <si>
    <t>http://joshiplus.jp/pressrelease/209226/</t>
  </si>
  <si>
    <t>https://markezine.jp/release/detail/793705</t>
  </si>
  <si>
    <t>http://okguide.okwave.jp/cafe/2926986</t>
  </si>
  <si>
    <t>http://www.oricon.co.jp/pressrelease/209181/</t>
  </si>
  <si>
    <t>http://president.jp/ud/pressrelease/59bb37cf7765610bdd2b0000</t>
  </si>
  <si>
    <t>http://www.seotools.jp/news/id_000000072.000017744.html</t>
  </si>
  <si>
    <t>https://straightpress.jp/company_news/detail?pr=000000072.000017744</t>
  </si>
  <si>
    <t>http://release.traicy.com/archives/2017091568259.html</t>
  </si>
  <si>
    <t>おたくま経済新聞</t>
  </si>
  <si>
    <t>http://otakei.otakuma.net/archives/prtimes/000000072-000017744.html</t>
  </si>
  <si>
    <t>ウレぴあ総研</t>
  </si>
  <si>
    <t>http://ure.pia.co.jp/articles/-/103743</t>
  </si>
  <si>
    <t>http://news.jorudan.co.jp/docs/news/detail.cgi?newsid=PT000072A000017744</t>
  </si>
  <si>
    <t>https://www.jiji.com/jc/article?g=prt&amp;k=000000072.000017744</t>
  </si>
  <si>
    <t>暮らしニスタ</t>
  </si>
  <si>
    <t>https://kurashinista.jp/pressrelease/detail/63112</t>
  </si>
  <si>
    <t>http://www.asahi.com/and_M/information/pressrelease/CPRT201760473.html</t>
  </si>
  <si>
    <t>http://toyokeizai.net/ud/pressrelease/59bb382b7765612e9b2a0000</t>
  </si>
  <si>
    <t>http://www.sankei.com/economy/news/170915/prl1709150061-n1.html</t>
  </si>
  <si>
    <t>http://www.zaikei.co.jp/releases/526954/</t>
  </si>
  <si>
    <t>【福井県越前町】「灯台記念日」にちなんで越前岬灯台を一般公開します (プレスリリース)</t>
  </si>
  <si>
    <t>http://www.excite.co.jp/News/release/20170915/Prtimes_2017-09-15-17744-72.html</t>
  </si>
  <si>
    <t>【福井県越前町】「灯台記念日」にちなんで越前岬灯台を一般公開します : ニュースリリース : 経済</t>
  </si>
  <si>
    <t>http://www.yomiuri.co.jp/adv/economy/release/detail/00327194.html</t>
  </si>
  <si>
    <t>【福井県越前町】「灯台記念日」にちなんで越前岬灯台を一般公開します:Cubeニュース</t>
  </si>
  <si>
    <t>http://news.cube-soft.jp/prtimes/archive.php?id=201095</t>
  </si>
  <si>
    <t>【福井県越前町】「灯台記念日」にちなんで越前岬灯台を一般公開します – とれまがニュース</t>
  </si>
  <si>
    <t>http://news.toremaga.com/release/others/999404.html</t>
  </si>
  <si>
    <t>【福井県越前町】「灯台記念日」にちなんで越前岬灯台を一般公開します：イザ！</t>
  </si>
  <si>
    <t>http://www.iza.ne.jp/kiji/pressrelease/news/170915/prl17091511260059-n1.html</t>
  </si>
  <si>
    <t>【福井県越前町】「灯台記念日」にちなんで越前岬灯台を一般公開します：マピオンニュース</t>
  </si>
  <si>
    <t>http://www.mapion.co.jp/news/release/000000072.000017744-all/</t>
  </si>
  <si>
    <t>2017/09/14</t>
  </si>
  <si>
    <t>高知県の土佐清水に「恋の舞台」１０選　市民と掘り起こし</t>
  </si>
  <si>
    <t>http://www.47news.jp/photo/1717978.php</t>
  </si>
  <si>
    <t>高知県の土佐清水に「恋の舞台」１０選　市民と掘り起こし：おでかけ</t>
  </si>
  <si>
    <t>http://www.47news.jp/localnews/odekake/2017/09/post-20170914100443.html</t>
  </si>
  <si>
    <t>2017/09/13</t>
  </si>
  <si>
    <t>朝日新聞デジタル</t>
  </si>
  <si>
    <t>富山）高岡・岩崎ノ鼻灯台、「恋する灯台」に認定</t>
  </si>
  <si>
    <t>http://www.asahi.com/articles/ASK9C4K4YK9CPUZB00S.html</t>
  </si>
  <si>
    <t>高知県土佐清水市のデートスポット１０カ所選定</t>
  </si>
  <si>
    <t>http://www.47news.jp/localnews/kochi/2017/09/post_20170913183330.html</t>
  </si>
  <si>
    <t>http://www.kochinews.co.jp/article/125155/</t>
  </si>
  <si>
    <t>2017/09/12</t>
  </si>
  <si>
    <t>「恋する灯台」に岩崎ノ鼻灯台　高岡市に認定証 （北陸新幹線で行こう！　北陸・信越観光ナビ）</t>
  </si>
  <si>
    <t>https://headlines.yahoo.co.jp/hl?a=20170912-00000003-hokuriku-l16</t>
  </si>
  <si>
    <t>「恋する灯台」に岩崎ノ鼻灯台　高岡市に認定証(北陸新幹線で行こう！ 北陸・信越観光ナビ)</t>
  </si>
  <si>
    <t>https://news.goo.ne.jp/article/hokurikushinkansen/region/hokurikushinkansen-NEWS0000012056.html</t>
  </si>
  <si>
    <t>「恋する灯台」に岩崎ノ鼻灯台　高岡市に認定証（北陸新幹線で行こう！ 北陸・信越観光ナビ）　高岡市伏木国分の岩崎ノ鼻灯台がロマンス…</t>
  </si>
  <si>
    <t>http://topics.smt.docomo.ne.jp/article/hokurikushinkansen/region/hokurikushinkansen-NEWS0000012056?fm=latestnews</t>
  </si>
  <si>
    <t>「恋する灯台」に選出　伏木・岩崎ノ鼻　高岡市に認定証</t>
  </si>
  <si>
    <t>http://www.47news.jp/photo/1716272.php</t>
  </si>
  <si>
    <t>「恋する灯台」に選出　伏木・岩崎ノ鼻　高岡市に認定証：ホッとニュース</t>
  </si>
  <si>
    <t>http://www.47news.jp/localnews/hotnews/2017/09/post-20170912095301.html</t>
  </si>
  <si>
    <t>岩崎ノ鼻「恋する灯台」に…県内初認定 : 地域</t>
  </si>
  <si>
    <t>http://www.yomiuri.co.jp/local/toyama/news/20170912-OYTNT50133.html</t>
  </si>
  <si>
    <t>恋する灯台のまち 岩崎ノ鼻灯台認定</t>
  </si>
  <si>
    <t>http://www.47news.jp/localnews/toyama/2017/09/post_20170912080851.html</t>
  </si>
  <si>
    <t>http://www.47news.jp/photo/1716204.php</t>
  </si>
  <si>
    <t>恋する灯台のまち 岩崎ノ鼻灯台認定(中日新聞プラス)</t>
  </si>
  <si>
    <t>https://news.goo.ne.jp/article/chuplus/region/chuplus-CK2017091202000036.html</t>
  </si>
  <si>
    <t>恋する灯台のまち 岩崎ノ鼻灯台認定（中日新聞プラス）　ロマンスの聖地として認定された高岡市の…</t>
  </si>
  <si>
    <t>http://topics.smt.docomo.ne.jp/article/chuplus/region/chuplus-CK2017091202000036?fm=latestnews</t>
  </si>
  <si>
    <t>恋する灯台のまち　岩崎ノ鼻灯台認定:富山:中日新聞(CHUNICHI Web)</t>
  </si>
  <si>
    <t>http://www.chunichi.co.jp/article/toyama/20170912/CK2017091202000036.html</t>
  </si>
  <si>
    <t>神威岬灯台一般公開：どうしん電子版（北海道新聞）</t>
  </si>
  <si>
    <t>https://www.hokkaido-np.co.jp/event/1840</t>
  </si>
  <si>
    <t>2017/09/11</t>
  </si>
  <si>
    <t>岩崎ノ鼻灯台「恋する灯台」認定</t>
  </si>
  <si>
    <t>http://www3.nhk.or.jp/lnews/toyama/3063724821.html</t>
  </si>
  <si>
    <t>http://www.47news.jp/localnews/toyama/2017/09/post_20170911132816.html</t>
  </si>
  <si>
    <t>http://www.47news.jp/photo/1715752.php</t>
  </si>
  <si>
    <t>北日本新聞</t>
  </si>
  <si>
    <t>http://webun.jp/item/7398688</t>
  </si>
  <si>
    <t>「恋する灯台」に選出　伏木・岩崎ノ鼻　高岡市に認定証 = 地域</t>
  </si>
  <si>
    <t>https://news.goo.ne.jp/picture/region/kitanihon-104471950.html</t>
  </si>
  <si>
    <t>「恋する灯台」に選出　伏木・岩崎ノ鼻　高岡市に認定証 [北日本新聞]</t>
  </si>
  <si>
    <t>http://soonhome.jp/connect/post?id=279832712373601781</t>
  </si>
  <si>
    <t>「恋する灯台」に選出　伏木・岩崎ノ鼻　高岡市に認定証 （北日本新聞）</t>
  </si>
  <si>
    <t>https://headlines.yahoo.co.jp/hl?a=20170911-00085987-kitanihon-l16</t>
  </si>
  <si>
    <t>「恋する灯台」に選出　伏木・岩崎ノ鼻　高岡市に認定証(北日本新聞)</t>
  </si>
  <si>
    <t>https://news.goo.ne.jp/article/kitanihon/region/kitanihon-104471950.html</t>
  </si>
  <si>
    <t>「恋する灯台」に選出　伏木・岩崎ノ鼻　高岡市に認定証（北日本新聞）　高岡市伏木国分の岩崎ノ鼻灯台がロマンス…</t>
  </si>
  <si>
    <t>http://topics.smt.docomo.ne.jp/article/kitanihon/region/kitanihon-104471950?fm=latestnews</t>
  </si>
  <si>
    <t>2017/09/08</t>
  </si>
  <si>
    <t>2017/09/09</t>
  </si>
  <si>
    <t>訂正版 ※時間が変更になりました。 日本ロマンチスト協会会長が高橋 正樹 市長を表敬訪問、認定証を贈呈 日時：2017年9月11日（月） 11：30 〜 12：00</t>
  </si>
  <si>
    <t>http://www.seotools.jp/news/id_0000159716.html</t>
  </si>
  <si>
    <t>訂正版 ※時間が変更になりました。 日本ロマンチスト協会会長が高橋 正樹 市長を表敬訪問、認定証を贈呈 日時：2017年9月11日（月） 11：30 ～ 12：00</t>
  </si>
  <si>
    <t>https://business.nifty.com/cs/catalog/business_release/catalog_drm0000159716_1.htm</t>
  </si>
  <si>
    <t>https://news.biglobe.ne.jp/economy/0908/dre_170908_5771281884.html</t>
  </si>
  <si>
    <t>http://press.fideli.com/d/159716/</t>
  </si>
  <si>
    <t>http://press.fideli.com/d/159716/5</t>
  </si>
  <si>
    <t>https://news.infoseek.co.jp/article/dreamnews_0000159716/</t>
  </si>
  <si>
    <t>http://www.the-miyanichi.co.jp/special/dreamNews/detailep.php?id=0000159716</t>
  </si>
  <si>
    <t>https://news.nplus-inc.co.jp/index.php?action=ViewDetail&amp;number=392420</t>
  </si>
  <si>
    <t>https://miyabiz.com/special/dreamNews/detail.php?id=0000159716</t>
  </si>
  <si>
    <t>http://newsnavi.jp/detail/653926/</t>
  </si>
  <si>
    <t>http://www.topics.or.jp/press/news/2017/09/DreamNewsDN0000159716.html</t>
  </si>
  <si>
    <t>http://www.asahi.com/and_M/information/pressrelease/Cdpress000159716.html</t>
  </si>
  <si>
    <t>http://www.jprime.jp/ud/pressrelease/guid/dn0000159716</t>
  </si>
  <si>
    <t>訂正版 ※時間が変更になりました。 日本ロマンチスト協会会長が高橋 正樹 市長を表敬訪問、認定証を贈呈 日時：2017年9月11日（月） 11：30 ～ 12：00 (プレスリリース)</t>
  </si>
  <si>
    <t>http://www.excite.co.jp/News/release/20170908/Dreamnews_0000159716.html</t>
  </si>
  <si>
    <t>訂正版 ※時間が変更になりました。 日本ロマンチスト協会会長が高橋 正樹 市長を表敬訪問、認定証を贈呈 日時：2017年9月11日（月） 11：30 ～ 12：00 - プレスリリース：MarkeZine（マーケジン）</t>
  </si>
  <si>
    <t>http://markezine.jp/release/detail/790816</t>
  </si>
  <si>
    <t>訂正版 ※時間が変更になりました。 日本ロマンチスト協会会長が高橋 正樹 市長を表敬訪問、認定証を贈呈 日時：2017年9月11日（月） 11：30 ～ 12：00 </t>
  </si>
  <si>
    <t>http://home.kingsoft.jp/news/pr/dreamnews/0000159716.html</t>
  </si>
  <si>
    <t>訂正版 ※時間が変更になりました。 日本ロマンチスト協会会長が高橋 正樹 市長を表敬訪問、認定証を贈呈 日時：2017年9月11日（月） 11：30 ～ 12：00 – とれまがニュース</t>
  </si>
  <si>
    <t>http://news.toremaga.com/release/others/996366.html</t>
  </si>
  <si>
    <t>訂正版 ※時間が変更になりました。 日本ロマンチスト協会会長が高橋 正樹 市長を表敬訪問、認定証を贈呈 日時：2017年9月11日（月） 11：30 ～ 12：00：マピオンニュース</t>
  </si>
  <si>
    <t>http://www.mapion.co.jp/news/release/dn0000159716-all/</t>
  </si>
  <si>
    <t>2017/09/06</t>
  </si>
  <si>
    <t>2017/09/07</t>
  </si>
  <si>
    <t>岩崎ノ鼻灯台は恋する灯台 ロマンスの聖地へ 県内から初の選定</t>
  </si>
  <si>
    <t>http://www.47news.jp/localnews/toyama/2017/09/post_20170906080444.html</t>
  </si>
  <si>
    <t>岩崎ノ鼻灯台は恋する灯台　ロマンスの聖地へ　県内から初の選定:富山:中日新聞(CHUNICHI Web)</t>
  </si>
  <si>
    <t>http://www.chunichi.co.jp/article/toyama/20170906/CK2017090602000014.html</t>
  </si>
  <si>
    <t>釣島でロマンスを　県内２基目認定　／愛媛</t>
  </si>
  <si>
    <t>http://mainichi.jp/articles/20170906/ddl/k38/040/532000c</t>
  </si>
  <si>
    <t>＜恋する灯台＞釣島でロマンスを　県内２基目認定　／愛媛(毎日新聞)</t>
  </si>
  <si>
    <t>https://news.goo.ne.jp/article/mainichi_region/region/mainichi_region-20170906ddlk38040532000c.html</t>
  </si>
  <si>
    <t>＜恋する灯台＞釣島でロマンスを　県内２基目認定　／愛媛（毎日新聞）　松山市沖の釣島（つるしま）にある「釣島…</t>
  </si>
  <si>
    <t>http://topics.smt.docomo.ne.jp/article/mainichi_region/region/mainichi_region-20170906ddlk38040532000c?fm=latestnews</t>
  </si>
  <si>
    <t>2017/09/05</t>
  </si>
  <si>
    <t>「恋する灯台」に岩崎ノ鼻　富山</t>
  </si>
  <si>
    <t>http://mainichi.jp/articles/20170905/k00/00e/040/156000c</t>
  </si>
  <si>
    <t>https://ryukyushimpo.jp/mainichi/entry-568789.html</t>
  </si>
  <si>
    <t>岩崎ノ鼻　岩礁や立山の眺め評価　高岡　／富山</t>
  </si>
  <si>
    <t>https://mainichi.jp/articles/20170905/ddl/k16/040/283000c</t>
  </si>
  <si>
    <t>日本ロマンチスト協会：「恋する灯台」に岩崎ノ鼻　富山</t>
  </si>
  <si>
    <t>https://news.infoseek.co.jp/article/mainichi_20170905k0000e040156000c/</t>
  </si>
  <si>
    <t>釣島　愛見守る : 地域</t>
  </si>
  <si>
    <t>http://www.yomiuri.co.jp/local/ehime/news/20170904-OYTNT50459.html</t>
  </si>
  <si>
    <t>＜恋する灯台＞岩崎ノ鼻　岩礁や立山の眺め評価　高岡　／富山(毎日新聞)</t>
  </si>
  <si>
    <t>https://news.goo.ne.jp/article/mainichi_region/region/mainichi_region-20170905ddlk16040283000c.html</t>
  </si>
  <si>
    <t>＜恋する灯台＞岩崎ノ鼻　岩礁や立山の眺め評価　高岡　／富山（毎日新聞）　高岡市伏木国分にある岩崎ノ鼻灯台が、今…</t>
  </si>
  <si>
    <t>http://topics.smt.docomo.ne.jp/article/mainichi_region/region/mainichi_region-20170905ddlk16040283000c?fm=latestnews</t>
  </si>
  <si>
    <t>＜日本ロマンチスト協会＞「恋する灯台」に岩崎ノ鼻　富山 = 社会</t>
  </si>
  <si>
    <t>https://news.goo.ne.jp/picture/nation/mainichi-20170905k0000e040156000c.html</t>
  </si>
  <si>
    <t>＜日本ロマンチスト協会＞「恋する灯台」に岩崎ノ鼻　富山 （毎日新聞）</t>
  </si>
  <si>
    <t>https://headlines.yahoo.co.jp/hl?a=20170905-00000013-mai-soci</t>
  </si>
  <si>
    <t>＜日本ロマンチスト協会＞「恋する灯台」に岩崎ノ鼻　富山(毎日新聞)</t>
  </si>
  <si>
    <t>https://news.goo.ne.jp/article/mainichi/nation/mainichi-20170905k0000e040156000c.html</t>
  </si>
  <si>
    <t>＜日本ロマンチスト協会＞「恋する灯台」に岩崎ノ鼻　富山（毎日新聞）　富山県高岡市伏木国分にある岩崎ノ鼻灯台…</t>
  </si>
  <si>
    <t>http://topics.smt.docomo.ne.jp/article/mainichi/nation/mainichi-20170905k0000e040156000c?fm=latestnews</t>
  </si>
  <si>
    <t>2017/09/04</t>
  </si>
  <si>
    <t>「恋する灯台のまち」高知県土佐清水市の新たな地域資源を発掘！“2人の仲が深まる10のコト” 恋する目線で観光フライヤーを制作ワールドクエスト式ワークショップを開催9月12日（火）に土佐清水市役所2Ｆ　</t>
  </si>
  <si>
    <t>https://business.nifty.com/cs/catalog/business_release/catalog_drm0000159346_1.htm</t>
  </si>
  <si>
    <t>https://news.biglobe.ne.jp/economy/0904/dre_170904_2921901859.html</t>
  </si>
  <si>
    <t>http://press.fideli.com/d/159346/</t>
  </si>
  <si>
    <t>http://press.fideli.com/d/159346/7</t>
  </si>
  <si>
    <t>https://news.infoseek.co.jp/article/dreamnews_0000159346/</t>
  </si>
  <si>
    <t>http://markezine.jp/release/detail/788531</t>
  </si>
  <si>
    <t>http://www.the-miyanichi.co.jp/special/dreamNews/detailep.php?id=0000159346</t>
  </si>
  <si>
    <t>https://news.nplus-inc.co.jp/index.php?action=ViewDetail&amp;number=391603</t>
  </si>
  <si>
    <t>http://www.seotools.jp/news/id_0000159346.html</t>
  </si>
  <si>
    <t>https://miyabiz.com/special/dreamNews/detail.php?id=0000159346</t>
  </si>
  <si>
    <t>http://newsnavi.jp/detail/651760/</t>
  </si>
  <si>
    <t>http://www.topics.or.jp/press/news/2017/09/DreamNewsDN0000159346.html</t>
  </si>
  <si>
    <t>http://www.asahi.com/and_M/information/pressrelease/Cdpress000159346.html</t>
  </si>
  <si>
    <t>http://www.jprime.jp/ud/pressrelease/guid/dn0000159346</t>
  </si>
  <si>
    <t>「恋する灯台のまち」高知県土佐清水市の新たな地域資源を発掘！“2人の仲が深まる10のコト” 恋する目線で観光フライヤーを制作ワールドクエスト式ワークショップを開催9月12日（火）に土佐清水市役所2Ｆ　 (プレスリリース)</t>
  </si>
  <si>
    <t>http://www.excite.co.jp/News/release/20170904/Dreamnews_0000159346.html</t>
  </si>
  <si>
    <t>「恋する灯台のまち」高知県土佐清水市の新たな地域資源を発掘！“2人の仲が深まる10のコト” 恋する目線で観光フライヤーを制作ワールドクエスト式ワークショップを開催9月12日（火）に土佐清水市役所2Ｆ　 </t>
  </si>
  <si>
    <t>http://home.kingsoft.jp/news/pr/dreamnews/0000159346.html</t>
  </si>
  <si>
    <t>「恋する灯台のまち」高知県土佐清水市の新たな地域資源を発掘！“2人の仲が深まる10のコト” 恋する目線で観光フライヤーを制作ワールドクエスト式ワークショップを開催9月12日（火）に土佐清水市役所2Ｆ　 – とれまがニュース</t>
  </si>
  <si>
    <t>http://news.toremaga.com/release/others/993913.html</t>
  </si>
  <si>
    <t>「恋する灯台のまち」高知県土佐清水市の新たな地域資源を発掘！“2人の仲が深まる10のコト” 恋する目線で観光フライヤーを制作ワールドクエスト式ワークショップを開催9月12日（火）に土佐清水市役所2Ｆ　：マピオンニュース</t>
  </si>
  <si>
    <t>http://www.mapion.co.jp/news/release/dn0000159346-all/</t>
  </si>
  <si>
    <t>『恋する灯台』岩崎ノ鼻灯台が立地する富山県高岡市を「恋する灯台のまち」として認定 日本ロマンチスト協会会長が高橋 正樹 市長を表敬訪問、認定証を贈呈 日時：2017年9月11日（月）</t>
  </si>
  <si>
    <t>https://business.nifty.com/cs/catalog/business_release/catalog_drm0000159340_1.htm</t>
  </si>
  <si>
    <t>https://news.biglobe.ne.jp/economy/0904/dre_170904_2508841627.html</t>
  </si>
  <si>
    <t>http://press.fideli.com/d/159340/7</t>
  </si>
  <si>
    <t>https://news.infoseek.co.jp/article/dreamnews_0000159340/</t>
  </si>
  <si>
    <t>http://markezine.jp/release/detail/788532</t>
  </si>
  <si>
    <t>http://www.the-miyanichi.co.jp/special/dreamNews/detailep.php?id=0000159340</t>
  </si>
  <si>
    <t>https://news.nplus-inc.co.jp/index.php?action=ViewDetail&amp;number=391602</t>
  </si>
  <si>
    <t>http://www.seotools.jp/news/id_0000159340.html</t>
  </si>
  <si>
    <t>https://miyabiz.com/special/dreamNews/detail.php?id=0000159340</t>
  </si>
  <si>
    <t>http://newsnavi.jp/detail/651759/</t>
  </si>
  <si>
    <t>http://www.topics.or.jp/press/news/2017/09/DreamNewsDN0000159340.html</t>
  </si>
  <si>
    <t>http://www.asahi.com/and_M/information/pressrelease/Cdpress000159340.html</t>
  </si>
  <si>
    <t>http://www.jprime.jp/ud/pressrelease/guid/dn0000159340</t>
  </si>
  <si>
    <t>『恋する灯台』岩崎ノ鼻灯台が立地する富山県高岡市を「恋する灯台のまち」として認定 日本ロマンチスト協会会長が高橋 正樹 市長を表敬訪問、認定証を贈呈 日時：2017年9月11日（月） (プレスリリース)</t>
  </si>
  <si>
    <t>http://www.excite.co.jp/News/release/20170904/Dreamnews_0000159340.html</t>
  </si>
  <si>
    <t>『恋する灯台』岩崎ノ鼻灯台が立地する富山県高岡市を「恋する灯台のまち」として認定 日本ロマンチスト協会会長が高橋 正樹 市長を表敬訪問、認定証を贈呈 日時：2017年9月11日（月） </t>
  </si>
  <si>
    <t>http://home.kingsoft.jp/news/pr/dreamnews/0000159340.html</t>
  </si>
  <si>
    <t>『恋する灯台』岩崎ノ鼻灯台が立地する富山県高岡市を「恋する灯台のまち」として認定 日本ロマンチスト協会会長が高橋 正樹 市長を表敬訪問、認定証を贈呈 日時：2017年9月11日（月） – とれまがニュース</t>
  </si>
  <si>
    <t>http://news.toremaga.com/release/others/993914.html</t>
  </si>
  <si>
    <t>『恋する灯台』岩崎ノ鼻灯台が立地する富山県高岡市を「恋する灯台のまち」として認定 日本ロマンチスト協会会長が高橋 正樹 市長を表敬訪問、認定証を贈呈 日時：2017年9月11日（月）：マピオンニュース</t>
  </si>
  <si>
    <t>http://www.mapion.co.jp/news/release/dn0000159340-all/</t>
  </si>
  <si>
    <t xml:space="preserve">掲載日
</t>
    <phoneticPr fontId="1" type="noConversion"/>
  </si>
  <si>
    <t xml:space="preserve">媒体名
</t>
    <phoneticPr fontId="1" type="noConversion"/>
  </si>
  <si>
    <t xml:space="preserve">記事タイトル
</t>
    <phoneticPr fontId="1" type="noConversion"/>
  </si>
  <si>
    <t xml:space="preserve">URL
</t>
    <phoneticPr fontId="1" type="noConversion"/>
  </si>
  <si>
    <t>2017/10/31</t>
  </si>
  <si>
    <t>2017/11/01</t>
  </si>
  <si>
    <t>「恋する灯台」にモニュメント設置　糸魚川・能生港灯台 （北陸新幹線で行こう！　北陸・信越観光ナビ）</t>
  </si>
  <si>
    <t>https://headlines.yahoo.co.jp/hl?a=20171031-00000005-hokuriku-l15</t>
  </si>
  <si>
    <t>「恋する灯台」にモニュメント設置　糸魚川・能生港灯台(北陸新幹線で行こう！ 北陸・信越観光ナビ)</t>
  </si>
  <si>
    <t>https://news.goo.ne.jp/article/hokurikushinkansen/region/hokurikushinkansen-NEWS0000012555.html</t>
  </si>
  <si>
    <t>「恋する灯台」にモニュメント設置　糸魚川・能生港灯台（北陸新幹線で行こう！ 北陸・信越観光ナビ）　一般社団法人日本ロマンチスト協会（長崎…</t>
  </si>
  <si>
    <t>http://topics.smt.docomo.ne.jp/article/hokurikushinkansen/region/hokurikushinkansen-NEWS0000012555?fm=latestnews</t>
  </si>
  <si>
    <t>BSN NEWS</t>
  </si>
  <si>
    <t>「恋する灯台」新名所に</t>
  </si>
  <si>
    <t>http://www.ohbsn.com/news/detail/kennai20171031_8896073.php</t>
  </si>
  <si>
    <t>「恋する灯台」新名所に　糸魚川・能生港灯台にモニュメント</t>
  </si>
  <si>
    <t>http://www.47news.jp/localnews/niigata/2017/10/post_20171031132225.html</t>
  </si>
  <si>
    <t>http://www.47news.jp/photo/1755177.php</t>
  </si>
  <si>
    <t>新潟日報モア</t>
  </si>
  <si>
    <t>http://www.niigata-nippo.co.jp/news/national/20171031354934.html</t>
  </si>
  <si>
    <t>糸魚川・能生港灯台で愛を語ろう　「恋する灯台」モニュメント設置：おでかけ</t>
  </si>
  <si>
    <t>http://www.47news.jp/localnews/odekake/2017/10/post-20171031130056.html</t>
  </si>
  <si>
    <t>2017/10/20</t>
  </si>
  <si>
    <t>2017/10/21</t>
  </si>
  <si>
    <t>＜取材のお願い＞恋する灯台サミット　北は北海道から南は沖縄まで、全国30エリアの「恋する灯台のまち」が集結！</t>
  </si>
  <si>
    <t>http://www.kigyou-sns.com/press/press_237615/</t>
  </si>
  <si>
    <t>2017/10/18</t>
  </si>
  <si>
    <t>2017/10/19</t>
  </si>
  <si>
    <t>＜取材のお願い＞恋する灯台サミット　北は北海道から南は沖縄まで、全国30エリアの「恋する灯台のまち」が集結！ 日本財団、日本ロマンチスト協会</t>
  </si>
  <si>
    <t>http://www.biz-hacks.com/pressrelease/?id=70570</t>
  </si>
  <si>
    <t>＜取材のお願い＞恋する灯台サミット　北は北海道から南は沖縄まで、全国30エリアの「恋する灯台のまち」が集結！ 日本財団、日本ロマンチスト協会 </t>
  </si>
  <si>
    <t>http://www.bizloop.jp/release/AT140774/</t>
  </si>
  <si>
    <t>2017/10/17</t>
  </si>
  <si>
    <t>＜取材のお願い＞ 恋する灯台サミット　 北は北海道から南は沖縄まで、 全国30エリアの「恋する灯台のまち」が集結！</t>
  </si>
  <si>
    <t>http://www.asahi.com/and_M/information/pressrelease/CATP2017140774.html</t>
  </si>
  <si>
    <t>https://business.nifty.com/cs/catalog/business_release/catalog_atp140774_1.htm</t>
  </si>
  <si>
    <t>https://news.biglobe.ne.jp/economy/1017/atp_171017_8505778352.html</t>
  </si>
  <si>
    <t>https://news.infoseek.co.jp/article/atpress_140774/</t>
  </si>
  <si>
    <t>https://markezine.jp/release/detail/807444</t>
  </si>
  <si>
    <t>https://news.nplus-inc.co.jp/index.php?action=ViewDetail&amp;number=398403</t>
  </si>
  <si>
    <t>http://www.sankeibiz.jp/business/news/171017/prl1710171642167-n1.htm</t>
  </si>
  <si>
    <t>http://www.sanspo.com/geino/news/20171017/prl17101716420148-n1.html</t>
  </si>
  <si>
    <t>http://www.seotools.jp/news/id_at_140774.html</t>
  </si>
  <si>
    <t>http://www.zakzak.co.jp/eco/news/171017/prl1710170148-n1.html</t>
  </si>
  <si>
    <t>http://newsnavi.jp/detail/671992/</t>
  </si>
  <si>
    <t>https://resemom.jp/feature/newsrelease/atpress/press_detail.html?pr_id=140774&amp;charset=UTF-8</t>
  </si>
  <si>
    <t>http://www.topsalesman.net/press/index.php?id=149601</t>
  </si>
  <si>
    <t>http://www.topics.or.jp/press/news/2017/10/Atpress140774.html</t>
  </si>
  <si>
    <t>http://www.zaikei.co.jp/releases/540590/</t>
  </si>
  <si>
    <t>＜取材のお願い＞恋する灯台サミット　北は北海道から南は沖縄まで、全国30エリアの「恋する灯台のまち」が集結！ (プレスリリース)</t>
  </si>
  <si>
    <t>http://www.excite.co.jp/News/release/20171017/Atpress_140774.html</t>
  </si>
  <si>
    <t>＜取材のお願い＞恋する灯台サミット　北は北海道から南は沖縄まで、全国30エリアの「恋する灯台のまち」が集結！ </t>
  </si>
  <si>
    <t>http://home.kingsoft.jp/news/pr/atpress/140774.html</t>
  </si>
  <si>
    <t>＜取材のお願い＞恋する灯台サミット　北は北海道から南は沖縄まで、全国30エリアの「恋する灯台のまち」が集結！ – とれまがニュース</t>
  </si>
  <si>
    <t>http://news.toremaga.com/politics/country/1014676.html</t>
  </si>
  <si>
    <t>＜取材のお願い＞恋する灯台サミット　北は北海道から南は沖縄まで、全国30エリアの「恋する灯台のまち」が集結！：マピオンニュース</t>
  </si>
  <si>
    <t>http://www.mapion.co.jp/news/release/ap140774-all/</t>
  </si>
  <si>
    <t>2017/10/10</t>
  </si>
  <si>
    <t>2017/10/11</t>
  </si>
  <si>
    <t>平野集落が入植60周年　開拓者の労ねぎらい発展誓う</t>
  </si>
  <si>
    <t>http://www.y-mainichi.co.jp/news/32376/</t>
  </si>
  <si>
    <t>2017/10/06</t>
  </si>
  <si>
    <t>2017/10/07</t>
  </si>
  <si>
    <t>タウンニュース</t>
  </si>
  <si>
    <t>「新三崎八景」を独自選定 社会</t>
  </si>
  <si>
    <t>http://www.townnews.co.jp/0502/2017/10/06/400888.html</t>
  </si>
  <si>
    <t>2017/10/05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</si>
  <si>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</t>
  </si>
  <si>
    <t>http://www.kigyou-sns.com/press/press_236242/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</si>
  <si>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 一般社団法人日本ロマンチスト協会 </t>
  </si>
  <si>
    <t>http://www.bizloop.jp/release/DRN0000161078/</t>
  </si>
  <si>
    <t>女子旅の聖地！？秋の旅行は“愛媛県松山市”で決まり！</t>
  </si>
  <si>
    <t>http://news.livedoor.com/article/detail/13709273/</t>
  </si>
  <si>
    <t>ガジェット通信</t>
  </si>
  <si>
    <t>http://getnews.jp/archives/1923571</t>
  </si>
  <si>
    <t>読めるモ</t>
  </si>
  <si>
    <t>http://news.merumo.ne.jp/article/genre/6645133</t>
  </si>
  <si>
    <t>Nicheee!</t>
  </si>
  <si>
    <t>女子旅の聖地！？秋の旅行は“愛媛県松山市”で決まり！ | Nicheee! [ニッチー！]　</t>
  </si>
  <si>
    <t>http://www.nicheee.com/archives/2149715.html</t>
  </si>
  <si>
    <t>2017/10/04</t>
  </si>
  <si>
    <t>https://business.nifty.com/cs/catalog/business_release/catalog_drm0000161078_1.htm</t>
  </si>
  <si>
    <t>https://news.biglobe.ne.jp/economy/1004/dre_171004_6586248369.html</t>
  </si>
  <si>
    <t>http://press.fideli.com/d/161078/</t>
  </si>
  <si>
    <t>http://press.fideli.com/d/161078/5</t>
  </si>
  <si>
    <t>https://news.infoseek.co.jp/article/dreamnews_0000161078/</t>
  </si>
  <si>
    <t>https://markezine.jp/release/detail/802168</t>
  </si>
  <si>
    <t>http://www.the-miyanichi.co.jp/special/dreamNews/detailep.php?id=0000161078</t>
  </si>
  <si>
    <t>https://news.nplus-inc.co.jp/index.php?action=ViewDetail&amp;number=396459</t>
  </si>
  <si>
    <t>http://www.seotools.jp/news/id_0000161078.html</t>
  </si>
  <si>
    <t>https://miyabiz.com/special/dreamNews/detail.php?id=0000161078</t>
  </si>
  <si>
    <t>http://newsnavi.jp/detail/667062/</t>
  </si>
  <si>
    <t>http://www.topics.or.jp/press/news/2017/10/DreamNewsDN0000161078.html</t>
  </si>
  <si>
    <t>http://www.asahi.com/and_M/information/pressrelease/Cdpress000161078.html</t>
  </si>
  <si>
    <t>http://www.jprime.jp/ud/pressrelease/guid/dn0000161078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</si>
  <si>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 (プレスリリース)</t>
  </si>
  <si>
    <t>http://www.excite.co.jp/News/release/20171004/Dreamnews_0000161078.html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</si>
  <si>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 </t>
  </si>
  <si>
    <t>http://home.kingsoft.jp/news/pr/dreamnews/0000161078.html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</si>
  <si>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 – とれまがニュース</t>
  </si>
  <si>
    <t>http://news.toremaga.com/release/others/1008773.html</t>
  </si>
  <si>
    <t>「恋する灯台のまち」島根県出雲市の新たな地域資源を発掘！2人の仲が深まる10のコト 恋する目線で観光フライヤーを制作　ワークショップを開催10月14日（土）に出雲商工会議所1Fホールで開催：マピオンニュース</t>
  </si>
  <si>
    <t>http://www.mapion.co.jp/news/release/dn0000161078-all/</t>
  </si>
  <si>
    <t>二人の仲深まる１０のこと　日本ロマンチスト協などが選定―下田 － 伊豆新聞</t>
  </si>
  <si>
    <t>http://izu-np.co.jp/shimoda/news/20171001iz1000000004000c.html</t>
  </si>
  <si>
    <t>2017/10/02</t>
  </si>
  <si>
    <t>2017/10/03</t>
  </si>
  <si>
    <t>「恋する灯台」よりロマンチックに　♡の看板、石垣観光交流協が設置</t>
  </si>
  <si>
    <t>http://www.47news.jp/localnews/okinawa/2017/10/post_20171002193215.html</t>
  </si>
  <si>
    <t>http://www.47news.jp/photo/1732725.php</t>
  </si>
  <si>
    <t>「恋する灯台」よりロマンチックに　♡の看板、石垣観光交流協が設置 = 地域</t>
  </si>
  <si>
    <t>https://news.goo.ne.jp/picture/region/okinawa-104706468.html</t>
  </si>
  <si>
    <t>「恋する灯台」よりロマンチックに　♡の看板、石垣観光交流協が設置 （沖縄タイムス）</t>
  </si>
  <si>
    <t>https://headlines.yahoo.co.jp/hl?a=20171002-00150344-okinawat-oki</t>
  </si>
  <si>
    <t>「恋する灯台」よりロマンチックに　♡の看板、石垣観光交流協が設置(沖縄タイムス)</t>
  </si>
  <si>
    <t>https://news.goo.ne.jp/article/okinawa/region/okinawa-104706468.html</t>
  </si>
  <si>
    <t>「恋する灯台」よりロマンチックに　♡の看板、石垣観光交流協が設置（沖縄タイムス）　【石垣】昨年７月に一般社団法人日本ロマ…</t>
  </si>
  <si>
    <t>http://topics.smt.docomo.ne.jp/article/okinawa/region/okinawa-104706468?fm=latestnews</t>
  </si>
  <si>
    <t>沖縄タイムス</t>
  </si>
  <si>
    <t>｢恋する灯台｣よりロマンチックに　♡の看板、石垣観光交流協が設置</t>
  </si>
  <si>
    <t>http://www.okinawatimes.co.jp/articles/-/150344</t>
  </si>
  <si>
    <t>｢恋する灯台｣よりロマンチックに　♡の看板、石垣観光交流協が設置 [沖縄タイムス＋プラス]</t>
  </si>
  <si>
    <t>http://soonhome.jp/connect/post?id=287528387403252833</t>
  </si>
  <si>
    <t>2017/11/04</t>
  </si>
  <si>
    <t>2017/11/05</t>
  </si>
  <si>
    <t>「恋する灯台」越前岬灯台を一般公開、家族連れらが眺望楽しむ</t>
  </si>
  <si>
    <t>http://news.livedoor.com/article/detail/13844697/</t>
  </si>
  <si>
    <t>https://www.msn.com/ja-jp/news/national/%E3%80%8C%E6%81%8B%E3%81%99%E3%82%8B%E7%81%AF%E5%8F%B0%E3%80%8D%E8%B6%8A%E5%89%8D%E5%B2%AC%E7%81%AF%E5%8F%B0%E3%82%92%E4%B8%80%E8%88%AC%E5%85%AC%E9%96%8B%E3%80%81%E5%AE%B6%E6%97%8F%E9%80%A3%E3%82%8C%E3%82%89%E3%81%8C%E7%9C%BA%E6%9C%9B%E6%A5%BD%E3%81%97%E3%82%80/ar-AAuqmud</t>
  </si>
  <si>
    <t>http://www.sankei.com/west/news/171104/wst1711040031-n1.html</t>
  </si>
  <si>
    <t>「恋する灯台」越前岬灯台を一般公開、家族連れらが眺望楽しむ = 社会</t>
  </si>
  <si>
    <t>https://news.goo.ne.jp/picture/nation/sankei-wst1711040031.html</t>
  </si>
  <si>
    <t>「恋する灯台」越前岬灯台を一般公開、家族連れらが眺望楽しむ(産経新聞)</t>
  </si>
  <si>
    <t>https://news.goo.ne.jp/article/sankei/nation/sankei-wst1711040031.html</t>
  </si>
  <si>
    <t>「恋する灯台」越前岬灯台を一般公開、家族連れらが眺望楽しむ（産経新聞）　「灯台記念日」（１日）に合わせて、越前…</t>
  </si>
  <si>
    <t>http://topics.smt.docomo.ne.jp/article/sankei/nation/sankei-wst1711040031?fm=latestnews</t>
  </si>
  <si>
    <t>大学times</t>
  </si>
  <si>
    <t>全国から集結した『恋する灯台サミット』開催！自治体同士が広域的に連携できるプラットフォームづくりを提案</t>
  </si>
  <si>
    <t>http://times.sanpou-s.net/detail/pid-33/</t>
  </si>
  <si>
    <t>2017/11/03</t>
  </si>
  <si>
    <t>「恋する灯台サミット」開催</t>
  </si>
  <si>
    <t>http://www.jrt.co.jp/nnn/news8789105.html</t>
  </si>
  <si>
    <t>http://www.kkt.jp/news/nnn/news8789105.html</t>
  </si>
  <si>
    <t>http://kry.co.jp/news/news8789105.html</t>
  </si>
  <si>
    <t>http://www.kyt-tv.com/nnn/news8789105.html</t>
  </si>
  <si>
    <t>http://www.nib.jp/nnn/news8789105.html</t>
  </si>
  <si>
    <t>TeNY</t>
  </si>
  <si>
    <t>http://www.teny.co.jp/nnn/news8789105.html</t>
  </si>
  <si>
    <t>http://www.ybc.co.jp/nnn/news8789105.html</t>
  </si>
  <si>
    <t>http://www.tsb.jp/news/nnn/news8789105.html</t>
  </si>
  <si>
    <t>http://www.rnb.co.jp/nnn/news8789105.html</t>
  </si>
  <si>
    <t>http://www.htv.jp/nnn/news8789105.html</t>
  </si>
  <si>
    <t>http://www.nkt-tv.co.jp/pc-news/news8789105.html</t>
  </si>
  <si>
    <t>http://www.fct.co.jp/nnn_news/news8789105.html</t>
  </si>
  <si>
    <t>「恋する灯台サミット」開催（愛媛県）</t>
  </si>
  <si>
    <t>http://www.news24.jp/nnn/news8789105.html</t>
  </si>
  <si>
    <t>https://news.biglobe.ne.jp/economy/1103/atp_171103_1253704919.html</t>
  </si>
  <si>
    <t>http://www.kigyou-sns.com/press/press_239592/</t>
  </si>
  <si>
    <t>全国から集結した『恋する灯台サミット』開催！自治体同士が広域的に連携できるプラットフォームづくりを提案 日本財団一般社団法人日本ロマンチスト協会</t>
  </si>
  <si>
    <t>http://www.biz-hacks.com/pressrelease/?id=71960</t>
  </si>
  <si>
    <t>全国から集結した『恋する灯台サミット』開催！自治体同士が広域的に連携できるプラットフォームづくりを提案 日本財団一般社団法人日本ロマンチスト協会 </t>
  </si>
  <si>
    <t>http://www.bizloop.jp/release/AT141938/</t>
  </si>
  <si>
    <t>2017/11/02</t>
  </si>
  <si>
    <t>全国から集結した『恋する灯台サミット』開催！ 自治体同士が広域的に連携できるプラットフォームづくりを提案</t>
  </si>
  <si>
    <t>http://www.asahi.com/and_M/information/pressrelease/CATP2017141938.html</t>
  </si>
  <si>
    <t>https://business.nifty.com/cs/catalog/business_release/catalog_atp141938_1.htm</t>
  </si>
  <si>
    <t>https://news.infoseek.co.jp/article/atpress_141938/</t>
  </si>
  <si>
    <t>https://markezine.jp/release/detail/815305</t>
  </si>
  <si>
    <t>https://news.nplus-inc.co.jp/index.php?action=ViewDetail&amp;number=401099</t>
  </si>
  <si>
    <t>http://www.sankeibiz.jp/business/news/171102/prl1711021808169-n1.htm</t>
  </si>
  <si>
    <t>http://www.sanspo.com/geino/news/20171102/prl17110218080150-n1.html</t>
  </si>
  <si>
    <t>http://www.seotools.jp/news/id_at_141938.html</t>
  </si>
  <si>
    <t>http://www.zakzak.co.jp/eco/news/171102/prl1711020150-n1.html</t>
  </si>
  <si>
    <t>https://resemom.jp/feature/newsrelease/atpress/press_detail.html?pr_id=141938&amp;charset=UTF-8</t>
  </si>
  <si>
    <t>http://www.topsalesman.net/press/index.php?id=151258</t>
  </si>
  <si>
    <t>http://www.topics.or.jp/press/news/2017/11/Atpress141938.html</t>
  </si>
  <si>
    <t>http://www.zaikei.co.jp/releases/548434/</t>
  </si>
  <si>
    <t>全国から集結した『恋する灯台サミット』開催！自治体同士が広域的に連携できるプラットフォームづくりを提案 (プレスリリース)</t>
  </si>
  <si>
    <t>http://www.excite.co.jp/News/release/20171102/Atpress_141938.html</t>
  </si>
  <si>
    <t>全国から集結した『恋する灯台サミット』開催！自治体同士が広域的に連携できるプラットフォームづくりを提案 </t>
  </si>
  <si>
    <t>http://home.kingsoft.jp/news/pr/atpress/141938.html</t>
  </si>
  <si>
    <t>全国から集結した『恋する灯台サミット』開催！自治体同士が広域的に連携できるプラットフォームづくりを提案 – とれまがニュース</t>
  </si>
  <si>
    <t>http://news.toremaga.com/nation/eco/1030845.html</t>
  </si>
  <si>
    <t>LIVE HOUSE.COM</t>
  </si>
  <si>
    <t>全国から集結した『恋する灯台サミット』開催！自治体同士が広域的に連携できるプラットフォームづくりを提案日本財団一般社団法人日本ロマンチスト協会 音楽ニュース livehouse.com ライブハウス ドットコム</t>
  </si>
  <si>
    <t>http://www.livehouse.com/live/newspin/key/141938/</t>
  </si>
  <si>
    <t>全国から集結した『恋する灯台サミット』開催！自治体同士が広域的に連携できるプラットフォームづくりを提案：マピオンニュース</t>
  </si>
  <si>
    <t>http://www.mapion.co.jp/news/release/ap141938-all/</t>
  </si>
  <si>
    <t>婚活お役立ちニュース</t>
  </si>
  <si>
    <t>宮崎男子に会いに行こう♡「宮崎の自然とグルメを楽しむ婚活バスツアー」　＊11月26日締切＊</t>
  </si>
  <si>
    <t>http://marriage-blog.info/27948.html</t>
  </si>
  <si>
    <t>恋する灯台、どう生かす　東京で事例報告会 （愛媛新聞ONLINE）</t>
  </si>
  <si>
    <t>https://headlines.yahoo.co.jp/hl?a=20171102-02407301-ehime-l38</t>
  </si>
  <si>
    <t>恋する灯台、どう生かす　東京で事例報告会　観光資源化へ</t>
  </si>
  <si>
    <t>http://www.47news.jp/localnews/ehime/2017/11/post_20171102172150.html</t>
  </si>
  <si>
    <t>恋する灯台、どう生かす　東京で事例報告会　観光資源化へ(愛媛新聞ONLINE)</t>
  </si>
  <si>
    <t>https://news.goo.ne.jp/article/ehimenp/region/ehimenp-news201711024073.html</t>
  </si>
  <si>
    <t>恋する灯台、どう生かす　東京で事例報告会　観光資源化へ（愛媛新聞ONLINE）　愛媛県松山市の釣島灯台や伊方町の佐田岬…</t>
  </si>
  <si>
    <t>http://topics.smt.docomo.ne.jp/article/ehimenp/region/ehimenp-news201711024073?fm=latestnews</t>
  </si>
  <si>
    <t>観光資源化へ　東京で各地事例報告会</t>
  </si>
  <si>
    <t>https://www.ehime-np.co.jp/article/news201711024073</t>
  </si>
  <si>
    <t xml:space="preserve">掲載日
</t>
    <phoneticPr fontId="1" type="noConversion"/>
  </si>
  <si>
    <t xml:space="preserve">媒体名
</t>
    <phoneticPr fontId="1" type="noConversion"/>
  </si>
  <si>
    <t xml:space="preserve">記事タイトル
</t>
    <phoneticPr fontId="1" type="noConversion"/>
  </si>
  <si>
    <t xml:space="preserve">URL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</si>
</sst>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#,##0_ "/>
  </numFmts>
  <fonts count="8" x14ac:knownFonts="1">
    <font>
      <sz val="11"/>
      <color theme="1"/>
      <name val="ＭＳ Ｐゴシック"/>
      <family val="2"/>
      <scheme val="minor"/>
    </font>
    <font>
      <sz val="8"/>
      <name val="Calibri"/>
      <family val="2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1"/>
      <color theme="6" tint="-0.24997711111789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E38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4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0" xfId="0" applyNumberFormat="1" applyFill="1"/>
    <xf numFmtId="49" fontId="0" fillId="0" borderId="0" xfId="0" applyNumberFormat="1"/>
    <xf numFmtId="0" fontId="0" fillId="0" borderId="0" xfId="0" applyNumberFormat="1" applyAlignment="1">
      <alignment vertical="center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3" fillId="6" borderId="1" xfId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E389"/>
      <color rgb="FFFFE3B9"/>
      <color rgb="FFFF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showGridLines="0" tabSelected="1" zoomScale="75" zoomScaleNormal="75" workbookViewId="0">
      <pane ySplit="4" topLeftCell="A5" activePane="bottomLeft" state="frozen"/>
      <selection pane="bottomLeft" activeCell="A5" sqref="A5"/>
    </sheetView>
  </sheetViews>
  <sheetFormatPr defaultColWidth="11" defaultRowHeight="13.5" x14ac:dyDescent="0.15"/>
  <cols>
    <col min="1" max="2" width="11.75" customWidth="1"/>
    <col min="3" max="3" width="29" customWidth="1"/>
    <col min="4" max="4" width="47.25" customWidth="1"/>
    <col min="5" max="6" width="8.75" customWidth="1"/>
    <col min="7" max="12" width="11" customWidth="1"/>
  </cols>
  <sheetData>
    <row r="1" spans="1:11" s="3" customFormat="1" ht="36" customHeight="1" x14ac:dyDescent="0.15">
      <c r="A1" s="2" t="s">
        <v>1</v>
      </c>
      <c r="B1" s="27" t="s">
        <v>9</v>
      </c>
      <c r="C1" s="27"/>
      <c r="D1" s="28"/>
    </row>
    <row r="2" spans="1:11" s="3" customFormat="1" ht="36" customHeight="1" x14ac:dyDescent="0.15">
      <c r="A2" s="14" t="s">
        <v>8</v>
      </c>
      <c r="B2" s="29">
        <v>131</v>
      </c>
      <c r="C2" s="29"/>
      <c r="D2" s="28"/>
    </row>
    <row r="3" spans="1:11" s="3" customFormat="1" ht="36" customHeight="1" x14ac:dyDescent="0.15"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262</v>
      </c>
      <c r="B4" s="5" t="s">
        <v>6</v>
      </c>
      <c r="C4" s="5" t="s">
        <v>263</v>
      </c>
      <c r="D4" s="21" t="s">
        <v>264</v>
      </c>
      <c r="E4" s="30" t="s">
        <v>265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8" t="s">
        <v>266</v>
      </c>
      <c r="B5" s="8" t="s">
        <v>267</v>
      </c>
      <c r="C5" s="6" t="s">
        <v>268</v>
      </c>
      <c r="D5" s="6" t="s">
        <v>269</v>
      </c>
      <c r="E5" s="6" t="s">
        <v>270</v>
      </c>
      <c r="F5" s="7" t="str">
        <f>HYPERLINK("http://www.47news.jp/localnews/miyazaki/2017/06/post_20170628113400.html","URLを開く")</f>
        <v>URLを開く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</row>
    <row r="6" spans="1:11" x14ac:dyDescent="0.15">
      <c r="A6" s="8" t="s">
        <v>266</v>
      </c>
      <c r="B6" s="8" t="s">
        <v>267</v>
      </c>
      <c r="C6" s="6" t="s">
        <v>271</v>
      </c>
      <c r="D6" s="6" t="s">
        <v>269</v>
      </c>
      <c r="E6" s="6" t="s">
        <v>272</v>
      </c>
      <c r="F6" s="7" t="str">
        <f>HYPERLINK("http://www.the-miyanichi.co.jp/kennai/_26629.html","URLを開く")</f>
        <v>URLを開く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</row>
    <row r="7" spans="1:11" x14ac:dyDescent="0.15">
      <c r="A7" s="8" t="s">
        <v>266</v>
      </c>
      <c r="B7" s="8" t="s">
        <v>267</v>
      </c>
      <c r="C7" s="6" t="s">
        <v>273</v>
      </c>
      <c r="D7" s="6" t="s">
        <v>274</v>
      </c>
      <c r="E7" s="6" t="s">
        <v>275</v>
      </c>
      <c r="F7" s="7" t="str">
        <f>HYPERLINK("http://soonhome.jp/connect/post?id=252447456471401975","URLを開く")</f>
        <v>URLを開く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</row>
    <row r="8" spans="1:11" x14ac:dyDescent="0.15">
      <c r="A8" s="8" t="s">
        <v>266</v>
      </c>
      <c r="B8" s="8" t="s">
        <v>267</v>
      </c>
      <c r="C8" s="6" t="s">
        <v>182</v>
      </c>
      <c r="D8" s="6" t="s">
        <v>276</v>
      </c>
      <c r="E8" s="6" t="s">
        <v>277</v>
      </c>
      <c r="F8" s="7" t="str">
        <f>HYPERLINK("https://headlines.yahoo.co.jp/hl?a=20170628-00010348-miyazaki-l45","URLを開く")</f>
        <v>URLを開く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</row>
    <row r="9" spans="1:11" x14ac:dyDescent="0.15">
      <c r="A9" s="8" t="s">
        <v>266</v>
      </c>
      <c r="B9" s="8" t="s">
        <v>267</v>
      </c>
      <c r="C9" s="6" t="s">
        <v>80</v>
      </c>
      <c r="D9" s="6" t="s">
        <v>278</v>
      </c>
      <c r="E9" s="6" t="s">
        <v>279</v>
      </c>
      <c r="F9" s="7" t="str">
        <f>HYPERLINK("http://www.yomiuri.co.jp/local/miyazaki/news/20170627-OYTNT50282.html","URLを開く")</f>
        <v>URLを開く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</row>
    <row r="10" spans="1:11" x14ac:dyDescent="0.15">
      <c r="A10" s="8" t="s">
        <v>266</v>
      </c>
      <c r="B10" s="8" t="s">
        <v>267</v>
      </c>
      <c r="C10" s="6" t="s">
        <v>280</v>
      </c>
      <c r="D10" s="6" t="s">
        <v>281</v>
      </c>
      <c r="E10" s="6" t="s">
        <v>282</v>
      </c>
      <c r="F10" s="7" t="str">
        <f>HYPERLINK("https://mainichi.jp/articles/20170628/ddl/k45/040/269000c","URLを開く")</f>
        <v>URLを開く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</row>
    <row r="11" spans="1:11" x14ac:dyDescent="0.15">
      <c r="A11" s="8" t="s">
        <v>266</v>
      </c>
      <c r="B11" s="8" t="s">
        <v>267</v>
      </c>
      <c r="C11" s="6" t="s">
        <v>283</v>
      </c>
      <c r="D11" s="6" t="s">
        <v>284</v>
      </c>
      <c r="E11" s="6" t="s">
        <v>285</v>
      </c>
      <c r="F11" s="7" t="str">
        <f>HYPERLINK("https://news.goo.ne.jp/article/mainichi_region/region/mainichi_region-20170628ddlk45040269000c.html","URLを開く")</f>
        <v>URLを開く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</row>
    <row r="12" spans="1:11" x14ac:dyDescent="0.15">
      <c r="A12" s="8" t="s">
        <v>266</v>
      </c>
      <c r="B12" s="8" t="s">
        <v>267</v>
      </c>
      <c r="C12" s="6" t="s">
        <v>286</v>
      </c>
      <c r="D12" s="6" t="s">
        <v>287</v>
      </c>
      <c r="E12" s="6" t="s">
        <v>288</v>
      </c>
      <c r="F12" s="7" t="str">
        <f>HYPERLINK("http://topics.smt.docomo.ne.jp/article/mainichi_region/region/mainichi_region-20170628ddlk45040269000c?fm=latestnews","URLを開く")</f>
        <v>URLを開く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</row>
    <row r="13" spans="1:11" x14ac:dyDescent="0.15">
      <c r="A13" s="8" t="s">
        <v>289</v>
      </c>
      <c r="B13" s="8" t="s">
        <v>290</v>
      </c>
      <c r="C13" s="6" t="s">
        <v>17</v>
      </c>
      <c r="D13" s="6" t="s">
        <v>18</v>
      </c>
      <c r="E13" s="6" t="s">
        <v>291</v>
      </c>
      <c r="F13" s="7" t="str">
        <f>HYPERLINK("http://www.yukan-daily.co.jp/news.php?id=66592","URLを開く")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292</v>
      </c>
      <c r="B14" s="8" t="s">
        <v>293</v>
      </c>
      <c r="C14" s="6" t="s">
        <v>294</v>
      </c>
      <c r="D14" s="6" t="s">
        <v>295</v>
      </c>
      <c r="E14" s="6" t="s">
        <v>296</v>
      </c>
      <c r="F14" s="7" t="str">
        <f>HYPERLINK("http://30min.jp/release/prtimes/detail/41158","URLを開く")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292</v>
      </c>
      <c r="B15" s="8" t="s">
        <v>293</v>
      </c>
      <c r="C15" s="6" t="s">
        <v>40</v>
      </c>
      <c r="D15" s="6" t="s">
        <v>295</v>
      </c>
      <c r="E15" s="6" t="s">
        <v>297</v>
      </c>
      <c r="F15" s="7" t="str">
        <f>HYPERLINK("https://business.nifty.com/cs/catalog/business_release/catalog_prt000000046000017744_1.htm","URLを開く")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292</v>
      </c>
      <c r="B16" s="8" t="s">
        <v>293</v>
      </c>
      <c r="C16" s="6" t="s">
        <v>298</v>
      </c>
      <c r="D16" s="6" t="s">
        <v>295</v>
      </c>
      <c r="E16" s="6" t="s">
        <v>299</v>
      </c>
      <c r="F16" s="7" t="str">
        <f>HYPERLINK("http://best-times.jp/ud/pressrelease_besttimes/594cc12d7765615c0b010000","URLを開く")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292</v>
      </c>
      <c r="B17" s="8" t="s">
        <v>293</v>
      </c>
      <c r="C17" s="6" t="s">
        <v>43</v>
      </c>
      <c r="D17" s="6" t="s">
        <v>295</v>
      </c>
      <c r="E17" s="6" t="s">
        <v>300</v>
      </c>
      <c r="F17" s="7" t="str">
        <f>HYPERLINK("https://news.biglobe.ne.jp/economy/0623/prt_170623_5089527240.html","URLを開く")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292</v>
      </c>
      <c r="B18" s="8" t="s">
        <v>293</v>
      </c>
      <c r="C18" s="6" t="s">
        <v>301</v>
      </c>
      <c r="D18" s="6" t="s">
        <v>295</v>
      </c>
      <c r="E18" s="6" t="s">
        <v>302</v>
      </c>
      <c r="F18" s="7" t="str">
        <f>HYPERLINK("http://crea.bunshun.jp/ud/pressrelease/594cbffcb31ac9697b000002","URLを開く")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292</v>
      </c>
      <c r="B19" s="8" t="s">
        <v>293</v>
      </c>
      <c r="C19" s="6" t="s">
        <v>303</v>
      </c>
      <c r="D19" s="6" t="s">
        <v>295</v>
      </c>
      <c r="E19" s="6" t="s">
        <v>304</v>
      </c>
      <c r="F19" s="7" t="str">
        <f>HYPERLINK("http://beauty.oricon.co.jp/pressrelease/170691/","URLを開く")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292</v>
      </c>
      <c r="B20" s="8" t="s">
        <v>293</v>
      </c>
      <c r="C20" s="6" t="s">
        <v>48</v>
      </c>
      <c r="D20" s="6" t="s">
        <v>295</v>
      </c>
      <c r="E20" s="6" t="s">
        <v>305</v>
      </c>
      <c r="F20" s="7" t="str">
        <f>HYPERLINK("https://news.infoseek.co.jp/article/prtimes_000000046_000017744/","URLを開く")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292</v>
      </c>
      <c r="B21" s="8" t="s">
        <v>293</v>
      </c>
      <c r="C21" s="6" t="s">
        <v>306</v>
      </c>
      <c r="D21" s="6" t="s">
        <v>295</v>
      </c>
      <c r="E21" s="6" t="s">
        <v>307</v>
      </c>
      <c r="F21" s="7" t="str">
        <f>HYPERLINK("http://jbpress.ismedia.jp/ud/pressrelease/594cce19b31ac925ee000011","URLを開く")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292</v>
      </c>
      <c r="B22" s="8" t="s">
        <v>293</v>
      </c>
      <c r="C22" s="6" t="s">
        <v>308</v>
      </c>
      <c r="D22" s="6" t="s">
        <v>295</v>
      </c>
      <c r="E22" s="6" t="s">
        <v>309</v>
      </c>
      <c r="F22" s="7" t="str">
        <f>HYPERLINK("http://joshiplus.jp/pressrelease/170651/","URLを開く")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292</v>
      </c>
      <c r="B23" s="8" t="s">
        <v>293</v>
      </c>
      <c r="C23" s="6" t="s">
        <v>310</v>
      </c>
      <c r="D23" s="6" t="s">
        <v>295</v>
      </c>
      <c r="E23" s="6" t="s">
        <v>311</v>
      </c>
      <c r="F23" s="7" t="str">
        <f>HYPERLINK("http://okguide.okwave.jp/cafe/2631074","URLを開く")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292</v>
      </c>
      <c r="B24" s="8" t="s">
        <v>293</v>
      </c>
      <c r="C24" s="6" t="s">
        <v>28</v>
      </c>
      <c r="D24" s="6" t="s">
        <v>295</v>
      </c>
      <c r="E24" s="6" t="s">
        <v>312</v>
      </c>
      <c r="F24" s="7" t="str">
        <f>HYPERLINK("http://www.oricon.co.jp/pressrelease/170637/","URLを開く")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292</v>
      </c>
      <c r="B25" s="8" t="s">
        <v>293</v>
      </c>
      <c r="C25" s="6" t="s">
        <v>313</v>
      </c>
      <c r="D25" s="6" t="s">
        <v>295</v>
      </c>
      <c r="E25" s="6" t="s">
        <v>314</v>
      </c>
      <c r="F25" s="7" t="str">
        <f>HYPERLINK("http://president.jp/ud/pressrelease/594cce2a776561352a100000","URLを開く")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292</v>
      </c>
      <c r="B26" s="8" t="s">
        <v>293</v>
      </c>
      <c r="C26" s="6" t="s">
        <v>37</v>
      </c>
      <c r="D26" s="6" t="s">
        <v>295</v>
      </c>
      <c r="E26" s="6" t="s">
        <v>315</v>
      </c>
      <c r="F26" s="7" t="str">
        <f>HYPERLINK("http://www.seotools.jp/news/id_000000046.000017744.html","URLを開く")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292</v>
      </c>
      <c r="B27" s="8" t="s">
        <v>293</v>
      </c>
      <c r="C27" s="6" t="s">
        <v>316</v>
      </c>
      <c r="D27" s="6" t="s">
        <v>295</v>
      </c>
      <c r="E27" s="6" t="s">
        <v>317</v>
      </c>
      <c r="F27" s="7" t="str">
        <f>HYPERLINK("http://straightpress.jp/company_news/detail?pr=000000046.000017744","URLを開く")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292</v>
      </c>
      <c r="B28" s="8" t="s">
        <v>293</v>
      </c>
      <c r="C28" s="6" t="s">
        <v>318</v>
      </c>
      <c r="D28" s="6" t="s">
        <v>295</v>
      </c>
      <c r="E28" s="6" t="s">
        <v>319</v>
      </c>
      <c r="F28" s="7" t="str">
        <f>HYPERLINK("http://release.traicy.com/archives/2017062350205.html","URLを開く")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292</v>
      </c>
      <c r="B29" s="8" t="s">
        <v>293</v>
      </c>
      <c r="C29" s="6" t="s">
        <v>320</v>
      </c>
      <c r="D29" s="6" t="s">
        <v>295</v>
      </c>
      <c r="E29" s="6" t="s">
        <v>321</v>
      </c>
      <c r="F29" s="7" t="str">
        <f>HYPERLINK("http://news.jorudan.co.jp/docs/news/detail.cgi?newsid=PT000046A000017744","URLを開く")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292</v>
      </c>
      <c r="B30" s="8" t="s">
        <v>293</v>
      </c>
      <c r="C30" s="6" t="s">
        <v>322</v>
      </c>
      <c r="D30" s="6" t="s">
        <v>295</v>
      </c>
      <c r="E30" s="6" t="s">
        <v>323</v>
      </c>
      <c r="F30" s="7" t="str">
        <f>HYPERLINK("http://diamond.jp/ud/pressrelease/594ccf487765618f8a100000","URLを開く")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292</v>
      </c>
      <c r="B31" s="8" t="s">
        <v>293</v>
      </c>
      <c r="C31" s="6" t="s">
        <v>324</v>
      </c>
      <c r="D31" s="6" t="s">
        <v>295</v>
      </c>
      <c r="E31" s="6" t="s">
        <v>325</v>
      </c>
      <c r="F31" s="7" t="str">
        <f>HYPERLINK("http://www.jiji.com/jc/article?g=prt&amp;k=000000046.000017744","URLを開く")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292</v>
      </c>
      <c r="B32" s="8" t="s">
        <v>293</v>
      </c>
      <c r="C32" s="6" t="s">
        <v>60</v>
      </c>
      <c r="D32" s="6" t="s">
        <v>295</v>
      </c>
      <c r="E32" s="6" t="s">
        <v>326</v>
      </c>
      <c r="F32" s="7" t="str">
        <f>HYPERLINK("http://www.asahi.com/and_M/information/pressrelease/CPRT201738950.html","URLを開く")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292</v>
      </c>
      <c r="B33" s="8" t="s">
        <v>293</v>
      </c>
      <c r="C33" s="6" t="s">
        <v>327</v>
      </c>
      <c r="D33" s="6" t="s">
        <v>295</v>
      </c>
      <c r="E33" s="6" t="s">
        <v>328</v>
      </c>
      <c r="F33" s="7" t="str">
        <f>HYPERLINK("http://toyokeizai.net/ud/pressrelease/594cce747765614f30100000","URLを開く")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292</v>
      </c>
      <c r="B34" s="8" t="s">
        <v>293</v>
      </c>
      <c r="C34" s="6" t="s">
        <v>329</v>
      </c>
      <c r="D34" s="6" t="s">
        <v>295</v>
      </c>
      <c r="E34" s="6" t="s">
        <v>330</v>
      </c>
      <c r="F34" s="7" t="str">
        <f>HYPERLINK("http://gendai.ismedia.jp/ud/pressrelease/594ccec577656166b7100000","URLを開く")</f>
        <v>URLを開く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292</v>
      </c>
      <c r="B35" s="8" t="s">
        <v>293</v>
      </c>
      <c r="C35" s="6" t="s">
        <v>331</v>
      </c>
      <c r="D35" s="6" t="s">
        <v>295</v>
      </c>
      <c r="E35" s="6" t="s">
        <v>332</v>
      </c>
      <c r="F35" s="7" t="str">
        <f>HYPERLINK("http://www.sankei.com/economy/news/170623/prl1706230282-n1.html","URLを開く")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292</v>
      </c>
      <c r="B36" s="8" t="s">
        <v>293</v>
      </c>
      <c r="C36" s="6" t="s">
        <v>333</v>
      </c>
      <c r="D36" s="6" t="s">
        <v>295</v>
      </c>
      <c r="E36" s="6" t="s">
        <v>334</v>
      </c>
      <c r="F36" s="7" t="str">
        <f>HYPERLINK("http://www.zaikei.co.jp/releases/494631/","URLを開く")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292</v>
      </c>
      <c r="B37" s="8" t="s">
        <v>293</v>
      </c>
      <c r="C37" s="6" t="s">
        <v>64</v>
      </c>
      <c r="D37" s="6" t="s">
        <v>335</v>
      </c>
      <c r="E37" s="6" t="s">
        <v>336</v>
      </c>
      <c r="F37" s="7" t="str">
        <f>HYPERLINK("http://www.excite.co.jp/News/release/20170623/Prtimes_2017-06-23-17744-46.html","URLを開く")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</row>
    <row r="38" spans="1:11" x14ac:dyDescent="0.15">
      <c r="A38" s="8" t="s">
        <v>292</v>
      </c>
      <c r="B38" s="8" t="s">
        <v>293</v>
      </c>
      <c r="C38" s="6" t="s">
        <v>50</v>
      </c>
      <c r="D38" s="6" t="s">
        <v>337</v>
      </c>
      <c r="E38" s="6" t="s">
        <v>338</v>
      </c>
      <c r="F38" s="7" t="str">
        <f>HYPERLINK("http://markezine.jp/release/detail/759566","URLを開く")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292</v>
      </c>
      <c r="B39" s="8" t="s">
        <v>293</v>
      </c>
      <c r="C39" s="6" t="s">
        <v>80</v>
      </c>
      <c r="D39" s="6" t="s">
        <v>339</v>
      </c>
      <c r="E39" s="6" t="s">
        <v>340</v>
      </c>
      <c r="F39" s="7" t="str">
        <f>HYPERLINK("http://www.yomiuri.co.jp/adv/economy/release/detail/00304297.html","URLを開く")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292</v>
      </c>
      <c r="B40" s="8" t="s">
        <v>293</v>
      </c>
      <c r="C40" s="6" t="s">
        <v>341</v>
      </c>
      <c r="D40" s="6" t="s">
        <v>342</v>
      </c>
      <c r="E40" s="6" t="s">
        <v>343</v>
      </c>
      <c r="F40" s="7" t="str">
        <f>HYPERLINK("https://dime.jp/company_news/detail/?pr=230551","URLを開く")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292</v>
      </c>
      <c r="B41" s="8" t="s">
        <v>293</v>
      </c>
      <c r="C41" s="6" t="s">
        <v>344</v>
      </c>
      <c r="D41" s="6" t="s">
        <v>345</v>
      </c>
      <c r="E41" s="6" t="s">
        <v>346</v>
      </c>
      <c r="F41" s="7" t="str">
        <f>HYPERLINK("http://news.cube-soft.jp/prtimes/archive.php?id=179056","URLを開く")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292</v>
      </c>
      <c r="B42" s="8" t="s">
        <v>293</v>
      </c>
      <c r="C42" s="6" t="s">
        <v>70</v>
      </c>
      <c r="D42" s="6" t="s">
        <v>347</v>
      </c>
      <c r="E42" s="6" t="s">
        <v>348</v>
      </c>
      <c r="F42" s="7" t="str">
        <f>HYPERLINK("http://news.toremaga.com/release/others/962848.html","URLを開く")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292</v>
      </c>
      <c r="B43" s="8" t="s">
        <v>293</v>
      </c>
      <c r="C43" s="6" t="s">
        <v>349</v>
      </c>
      <c r="D43" s="6" t="s">
        <v>350</v>
      </c>
      <c r="E43" s="6" t="s">
        <v>351</v>
      </c>
      <c r="F43" s="7" t="str">
        <f>HYPERLINK("http://www.iza.ne.jp/kiji/pressrelease/news/170623/prl17062316440282-n1.html","URLを開く")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292</v>
      </c>
      <c r="B44" s="8" t="s">
        <v>293</v>
      </c>
      <c r="C44" s="6" t="s">
        <v>73</v>
      </c>
      <c r="D44" s="6" t="s">
        <v>352</v>
      </c>
      <c r="E44" s="6" t="s">
        <v>353</v>
      </c>
      <c r="F44" s="7" t="str">
        <f>HYPERLINK("http://www.mapion.co.jp/news/release/000000046.000017744-all/","URLを開く")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354</v>
      </c>
      <c r="B45" s="8" t="s">
        <v>355</v>
      </c>
      <c r="C45" s="6" t="s">
        <v>23</v>
      </c>
      <c r="D45" s="6" t="s">
        <v>356</v>
      </c>
      <c r="E45" s="6" t="s">
        <v>357</v>
      </c>
      <c r="F45" s="7" t="str">
        <f>HYPERLINK("http://www.bizloop.jp/release/DRN0000154565/","URLを開く")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358</v>
      </c>
      <c r="B46" s="8" t="s">
        <v>359</v>
      </c>
      <c r="C46" s="6" t="s">
        <v>40</v>
      </c>
      <c r="D46" s="6" t="s">
        <v>360</v>
      </c>
      <c r="E46" s="6" t="s">
        <v>361</v>
      </c>
      <c r="F46" s="7" t="str">
        <f>HYPERLINK("https://business.nifty.com/cs/catalog/business_release/catalog_drm0000154565_1.htm","URLを開く")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358</v>
      </c>
      <c r="B47" s="8" t="s">
        <v>359</v>
      </c>
      <c r="C47" s="6" t="s">
        <v>43</v>
      </c>
      <c r="D47" s="6" t="s">
        <v>360</v>
      </c>
      <c r="E47" s="6" t="s">
        <v>362</v>
      </c>
      <c r="F47" s="7" t="str">
        <f>HYPERLINK("https://news.biglobe.ne.jp/economy/0619/dre_170619_9118432432.html","URLを開く")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</row>
    <row r="48" spans="1:11" x14ac:dyDescent="0.15">
      <c r="A48" s="8" t="s">
        <v>358</v>
      </c>
      <c r="B48" s="8" t="s">
        <v>359</v>
      </c>
      <c r="C48" s="6" t="s">
        <v>48</v>
      </c>
      <c r="D48" s="6" t="s">
        <v>360</v>
      </c>
      <c r="E48" s="6" t="s">
        <v>363</v>
      </c>
      <c r="F48" s="7" t="str">
        <f>HYPERLINK("https://news.infoseek.co.jp/article/dreamnews_0000154565/","URLを開く")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358</v>
      </c>
      <c r="B49" s="8" t="s">
        <v>359</v>
      </c>
      <c r="C49" s="6" t="s">
        <v>52</v>
      </c>
      <c r="D49" s="6" t="s">
        <v>360</v>
      </c>
      <c r="E49" s="6" t="s">
        <v>364</v>
      </c>
      <c r="F49" s="7" t="str">
        <f>HYPERLINK("http://news.nplus-inc.co.jp/index.php?action=ViewDetail&amp;number=380365","URLを開く")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358</v>
      </c>
      <c r="B50" s="8" t="s">
        <v>359</v>
      </c>
      <c r="C50" s="6" t="s">
        <v>37</v>
      </c>
      <c r="D50" s="6" t="s">
        <v>360</v>
      </c>
      <c r="E50" s="6" t="s">
        <v>365</v>
      </c>
      <c r="F50" s="7" t="str">
        <f>HYPERLINK("http://www.seotools.jp/news/id_0000154565.html","URLを開く")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358</v>
      </c>
      <c r="B51" s="8" t="s">
        <v>359</v>
      </c>
      <c r="C51" s="6" t="s">
        <v>56</v>
      </c>
      <c r="D51" s="6" t="s">
        <v>360</v>
      </c>
      <c r="E51" s="6" t="s">
        <v>366</v>
      </c>
      <c r="F51" s="7" t="str">
        <f>HYPERLINK("http://newsnavi.jp/detail/616956/","URLを開く")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358</v>
      </c>
      <c r="B52" s="8" t="s">
        <v>359</v>
      </c>
      <c r="C52" s="6" t="s">
        <v>194</v>
      </c>
      <c r="D52" s="6" t="s">
        <v>360</v>
      </c>
      <c r="E52" s="6" t="s">
        <v>367</v>
      </c>
      <c r="F52" s="7" t="str">
        <f>HYPERLINK("http://press.fideli.com/d/154565/7","URLを開く")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8" t="s">
        <v>358</v>
      </c>
      <c r="B53" s="8" t="s">
        <v>359</v>
      </c>
      <c r="C53" s="6" t="s">
        <v>194</v>
      </c>
      <c r="D53" s="6" t="s">
        <v>360</v>
      </c>
      <c r="E53" s="6" t="s">
        <v>368</v>
      </c>
      <c r="F53" s="7" t="str">
        <f>HYPERLINK("http://press.fideli.com/d/154565/","URLを開く")</f>
        <v>URLを開く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</row>
    <row r="54" spans="1:11" x14ac:dyDescent="0.15">
      <c r="A54" s="8" t="s">
        <v>358</v>
      </c>
      <c r="B54" s="8" t="s">
        <v>359</v>
      </c>
      <c r="C54" s="6" t="s">
        <v>58</v>
      </c>
      <c r="D54" s="6" t="s">
        <v>360</v>
      </c>
      <c r="E54" s="6" t="s">
        <v>369</v>
      </c>
      <c r="F54" s="7" t="str">
        <f>HYPERLINK("http://www.topics.or.jp/press/news/2017/06/DreamNewsDN0000154565.html","URLを開く")</f>
        <v>URLを開く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</row>
    <row r="55" spans="1:11" x14ac:dyDescent="0.15">
      <c r="A55" s="8" t="s">
        <v>358</v>
      </c>
      <c r="B55" s="8" t="s">
        <v>359</v>
      </c>
      <c r="C55" s="6" t="s">
        <v>60</v>
      </c>
      <c r="D55" s="6" t="s">
        <v>360</v>
      </c>
      <c r="E55" s="6" t="s">
        <v>370</v>
      </c>
      <c r="F55" s="7" t="str">
        <f>HYPERLINK("http://www.asahi.com/and_M/information/pressrelease/Cdpress000154565.html","URLを開く")</f>
        <v>URLを開く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</row>
    <row r="56" spans="1:11" x14ac:dyDescent="0.15">
      <c r="A56" s="8" t="s">
        <v>358</v>
      </c>
      <c r="B56" s="8" t="s">
        <v>359</v>
      </c>
      <c r="C56" s="6" t="s">
        <v>64</v>
      </c>
      <c r="D56" s="6" t="s">
        <v>371</v>
      </c>
      <c r="E56" s="6" t="s">
        <v>372</v>
      </c>
      <c r="F56" s="7" t="str">
        <f>HYPERLINK("http://www.excite.co.jp/News/release/20170619/Dreamnews_0000154565.html","URLを開く")</f>
        <v>URLを開く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</row>
    <row r="57" spans="1:11" x14ac:dyDescent="0.15">
      <c r="A57" s="8" t="s">
        <v>358</v>
      </c>
      <c r="B57" s="8" t="s">
        <v>359</v>
      </c>
      <c r="C57" s="6" t="s">
        <v>50</v>
      </c>
      <c r="D57" s="6" t="s">
        <v>373</v>
      </c>
      <c r="E57" s="6" t="s">
        <v>374</v>
      </c>
      <c r="F57" s="7" t="str">
        <f>HYPERLINK("http://markezine.jp/release/detail/757140","URLを開く")</f>
        <v>URLを開く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</row>
    <row r="58" spans="1:11" x14ac:dyDescent="0.15">
      <c r="A58" s="8" t="s">
        <v>358</v>
      </c>
      <c r="B58" s="8" t="s">
        <v>359</v>
      </c>
      <c r="C58" s="6" t="s">
        <v>67</v>
      </c>
      <c r="D58" s="6" t="s">
        <v>375</v>
      </c>
      <c r="E58" s="6" t="s">
        <v>376</v>
      </c>
      <c r="F58" s="7" t="str">
        <f>HYPERLINK("http://home.kingsoft.jp/news/pr/dreamnews/0000154565.html","URLを開く")</f>
        <v>URLを開く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</row>
    <row r="59" spans="1:11" x14ac:dyDescent="0.15">
      <c r="A59" s="8" t="s">
        <v>358</v>
      </c>
      <c r="B59" s="8" t="s">
        <v>359</v>
      </c>
      <c r="C59" s="6" t="s">
        <v>70</v>
      </c>
      <c r="D59" s="6" t="s">
        <v>377</v>
      </c>
      <c r="E59" s="6" t="s">
        <v>378</v>
      </c>
      <c r="F59" s="7" t="str">
        <f>HYPERLINK("http://news.toremaga.com/release/notice/960323.html","URLを開く")</f>
        <v>URLを開く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</row>
    <row r="60" spans="1:11" x14ac:dyDescent="0.15">
      <c r="A60" s="8" t="s">
        <v>358</v>
      </c>
      <c r="B60" s="8" t="s">
        <v>359</v>
      </c>
      <c r="C60" s="6" t="s">
        <v>70</v>
      </c>
      <c r="D60" s="6" t="s">
        <v>377</v>
      </c>
      <c r="E60" s="6" t="s">
        <v>379</v>
      </c>
      <c r="F60" s="7" t="str">
        <f>HYPERLINK("http://news.toremaga.com/nation/notice/960323.html","URLを開く")</f>
        <v>URLを開く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</row>
    <row r="61" spans="1:11" x14ac:dyDescent="0.15">
      <c r="A61" s="8" t="s">
        <v>358</v>
      </c>
      <c r="B61" s="8" t="s">
        <v>359</v>
      </c>
      <c r="C61" s="6" t="s">
        <v>73</v>
      </c>
      <c r="D61" s="6" t="s">
        <v>380</v>
      </c>
      <c r="E61" s="6" t="s">
        <v>381</v>
      </c>
      <c r="F61" s="7" t="str">
        <f>HYPERLINK("http://www.mapion.co.jp/news/release/dn0000154565-all/","URLを開く")</f>
        <v>URLを開く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</row>
    <row r="62" spans="1:11" x14ac:dyDescent="0.15">
      <c r="A62" s="8" t="s">
        <v>382</v>
      </c>
      <c r="B62" s="8" t="s">
        <v>358</v>
      </c>
      <c r="C62" s="6" t="s">
        <v>383</v>
      </c>
      <c r="D62" s="6" t="s">
        <v>384</v>
      </c>
      <c r="E62" s="6" t="s">
        <v>385</v>
      </c>
      <c r="F62" s="7" t="str">
        <f>HYPERLINK("http://www3.nhk.or.jp/matsuyama-news/20170618/4234421.html","URLを開く")</f>
        <v>URLを開く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</row>
    <row r="63" spans="1:11" x14ac:dyDescent="0.15">
      <c r="A63" s="8" t="s">
        <v>386</v>
      </c>
      <c r="B63" s="8" t="s">
        <v>387</v>
      </c>
      <c r="C63" s="6" t="s">
        <v>388</v>
      </c>
      <c r="D63" s="6" t="s">
        <v>389</v>
      </c>
      <c r="E63" s="6" t="s">
        <v>390</v>
      </c>
      <c r="F63" s="7" t="str">
        <f>HYPERLINK("http://www.fukuishimbun.co.jp/articles/-/203884","URLを開く")</f>
        <v>URLを開く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</row>
    <row r="64" spans="1:11" x14ac:dyDescent="0.15">
      <c r="A64" s="8" t="s">
        <v>386</v>
      </c>
      <c r="B64" s="8" t="s">
        <v>387</v>
      </c>
      <c r="C64" s="6" t="s">
        <v>182</v>
      </c>
      <c r="D64" s="6" t="s">
        <v>391</v>
      </c>
      <c r="E64" s="6" t="s">
        <v>392</v>
      </c>
      <c r="F64" s="7" t="str">
        <f>HYPERLINK("https://headlines.yahoo.co.jp/hl?a=20170610-00010001-fukui-l18","URLを開く")</f>
        <v>URLを開く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</row>
    <row r="65" spans="1:11" x14ac:dyDescent="0.15">
      <c r="A65" s="8" t="s">
        <v>386</v>
      </c>
      <c r="B65" s="8" t="s">
        <v>387</v>
      </c>
      <c r="C65" s="6" t="s">
        <v>283</v>
      </c>
      <c r="D65" s="6" t="s">
        <v>393</v>
      </c>
      <c r="E65" s="6" t="s">
        <v>394</v>
      </c>
      <c r="F65" s="7" t="str">
        <f>HYPERLINK("https://news.goo.ne.jp/article/fukui/region/fukui-20170610102538026.html","URLを開く")</f>
        <v>URLを開く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</row>
    <row r="66" spans="1:11" x14ac:dyDescent="0.15">
      <c r="A66" s="8" t="s">
        <v>386</v>
      </c>
      <c r="B66" s="8" t="s">
        <v>387</v>
      </c>
      <c r="C66" s="6" t="s">
        <v>286</v>
      </c>
      <c r="D66" s="6" t="s">
        <v>395</v>
      </c>
      <c r="E66" s="6" t="s">
        <v>396</v>
      </c>
      <c r="F66" s="7" t="str">
        <f>HYPERLINK("http://topics.smt.docomo.ne.jp/article/fukui/region/fukui-20170610102538026?fm=latestnews","URLを開く")</f>
        <v>URLを開く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</row>
    <row r="67" spans="1:11" x14ac:dyDescent="0.15">
      <c r="A67" s="8" t="s">
        <v>397</v>
      </c>
      <c r="B67" s="8" t="s">
        <v>398</v>
      </c>
      <c r="C67" s="6" t="s">
        <v>331</v>
      </c>
      <c r="D67" s="6" t="s">
        <v>399</v>
      </c>
      <c r="E67" s="6" t="s">
        <v>400</v>
      </c>
      <c r="F67" s="7" t="str">
        <f>HYPERLINK("http://www.sankei.com/region/news/170608/rgn1706080066-n1.html","URLを開く")</f>
        <v>URLを開く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</row>
    <row r="68" spans="1:11" x14ac:dyDescent="0.15">
      <c r="A68" s="8" t="s">
        <v>397</v>
      </c>
      <c r="B68" s="8" t="s">
        <v>398</v>
      </c>
      <c r="C68" s="6" t="s">
        <v>182</v>
      </c>
      <c r="D68" s="6" t="s">
        <v>401</v>
      </c>
      <c r="E68" s="6" t="s">
        <v>402</v>
      </c>
      <c r="F68" s="7" t="str">
        <f>HYPERLINK("https://headlines.yahoo.co.jp/hl?a=20170608-00000061-san-l34","URLを開く")</f>
        <v>URLを開く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</row>
    <row r="69" spans="1:11" x14ac:dyDescent="0.15">
      <c r="A69" s="8" t="s">
        <v>397</v>
      </c>
      <c r="B69" s="8" t="s">
        <v>398</v>
      </c>
      <c r="C69" s="6" t="s">
        <v>403</v>
      </c>
      <c r="D69" s="6" t="s">
        <v>404</v>
      </c>
      <c r="E69" s="6" t="s">
        <v>405</v>
      </c>
      <c r="F69" s="7" t="str">
        <f>HYPERLINK("http://news.livedoor.com/article/detail/13173220/","URLを開く")</f>
        <v>URLを開く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</row>
    <row r="70" spans="1:11" x14ac:dyDescent="0.15">
      <c r="A70" s="8" t="s">
        <v>397</v>
      </c>
      <c r="B70" s="8" t="s">
        <v>398</v>
      </c>
      <c r="C70" s="6" t="s">
        <v>406</v>
      </c>
      <c r="D70" s="6" t="s">
        <v>404</v>
      </c>
      <c r="E70" s="6" t="s">
        <v>407</v>
      </c>
      <c r="F70" s="7" t="str">
        <f>HYPERLINK("http://news.mixi.jp/view_news.pl?id=4610607&amp;media_id=3","URLを開く")</f>
        <v>URLを開く</v>
      </c>
      <c r="G70" s="10" t="s">
        <v>20</v>
      </c>
      <c r="H70" s="10" t="s">
        <v>20</v>
      </c>
      <c r="I70" s="10" t="s">
        <v>20</v>
      </c>
      <c r="J70" s="10" t="s">
        <v>20</v>
      </c>
      <c r="K70" s="10" t="s">
        <v>20</v>
      </c>
    </row>
    <row r="71" spans="1:11" x14ac:dyDescent="0.15">
      <c r="A71" s="8" t="s">
        <v>397</v>
      </c>
      <c r="B71" s="8" t="s">
        <v>398</v>
      </c>
      <c r="C71" s="6" t="s">
        <v>408</v>
      </c>
      <c r="D71" s="6" t="s">
        <v>409</v>
      </c>
      <c r="E71" s="6" t="s">
        <v>410</v>
      </c>
      <c r="F71" s="7" t="str">
        <f>HYPERLINK("http://www.sankeibiz.jp/compliance/news/170608/cpd1706081701009-n1.htm","URLを開く")</f>
        <v>URLを開く</v>
      </c>
      <c r="G71" s="10" t="s">
        <v>20</v>
      </c>
      <c r="H71" s="10" t="s">
        <v>20</v>
      </c>
      <c r="I71" s="10" t="s">
        <v>20</v>
      </c>
      <c r="J71" s="10" t="s">
        <v>20</v>
      </c>
      <c r="K71" s="10" t="s">
        <v>20</v>
      </c>
    </row>
    <row r="72" spans="1:11" x14ac:dyDescent="0.15">
      <c r="A72" s="8" t="s">
        <v>397</v>
      </c>
      <c r="B72" s="8" t="s">
        <v>398</v>
      </c>
      <c r="C72" s="6" t="s">
        <v>283</v>
      </c>
      <c r="D72" s="6" t="s">
        <v>411</v>
      </c>
      <c r="E72" s="6" t="s">
        <v>412</v>
      </c>
      <c r="F72" s="7" t="str">
        <f>HYPERLINK("https://news.goo.ne.jp/picture/nation/sankei-wst1706080026.html","URLを開く")</f>
        <v>URLを開く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</row>
    <row r="73" spans="1:11" x14ac:dyDescent="0.15">
      <c r="A73" s="8" t="s">
        <v>397</v>
      </c>
      <c r="B73" s="8" t="s">
        <v>398</v>
      </c>
      <c r="C73" s="6" t="s">
        <v>283</v>
      </c>
      <c r="D73" s="6" t="s">
        <v>413</v>
      </c>
      <c r="E73" s="6" t="s">
        <v>414</v>
      </c>
      <c r="F73" s="7" t="str">
        <f>HYPERLINK("https://news.goo.ne.jp/article/sankei/nation/sankei-wst1706080026.html","URLを開く")</f>
        <v>URLを開く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</row>
    <row r="74" spans="1:11" x14ac:dyDescent="0.15">
      <c r="A74" s="8" t="s">
        <v>397</v>
      </c>
      <c r="B74" s="8" t="s">
        <v>398</v>
      </c>
      <c r="C74" s="6" t="s">
        <v>331</v>
      </c>
      <c r="D74" s="6" t="s">
        <v>415</v>
      </c>
      <c r="E74" s="6" t="s">
        <v>416</v>
      </c>
      <c r="F74" s="7" t="str">
        <f>HYPERLINK("http://www.sankei.com/west/news/170608/wst1706080026-n1.html","URLを開く")</f>
        <v>URLを開く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</row>
    <row r="75" spans="1:11" x14ac:dyDescent="0.15">
      <c r="A75" s="8" t="s">
        <v>397</v>
      </c>
      <c r="B75" s="8" t="s">
        <v>398</v>
      </c>
      <c r="C75" s="6" t="s">
        <v>286</v>
      </c>
      <c r="D75" s="6" t="s">
        <v>417</v>
      </c>
      <c r="E75" s="6" t="s">
        <v>418</v>
      </c>
      <c r="F75" s="7" t="str">
        <f>HYPERLINK("http://topics.smt.docomo.ne.jp/article/sankei/nation/sankei-wst1706080026?fm=latestnews","URLを開く")</f>
        <v>URLを開く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</row>
    <row r="76" spans="1:11" x14ac:dyDescent="0.15">
      <c r="A76" s="8" t="s">
        <v>419</v>
      </c>
      <c r="B76" s="8" t="s">
        <v>397</v>
      </c>
      <c r="C76" s="6" t="s">
        <v>383</v>
      </c>
      <c r="D76" s="6" t="s">
        <v>420</v>
      </c>
      <c r="E76" s="6" t="s">
        <v>421</v>
      </c>
      <c r="F76" s="7" t="str">
        <f>HYPERLINK("http://www3.nhk.or.jp/lnews/miyazaki/5064038511.html","URLを開く")</f>
        <v>URLを開く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</row>
    <row r="77" spans="1:11" x14ac:dyDescent="0.15">
      <c r="A77" s="8" t="s">
        <v>419</v>
      </c>
      <c r="B77" s="8" t="s">
        <v>397</v>
      </c>
      <c r="C77" s="6" t="s">
        <v>31</v>
      </c>
      <c r="D77" s="6" t="s">
        <v>422</v>
      </c>
      <c r="E77" s="6" t="s">
        <v>423</v>
      </c>
      <c r="F77" s="7" t="str">
        <f>HYPERLINK("https://gunosy.com/articles/aWtlJ","URLを開く")</f>
        <v>URLを開く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</row>
    <row r="78" spans="1:11" x14ac:dyDescent="0.15">
      <c r="A78" s="8" t="s">
        <v>419</v>
      </c>
      <c r="B78" s="8" t="s">
        <v>397</v>
      </c>
      <c r="C78" s="6" t="s">
        <v>80</v>
      </c>
      <c r="D78" s="6" t="s">
        <v>424</v>
      </c>
      <c r="E78" s="6" t="s">
        <v>425</v>
      </c>
      <c r="F78" s="7" t="str">
        <f>HYPERLINK("http://www.yomiuri.co.jp/local/hiroshima/news/20170606-OYTNT50365.html","URLを開く")</f>
        <v>URLを開く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</row>
    <row r="79" spans="1:11" x14ac:dyDescent="0.15">
      <c r="A79" s="8" t="s">
        <v>426</v>
      </c>
      <c r="B79" s="8" t="s">
        <v>419</v>
      </c>
      <c r="C79" s="6" t="s">
        <v>427</v>
      </c>
      <c r="D79" s="6" t="s">
        <v>428</v>
      </c>
      <c r="E79" s="6" t="s">
        <v>429</v>
      </c>
      <c r="F79" s="7" t="str">
        <f>HYPERLINK("http://dd.hokkaido-np.co.jp/news/area/doo/1-0407331.html","URLを開く")</f>
        <v>URLを開く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</row>
    <row r="80" spans="1:11" x14ac:dyDescent="0.15">
      <c r="A80" s="8" t="s">
        <v>426</v>
      </c>
      <c r="B80" s="8" t="s">
        <v>419</v>
      </c>
      <c r="C80" s="6" t="s">
        <v>268</v>
      </c>
      <c r="D80" s="6" t="s">
        <v>430</v>
      </c>
      <c r="E80" s="6" t="s">
        <v>431</v>
      </c>
      <c r="F80" s="7" t="str">
        <f>HYPERLINK("http://www.47news.jp/localnews/hokkaido/2017/06/post_20170606071712.html","URLを開く")</f>
        <v>URLを開く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</row>
    <row r="81" spans="1:11" x14ac:dyDescent="0.15">
      <c r="A81" s="8" t="s">
        <v>426</v>
      </c>
      <c r="B81" s="8" t="s">
        <v>419</v>
      </c>
      <c r="C81" s="6" t="s">
        <v>43</v>
      </c>
      <c r="D81" s="6" t="s">
        <v>430</v>
      </c>
      <c r="E81" s="6" t="s">
        <v>432</v>
      </c>
      <c r="F81" s="7" t="str">
        <f>HYPERLINK("https://news.biglobe.ne.jp/domestic/0606/hkd_170606_3360982125.html","URLを開く")</f>
        <v>URLを開く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</row>
    <row r="82" spans="1:11" x14ac:dyDescent="0.15">
      <c r="A82" s="8" t="s">
        <v>426</v>
      </c>
      <c r="B82" s="8" t="s">
        <v>419</v>
      </c>
      <c r="C82" s="6" t="s">
        <v>273</v>
      </c>
      <c r="D82" s="6" t="s">
        <v>433</v>
      </c>
      <c r="E82" s="6" t="s">
        <v>434</v>
      </c>
      <c r="F82" s="7" t="str">
        <f>HYPERLINK("http://soonhome.jp/connect/post?id=244583718996149754","URLを開く")</f>
        <v>URLを開く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</row>
    <row r="83" spans="1:11" x14ac:dyDescent="0.15">
      <c r="A83" s="8" t="s">
        <v>426</v>
      </c>
      <c r="B83" s="8" t="s">
        <v>419</v>
      </c>
      <c r="C83" s="6" t="s">
        <v>283</v>
      </c>
      <c r="D83" s="6" t="s">
        <v>435</v>
      </c>
      <c r="E83" s="6" t="s">
        <v>436</v>
      </c>
      <c r="F83" s="7" t="str">
        <f>HYPERLINK("https://news.goo.ne.jp/article/hokkaido/region/hokkaido-201706060591.html","URLを開く")</f>
        <v>URLを開く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</row>
    <row r="84" spans="1:11" x14ac:dyDescent="0.15">
      <c r="A84" s="8" t="s">
        <v>426</v>
      </c>
      <c r="B84" s="8" t="s">
        <v>419</v>
      </c>
      <c r="C84" s="6" t="s">
        <v>286</v>
      </c>
      <c r="D84" s="6" t="s">
        <v>437</v>
      </c>
      <c r="E84" s="6" t="s">
        <v>438</v>
      </c>
      <c r="F84" s="7" t="str">
        <f>HYPERLINK("http://topics.smt.docomo.ne.jp/article/hokkaido/region/hokkaido-201706060591?fm=latestnews","URLを開く")</f>
        <v>URLを開く</v>
      </c>
      <c r="G84" s="10" t="s">
        <v>20</v>
      </c>
      <c r="H84" s="10" t="s">
        <v>20</v>
      </c>
      <c r="I84" s="10" t="s">
        <v>20</v>
      </c>
      <c r="J84" s="10" t="s">
        <v>20</v>
      </c>
      <c r="K84" s="10" t="s">
        <v>20</v>
      </c>
    </row>
    <row r="85" spans="1:11" x14ac:dyDescent="0.15">
      <c r="A85" s="8" t="s">
        <v>426</v>
      </c>
      <c r="B85" s="8" t="s">
        <v>419</v>
      </c>
      <c r="C85" s="6" t="s">
        <v>268</v>
      </c>
      <c r="D85" s="6" t="s">
        <v>439</v>
      </c>
      <c r="E85" s="6" t="s">
        <v>440</v>
      </c>
      <c r="F85" s="7" t="str">
        <f>HYPERLINK("http://www.47news.jp/localnews/hukui/2017/06/post_20170606080524.html","URLを開く")</f>
        <v>URLを開く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</row>
    <row r="86" spans="1:11" x14ac:dyDescent="0.15">
      <c r="A86" s="8" t="s">
        <v>426</v>
      </c>
      <c r="B86" s="8" t="s">
        <v>419</v>
      </c>
      <c r="C86" s="6" t="s">
        <v>283</v>
      </c>
      <c r="D86" s="6" t="s">
        <v>441</v>
      </c>
      <c r="E86" s="6" t="s">
        <v>442</v>
      </c>
      <c r="F86" s="7" t="str">
        <f>HYPERLINK("https://news.goo.ne.jp/article/chuplus/region/chuplus-CK2017060602000022.html","URLを開く")</f>
        <v>URLを開く</v>
      </c>
      <c r="G86" s="10" t="s">
        <v>20</v>
      </c>
      <c r="H86" s="10" t="s">
        <v>20</v>
      </c>
      <c r="I86" s="10" t="s">
        <v>20</v>
      </c>
      <c r="J86" s="10" t="s">
        <v>20</v>
      </c>
      <c r="K86" s="10" t="s">
        <v>20</v>
      </c>
    </row>
    <row r="87" spans="1:11" x14ac:dyDescent="0.15">
      <c r="A87" s="8" t="s">
        <v>426</v>
      </c>
      <c r="B87" s="8" t="s">
        <v>419</v>
      </c>
      <c r="C87" s="6" t="s">
        <v>443</v>
      </c>
      <c r="D87" s="6" t="s">
        <v>444</v>
      </c>
      <c r="E87" s="6" t="s">
        <v>445</v>
      </c>
      <c r="F87" s="7" t="str">
        <f>HYPERLINK("http://www.chunichi.co.jp/article/fukui/20170606/CK2017060602000022.html","URLを開く")</f>
        <v>URLを開く</v>
      </c>
      <c r="G87" s="10" t="s">
        <v>20</v>
      </c>
      <c r="H87" s="10" t="s">
        <v>20</v>
      </c>
      <c r="I87" s="10" t="s">
        <v>20</v>
      </c>
      <c r="J87" s="10" t="s">
        <v>20</v>
      </c>
      <c r="K87" s="10" t="s">
        <v>20</v>
      </c>
    </row>
    <row r="88" spans="1:11" x14ac:dyDescent="0.15">
      <c r="A88" s="8" t="s">
        <v>426</v>
      </c>
      <c r="B88" s="8" t="s">
        <v>419</v>
      </c>
      <c r="C88" s="6" t="s">
        <v>286</v>
      </c>
      <c r="D88" s="6" t="s">
        <v>446</v>
      </c>
      <c r="E88" s="6" t="s">
        <v>447</v>
      </c>
      <c r="F88" s="7" t="str">
        <f>HYPERLINK("http://topics.smt.docomo.ne.jp/article/chuplus/region/chuplus-CK2017060602000022?fm=latestnews","URLを開く")</f>
        <v>URLを開く</v>
      </c>
      <c r="G88" s="10" t="s">
        <v>20</v>
      </c>
      <c r="H88" s="10" t="s">
        <v>20</v>
      </c>
      <c r="I88" s="10" t="s">
        <v>20</v>
      </c>
      <c r="J88" s="10" t="s">
        <v>20</v>
      </c>
      <c r="K88" s="10" t="s">
        <v>20</v>
      </c>
    </row>
    <row r="89" spans="1:11" x14ac:dyDescent="0.15">
      <c r="A89" s="8" t="s">
        <v>448</v>
      </c>
      <c r="B89" s="8" t="s">
        <v>426</v>
      </c>
      <c r="C89" s="6" t="s">
        <v>43</v>
      </c>
      <c r="D89" s="6" t="s">
        <v>422</v>
      </c>
      <c r="E89" s="6" t="s">
        <v>449</v>
      </c>
      <c r="F89" s="7" t="str">
        <f>HYPERLINK("https://news.biglobe.ne.jp/domestic/0605/joj_170605_8520507228.html","URLを開く")</f>
        <v>URLを開く</v>
      </c>
      <c r="G89" s="10" t="s">
        <v>20</v>
      </c>
      <c r="H89" s="10" t="s">
        <v>20</v>
      </c>
      <c r="I89" s="10" t="s">
        <v>20</v>
      </c>
      <c r="J89" s="10" t="s">
        <v>20</v>
      </c>
      <c r="K89" s="10" t="s">
        <v>20</v>
      </c>
    </row>
    <row r="90" spans="1:11" x14ac:dyDescent="0.15">
      <c r="A90" s="8" t="s">
        <v>448</v>
      </c>
      <c r="B90" s="8" t="s">
        <v>426</v>
      </c>
      <c r="C90" s="6" t="s">
        <v>64</v>
      </c>
      <c r="D90" s="6" t="s">
        <v>422</v>
      </c>
      <c r="E90" s="6" t="s">
        <v>450</v>
      </c>
      <c r="F90" s="7" t="str">
        <f>HYPERLINK("http://www.excite.co.jp/News/society_clm/20170605/Jisin_29174.html","URLを開く")</f>
        <v>URLを開く</v>
      </c>
      <c r="G90" s="10" t="s">
        <v>20</v>
      </c>
      <c r="H90" s="10" t="s">
        <v>20</v>
      </c>
      <c r="I90" s="10" t="s">
        <v>20</v>
      </c>
      <c r="J90" s="10" t="s">
        <v>20</v>
      </c>
      <c r="K90" s="10" t="s">
        <v>20</v>
      </c>
    </row>
    <row r="91" spans="1:11" x14ac:dyDescent="0.15">
      <c r="A91" s="8" t="s">
        <v>448</v>
      </c>
      <c r="B91" s="8" t="s">
        <v>426</v>
      </c>
      <c r="C91" s="6" t="s">
        <v>48</v>
      </c>
      <c r="D91" s="6" t="s">
        <v>422</v>
      </c>
      <c r="E91" s="6" t="s">
        <v>451</v>
      </c>
      <c r="F91" s="7" t="str">
        <f>HYPERLINK("https://news.infoseek.co.jp/article/joseijishin_d29174/","URLを開く")</f>
        <v>URLを開く</v>
      </c>
      <c r="G91" s="10" t="s">
        <v>20</v>
      </c>
      <c r="H91" s="10" t="s">
        <v>20</v>
      </c>
      <c r="I91" s="10" t="s">
        <v>20</v>
      </c>
      <c r="J91" s="10" t="s">
        <v>20</v>
      </c>
      <c r="K91" s="10" t="s">
        <v>20</v>
      </c>
    </row>
    <row r="92" spans="1:11" x14ac:dyDescent="0.15">
      <c r="A92" s="8" t="s">
        <v>448</v>
      </c>
      <c r="B92" s="8" t="s">
        <v>426</v>
      </c>
      <c r="C92" s="6" t="s">
        <v>403</v>
      </c>
      <c r="D92" s="6" t="s">
        <v>422</v>
      </c>
      <c r="E92" s="6" t="s">
        <v>452</v>
      </c>
      <c r="F92" s="7" t="str">
        <f>HYPERLINK("http://news.livedoor.com/article/detail/13160269/","URLを開く")</f>
        <v>URLを開く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</row>
    <row r="93" spans="1:11" x14ac:dyDescent="0.15">
      <c r="A93" s="8" t="s">
        <v>448</v>
      </c>
      <c r="B93" s="8" t="s">
        <v>426</v>
      </c>
      <c r="C93" s="6" t="s">
        <v>406</v>
      </c>
      <c r="D93" s="6" t="s">
        <v>422</v>
      </c>
      <c r="E93" s="6" t="s">
        <v>453</v>
      </c>
      <c r="F93" s="7" t="str">
        <f>HYPERLINK("http://news.mixi.jp/view_news.pl?id=4605965&amp;media_id=145","URLを開く")</f>
        <v>URLを開く</v>
      </c>
      <c r="G93" s="10" t="s">
        <v>20</v>
      </c>
      <c r="H93" s="10" t="s">
        <v>20</v>
      </c>
      <c r="I93" s="10" t="s">
        <v>20</v>
      </c>
      <c r="J93" s="10" t="s">
        <v>20</v>
      </c>
      <c r="K93" s="10" t="s">
        <v>20</v>
      </c>
    </row>
    <row r="94" spans="1:11" x14ac:dyDescent="0.15">
      <c r="A94" s="8" t="s">
        <v>448</v>
      </c>
      <c r="B94" s="8" t="s">
        <v>426</v>
      </c>
      <c r="C94" s="6" t="s">
        <v>454</v>
      </c>
      <c r="D94" s="6" t="s">
        <v>422</v>
      </c>
      <c r="E94" s="6" t="s">
        <v>455</v>
      </c>
      <c r="F94" s="7" t="str">
        <f>HYPERLINK("https://woman.excite.co.jp/article/lifestyle/rid_Jisin_29174/","URLを開く")</f>
        <v>URLを開く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</row>
    <row r="95" spans="1:11" x14ac:dyDescent="0.15">
      <c r="A95" s="8" t="s">
        <v>448</v>
      </c>
      <c r="B95" s="8" t="s">
        <v>426</v>
      </c>
      <c r="C95" s="6" t="s">
        <v>31</v>
      </c>
      <c r="D95" s="6" t="s">
        <v>422</v>
      </c>
      <c r="E95" s="6" t="s">
        <v>456</v>
      </c>
      <c r="F95" s="7" t="str">
        <f>HYPERLINK("https://gunosy.com/articles/aXuTL","URLを開く")</f>
        <v>URLを開く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</row>
    <row r="96" spans="1:11" x14ac:dyDescent="0.15">
      <c r="A96" s="8" t="s">
        <v>448</v>
      </c>
      <c r="B96" s="8" t="s">
        <v>426</v>
      </c>
      <c r="C96" s="6" t="s">
        <v>182</v>
      </c>
      <c r="D96" s="6" t="s">
        <v>457</v>
      </c>
      <c r="E96" s="6" t="s">
        <v>458</v>
      </c>
      <c r="F96" s="7" t="str">
        <f>HYPERLINK("https://headlines.yahoo.co.jp/article?a=20170605-00010007-jisin-soci","URLを開く")</f>
        <v>URLを開く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</row>
    <row r="97" spans="1:11" x14ac:dyDescent="0.15">
      <c r="A97" s="8" t="s">
        <v>448</v>
      </c>
      <c r="B97" s="8" t="s">
        <v>426</v>
      </c>
      <c r="C97" s="6" t="s">
        <v>283</v>
      </c>
      <c r="D97" s="6" t="s">
        <v>459</v>
      </c>
      <c r="E97" s="6" t="s">
        <v>460</v>
      </c>
      <c r="F97" s="7" t="str">
        <f>HYPERLINK("https://news.goo.ne.jp/article/jisin/nation/jisin-29174.html","URLを開く")</f>
        <v>URLを開く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</row>
    <row r="98" spans="1:11" x14ac:dyDescent="0.15">
      <c r="A98" s="8" t="s">
        <v>448</v>
      </c>
      <c r="B98" s="8" t="s">
        <v>426</v>
      </c>
      <c r="C98" s="6" t="s">
        <v>286</v>
      </c>
      <c r="D98" s="6" t="s">
        <v>461</v>
      </c>
      <c r="E98" s="6" t="s">
        <v>462</v>
      </c>
      <c r="F98" s="7" t="str">
        <f>HYPERLINK("http://topics.smt.docomo.ne.jp/article/jisin/nation/jisin-29174?fm=latestnews","URLを開く")</f>
        <v>URLを開く</v>
      </c>
      <c r="G98" s="10" t="s">
        <v>20</v>
      </c>
      <c r="H98" s="10" t="s">
        <v>20</v>
      </c>
      <c r="I98" s="10" t="s">
        <v>20</v>
      </c>
      <c r="J98" s="10" t="s">
        <v>20</v>
      </c>
      <c r="K98" s="10" t="s">
        <v>20</v>
      </c>
    </row>
    <row r="99" spans="1:11" x14ac:dyDescent="0.15">
      <c r="A99" s="8" t="s">
        <v>448</v>
      </c>
      <c r="B99" s="8" t="s">
        <v>426</v>
      </c>
      <c r="C99" s="6" t="s">
        <v>463</v>
      </c>
      <c r="D99" s="6" t="s">
        <v>464</v>
      </c>
      <c r="E99" s="6" t="s">
        <v>465</v>
      </c>
      <c r="F99" s="7" t="str">
        <f>HYPERLINK("http://jognet.jp/news/2017/06/29270666/","URLを開く")</f>
        <v>URLを開く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</row>
    <row r="100" spans="1:11" x14ac:dyDescent="0.15">
      <c r="A100" s="8" t="s">
        <v>466</v>
      </c>
      <c r="B100" s="8" t="s">
        <v>467</v>
      </c>
      <c r="C100" s="6" t="s">
        <v>268</v>
      </c>
      <c r="D100" s="6" t="s">
        <v>468</v>
      </c>
      <c r="E100" s="6" t="s">
        <v>469</v>
      </c>
      <c r="F100" s="7" t="str">
        <f>HYPERLINK("http://www.47news.jp/localnews/hukui/2017/06/post_20170603112027.html","URLを開く")</f>
        <v>URLを開く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</row>
    <row r="101" spans="1:11" x14ac:dyDescent="0.15">
      <c r="A101" s="8" t="s">
        <v>466</v>
      </c>
      <c r="B101" s="8" t="s">
        <v>467</v>
      </c>
      <c r="C101" s="6" t="s">
        <v>64</v>
      </c>
      <c r="D101" s="6" t="s">
        <v>468</v>
      </c>
      <c r="E101" s="6" t="s">
        <v>470</v>
      </c>
      <c r="F101" s="7" t="str">
        <f>HYPERLINK("http://www.excite.co.jp/News/local/20170603/Fukuishimbun_201452.html","URLを開く")</f>
        <v>URLを開く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</row>
    <row r="102" spans="1:11" x14ac:dyDescent="0.15">
      <c r="A102" s="8" t="s">
        <v>466</v>
      </c>
      <c r="B102" s="8" t="s">
        <v>467</v>
      </c>
      <c r="C102" s="6" t="s">
        <v>273</v>
      </c>
      <c r="D102" s="6" t="s">
        <v>471</v>
      </c>
      <c r="E102" s="6" t="s">
        <v>472</v>
      </c>
      <c r="F102" s="7" t="str">
        <f>HYPERLINK("http://soonhome.jp/connect/post?id=243555652814356485","URLを開く")</f>
        <v>URLを開く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</row>
    <row r="103" spans="1:11" x14ac:dyDescent="0.15">
      <c r="A103" s="8" t="s">
        <v>466</v>
      </c>
      <c r="B103" s="8" t="s">
        <v>467</v>
      </c>
      <c r="C103" s="6" t="s">
        <v>268</v>
      </c>
      <c r="D103" s="6" t="s">
        <v>473</v>
      </c>
      <c r="E103" s="6" t="s">
        <v>474</v>
      </c>
      <c r="F103" s="7" t="str">
        <f>HYPERLINK("http://www.47news.jp/news/2017/06/post_20170603144727.html","URLを開く")</f>
        <v>URLを開く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</row>
    <row r="104" spans="1:11" x14ac:dyDescent="0.15">
      <c r="A104" s="8" t="s">
        <v>466</v>
      </c>
      <c r="B104" s="8" t="s">
        <v>467</v>
      </c>
      <c r="C104" s="6" t="s">
        <v>283</v>
      </c>
      <c r="D104" s="6" t="s">
        <v>475</v>
      </c>
      <c r="E104" s="6" t="s">
        <v>476</v>
      </c>
      <c r="F104" s="7" t="str">
        <f>HYPERLINK("https://news.goo.ne.jp/picture/region/fukui-20170603172940869.html","URLを開く")</f>
        <v>URLを開く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</row>
    <row r="105" spans="1:11" x14ac:dyDescent="0.15">
      <c r="A105" s="8" t="s">
        <v>466</v>
      </c>
      <c r="B105" s="8" t="s">
        <v>467</v>
      </c>
      <c r="C105" s="6" t="s">
        <v>283</v>
      </c>
      <c r="D105" s="6" t="s">
        <v>477</v>
      </c>
      <c r="E105" s="6" t="s">
        <v>478</v>
      </c>
      <c r="F105" s="7" t="str">
        <f>HYPERLINK("https://news.goo.ne.jp/article/fukui/region/fukui-20170603172940869.html","URLを開く")</f>
        <v>URLを開く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</row>
    <row r="106" spans="1:11" x14ac:dyDescent="0.15">
      <c r="A106" s="8" t="s">
        <v>466</v>
      </c>
      <c r="B106" s="8" t="s">
        <v>467</v>
      </c>
      <c r="C106" s="6" t="s">
        <v>286</v>
      </c>
      <c r="D106" s="6" t="s">
        <v>479</v>
      </c>
      <c r="E106" s="6" t="s">
        <v>480</v>
      </c>
      <c r="F106" s="7" t="str">
        <f>HYPERLINK("http://topics.smt.docomo.ne.jp/article/fukui/region/fukui-20170603172940869?fm=latestnews","URLを開く")</f>
        <v>URLを開く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</row>
    <row r="107" spans="1:11" x14ac:dyDescent="0.15">
      <c r="A107" s="8" t="s">
        <v>466</v>
      </c>
      <c r="B107" s="8" t="s">
        <v>467</v>
      </c>
      <c r="C107" s="6" t="s">
        <v>268</v>
      </c>
      <c r="D107" s="6" t="s">
        <v>481</v>
      </c>
      <c r="E107" s="6" t="s">
        <v>482</v>
      </c>
      <c r="F107" s="7" t="str">
        <f>HYPERLINK("http://www.47news.jp/localnews/odekake/2017/06/post-20170603115915.html","URLを開く")</f>
        <v>URLを開く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</row>
    <row r="108" spans="1:11" x14ac:dyDescent="0.15">
      <c r="A108" s="8" t="s">
        <v>466</v>
      </c>
      <c r="B108" s="8" t="s">
        <v>467</v>
      </c>
      <c r="C108" s="6" t="s">
        <v>182</v>
      </c>
      <c r="D108" s="6" t="s">
        <v>483</v>
      </c>
      <c r="E108" s="6" t="s">
        <v>484</v>
      </c>
      <c r="F108" s="7" t="str">
        <f>HYPERLINK("https://headlines.yahoo.co.jp/hl?a=20170603-00010002-fukui-l18","URLを開く")</f>
        <v>URLを開く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 t="s">
        <v>20</v>
      </c>
    </row>
    <row r="109" spans="1:11" x14ac:dyDescent="0.15">
      <c r="A109" s="8" t="s">
        <v>466</v>
      </c>
      <c r="B109" s="8" t="s">
        <v>467</v>
      </c>
      <c r="C109" s="6" t="s">
        <v>182</v>
      </c>
      <c r="D109" s="6" t="s">
        <v>485</v>
      </c>
      <c r="E109" s="6" t="s">
        <v>486</v>
      </c>
      <c r="F109" s="7" t="str">
        <f>HYPERLINK("https://headlines.yahoo.co.jp/hl?a=20170603-00000001-hokuriku-l18","URLを開く")</f>
        <v>URLを開く</v>
      </c>
      <c r="G109" s="10" t="s">
        <v>20</v>
      </c>
      <c r="H109" s="10" t="s">
        <v>20</v>
      </c>
      <c r="I109" s="10" t="s">
        <v>20</v>
      </c>
      <c r="J109" s="10" t="s">
        <v>20</v>
      </c>
      <c r="K109" s="10" t="s">
        <v>20</v>
      </c>
    </row>
    <row r="110" spans="1:11" x14ac:dyDescent="0.15">
      <c r="A110" s="8" t="s">
        <v>466</v>
      </c>
      <c r="B110" s="8" t="s">
        <v>467</v>
      </c>
      <c r="C110" s="6" t="s">
        <v>283</v>
      </c>
      <c r="D110" s="6" t="s">
        <v>487</v>
      </c>
      <c r="E110" s="6" t="s">
        <v>488</v>
      </c>
      <c r="F110" s="7" t="str">
        <f>HYPERLINK("https://news.goo.ne.jp/article/hokurikushinkansen/region/hokurikushinkansen-NEWS0000010921.html","URLを開く")</f>
        <v>URLを開く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 t="s">
        <v>20</v>
      </c>
    </row>
    <row r="111" spans="1:11" x14ac:dyDescent="0.15">
      <c r="A111" s="8" t="s">
        <v>466</v>
      </c>
      <c r="B111" s="8" t="s">
        <v>467</v>
      </c>
      <c r="C111" s="6" t="s">
        <v>286</v>
      </c>
      <c r="D111" s="6" t="s">
        <v>489</v>
      </c>
      <c r="E111" s="6" t="s">
        <v>490</v>
      </c>
      <c r="F111" s="7" t="str">
        <f>HYPERLINK("http://topics.smt.docomo.ne.jp/article/hokurikushinkansen/region/hokurikushinkansen-NEWS0000010921?fm=latestnews","URLを開く")</f>
        <v>URLを開く</v>
      </c>
      <c r="G111" s="10" t="s">
        <v>20</v>
      </c>
      <c r="H111" s="10" t="s">
        <v>20</v>
      </c>
      <c r="I111" s="10" t="s">
        <v>20</v>
      </c>
      <c r="J111" s="10" t="s">
        <v>20</v>
      </c>
      <c r="K111" s="10" t="s">
        <v>20</v>
      </c>
    </row>
    <row r="112" spans="1:11" x14ac:dyDescent="0.15">
      <c r="A112" s="8" t="s">
        <v>491</v>
      </c>
      <c r="B112" s="8" t="s">
        <v>466</v>
      </c>
      <c r="C112" s="6" t="s">
        <v>34</v>
      </c>
      <c r="D112" s="6" t="s">
        <v>492</v>
      </c>
      <c r="E112" s="6" t="s">
        <v>493</v>
      </c>
      <c r="F112" s="7" t="str">
        <f>HYPERLINK("http://www.kigyou-sns.com/press/press_222466/","URLを開く")</f>
        <v>URLを開く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</row>
    <row r="113" spans="1:11" x14ac:dyDescent="0.15">
      <c r="A113" s="8" t="s">
        <v>491</v>
      </c>
      <c r="B113" s="8" t="s">
        <v>466</v>
      </c>
      <c r="C113" s="6" t="s">
        <v>494</v>
      </c>
      <c r="D113" s="6" t="s">
        <v>495</v>
      </c>
      <c r="E113" s="6" t="s">
        <v>496</v>
      </c>
      <c r="F113" s="7" t="str">
        <f>HYPERLINK("http://www.biz-hacks.com/pressrelease/?id=60621","URLを開く")</f>
        <v>URLを開く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 t="s">
        <v>20</v>
      </c>
    </row>
    <row r="114" spans="1:11" x14ac:dyDescent="0.15">
      <c r="A114" s="8" t="s">
        <v>491</v>
      </c>
      <c r="B114" s="8" t="s">
        <v>466</v>
      </c>
      <c r="C114" s="6" t="s">
        <v>23</v>
      </c>
      <c r="D114" s="6" t="s">
        <v>497</v>
      </c>
      <c r="E114" s="6" t="s">
        <v>498</v>
      </c>
      <c r="F114" s="7" t="str">
        <f>HYPERLINK("http://www.bizloop.jp/release/AT129815/","URLを開く")</f>
        <v>URLを開く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</row>
    <row r="115" spans="1:11" x14ac:dyDescent="0.15">
      <c r="A115" s="8" t="s">
        <v>499</v>
      </c>
      <c r="B115" s="8" t="s">
        <v>491</v>
      </c>
      <c r="C115" s="6" t="s">
        <v>500</v>
      </c>
      <c r="D115" s="6" t="s">
        <v>501</v>
      </c>
      <c r="E115" s="6" t="s">
        <v>502</v>
      </c>
      <c r="F115" s="7" t="str">
        <f>HYPERLINK("https://www.ehime-np.co.jp/article/news201706012049","URLを開く")</f>
        <v>URLを開く</v>
      </c>
      <c r="G115" s="10" t="s">
        <v>20</v>
      </c>
      <c r="H115" s="10" t="s">
        <v>20</v>
      </c>
      <c r="I115" s="10" t="s">
        <v>20</v>
      </c>
      <c r="J115" s="10" t="s">
        <v>20</v>
      </c>
      <c r="K115" s="10" t="s">
        <v>20</v>
      </c>
    </row>
    <row r="116" spans="1:11" x14ac:dyDescent="0.15">
      <c r="A116" s="8" t="s">
        <v>499</v>
      </c>
      <c r="B116" s="8" t="s">
        <v>491</v>
      </c>
      <c r="C116" s="6" t="s">
        <v>60</v>
      </c>
      <c r="D116" s="6" t="s">
        <v>503</v>
      </c>
      <c r="E116" s="6" t="s">
        <v>504</v>
      </c>
      <c r="F116" s="7" t="str">
        <f>HYPERLINK("http://www.asahi.com/and_M/information/pressrelease/CATP2017129815.html","URLを開く")</f>
        <v>URLを開く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 t="s">
        <v>20</v>
      </c>
    </row>
    <row r="117" spans="1:11" x14ac:dyDescent="0.15">
      <c r="A117" s="8" t="s">
        <v>499</v>
      </c>
      <c r="B117" s="8" t="s">
        <v>491</v>
      </c>
      <c r="C117" s="6" t="s">
        <v>505</v>
      </c>
      <c r="D117" s="6" t="s">
        <v>506</v>
      </c>
      <c r="E117" s="6" t="s">
        <v>507</v>
      </c>
      <c r="F117" s="7" t="str">
        <f>HYPERLINK("https://enuchi.jp/press-release/95529","URLを開く")</f>
        <v>URLを開く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10" t="s">
        <v>20</v>
      </c>
    </row>
    <row r="118" spans="1:11" x14ac:dyDescent="0.15">
      <c r="A118" s="8" t="s">
        <v>499</v>
      </c>
      <c r="B118" s="8" t="s">
        <v>491</v>
      </c>
      <c r="C118" s="6" t="s">
        <v>40</v>
      </c>
      <c r="D118" s="6" t="s">
        <v>492</v>
      </c>
      <c r="E118" s="6" t="s">
        <v>508</v>
      </c>
      <c r="F118" s="7" t="str">
        <f>HYPERLINK("https://business.nifty.com/cs/catalog/business_release/catalog_atp129815_1.htm","URLを開く")</f>
        <v>URLを開く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 t="s">
        <v>20</v>
      </c>
    </row>
    <row r="119" spans="1:11" x14ac:dyDescent="0.15">
      <c r="A119" s="8" t="s">
        <v>499</v>
      </c>
      <c r="B119" s="8" t="s">
        <v>491</v>
      </c>
      <c r="C119" s="6" t="s">
        <v>43</v>
      </c>
      <c r="D119" s="6" t="s">
        <v>492</v>
      </c>
      <c r="E119" s="6" t="s">
        <v>509</v>
      </c>
      <c r="F119" s="7" t="str">
        <f>HYPERLINK("https://news.biglobe.ne.jp/economy/0601/atp_170601_0945485488.html","URLを開く")</f>
        <v>URLを開く</v>
      </c>
      <c r="G119" s="10" t="s">
        <v>20</v>
      </c>
      <c r="H119" s="10" t="s">
        <v>20</v>
      </c>
      <c r="I119" s="10" t="s">
        <v>20</v>
      </c>
      <c r="J119" s="10" t="s">
        <v>20</v>
      </c>
      <c r="K119" s="10" t="s">
        <v>20</v>
      </c>
    </row>
    <row r="120" spans="1:11" x14ac:dyDescent="0.15">
      <c r="A120" s="8" t="s">
        <v>499</v>
      </c>
      <c r="B120" s="8" t="s">
        <v>491</v>
      </c>
      <c r="C120" s="6" t="s">
        <v>48</v>
      </c>
      <c r="D120" s="6" t="s">
        <v>492</v>
      </c>
      <c r="E120" s="6" t="s">
        <v>510</v>
      </c>
      <c r="F120" s="7" t="str">
        <f>HYPERLINK("https://news.infoseek.co.jp/article/atpress_129815/","URLを開く")</f>
        <v>URLを開く</v>
      </c>
      <c r="G120" s="10" t="s">
        <v>20</v>
      </c>
      <c r="H120" s="10" t="s">
        <v>20</v>
      </c>
      <c r="I120" s="10" t="s">
        <v>20</v>
      </c>
      <c r="J120" s="10" t="s">
        <v>20</v>
      </c>
      <c r="K120" s="10" t="s">
        <v>20</v>
      </c>
    </row>
    <row r="121" spans="1:11" x14ac:dyDescent="0.15">
      <c r="A121" s="8" t="s">
        <v>499</v>
      </c>
      <c r="B121" s="8" t="s">
        <v>491</v>
      </c>
      <c r="C121" s="6" t="s">
        <v>52</v>
      </c>
      <c r="D121" s="6" t="s">
        <v>492</v>
      </c>
      <c r="E121" s="6" t="s">
        <v>511</v>
      </c>
      <c r="F121" s="7" t="str">
        <f>HYPERLINK("http://news.nplus-inc.co.jp/index.php?action=ViewDetail&amp;number=377846","URLを開く")</f>
        <v>URLを開く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 t="s">
        <v>20</v>
      </c>
    </row>
    <row r="122" spans="1:11" x14ac:dyDescent="0.15">
      <c r="A122" s="8" t="s">
        <v>499</v>
      </c>
      <c r="B122" s="8" t="s">
        <v>491</v>
      </c>
      <c r="C122" s="6" t="s">
        <v>408</v>
      </c>
      <c r="D122" s="6" t="s">
        <v>492</v>
      </c>
      <c r="E122" s="6" t="s">
        <v>512</v>
      </c>
      <c r="F122" s="7" t="str">
        <f>HYPERLINK("http://www.sankeibiz.jp/business/news/170601/prl1706011432185-n1.htm","URLを開く")</f>
        <v>URLを開く</v>
      </c>
      <c r="G122" s="10" t="s">
        <v>20</v>
      </c>
      <c r="H122" s="10" t="s">
        <v>20</v>
      </c>
      <c r="I122" s="10" t="s">
        <v>20</v>
      </c>
      <c r="J122" s="10" t="s">
        <v>20</v>
      </c>
      <c r="K122" s="10" t="s">
        <v>20</v>
      </c>
    </row>
    <row r="123" spans="1:11" x14ac:dyDescent="0.15">
      <c r="A123" s="8" t="s">
        <v>499</v>
      </c>
      <c r="B123" s="8" t="s">
        <v>491</v>
      </c>
      <c r="C123" s="6" t="s">
        <v>513</v>
      </c>
      <c r="D123" s="6" t="s">
        <v>492</v>
      </c>
      <c r="E123" s="6" t="s">
        <v>514</v>
      </c>
      <c r="F123" s="7" t="str">
        <f>HYPERLINK("http://www.sanspo.com/geino/news/20170601/prl17060114320161-n1.html","URLを開く")</f>
        <v>URLを開く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 t="s">
        <v>20</v>
      </c>
    </row>
    <row r="124" spans="1:11" x14ac:dyDescent="0.15">
      <c r="A124" s="8" t="s">
        <v>499</v>
      </c>
      <c r="B124" s="8" t="s">
        <v>491</v>
      </c>
      <c r="C124" s="6" t="s">
        <v>37</v>
      </c>
      <c r="D124" s="6" t="s">
        <v>492</v>
      </c>
      <c r="E124" s="6" t="s">
        <v>515</v>
      </c>
      <c r="F124" s="7" t="str">
        <f>HYPERLINK("http://www.seotools.jp/news/id_at_129815.html","URLを開く")</f>
        <v>URLを開く</v>
      </c>
      <c r="G124" s="10" t="s">
        <v>20</v>
      </c>
      <c r="H124" s="10" t="s">
        <v>20</v>
      </c>
      <c r="I124" s="10" t="s">
        <v>20</v>
      </c>
      <c r="J124" s="10" t="s">
        <v>20</v>
      </c>
      <c r="K124" s="10" t="s">
        <v>20</v>
      </c>
    </row>
    <row r="125" spans="1:11" x14ac:dyDescent="0.15">
      <c r="A125" s="8" t="s">
        <v>499</v>
      </c>
      <c r="B125" s="8" t="s">
        <v>491</v>
      </c>
      <c r="C125" s="6" t="s">
        <v>516</v>
      </c>
      <c r="D125" s="6" t="s">
        <v>492</v>
      </c>
      <c r="E125" s="6" t="s">
        <v>517</v>
      </c>
      <c r="F125" s="7" t="str">
        <f>HYPERLINK("http://www.zakzak.co.jp/economy/pressrelease/news/20170601/prl1706011432161-n1.htm","URLを開く")</f>
        <v>URLを開く</v>
      </c>
      <c r="G125" s="10" t="s">
        <v>20</v>
      </c>
      <c r="H125" s="10" t="s">
        <v>20</v>
      </c>
      <c r="I125" s="10" t="s">
        <v>20</v>
      </c>
      <c r="J125" s="10" t="s">
        <v>20</v>
      </c>
      <c r="K125" s="10" t="s">
        <v>20</v>
      </c>
    </row>
    <row r="126" spans="1:11" x14ac:dyDescent="0.15">
      <c r="A126" s="8" t="s">
        <v>499</v>
      </c>
      <c r="B126" s="8" t="s">
        <v>491</v>
      </c>
      <c r="C126" s="6" t="s">
        <v>56</v>
      </c>
      <c r="D126" s="6" t="s">
        <v>492</v>
      </c>
      <c r="E126" s="6" t="s">
        <v>518</v>
      </c>
      <c r="F126" s="7" t="str">
        <f>HYPERLINK("http://newsnavi.jp/detail/610162/","URLを開く")</f>
        <v>URLを開く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 t="s">
        <v>20</v>
      </c>
    </row>
    <row r="127" spans="1:11" x14ac:dyDescent="0.15">
      <c r="A127" s="8" t="s">
        <v>499</v>
      </c>
      <c r="B127" s="8" t="s">
        <v>491</v>
      </c>
      <c r="C127" s="6" t="s">
        <v>519</v>
      </c>
      <c r="D127" s="6" t="s">
        <v>492</v>
      </c>
      <c r="E127" s="6" t="s">
        <v>520</v>
      </c>
      <c r="F127" s="7" t="str">
        <f>HYPERLINK("https://resemom.jp/feature/newsrelease/atpress/press_detail.html?pr_id=129815&amp;charset=UTF-8","URLを開く")</f>
        <v>URLを開く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 t="s">
        <v>20</v>
      </c>
    </row>
    <row r="128" spans="1:11" x14ac:dyDescent="0.15">
      <c r="A128" s="8" t="s">
        <v>499</v>
      </c>
      <c r="B128" s="8" t="s">
        <v>491</v>
      </c>
      <c r="C128" s="6" t="s">
        <v>521</v>
      </c>
      <c r="D128" s="6" t="s">
        <v>492</v>
      </c>
      <c r="E128" s="6" t="s">
        <v>522</v>
      </c>
      <c r="F128" s="7" t="str">
        <f>HYPERLINK("http://www.topsalesman.net/press/index.php?id=137355","URLを開く")</f>
        <v>URLを開く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 t="s">
        <v>20</v>
      </c>
    </row>
    <row r="129" spans="1:11" x14ac:dyDescent="0.15">
      <c r="A129" s="8" t="s">
        <v>499</v>
      </c>
      <c r="B129" s="8" t="s">
        <v>491</v>
      </c>
      <c r="C129" s="6" t="s">
        <v>58</v>
      </c>
      <c r="D129" s="6" t="s">
        <v>492</v>
      </c>
      <c r="E129" s="6" t="s">
        <v>523</v>
      </c>
      <c r="F129" s="7" t="str">
        <f>HYPERLINK("http://www.topics.or.jp/press/news/2017/06/Atpress129815.html","URLを開く")</f>
        <v>URLを開く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</row>
    <row r="130" spans="1:11" x14ac:dyDescent="0.15">
      <c r="A130" s="8" t="s">
        <v>499</v>
      </c>
      <c r="B130" s="8" t="s">
        <v>491</v>
      </c>
      <c r="C130" s="6" t="s">
        <v>333</v>
      </c>
      <c r="D130" s="6" t="s">
        <v>492</v>
      </c>
      <c r="E130" s="6" t="s">
        <v>524</v>
      </c>
      <c r="F130" s="7" t="str">
        <f>HYPERLINK("http://www.zaikei.co.jp/releases/486735/","URLを開く")</f>
        <v>URLを開く</v>
      </c>
      <c r="G130" s="10" t="s">
        <v>20</v>
      </c>
      <c r="H130" s="10" t="s">
        <v>20</v>
      </c>
      <c r="I130" s="10" t="s">
        <v>20</v>
      </c>
      <c r="J130" s="10" t="s">
        <v>20</v>
      </c>
      <c r="K130" s="10" t="s">
        <v>20</v>
      </c>
    </row>
    <row r="131" spans="1:11" x14ac:dyDescent="0.15">
      <c r="A131" s="8" t="s">
        <v>499</v>
      </c>
      <c r="B131" s="8" t="s">
        <v>491</v>
      </c>
      <c r="C131" s="6" t="s">
        <v>64</v>
      </c>
      <c r="D131" s="6" t="s">
        <v>525</v>
      </c>
      <c r="E131" s="6" t="s">
        <v>526</v>
      </c>
      <c r="F131" s="7" t="str">
        <f>HYPERLINK("http://www.excite.co.jp/News/release/20170601/Atpress_129815.html","URLを開く")</f>
        <v>URLを開く</v>
      </c>
      <c r="G131" s="10" t="s">
        <v>20</v>
      </c>
      <c r="H131" s="10" t="s">
        <v>20</v>
      </c>
      <c r="I131" s="10" t="s">
        <v>20</v>
      </c>
      <c r="J131" s="10" t="s">
        <v>20</v>
      </c>
      <c r="K131" s="10" t="s">
        <v>20</v>
      </c>
    </row>
    <row r="132" spans="1:11" x14ac:dyDescent="0.15">
      <c r="A132" s="8" t="s">
        <v>499</v>
      </c>
      <c r="B132" s="8" t="s">
        <v>491</v>
      </c>
      <c r="C132" s="6" t="s">
        <v>50</v>
      </c>
      <c r="D132" s="6" t="s">
        <v>527</v>
      </c>
      <c r="E132" s="6" t="s">
        <v>528</v>
      </c>
      <c r="F132" s="7" t="str">
        <f>HYPERLINK("http://markezine.jp/release/detail/750572","URLを開く")</f>
        <v>URLを開く</v>
      </c>
      <c r="G132" s="10" t="s">
        <v>20</v>
      </c>
      <c r="H132" s="10" t="s">
        <v>20</v>
      </c>
      <c r="I132" s="10" t="s">
        <v>20</v>
      </c>
      <c r="J132" s="10" t="s">
        <v>20</v>
      </c>
      <c r="K132" s="10" t="s">
        <v>20</v>
      </c>
    </row>
    <row r="133" spans="1:11" x14ac:dyDescent="0.15">
      <c r="A133" s="8" t="s">
        <v>499</v>
      </c>
      <c r="B133" s="8" t="s">
        <v>491</v>
      </c>
      <c r="C133" s="6" t="s">
        <v>67</v>
      </c>
      <c r="D133" s="6" t="s">
        <v>529</v>
      </c>
      <c r="E133" s="6" t="s">
        <v>530</v>
      </c>
      <c r="F133" s="7" t="str">
        <f>HYPERLINK("http://home.kingsoft.jp/news/pr/atpress/129815.html","URLを開く")</f>
        <v>URLを開く</v>
      </c>
      <c r="G133" s="10" t="s">
        <v>20</v>
      </c>
      <c r="H133" s="10" t="s">
        <v>20</v>
      </c>
      <c r="I133" s="10" t="s">
        <v>20</v>
      </c>
      <c r="J133" s="10" t="s">
        <v>20</v>
      </c>
      <c r="K133" s="10" t="s">
        <v>20</v>
      </c>
    </row>
    <row r="134" spans="1:11" x14ac:dyDescent="0.15">
      <c r="A134" s="8" t="s">
        <v>499</v>
      </c>
      <c r="B134" s="8" t="s">
        <v>491</v>
      </c>
      <c r="C134" s="6" t="s">
        <v>70</v>
      </c>
      <c r="D134" s="6" t="s">
        <v>531</v>
      </c>
      <c r="E134" s="6" t="s">
        <v>532</v>
      </c>
      <c r="F134" s="7" t="str">
        <f>HYPERLINK("http://news.toremaga.com/nation/eco/953358.html","URLを開く")</f>
        <v>URLを開く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 t="s">
        <v>20</v>
      </c>
    </row>
    <row r="135" spans="1:11" x14ac:dyDescent="0.15">
      <c r="A135" s="8" t="s">
        <v>499</v>
      </c>
      <c r="B135" s="8" t="s">
        <v>491</v>
      </c>
      <c r="C135" s="6" t="s">
        <v>73</v>
      </c>
      <c r="D135" s="6" t="s">
        <v>533</v>
      </c>
      <c r="E135" s="6" t="s">
        <v>534</v>
      </c>
      <c r="F135" s="7" t="str">
        <f>HYPERLINK("http://www.mapion.co.jp/news/release/ap129815-all/","URLを開く")</f>
        <v>URLを開く</v>
      </c>
      <c r="G135" s="10" t="s">
        <v>20</v>
      </c>
      <c r="H135" s="10" t="s">
        <v>20</v>
      </c>
      <c r="I135" s="10" t="s">
        <v>20</v>
      </c>
      <c r="J135" s="10" t="s">
        <v>20</v>
      </c>
      <c r="K135" s="10" t="s">
        <v>20</v>
      </c>
    </row>
    <row r="136" spans="1:11" x14ac:dyDescent="0.15">
      <c r="A136" s="9"/>
      <c r="B136" s="9"/>
      <c r="C136" s="1"/>
      <c r="D136" s="1"/>
      <c r="E136" s="1"/>
      <c r="F136" s="1"/>
    </row>
    <row r="137" spans="1:11" x14ac:dyDescent="0.15">
      <c r="A137" s="1"/>
      <c r="B137" s="1"/>
      <c r="C137" s="1"/>
      <c r="D137" s="1"/>
      <c r="E137" s="1"/>
    </row>
    <row r="138" spans="1:11" x14ac:dyDescent="0.15">
      <c r="A138" s="1"/>
      <c r="B138" s="1"/>
      <c r="C138" s="1"/>
      <c r="D138" s="1"/>
      <c r="E138" s="1"/>
    </row>
    <row r="139" spans="1:11" x14ac:dyDescent="0.15">
      <c r="A139" s="1"/>
      <c r="B139" s="1"/>
      <c r="C139" s="1"/>
      <c r="D139" s="1"/>
      <c r="E139" s="1"/>
    </row>
    <row r="140" spans="1:11" x14ac:dyDescent="0.15">
      <c r="A140" s="1"/>
      <c r="B140" s="1"/>
      <c r="C140" s="1"/>
      <c r="D140" s="1"/>
      <c r="E140" s="1"/>
    </row>
    <row r="141" spans="1:11" x14ac:dyDescent="0.15">
      <c r="A141" s="1"/>
      <c r="B141" s="1"/>
      <c r="C141" s="1"/>
      <c r="D141" s="1"/>
      <c r="E141" s="1"/>
    </row>
    <row r="142" spans="1:11" x14ac:dyDescent="0.15">
      <c r="A142" s="1"/>
      <c r="B142" s="1"/>
      <c r="C142" s="1"/>
      <c r="D142" s="1"/>
      <c r="E142" s="1"/>
    </row>
    <row r="143" spans="1:11" x14ac:dyDescent="0.15">
      <c r="A143" s="1"/>
      <c r="B143" s="1"/>
      <c r="C143" s="1"/>
      <c r="D143" s="1"/>
      <c r="E143" s="1"/>
    </row>
    <row r="144" spans="1:11" x14ac:dyDescent="0.15">
      <c r="A144" s="1"/>
      <c r="B144" s="1"/>
      <c r="C144" s="1"/>
      <c r="D144" s="1"/>
      <c r="E144" s="1"/>
    </row>
    <row r="145" spans="1:5" x14ac:dyDescent="0.15">
      <c r="A145" s="1"/>
      <c r="B145" s="1"/>
      <c r="C145" s="1"/>
      <c r="D145" s="1"/>
      <c r="E145" s="1"/>
    </row>
  </sheetData>
  <mergeCells count="3">
    <mergeCell ref="B1:D1"/>
    <mergeCell ref="B2:D2"/>
    <mergeCell ref="E4:F4"/>
  </mergeCells>
  <phoneticPr fontId="2"/>
  <pageMargins left="0.23622047244094491" right="0.23622047244094491" top="0.70866141732283472" bottom="0.70866141732283472" header="0.31496062992125984" footer="0.31496062992125984"/>
  <pageSetup paperSize="9" scale="7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showGridLines="0" zoomScale="75" zoomScaleNormal="75" workbookViewId="0">
      <pane ySplit="4" topLeftCell="A5" activePane="bottomLeft" state="frozen"/>
      <selection pane="bottomLeft"/>
    </sheetView>
  </sheetViews>
  <sheetFormatPr defaultColWidth="11" defaultRowHeight="13.5" x14ac:dyDescent="0.15"/>
  <cols>
    <col min="1" max="2" width="11.75" customWidth="1"/>
    <col min="3" max="3" width="29" style="17" customWidth="1"/>
    <col min="4" max="4" width="47.25" customWidth="1"/>
    <col min="5" max="6" width="8.75" customWidth="1"/>
    <col min="7" max="12" width="11" customWidth="1"/>
  </cols>
  <sheetData>
    <row r="1" spans="1:11" s="3" customFormat="1" ht="36" customHeight="1" x14ac:dyDescent="0.15">
      <c r="A1" s="2" t="s">
        <v>1</v>
      </c>
      <c r="B1" s="32" t="s">
        <v>9</v>
      </c>
      <c r="C1" s="32"/>
      <c r="D1" s="33"/>
    </row>
    <row r="2" spans="1:11" s="3" customFormat="1" ht="36" customHeight="1" x14ac:dyDescent="0.15">
      <c r="A2" s="14" t="s">
        <v>8</v>
      </c>
      <c r="B2" s="34">
        <v>147</v>
      </c>
      <c r="C2" s="34"/>
      <c r="D2" s="33"/>
    </row>
    <row r="3" spans="1:11" s="3" customFormat="1" ht="36" customHeight="1" x14ac:dyDescent="0.15">
      <c r="B3" s="18"/>
      <c r="C3" s="18"/>
      <c r="D3" s="18"/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5</v>
      </c>
      <c r="B4" s="19" t="s">
        <v>6</v>
      </c>
      <c r="C4" s="19" t="s">
        <v>2</v>
      </c>
      <c r="D4" s="20" t="s">
        <v>3</v>
      </c>
      <c r="E4" s="30" t="s">
        <v>4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8" t="s">
        <v>15</v>
      </c>
      <c r="B5" s="8" t="s">
        <v>16</v>
      </c>
      <c r="C5" s="15" t="s">
        <v>17</v>
      </c>
      <c r="D5" s="6" t="s">
        <v>18</v>
      </c>
      <c r="E5" s="6" t="s">
        <v>19</v>
      </c>
      <c r="F5" s="7" t="str">
        <f>HYPERLINK("http://www.yukan-daily.co.jp/news.php?id=67157","URLを開く")</f>
        <v>URLを開く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</row>
    <row r="6" spans="1:11" x14ac:dyDescent="0.15">
      <c r="A6" s="8" t="s">
        <v>21</v>
      </c>
      <c r="B6" s="8" t="s">
        <v>22</v>
      </c>
      <c r="C6" s="15" t="s">
        <v>23</v>
      </c>
      <c r="D6" s="6" t="s">
        <v>24</v>
      </c>
      <c r="E6" s="6" t="s">
        <v>25</v>
      </c>
      <c r="F6" s="7" t="str">
        <f>HYPERLINK("http://www.bizloop.jp/release/DRN0000156968/","URLを開く")</f>
        <v>URLを開く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</row>
    <row r="7" spans="1:11" x14ac:dyDescent="0.15">
      <c r="A7" s="8" t="s">
        <v>21</v>
      </c>
      <c r="B7" s="8" t="s">
        <v>22</v>
      </c>
      <c r="C7" s="15" t="s">
        <v>23</v>
      </c>
      <c r="D7" s="6" t="s">
        <v>26</v>
      </c>
      <c r="E7" s="6" t="s">
        <v>27</v>
      </c>
      <c r="F7" s="7" t="str">
        <f>HYPERLINK("http://www.bizloop.jp/release/DRN0000156973/","URLを開く")</f>
        <v>URLを開く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</row>
    <row r="8" spans="1:11" x14ac:dyDescent="0.15">
      <c r="A8" s="8" t="s">
        <v>21</v>
      </c>
      <c r="B8" s="8" t="s">
        <v>22</v>
      </c>
      <c r="C8" s="15" t="s">
        <v>28</v>
      </c>
      <c r="D8" s="6" t="s">
        <v>29</v>
      </c>
      <c r="E8" s="6" t="s">
        <v>30</v>
      </c>
      <c r="F8" s="7" t="str">
        <f>HYPERLINK("http://www.oricon.co.jp/article/262478/","URLを開く")</f>
        <v>URLを開く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</row>
    <row r="9" spans="1:11" x14ac:dyDescent="0.15">
      <c r="A9" s="8" t="s">
        <v>21</v>
      </c>
      <c r="B9" s="8" t="s">
        <v>22</v>
      </c>
      <c r="C9" s="15" t="s">
        <v>31</v>
      </c>
      <c r="D9" s="6" t="s">
        <v>29</v>
      </c>
      <c r="E9" s="6" t="s">
        <v>32</v>
      </c>
      <c r="F9" s="7" t="str">
        <f>HYPERLINK("https://gunosy.com/articles/RXgvL","URLを開く")</f>
        <v>URLを開く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</row>
    <row r="10" spans="1:11" x14ac:dyDescent="0.15">
      <c r="A10" s="8" t="s">
        <v>33</v>
      </c>
      <c r="B10" s="8" t="s">
        <v>21</v>
      </c>
      <c r="C10" s="15" t="s">
        <v>34</v>
      </c>
      <c r="D10" s="6" t="s">
        <v>35</v>
      </c>
      <c r="E10" s="6" t="s">
        <v>36</v>
      </c>
      <c r="F10" s="7" t="str">
        <f>HYPERLINK("http://www.kigyou-sns.com/press/press_228186/","URLを開く")</f>
        <v>URLを開く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</row>
    <row r="11" spans="1:11" x14ac:dyDescent="0.15">
      <c r="A11" s="8" t="s">
        <v>33</v>
      </c>
      <c r="B11" s="8" t="s">
        <v>21</v>
      </c>
      <c r="C11" s="15" t="s">
        <v>37</v>
      </c>
      <c r="D11" s="6" t="s">
        <v>38</v>
      </c>
      <c r="E11" s="6" t="s">
        <v>39</v>
      </c>
      <c r="F11" s="7" t="str">
        <f>HYPERLINK("http://www.seotools.jp/news/id_0000156959.html","URLを開く")</f>
        <v>URLを開く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</row>
    <row r="12" spans="1:11" x14ac:dyDescent="0.15">
      <c r="A12" s="8" t="s">
        <v>33</v>
      </c>
      <c r="B12" s="8" t="s">
        <v>21</v>
      </c>
      <c r="C12" s="15" t="s">
        <v>40</v>
      </c>
      <c r="D12" s="6" t="s">
        <v>41</v>
      </c>
      <c r="E12" s="6" t="s">
        <v>42</v>
      </c>
      <c r="F12" s="7" t="str">
        <f>HYPERLINK("https://business.nifty.com/cs/catalog/business_release/catalog_drm0000156959_1.htm","URLを開く")</f>
        <v>URLを開く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</row>
    <row r="13" spans="1:11" x14ac:dyDescent="0.15">
      <c r="A13" s="8" t="s">
        <v>33</v>
      </c>
      <c r="B13" s="8" t="s">
        <v>21</v>
      </c>
      <c r="C13" s="15" t="s">
        <v>43</v>
      </c>
      <c r="D13" s="6" t="s">
        <v>41</v>
      </c>
      <c r="E13" s="6" t="s">
        <v>44</v>
      </c>
      <c r="F13" s="7" t="str">
        <f>HYPERLINK("https://news.biglobe.ne.jp/economy/0725/dre_170725_3769606372.html","URLを開く")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33</v>
      </c>
      <c r="B14" s="8" t="s">
        <v>21</v>
      </c>
      <c r="C14" s="15" t="s">
        <v>45</v>
      </c>
      <c r="D14" s="6" t="s">
        <v>41</v>
      </c>
      <c r="E14" s="6" t="s">
        <v>46</v>
      </c>
      <c r="F14" s="7" t="str">
        <f>HYPERLINK("http://press.fideli.com/d/156959/","URLを開く")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33</v>
      </c>
      <c r="B15" s="8" t="s">
        <v>21</v>
      </c>
      <c r="C15" s="15" t="s">
        <v>45</v>
      </c>
      <c r="D15" s="6" t="s">
        <v>41</v>
      </c>
      <c r="E15" s="6" t="s">
        <v>47</v>
      </c>
      <c r="F15" s="7" t="str">
        <f>HYPERLINK("http://press.fideli.com/d/156959/7","URLを開く")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33</v>
      </c>
      <c r="B16" s="8" t="s">
        <v>21</v>
      </c>
      <c r="C16" s="15" t="s">
        <v>48</v>
      </c>
      <c r="D16" s="6" t="s">
        <v>41</v>
      </c>
      <c r="E16" s="6" t="s">
        <v>49</v>
      </c>
      <c r="F16" s="7" t="str">
        <f>HYPERLINK("https://news.infoseek.co.jp/article/dreamnews_0000156959/","URLを開く")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33</v>
      </c>
      <c r="B17" s="8" t="s">
        <v>21</v>
      </c>
      <c r="C17" s="15" t="s">
        <v>50</v>
      </c>
      <c r="D17" s="6" t="s">
        <v>41</v>
      </c>
      <c r="E17" s="6" t="s">
        <v>51</v>
      </c>
      <c r="F17" s="7" t="str">
        <f>HYPERLINK("http://markezine.jp/release/detail/772536","URLを開く")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33</v>
      </c>
      <c r="B18" s="8" t="s">
        <v>21</v>
      </c>
      <c r="C18" s="15" t="s">
        <v>52</v>
      </c>
      <c r="D18" s="6" t="s">
        <v>41</v>
      </c>
      <c r="E18" s="6" t="s">
        <v>53</v>
      </c>
      <c r="F18" s="7" t="str">
        <f>HYPERLINK("http://news.nplus-inc.co.jp/index.php?action=ViewDetail&amp;number=385966","URLを開く")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33</v>
      </c>
      <c r="B19" s="8" t="s">
        <v>21</v>
      </c>
      <c r="C19" s="15" t="s">
        <v>54</v>
      </c>
      <c r="D19" s="6" t="s">
        <v>41</v>
      </c>
      <c r="E19" s="6" t="s">
        <v>55</v>
      </c>
      <c r="F19" s="7" t="str">
        <f>HYPERLINK("https://miyabiz.com/special/dreamNews/detail.php?id=0000156959","URLを開く")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33</v>
      </c>
      <c r="B20" s="8" t="s">
        <v>21</v>
      </c>
      <c r="C20" s="15" t="s">
        <v>56</v>
      </c>
      <c r="D20" s="6" t="s">
        <v>41</v>
      </c>
      <c r="E20" s="6" t="s">
        <v>57</v>
      </c>
      <c r="F20" s="7" t="str">
        <f>HYPERLINK("http://newsnavi.jp/detail/633635/","URLを開く")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33</v>
      </c>
      <c r="B21" s="8" t="s">
        <v>21</v>
      </c>
      <c r="C21" s="15" t="s">
        <v>58</v>
      </c>
      <c r="D21" s="6" t="s">
        <v>41</v>
      </c>
      <c r="E21" s="6" t="s">
        <v>59</v>
      </c>
      <c r="F21" s="7" t="str">
        <f>HYPERLINK("http://www.topics.or.jp/press/news/2017/07/DreamNewsDN0000156959.html","URLを開く")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33</v>
      </c>
      <c r="B22" s="8" t="s">
        <v>21</v>
      </c>
      <c r="C22" s="15" t="s">
        <v>60</v>
      </c>
      <c r="D22" s="6" t="s">
        <v>41</v>
      </c>
      <c r="E22" s="6" t="s">
        <v>61</v>
      </c>
      <c r="F22" s="7" t="str">
        <f>HYPERLINK("http://www.asahi.com/and_M/information/pressrelease/Cdpress000156959.html","URLを開く")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33</v>
      </c>
      <c r="B23" s="8" t="s">
        <v>21</v>
      </c>
      <c r="C23" s="15" t="s">
        <v>62</v>
      </c>
      <c r="D23" s="6" t="s">
        <v>41</v>
      </c>
      <c r="E23" s="6" t="s">
        <v>63</v>
      </c>
      <c r="F23" s="7" t="str">
        <f>HYPERLINK("http://www.jprime.jp/ud/pressrelease/guid/dn0000156959","URLを開く")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33</v>
      </c>
      <c r="B24" s="8" t="s">
        <v>21</v>
      </c>
      <c r="C24" s="15" t="s">
        <v>64</v>
      </c>
      <c r="D24" s="6" t="s">
        <v>65</v>
      </c>
      <c r="E24" s="6" t="s">
        <v>66</v>
      </c>
      <c r="F24" s="7" t="str">
        <f>HYPERLINK("http://www.excite.co.jp/News/release/20170725/Dreamnews_0000156959.html","URLを開く")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33</v>
      </c>
      <c r="B25" s="8" t="s">
        <v>21</v>
      </c>
      <c r="C25" s="15" t="s">
        <v>67</v>
      </c>
      <c r="D25" s="6" t="s">
        <v>68</v>
      </c>
      <c r="E25" s="6" t="s">
        <v>69</v>
      </c>
      <c r="F25" s="7" t="str">
        <f>HYPERLINK("http://home.kingsoft.jp/news/pr/dreamnews/0000156959.html","URLを開く")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33</v>
      </c>
      <c r="B26" s="8" t="s">
        <v>21</v>
      </c>
      <c r="C26" s="15" t="s">
        <v>70</v>
      </c>
      <c r="D26" s="6" t="s">
        <v>71</v>
      </c>
      <c r="E26" s="6" t="s">
        <v>72</v>
      </c>
      <c r="F26" s="7" t="str">
        <f>HYPERLINK("http://news.toremaga.com/release/others/976753.html","URLを開く")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33</v>
      </c>
      <c r="B27" s="8" t="s">
        <v>21</v>
      </c>
      <c r="C27" s="15" t="s">
        <v>73</v>
      </c>
      <c r="D27" s="6" t="s">
        <v>74</v>
      </c>
      <c r="E27" s="6" t="s">
        <v>75</v>
      </c>
      <c r="F27" s="7" t="str">
        <f>HYPERLINK("http://www.mapion.co.jp/news/release/dn0000156959-all/","URLを開く")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33</v>
      </c>
      <c r="B28" s="8" t="s">
        <v>21</v>
      </c>
      <c r="C28" s="15" t="s">
        <v>34</v>
      </c>
      <c r="D28" s="6" t="s">
        <v>76</v>
      </c>
      <c r="E28" s="6" t="s">
        <v>77</v>
      </c>
      <c r="F28" s="7" t="str">
        <f>HYPERLINK("http://www.kigyou-sns.com/press/press_228184/","URLを開く")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33</v>
      </c>
      <c r="B29" s="8" t="s">
        <v>21</v>
      </c>
      <c r="C29" s="15" t="s">
        <v>73</v>
      </c>
      <c r="D29" s="6" t="s">
        <v>78</v>
      </c>
      <c r="E29" s="6" t="s">
        <v>79</v>
      </c>
      <c r="F29" s="7" t="str">
        <f>HYPERLINK("http://www.mapion.co.jp/news/local/tabiness-27730-all/","URLを開く")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33</v>
      </c>
      <c r="B30" s="8" t="s">
        <v>21</v>
      </c>
      <c r="C30" s="15" t="s">
        <v>80</v>
      </c>
      <c r="D30" s="6" t="s">
        <v>81</v>
      </c>
      <c r="E30" s="6" t="s">
        <v>82</v>
      </c>
      <c r="F30" s="7" t="str">
        <f>HYPERLINK("http://www.yomiuri.co.jp/local/fukui/news/20170725-OYTNT50000.html","URLを開く")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83</v>
      </c>
      <c r="B31" s="8" t="s">
        <v>33</v>
      </c>
      <c r="C31" s="15" t="s">
        <v>40</v>
      </c>
      <c r="D31" s="6" t="s">
        <v>35</v>
      </c>
      <c r="E31" s="6" t="s">
        <v>84</v>
      </c>
      <c r="F31" s="7" t="str">
        <f>HYPERLINK("https://business.nifty.com/cs/catalog/business_release/catalog_drm0000156968_1.htm","URLを開く")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83</v>
      </c>
      <c r="B32" s="8" t="s">
        <v>33</v>
      </c>
      <c r="C32" s="15" t="s">
        <v>43</v>
      </c>
      <c r="D32" s="6" t="s">
        <v>35</v>
      </c>
      <c r="E32" s="6" t="s">
        <v>85</v>
      </c>
      <c r="F32" s="7" t="str">
        <f>HYPERLINK("https://news.biglobe.ne.jp/economy/0724/dre_170724_1032191026.html","URLを開く")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83</v>
      </c>
      <c r="B33" s="8" t="s">
        <v>33</v>
      </c>
      <c r="C33" s="15" t="s">
        <v>45</v>
      </c>
      <c r="D33" s="6" t="s">
        <v>35</v>
      </c>
      <c r="E33" s="6" t="s">
        <v>86</v>
      </c>
      <c r="F33" s="7" t="str">
        <f>HYPERLINK("http://press.fideli.com/d/156968/5","URLを開く")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83</v>
      </c>
      <c r="B34" s="8" t="s">
        <v>33</v>
      </c>
      <c r="C34" s="15" t="s">
        <v>45</v>
      </c>
      <c r="D34" s="6" t="s">
        <v>35</v>
      </c>
      <c r="E34" s="6" t="s">
        <v>87</v>
      </c>
      <c r="F34" s="7" t="str">
        <f>HYPERLINK("http://press.fideli.com/d/156968/","URLを開く")</f>
        <v>URLを開く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83</v>
      </c>
      <c r="B35" s="8" t="s">
        <v>33</v>
      </c>
      <c r="C35" s="15" t="s">
        <v>48</v>
      </c>
      <c r="D35" s="6" t="s">
        <v>35</v>
      </c>
      <c r="E35" s="6" t="s">
        <v>88</v>
      </c>
      <c r="F35" s="7" t="str">
        <f>HYPERLINK("https://news.infoseek.co.jp/article/dreamnews_0000156968/","URLを開く")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83</v>
      </c>
      <c r="B36" s="8" t="s">
        <v>33</v>
      </c>
      <c r="C36" s="15" t="s">
        <v>50</v>
      </c>
      <c r="D36" s="6" t="s">
        <v>35</v>
      </c>
      <c r="E36" s="6" t="s">
        <v>89</v>
      </c>
      <c r="F36" s="7" t="str">
        <f>HYPERLINK("http://markezine.jp/release/detail/771923","URLを開く")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83</v>
      </c>
      <c r="B37" s="8" t="s">
        <v>33</v>
      </c>
      <c r="C37" s="15" t="s">
        <v>52</v>
      </c>
      <c r="D37" s="6" t="s">
        <v>35</v>
      </c>
      <c r="E37" s="6" t="s">
        <v>90</v>
      </c>
      <c r="F37" s="7" t="str">
        <f>HYPERLINK("http://news.nplus-inc.co.jp/index.php?action=ViewDetail&amp;number=385728","URLを開く")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</row>
    <row r="38" spans="1:11" x14ac:dyDescent="0.15">
      <c r="A38" s="8" t="s">
        <v>83</v>
      </c>
      <c r="B38" s="8" t="s">
        <v>33</v>
      </c>
      <c r="C38" s="15" t="s">
        <v>37</v>
      </c>
      <c r="D38" s="6" t="s">
        <v>35</v>
      </c>
      <c r="E38" s="6" t="s">
        <v>91</v>
      </c>
      <c r="F38" s="7" t="str">
        <f>HYPERLINK("http://www.seotools.jp/news/id_0000156968.html","URLを開く")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83</v>
      </c>
      <c r="B39" s="8" t="s">
        <v>33</v>
      </c>
      <c r="C39" s="15" t="s">
        <v>54</v>
      </c>
      <c r="D39" s="6" t="s">
        <v>35</v>
      </c>
      <c r="E39" s="6" t="s">
        <v>92</v>
      </c>
      <c r="F39" s="7" t="str">
        <f>HYPERLINK("https://miyabiz.com/special/dreamNews/detail.php?id=0000156968","URLを開く")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83</v>
      </c>
      <c r="B40" s="8" t="s">
        <v>33</v>
      </c>
      <c r="C40" s="15" t="s">
        <v>56</v>
      </c>
      <c r="D40" s="6" t="s">
        <v>35</v>
      </c>
      <c r="E40" s="6" t="s">
        <v>93</v>
      </c>
      <c r="F40" s="7" t="str">
        <f>HYPERLINK("http://newsnavi.jp/detail/633030/","URLを開く")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83</v>
      </c>
      <c r="B41" s="8" t="s">
        <v>33</v>
      </c>
      <c r="C41" s="15" t="s">
        <v>58</v>
      </c>
      <c r="D41" s="6" t="s">
        <v>35</v>
      </c>
      <c r="E41" s="6" t="s">
        <v>94</v>
      </c>
      <c r="F41" s="7" t="str">
        <f>HYPERLINK("http://www.topics.or.jp/press/news/2017/07/DreamNewsDN0000156968.html","URLを開く")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83</v>
      </c>
      <c r="B42" s="8" t="s">
        <v>33</v>
      </c>
      <c r="C42" s="15" t="s">
        <v>60</v>
      </c>
      <c r="D42" s="6" t="s">
        <v>35</v>
      </c>
      <c r="E42" s="6" t="s">
        <v>95</v>
      </c>
      <c r="F42" s="7" t="str">
        <f>HYPERLINK("http://www.asahi.com/and_M/information/pressrelease/Cdpress000156968.html","URLを開く")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83</v>
      </c>
      <c r="B43" s="8" t="s">
        <v>33</v>
      </c>
      <c r="C43" s="15" t="s">
        <v>62</v>
      </c>
      <c r="D43" s="6" t="s">
        <v>35</v>
      </c>
      <c r="E43" s="6" t="s">
        <v>96</v>
      </c>
      <c r="F43" s="7" t="str">
        <f>HYPERLINK("http://www.jprime.jp/ud/pressrelease/guid/dn0000156968","URLを開く")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83</v>
      </c>
      <c r="B44" s="8" t="s">
        <v>33</v>
      </c>
      <c r="C44" s="15" t="s">
        <v>64</v>
      </c>
      <c r="D44" s="6" t="s">
        <v>97</v>
      </c>
      <c r="E44" s="6" t="s">
        <v>98</v>
      </c>
      <c r="F44" s="7" t="str">
        <f>HYPERLINK("http://www.excite.co.jp/News/release/20170724/Dreamnews_0000156968.html","URLを開く")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83</v>
      </c>
      <c r="B45" s="8" t="s">
        <v>33</v>
      </c>
      <c r="C45" s="15" t="s">
        <v>67</v>
      </c>
      <c r="D45" s="6" t="s">
        <v>99</v>
      </c>
      <c r="E45" s="6" t="s">
        <v>100</v>
      </c>
      <c r="F45" s="7" t="str">
        <f>HYPERLINK("http://home.kingsoft.jp/news/pr/dreamnews/0000156968.html","URLを開く")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83</v>
      </c>
      <c r="B46" s="8" t="s">
        <v>33</v>
      </c>
      <c r="C46" s="15" t="s">
        <v>70</v>
      </c>
      <c r="D46" s="6" t="s">
        <v>101</v>
      </c>
      <c r="E46" s="6" t="s">
        <v>102</v>
      </c>
      <c r="F46" s="7" t="str">
        <f>HYPERLINK("http://news.toremaga.com/release/others/976097.html","URLを開く")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83</v>
      </c>
      <c r="B47" s="8" t="s">
        <v>33</v>
      </c>
      <c r="C47" s="15" t="s">
        <v>73</v>
      </c>
      <c r="D47" s="6" t="s">
        <v>103</v>
      </c>
      <c r="E47" s="6" t="s">
        <v>104</v>
      </c>
      <c r="F47" s="7" t="str">
        <f>HYPERLINK("http://www.mapion.co.jp/news/release/dn0000156968-all/","URLを開く")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</row>
    <row r="48" spans="1:11" x14ac:dyDescent="0.15">
      <c r="A48" s="8" t="s">
        <v>83</v>
      </c>
      <c r="B48" s="8" t="s">
        <v>33</v>
      </c>
      <c r="C48" s="15" t="s">
        <v>40</v>
      </c>
      <c r="D48" s="6" t="s">
        <v>76</v>
      </c>
      <c r="E48" s="6" t="s">
        <v>105</v>
      </c>
      <c r="F48" s="7" t="str">
        <f>HYPERLINK("https://business.nifty.com/cs/catalog/business_release/catalog_drm0000156973_1.htm","URLを開く")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83</v>
      </c>
      <c r="B49" s="8" t="s">
        <v>33</v>
      </c>
      <c r="C49" s="15" t="s">
        <v>43</v>
      </c>
      <c r="D49" s="6" t="s">
        <v>76</v>
      </c>
      <c r="E49" s="6" t="s">
        <v>106</v>
      </c>
      <c r="F49" s="7" t="str">
        <f>HYPERLINK("https://news.biglobe.ne.jp/economy/0724/dre_170724_8656578115.html","URLを開く")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83</v>
      </c>
      <c r="B50" s="8" t="s">
        <v>33</v>
      </c>
      <c r="C50" s="15" t="s">
        <v>45</v>
      </c>
      <c r="D50" s="6" t="s">
        <v>76</v>
      </c>
      <c r="E50" s="6" t="s">
        <v>107</v>
      </c>
      <c r="F50" s="7" t="str">
        <f>HYPERLINK("http://press.fideli.com/d/156973/5","URLを開く")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83</v>
      </c>
      <c r="B51" s="8" t="s">
        <v>33</v>
      </c>
      <c r="C51" s="15" t="s">
        <v>45</v>
      </c>
      <c r="D51" s="6" t="s">
        <v>76</v>
      </c>
      <c r="E51" s="6" t="s">
        <v>108</v>
      </c>
      <c r="F51" s="7" t="str">
        <f>HYPERLINK("http://press.fideli.com/d/156973/","URLを開く")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83</v>
      </c>
      <c r="B52" s="8" t="s">
        <v>33</v>
      </c>
      <c r="C52" s="15" t="s">
        <v>48</v>
      </c>
      <c r="D52" s="6" t="s">
        <v>76</v>
      </c>
      <c r="E52" s="6" t="s">
        <v>109</v>
      </c>
      <c r="F52" s="7" t="str">
        <f>HYPERLINK("https://news.infoseek.co.jp/article/dreamnews_0000156973/","URLを開く")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8" t="s">
        <v>83</v>
      </c>
      <c r="B53" s="8" t="s">
        <v>33</v>
      </c>
      <c r="C53" s="15" t="s">
        <v>50</v>
      </c>
      <c r="D53" s="6" t="s">
        <v>76</v>
      </c>
      <c r="E53" s="6" t="s">
        <v>110</v>
      </c>
      <c r="F53" s="7" t="str">
        <f>HYPERLINK("http://markezine.jp/release/detail/771922","URLを開く")</f>
        <v>URLを開く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</row>
    <row r="54" spans="1:11" x14ac:dyDescent="0.15">
      <c r="A54" s="8" t="s">
        <v>83</v>
      </c>
      <c r="B54" s="8" t="s">
        <v>33</v>
      </c>
      <c r="C54" s="15" t="s">
        <v>52</v>
      </c>
      <c r="D54" s="6" t="s">
        <v>76</v>
      </c>
      <c r="E54" s="6" t="s">
        <v>111</v>
      </c>
      <c r="F54" s="7" t="str">
        <f>HYPERLINK("http://news.nplus-inc.co.jp/index.php?action=ViewDetail&amp;number=385729","URLを開く")</f>
        <v>URLを開く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</row>
    <row r="55" spans="1:11" x14ac:dyDescent="0.15">
      <c r="A55" s="8" t="s">
        <v>83</v>
      </c>
      <c r="B55" s="8" t="s">
        <v>33</v>
      </c>
      <c r="C55" s="15" t="s">
        <v>37</v>
      </c>
      <c r="D55" s="6" t="s">
        <v>76</v>
      </c>
      <c r="E55" s="6" t="s">
        <v>112</v>
      </c>
      <c r="F55" s="7" t="str">
        <f>HYPERLINK("http://www.seotools.jp/news/id_0000156973.html","URLを開く")</f>
        <v>URLを開く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</row>
    <row r="56" spans="1:11" x14ac:dyDescent="0.15">
      <c r="A56" s="8" t="s">
        <v>83</v>
      </c>
      <c r="B56" s="8" t="s">
        <v>33</v>
      </c>
      <c r="C56" s="15" t="s">
        <v>54</v>
      </c>
      <c r="D56" s="6" t="s">
        <v>76</v>
      </c>
      <c r="E56" s="6" t="s">
        <v>113</v>
      </c>
      <c r="F56" s="7" t="str">
        <f>HYPERLINK("https://miyabiz.com/special/dreamNews/detail.php?id=0000156973","URLを開く")</f>
        <v>URLを開く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</row>
    <row r="57" spans="1:11" x14ac:dyDescent="0.15">
      <c r="A57" s="8" t="s">
        <v>83</v>
      </c>
      <c r="B57" s="8" t="s">
        <v>33</v>
      </c>
      <c r="C57" s="15" t="s">
        <v>56</v>
      </c>
      <c r="D57" s="6" t="s">
        <v>76</v>
      </c>
      <c r="E57" s="6" t="s">
        <v>114</v>
      </c>
      <c r="F57" s="7" t="str">
        <f>HYPERLINK("http://newsnavi.jp/detail/633031/","URLを開く")</f>
        <v>URLを開く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</row>
    <row r="58" spans="1:11" x14ac:dyDescent="0.15">
      <c r="A58" s="8" t="s">
        <v>83</v>
      </c>
      <c r="B58" s="8" t="s">
        <v>33</v>
      </c>
      <c r="C58" s="15" t="s">
        <v>58</v>
      </c>
      <c r="D58" s="6" t="s">
        <v>76</v>
      </c>
      <c r="E58" s="6" t="s">
        <v>115</v>
      </c>
      <c r="F58" s="7" t="str">
        <f>HYPERLINK("http://www.topics.or.jp/press/news/2017/07/DreamNewsDN0000156973.html","URLを開く")</f>
        <v>URLを開く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</row>
    <row r="59" spans="1:11" x14ac:dyDescent="0.15">
      <c r="A59" s="8" t="s">
        <v>83</v>
      </c>
      <c r="B59" s="8" t="s">
        <v>33</v>
      </c>
      <c r="C59" s="15" t="s">
        <v>60</v>
      </c>
      <c r="D59" s="6" t="s">
        <v>76</v>
      </c>
      <c r="E59" s="6" t="s">
        <v>116</v>
      </c>
      <c r="F59" s="7" t="str">
        <f>HYPERLINK("http://www.asahi.com/and_M/information/pressrelease/Cdpress000156973.html","URLを開く")</f>
        <v>URLを開く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</row>
    <row r="60" spans="1:11" x14ac:dyDescent="0.15">
      <c r="A60" s="8" t="s">
        <v>83</v>
      </c>
      <c r="B60" s="8" t="s">
        <v>33</v>
      </c>
      <c r="C60" s="15" t="s">
        <v>62</v>
      </c>
      <c r="D60" s="6" t="s">
        <v>76</v>
      </c>
      <c r="E60" s="6" t="s">
        <v>117</v>
      </c>
      <c r="F60" s="7" t="str">
        <f>HYPERLINK("http://www.jprime.jp/ud/pressrelease/guid/dn0000156973","URLを開く")</f>
        <v>URLを開く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</row>
    <row r="61" spans="1:11" x14ac:dyDescent="0.15">
      <c r="A61" s="8" t="s">
        <v>83</v>
      </c>
      <c r="B61" s="8" t="s">
        <v>33</v>
      </c>
      <c r="C61" s="15" t="s">
        <v>64</v>
      </c>
      <c r="D61" s="6" t="s">
        <v>118</v>
      </c>
      <c r="E61" s="6" t="s">
        <v>119</v>
      </c>
      <c r="F61" s="7" t="str">
        <f>HYPERLINK("http://www.excite.co.jp/News/release/20170724/Dreamnews_0000156973.html","URLを開く")</f>
        <v>URLを開く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</row>
    <row r="62" spans="1:11" x14ac:dyDescent="0.15">
      <c r="A62" s="8" t="s">
        <v>83</v>
      </c>
      <c r="B62" s="8" t="s">
        <v>33</v>
      </c>
      <c r="C62" s="15" t="s">
        <v>67</v>
      </c>
      <c r="D62" s="6" t="s">
        <v>120</v>
      </c>
      <c r="E62" s="6" t="s">
        <v>121</v>
      </c>
      <c r="F62" s="7" t="str">
        <f>HYPERLINK("http://home.kingsoft.jp/news/pr/dreamnews/0000156973.html","URLを開く")</f>
        <v>URLを開く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</row>
    <row r="63" spans="1:11" x14ac:dyDescent="0.15">
      <c r="A63" s="8" t="s">
        <v>83</v>
      </c>
      <c r="B63" s="8" t="s">
        <v>33</v>
      </c>
      <c r="C63" s="15" t="s">
        <v>70</v>
      </c>
      <c r="D63" s="6" t="s">
        <v>122</v>
      </c>
      <c r="E63" s="6" t="s">
        <v>123</v>
      </c>
      <c r="F63" s="7" t="str">
        <f>HYPERLINK("http://news.toremaga.com/release/others/976096.html","URLを開く")</f>
        <v>URLを開く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</row>
    <row r="64" spans="1:11" x14ac:dyDescent="0.15">
      <c r="A64" s="8" t="s">
        <v>83</v>
      </c>
      <c r="B64" s="8" t="s">
        <v>33</v>
      </c>
      <c r="C64" s="15" t="s">
        <v>73</v>
      </c>
      <c r="D64" s="6" t="s">
        <v>124</v>
      </c>
      <c r="E64" s="6" t="s">
        <v>125</v>
      </c>
      <c r="F64" s="7" t="str">
        <f>HYPERLINK("http://www.mapion.co.jp/news/release/dn0000156973-all/","URLを開く")</f>
        <v>URLを開く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</row>
    <row r="65" spans="1:11" x14ac:dyDescent="0.15">
      <c r="A65" s="8" t="s">
        <v>126</v>
      </c>
      <c r="B65" s="8" t="s">
        <v>127</v>
      </c>
      <c r="C65" s="15" t="s">
        <v>37</v>
      </c>
      <c r="D65" s="6" t="s">
        <v>128</v>
      </c>
      <c r="E65" s="6" t="s">
        <v>129</v>
      </c>
      <c r="F65" s="7" t="str">
        <f>HYPERLINK("http://www.seotools.jp/news/id_0000156588.html","URLを開く")</f>
        <v>URLを開く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</row>
    <row r="66" spans="1:11" x14ac:dyDescent="0.15">
      <c r="A66" s="8" t="s">
        <v>126</v>
      </c>
      <c r="B66" s="8" t="s">
        <v>127</v>
      </c>
      <c r="C66" s="15" t="s">
        <v>40</v>
      </c>
      <c r="D66" s="6" t="s">
        <v>130</v>
      </c>
      <c r="E66" s="6" t="s">
        <v>131</v>
      </c>
      <c r="F66" s="7" t="str">
        <f>HYPERLINK("https://business.nifty.com/cs/catalog/business_release/catalog_drm0000156588_1.htm","URLを開く")</f>
        <v>URLを開く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</row>
    <row r="67" spans="1:11" x14ac:dyDescent="0.15">
      <c r="A67" s="8" t="s">
        <v>126</v>
      </c>
      <c r="B67" s="8" t="s">
        <v>127</v>
      </c>
      <c r="C67" s="15" t="s">
        <v>43</v>
      </c>
      <c r="D67" s="6" t="s">
        <v>130</v>
      </c>
      <c r="E67" s="6" t="s">
        <v>132</v>
      </c>
      <c r="F67" s="7" t="str">
        <f>HYPERLINK("https://news.biglobe.ne.jp/economy/0718/dre_170718_6086063478.html","URLを開く")</f>
        <v>URLを開く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</row>
    <row r="68" spans="1:11" x14ac:dyDescent="0.15">
      <c r="A68" s="8" t="s">
        <v>126</v>
      </c>
      <c r="B68" s="8" t="s">
        <v>127</v>
      </c>
      <c r="C68" s="15" t="s">
        <v>45</v>
      </c>
      <c r="D68" s="6" t="s">
        <v>130</v>
      </c>
      <c r="E68" s="6" t="s">
        <v>133</v>
      </c>
      <c r="F68" s="7" t="str">
        <f>HYPERLINK("http://press.fideli.com/d/156588/","URLを開く")</f>
        <v>URLを開く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</row>
    <row r="69" spans="1:11" x14ac:dyDescent="0.15">
      <c r="A69" s="8" t="s">
        <v>126</v>
      </c>
      <c r="B69" s="8" t="s">
        <v>127</v>
      </c>
      <c r="C69" s="15" t="s">
        <v>45</v>
      </c>
      <c r="D69" s="6" t="s">
        <v>130</v>
      </c>
      <c r="E69" s="6" t="s">
        <v>134</v>
      </c>
      <c r="F69" s="7" t="str">
        <f>HYPERLINK("http://press.fideli.com/d/156588/5","URLを開く")</f>
        <v>URLを開く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</row>
    <row r="70" spans="1:11" x14ac:dyDescent="0.15">
      <c r="A70" s="8" t="s">
        <v>126</v>
      </c>
      <c r="B70" s="8" t="s">
        <v>127</v>
      </c>
      <c r="C70" s="15" t="s">
        <v>48</v>
      </c>
      <c r="D70" s="6" t="s">
        <v>130</v>
      </c>
      <c r="E70" s="6" t="s">
        <v>135</v>
      </c>
      <c r="F70" s="7" t="str">
        <f>HYPERLINK("https://news.infoseek.co.jp/article/dreamnews_0000156588/","URLを開く")</f>
        <v>URLを開く</v>
      </c>
      <c r="G70" s="10" t="s">
        <v>20</v>
      </c>
      <c r="H70" s="10" t="s">
        <v>20</v>
      </c>
      <c r="I70" s="10" t="s">
        <v>20</v>
      </c>
      <c r="J70" s="10" t="s">
        <v>20</v>
      </c>
      <c r="K70" s="10" t="s">
        <v>20</v>
      </c>
    </row>
    <row r="71" spans="1:11" x14ac:dyDescent="0.15">
      <c r="A71" s="8" t="s">
        <v>126</v>
      </c>
      <c r="B71" s="8" t="s">
        <v>127</v>
      </c>
      <c r="C71" s="15" t="s">
        <v>52</v>
      </c>
      <c r="D71" s="6" t="s">
        <v>130</v>
      </c>
      <c r="E71" s="6" t="s">
        <v>136</v>
      </c>
      <c r="F71" s="7" t="str">
        <f>HYPERLINK("http://news.nplus-inc.co.jp/index.php?action=ViewDetail&amp;number=384813","URLを開く")</f>
        <v>URLを開く</v>
      </c>
      <c r="G71" s="10" t="s">
        <v>20</v>
      </c>
      <c r="H71" s="10" t="s">
        <v>20</v>
      </c>
      <c r="I71" s="10" t="s">
        <v>20</v>
      </c>
      <c r="J71" s="10" t="s">
        <v>20</v>
      </c>
      <c r="K71" s="10" t="s">
        <v>20</v>
      </c>
    </row>
    <row r="72" spans="1:11" x14ac:dyDescent="0.15">
      <c r="A72" s="8" t="s">
        <v>126</v>
      </c>
      <c r="B72" s="8" t="s">
        <v>127</v>
      </c>
      <c r="C72" s="15" t="s">
        <v>54</v>
      </c>
      <c r="D72" s="6" t="s">
        <v>130</v>
      </c>
      <c r="E72" s="6" t="s">
        <v>137</v>
      </c>
      <c r="F72" s="7" t="str">
        <f>HYPERLINK("https://miyabiz.com/special/dreamNews/detail.php?id=0000156588","URLを開く")</f>
        <v>URLを開く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</row>
    <row r="73" spans="1:11" x14ac:dyDescent="0.15">
      <c r="A73" s="8" t="s">
        <v>126</v>
      </c>
      <c r="B73" s="8" t="s">
        <v>127</v>
      </c>
      <c r="C73" s="15" t="s">
        <v>56</v>
      </c>
      <c r="D73" s="6" t="s">
        <v>130</v>
      </c>
      <c r="E73" s="6" t="s">
        <v>138</v>
      </c>
      <c r="F73" s="7" t="str">
        <f>HYPERLINK("http://newsnavi.jp/detail/630182/","URLを開く")</f>
        <v>URLを開く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</row>
    <row r="74" spans="1:11" x14ac:dyDescent="0.15">
      <c r="A74" s="8" t="s">
        <v>126</v>
      </c>
      <c r="B74" s="8" t="s">
        <v>127</v>
      </c>
      <c r="C74" s="15" t="s">
        <v>58</v>
      </c>
      <c r="D74" s="6" t="s">
        <v>130</v>
      </c>
      <c r="E74" s="6" t="s">
        <v>139</v>
      </c>
      <c r="F74" s="7" t="str">
        <f>HYPERLINK("http://www.topics.or.jp/press/news/2017/07/DreamNewsDN0000156588.html","URLを開く")</f>
        <v>URLを開く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</row>
    <row r="75" spans="1:11" x14ac:dyDescent="0.15">
      <c r="A75" s="8" t="s">
        <v>126</v>
      </c>
      <c r="B75" s="8" t="s">
        <v>127</v>
      </c>
      <c r="C75" s="15" t="s">
        <v>60</v>
      </c>
      <c r="D75" s="6" t="s">
        <v>130</v>
      </c>
      <c r="E75" s="6" t="s">
        <v>140</v>
      </c>
      <c r="F75" s="7" t="str">
        <f>HYPERLINK("http://www.asahi.com/and_M/information/pressrelease/Cdpress000156588.html","URLを開く")</f>
        <v>URLを開く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</row>
    <row r="76" spans="1:11" x14ac:dyDescent="0.15">
      <c r="A76" s="8" t="s">
        <v>126</v>
      </c>
      <c r="B76" s="8" t="s">
        <v>127</v>
      </c>
      <c r="C76" s="15" t="s">
        <v>50</v>
      </c>
      <c r="D76" s="6" t="s">
        <v>141</v>
      </c>
      <c r="E76" s="6" t="s">
        <v>142</v>
      </c>
      <c r="F76" s="7" t="str">
        <f>HYPERLINK("http://markezine.jp/release/detail/769409","URLを開く")</f>
        <v>URLを開く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</row>
    <row r="77" spans="1:11" x14ac:dyDescent="0.15">
      <c r="A77" s="8" t="s">
        <v>126</v>
      </c>
      <c r="B77" s="8" t="s">
        <v>127</v>
      </c>
      <c r="C77" s="15" t="s">
        <v>67</v>
      </c>
      <c r="D77" s="6" t="s">
        <v>143</v>
      </c>
      <c r="E77" s="6" t="s">
        <v>144</v>
      </c>
      <c r="F77" s="7" t="str">
        <f>HYPERLINK("http://home.kingsoft.jp/news/pr/dreamnews/0000156588.html","URLを開く")</f>
        <v>URLを開く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</row>
    <row r="78" spans="1:11" x14ac:dyDescent="0.15">
      <c r="A78" s="8" t="s">
        <v>126</v>
      </c>
      <c r="B78" s="8" t="s">
        <v>127</v>
      </c>
      <c r="C78" s="15" t="s">
        <v>70</v>
      </c>
      <c r="D78" s="6" t="s">
        <v>145</v>
      </c>
      <c r="E78" s="6" t="s">
        <v>146</v>
      </c>
      <c r="F78" s="7" t="str">
        <f>HYPERLINK("http://news.toremaga.com/release/others/973446.html","URLを開く")</f>
        <v>URLを開く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</row>
    <row r="79" spans="1:11" x14ac:dyDescent="0.15">
      <c r="A79" s="8" t="s">
        <v>126</v>
      </c>
      <c r="B79" s="8" t="s">
        <v>127</v>
      </c>
      <c r="C79" s="15" t="s">
        <v>73</v>
      </c>
      <c r="D79" s="6" t="s">
        <v>147</v>
      </c>
      <c r="E79" s="6" t="s">
        <v>148</v>
      </c>
      <c r="F79" s="7" t="str">
        <f>HYPERLINK("http://www.mapion.co.jp/news/release/dn0000156588-all/","URLを開く")</f>
        <v>URLを開く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</row>
    <row r="80" spans="1:11" x14ac:dyDescent="0.15">
      <c r="A80" s="8" t="s">
        <v>126</v>
      </c>
      <c r="B80" s="8" t="s">
        <v>127</v>
      </c>
      <c r="C80" s="15" t="s">
        <v>40</v>
      </c>
      <c r="D80" s="6" t="s">
        <v>149</v>
      </c>
      <c r="E80" s="6" t="s">
        <v>150</v>
      </c>
      <c r="F80" s="7" t="str">
        <f>HYPERLINK("https://business.nifty.com/cs/catalog/business_release/catalog_drm0000156596_1.htm","URLを開く")</f>
        <v>URLを開く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</row>
    <row r="81" spans="1:11" x14ac:dyDescent="0.15">
      <c r="A81" s="8" t="s">
        <v>126</v>
      </c>
      <c r="B81" s="8" t="s">
        <v>127</v>
      </c>
      <c r="C81" s="15" t="s">
        <v>43</v>
      </c>
      <c r="D81" s="6" t="s">
        <v>149</v>
      </c>
      <c r="E81" s="6" t="s">
        <v>151</v>
      </c>
      <c r="F81" s="7" t="str">
        <f>HYPERLINK("https://news.biglobe.ne.jp/economy/0718/dre_170718_7480121243.html","URLを開く")</f>
        <v>URLを開く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</row>
    <row r="82" spans="1:11" x14ac:dyDescent="0.15">
      <c r="A82" s="8" t="s">
        <v>126</v>
      </c>
      <c r="B82" s="8" t="s">
        <v>127</v>
      </c>
      <c r="C82" s="15" t="s">
        <v>45</v>
      </c>
      <c r="D82" s="6" t="s">
        <v>149</v>
      </c>
      <c r="E82" s="6" t="s">
        <v>152</v>
      </c>
      <c r="F82" s="7" t="str">
        <f>HYPERLINK("http://press.fideli.com/d/156596/","URLを開く")</f>
        <v>URLを開く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</row>
    <row r="83" spans="1:11" x14ac:dyDescent="0.15">
      <c r="A83" s="8" t="s">
        <v>126</v>
      </c>
      <c r="B83" s="8" t="s">
        <v>127</v>
      </c>
      <c r="C83" s="15" t="s">
        <v>45</v>
      </c>
      <c r="D83" s="6" t="s">
        <v>149</v>
      </c>
      <c r="E83" s="6" t="s">
        <v>153</v>
      </c>
      <c r="F83" s="7" t="str">
        <f>HYPERLINK("http://press.fideli.com/d/156596/5","URLを開く")</f>
        <v>URLを開く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</row>
    <row r="84" spans="1:11" x14ac:dyDescent="0.15">
      <c r="A84" s="8" t="s">
        <v>126</v>
      </c>
      <c r="B84" s="8" t="s">
        <v>127</v>
      </c>
      <c r="C84" s="15" t="s">
        <v>48</v>
      </c>
      <c r="D84" s="6" t="s">
        <v>149</v>
      </c>
      <c r="E84" s="6" t="s">
        <v>154</v>
      </c>
      <c r="F84" s="7" t="str">
        <f>HYPERLINK("https://news.infoseek.co.jp/article/dreamnews_0000156596/","URLを開く")</f>
        <v>URLを開く</v>
      </c>
      <c r="G84" s="10" t="s">
        <v>20</v>
      </c>
      <c r="H84" s="10" t="s">
        <v>20</v>
      </c>
      <c r="I84" s="10" t="s">
        <v>20</v>
      </c>
      <c r="J84" s="10" t="s">
        <v>20</v>
      </c>
      <c r="K84" s="10" t="s">
        <v>20</v>
      </c>
    </row>
    <row r="85" spans="1:11" x14ac:dyDescent="0.15">
      <c r="A85" s="8" t="s">
        <v>126</v>
      </c>
      <c r="B85" s="8" t="s">
        <v>127</v>
      </c>
      <c r="C85" s="15" t="s">
        <v>52</v>
      </c>
      <c r="D85" s="6" t="s">
        <v>149</v>
      </c>
      <c r="E85" s="6" t="s">
        <v>155</v>
      </c>
      <c r="F85" s="7" t="str">
        <f>HYPERLINK("http://news.nplus-inc.co.jp/index.php?action=ViewDetail&amp;number=384814","URLを開く")</f>
        <v>URLを開く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</row>
    <row r="86" spans="1:11" x14ac:dyDescent="0.15">
      <c r="A86" s="8" t="s">
        <v>126</v>
      </c>
      <c r="B86" s="8" t="s">
        <v>127</v>
      </c>
      <c r="C86" s="15" t="s">
        <v>37</v>
      </c>
      <c r="D86" s="6" t="s">
        <v>149</v>
      </c>
      <c r="E86" s="6" t="s">
        <v>156</v>
      </c>
      <c r="F86" s="7" t="str">
        <f>HYPERLINK("http://www.seotools.jp/news/id_0000156596.html","URLを開く")</f>
        <v>URLを開く</v>
      </c>
      <c r="G86" s="10" t="s">
        <v>20</v>
      </c>
      <c r="H86" s="10" t="s">
        <v>20</v>
      </c>
      <c r="I86" s="10" t="s">
        <v>20</v>
      </c>
      <c r="J86" s="10" t="s">
        <v>20</v>
      </c>
      <c r="K86" s="10" t="s">
        <v>20</v>
      </c>
    </row>
    <row r="87" spans="1:11" x14ac:dyDescent="0.15">
      <c r="A87" s="8" t="s">
        <v>126</v>
      </c>
      <c r="B87" s="8" t="s">
        <v>127</v>
      </c>
      <c r="C87" s="15" t="s">
        <v>54</v>
      </c>
      <c r="D87" s="6" t="s">
        <v>149</v>
      </c>
      <c r="E87" s="6" t="s">
        <v>157</v>
      </c>
      <c r="F87" s="7" t="str">
        <f>HYPERLINK("https://miyabiz.com/special/dreamNews/detail.php?id=0000156596","URLを開く")</f>
        <v>URLを開く</v>
      </c>
      <c r="G87" s="10" t="s">
        <v>20</v>
      </c>
      <c r="H87" s="10" t="s">
        <v>20</v>
      </c>
      <c r="I87" s="10" t="s">
        <v>20</v>
      </c>
      <c r="J87" s="10" t="s">
        <v>20</v>
      </c>
      <c r="K87" s="10" t="s">
        <v>20</v>
      </c>
    </row>
    <row r="88" spans="1:11" x14ac:dyDescent="0.15">
      <c r="A88" s="8" t="s">
        <v>126</v>
      </c>
      <c r="B88" s="8" t="s">
        <v>127</v>
      </c>
      <c r="C88" s="15" t="s">
        <v>56</v>
      </c>
      <c r="D88" s="6" t="s">
        <v>149</v>
      </c>
      <c r="E88" s="6" t="s">
        <v>158</v>
      </c>
      <c r="F88" s="7" t="str">
        <f>HYPERLINK("http://newsnavi.jp/detail/630183/","URLを開く")</f>
        <v>URLを開く</v>
      </c>
      <c r="G88" s="10" t="s">
        <v>20</v>
      </c>
      <c r="H88" s="10" t="s">
        <v>20</v>
      </c>
      <c r="I88" s="10" t="s">
        <v>20</v>
      </c>
      <c r="J88" s="10" t="s">
        <v>20</v>
      </c>
      <c r="K88" s="10" t="s">
        <v>20</v>
      </c>
    </row>
    <row r="89" spans="1:11" x14ac:dyDescent="0.15">
      <c r="A89" s="8" t="s">
        <v>126</v>
      </c>
      <c r="B89" s="8" t="s">
        <v>127</v>
      </c>
      <c r="C89" s="15" t="s">
        <v>58</v>
      </c>
      <c r="D89" s="6" t="s">
        <v>149</v>
      </c>
      <c r="E89" s="6" t="s">
        <v>159</v>
      </c>
      <c r="F89" s="7" t="str">
        <f>HYPERLINK("http://www.topics.or.jp/press/news/2017/07/DreamNewsDN0000156596.html","URLを開く")</f>
        <v>URLを開く</v>
      </c>
      <c r="G89" s="10" t="s">
        <v>20</v>
      </c>
      <c r="H89" s="10" t="s">
        <v>20</v>
      </c>
      <c r="I89" s="10" t="s">
        <v>20</v>
      </c>
      <c r="J89" s="10" t="s">
        <v>20</v>
      </c>
      <c r="K89" s="10" t="s">
        <v>20</v>
      </c>
    </row>
    <row r="90" spans="1:11" x14ac:dyDescent="0.15">
      <c r="A90" s="8" t="s">
        <v>126</v>
      </c>
      <c r="B90" s="8" t="s">
        <v>127</v>
      </c>
      <c r="C90" s="15" t="s">
        <v>60</v>
      </c>
      <c r="D90" s="6" t="s">
        <v>149</v>
      </c>
      <c r="E90" s="6" t="s">
        <v>160</v>
      </c>
      <c r="F90" s="7" t="str">
        <f>HYPERLINK("http://www.asahi.com/and_M/information/pressrelease/Cdpress000156596.html","URLを開く")</f>
        <v>URLを開く</v>
      </c>
      <c r="G90" s="10" t="s">
        <v>20</v>
      </c>
      <c r="H90" s="10" t="s">
        <v>20</v>
      </c>
      <c r="I90" s="10" t="s">
        <v>20</v>
      </c>
      <c r="J90" s="10" t="s">
        <v>20</v>
      </c>
      <c r="K90" s="10" t="s">
        <v>20</v>
      </c>
    </row>
    <row r="91" spans="1:11" x14ac:dyDescent="0.15">
      <c r="A91" s="8" t="s">
        <v>126</v>
      </c>
      <c r="B91" s="8" t="s">
        <v>127</v>
      </c>
      <c r="C91" s="15" t="s">
        <v>50</v>
      </c>
      <c r="D91" s="6" t="s">
        <v>161</v>
      </c>
      <c r="E91" s="6" t="s">
        <v>162</v>
      </c>
      <c r="F91" s="7" t="str">
        <f>HYPERLINK("http://markezine.jp/release/detail/769408","URLを開く")</f>
        <v>URLを開く</v>
      </c>
      <c r="G91" s="10" t="s">
        <v>20</v>
      </c>
      <c r="H91" s="10" t="s">
        <v>20</v>
      </c>
      <c r="I91" s="10" t="s">
        <v>20</v>
      </c>
      <c r="J91" s="10" t="s">
        <v>20</v>
      </c>
      <c r="K91" s="10" t="s">
        <v>20</v>
      </c>
    </row>
    <row r="92" spans="1:11" x14ac:dyDescent="0.15">
      <c r="A92" s="8" t="s">
        <v>126</v>
      </c>
      <c r="B92" s="8" t="s">
        <v>127</v>
      </c>
      <c r="C92" s="15" t="s">
        <v>67</v>
      </c>
      <c r="D92" s="6" t="s">
        <v>163</v>
      </c>
      <c r="E92" s="6" t="s">
        <v>164</v>
      </c>
      <c r="F92" s="7" t="str">
        <f>HYPERLINK("http://home.kingsoft.jp/news/pr/dreamnews/0000156596.html","URLを開く")</f>
        <v>URLを開く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</row>
    <row r="93" spans="1:11" x14ac:dyDescent="0.15">
      <c r="A93" s="8" t="s">
        <v>126</v>
      </c>
      <c r="B93" s="8" t="s">
        <v>127</v>
      </c>
      <c r="C93" s="15" t="s">
        <v>70</v>
      </c>
      <c r="D93" s="6" t="s">
        <v>165</v>
      </c>
      <c r="E93" s="6" t="s">
        <v>166</v>
      </c>
      <c r="F93" s="7" t="str">
        <f>HYPERLINK("http://news.toremaga.com/release/others/973445.html","URLを開く")</f>
        <v>URLを開く</v>
      </c>
      <c r="G93" s="10" t="s">
        <v>20</v>
      </c>
      <c r="H93" s="10" t="s">
        <v>20</v>
      </c>
      <c r="I93" s="10" t="s">
        <v>20</v>
      </c>
      <c r="J93" s="10" t="s">
        <v>20</v>
      </c>
      <c r="K93" s="10" t="s">
        <v>20</v>
      </c>
    </row>
    <row r="94" spans="1:11" x14ac:dyDescent="0.15">
      <c r="A94" s="8" t="s">
        <v>126</v>
      </c>
      <c r="B94" s="8" t="s">
        <v>127</v>
      </c>
      <c r="C94" s="15" t="s">
        <v>73</v>
      </c>
      <c r="D94" s="6" t="s">
        <v>167</v>
      </c>
      <c r="E94" s="6" t="s">
        <v>168</v>
      </c>
      <c r="F94" s="7" t="str">
        <f>HYPERLINK("http://www.mapion.co.jp/news/release/dn0000156596-all/","URLを開く")</f>
        <v>URLを開く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</row>
    <row r="95" spans="1:11" x14ac:dyDescent="0.15">
      <c r="A95" s="8" t="s">
        <v>126</v>
      </c>
      <c r="B95" s="8" t="s">
        <v>127</v>
      </c>
      <c r="C95" s="15" t="s">
        <v>62</v>
      </c>
      <c r="D95" s="6" t="s">
        <v>169</v>
      </c>
      <c r="E95" s="6" t="s">
        <v>170</v>
      </c>
      <c r="F95" s="7" t="str">
        <f>HYPERLINK("http://www.jprime.jp/ud/pressrelease/guid/dn0000156588","URLを開く")</f>
        <v>URLを開く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</row>
    <row r="96" spans="1:11" x14ac:dyDescent="0.15">
      <c r="A96" s="8" t="s">
        <v>126</v>
      </c>
      <c r="B96" s="8" t="s">
        <v>127</v>
      </c>
      <c r="C96" s="15" t="s">
        <v>62</v>
      </c>
      <c r="D96" s="6" t="s">
        <v>169</v>
      </c>
      <c r="E96" s="6" t="s">
        <v>171</v>
      </c>
      <c r="F96" s="7" t="str">
        <f>HYPERLINK("http://www.jprime.jp/ud/pressrelease/guid/dn0000156596","URLを開く")</f>
        <v>URLを開く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</row>
    <row r="97" spans="1:11" x14ac:dyDescent="0.15">
      <c r="A97" s="8" t="s">
        <v>172</v>
      </c>
      <c r="B97" s="8" t="s">
        <v>173</v>
      </c>
      <c r="C97" s="15" t="s">
        <v>56</v>
      </c>
      <c r="D97" s="6" t="s">
        <v>174</v>
      </c>
      <c r="E97" s="6" t="s">
        <v>175</v>
      </c>
      <c r="F97" s="7" t="str">
        <f>HYPERLINK("http://newsnavi.jp/detail/626987/","URLを開く")</f>
        <v>URLを開く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</row>
    <row r="98" spans="1:11" x14ac:dyDescent="0.15">
      <c r="A98" s="8" t="s">
        <v>176</v>
      </c>
      <c r="B98" s="8" t="s">
        <v>172</v>
      </c>
      <c r="C98" s="15" t="s">
        <v>23</v>
      </c>
      <c r="D98" s="6" t="s">
        <v>177</v>
      </c>
      <c r="E98" s="6" t="s">
        <v>178</v>
      </c>
      <c r="F98" s="7" t="str">
        <f>HYPERLINK("http://www.bizloop.jp/release/DRN0000156227/","URLを開く")</f>
        <v>URLを開く</v>
      </c>
      <c r="G98" s="10" t="s">
        <v>20</v>
      </c>
      <c r="H98" s="10" t="s">
        <v>20</v>
      </c>
      <c r="I98" s="10" t="s">
        <v>20</v>
      </c>
      <c r="J98" s="10" t="s">
        <v>20</v>
      </c>
      <c r="K98" s="10" t="s">
        <v>20</v>
      </c>
    </row>
    <row r="99" spans="1:11" x14ac:dyDescent="0.15">
      <c r="A99" s="8" t="s">
        <v>176</v>
      </c>
      <c r="B99" s="8" t="s">
        <v>172</v>
      </c>
      <c r="C99" s="15" t="s">
        <v>179</v>
      </c>
      <c r="D99" s="6" t="s">
        <v>180</v>
      </c>
      <c r="E99" s="6" t="s">
        <v>181</v>
      </c>
      <c r="F99" s="7" t="str">
        <f>HYPERLINK("http://start.jword.jp/topics/link/1102132/animan","URLを開く")</f>
        <v>URLを開く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</row>
    <row r="100" spans="1:11" x14ac:dyDescent="0.15">
      <c r="A100" s="8" t="s">
        <v>176</v>
      </c>
      <c r="B100" s="8" t="s">
        <v>172</v>
      </c>
      <c r="C100" s="15" t="s">
        <v>182</v>
      </c>
      <c r="D100" s="6" t="s">
        <v>183</v>
      </c>
      <c r="E100" s="6" t="s">
        <v>184</v>
      </c>
      <c r="F100" s="7" t="str">
        <f>HYPERLINK("https://headlines.yahoo.co.jp/hl?a=20170712-00000025-minkei-l45","URLを開く")</f>
        <v>URLを開く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</row>
    <row r="101" spans="1:11" x14ac:dyDescent="0.15">
      <c r="A101" s="8" t="s">
        <v>185</v>
      </c>
      <c r="B101" s="8" t="s">
        <v>176</v>
      </c>
      <c r="C101" s="15" t="s">
        <v>34</v>
      </c>
      <c r="D101" s="6" t="s">
        <v>174</v>
      </c>
      <c r="E101" s="6" t="s">
        <v>186</v>
      </c>
      <c r="F101" s="7" t="str">
        <f>HYPERLINK("http://www.kigyou-sns.com/press/press_226587/","URLを開く")</f>
        <v>URLを開く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</row>
    <row r="102" spans="1:11" x14ac:dyDescent="0.15">
      <c r="A102" s="8" t="s">
        <v>187</v>
      </c>
      <c r="B102" s="8" t="s">
        <v>185</v>
      </c>
      <c r="C102" s="15" t="s">
        <v>40</v>
      </c>
      <c r="D102" s="6" t="s">
        <v>174</v>
      </c>
      <c r="E102" s="6" t="s">
        <v>188</v>
      </c>
      <c r="F102" s="7" t="str">
        <f>HYPERLINK("https://business.nifty.com/cs/catalog/business_release/catalog_drm0000156227_1.htm","URLを開く")</f>
        <v>URLを開く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</row>
    <row r="103" spans="1:11" x14ac:dyDescent="0.15">
      <c r="A103" s="8" t="s">
        <v>187</v>
      </c>
      <c r="B103" s="8" t="s">
        <v>185</v>
      </c>
      <c r="C103" s="15" t="s">
        <v>43</v>
      </c>
      <c r="D103" s="6" t="s">
        <v>174</v>
      </c>
      <c r="E103" s="6" t="s">
        <v>189</v>
      </c>
      <c r="F103" s="7" t="str">
        <f>HYPERLINK("https://news.biglobe.ne.jp/economy/0710/dre_170710_1128989658.html","URLを開く")</f>
        <v>URLを開く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</row>
    <row r="104" spans="1:11" x14ac:dyDescent="0.15">
      <c r="A104" s="8" t="s">
        <v>187</v>
      </c>
      <c r="B104" s="8" t="s">
        <v>185</v>
      </c>
      <c r="C104" s="15" t="s">
        <v>48</v>
      </c>
      <c r="D104" s="6" t="s">
        <v>174</v>
      </c>
      <c r="E104" s="6" t="s">
        <v>190</v>
      </c>
      <c r="F104" s="7" t="str">
        <f>HYPERLINK("https://news.infoseek.co.jp/article/dreamnews_0000156227/","URLを開く")</f>
        <v>URLを開く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</row>
    <row r="105" spans="1:11" x14ac:dyDescent="0.15">
      <c r="A105" s="8" t="s">
        <v>187</v>
      </c>
      <c r="B105" s="8" t="s">
        <v>185</v>
      </c>
      <c r="C105" s="15" t="s">
        <v>52</v>
      </c>
      <c r="D105" s="6" t="s">
        <v>174</v>
      </c>
      <c r="E105" s="6" t="s">
        <v>191</v>
      </c>
      <c r="F105" s="7" t="str">
        <f>HYPERLINK("http://news.nplus-inc.co.jp/index.php?action=ViewDetail&amp;number=383645","URLを開く")</f>
        <v>URLを開く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</row>
    <row r="106" spans="1:11" x14ac:dyDescent="0.15">
      <c r="A106" s="8" t="s">
        <v>187</v>
      </c>
      <c r="B106" s="8" t="s">
        <v>185</v>
      </c>
      <c r="C106" s="15" t="s">
        <v>37</v>
      </c>
      <c r="D106" s="6" t="s">
        <v>174</v>
      </c>
      <c r="E106" s="6" t="s">
        <v>192</v>
      </c>
      <c r="F106" s="7" t="str">
        <f>HYPERLINK("http://www.seotools.jp/news/id_0000156227.html","URLを開く")</f>
        <v>URLを開く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</row>
    <row r="107" spans="1:11" x14ac:dyDescent="0.15">
      <c r="A107" s="8" t="s">
        <v>187</v>
      </c>
      <c r="B107" s="8" t="s">
        <v>185</v>
      </c>
      <c r="C107" s="15" t="s">
        <v>54</v>
      </c>
      <c r="D107" s="6" t="s">
        <v>174</v>
      </c>
      <c r="E107" s="6" t="s">
        <v>193</v>
      </c>
      <c r="F107" s="7" t="str">
        <f>HYPERLINK("https://miyabiz.com/special/dreamNews/detail.php?id=0000156227","URLを開く")</f>
        <v>URLを開く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</row>
    <row r="108" spans="1:11" x14ac:dyDescent="0.15">
      <c r="A108" s="8" t="s">
        <v>187</v>
      </c>
      <c r="B108" s="8" t="s">
        <v>185</v>
      </c>
      <c r="C108" s="15" t="s">
        <v>194</v>
      </c>
      <c r="D108" s="6" t="s">
        <v>174</v>
      </c>
      <c r="E108" s="6" t="s">
        <v>195</v>
      </c>
      <c r="F108" s="7" t="str">
        <f>HYPERLINK("http://press.fideli.com/d/156227/","URLを開く")</f>
        <v>URLを開く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 t="s">
        <v>20</v>
      </c>
    </row>
    <row r="109" spans="1:11" x14ac:dyDescent="0.15">
      <c r="A109" s="8" t="s">
        <v>187</v>
      </c>
      <c r="B109" s="8" t="s">
        <v>185</v>
      </c>
      <c r="C109" s="15" t="s">
        <v>194</v>
      </c>
      <c r="D109" s="6" t="s">
        <v>174</v>
      </c>
      <c r="E109" s="6" t="s">
        <v>196</v>
      </c>
      <c r="F109" s="7" t="str">
        <f>HYPERLINK("http://press.fideli.com/d/156227/7","URLを開く")</f>
        <v>URLを開く</v>
      </c>
      <c r="G109" s="10" t="s">
        <v>20</v>
      </c>
      <c r="H109" s="10" t="s">
        <v>20</v>
      </c>
      <c r="I109" s="10" t="s">
        <v>20</v>
      </c>
      <c r="J109" s="10" t="s">
        <v>20</v>
      </c>
      <c r="K109" s="10" t="s">
        <v>20</v>
      </c>
    </row>
    <row r="110" spans="1:11" x14ac:dyDescent="0.15">
      <c r="A110" s="8" t="s">
        <v>187</v>
      </c>
      <c r="B110" s="8" t="s">
        <v>185</v>
      </c>
      <c r="C110" s="15" t="s">
        <v>58</v>
      </c>
      <c r="D110" s="6" t="s">
        <v>174</v>
      </c>
      <c r="E110" s="6" t="s">
        <v>197</v>
      </c>
      <c r="F110" s="7" t="str">
        <f>HYPERLINK("http://www.topics.or.jp/press/news/2017/07/DreamNewsDN0000156227.html","URLを開く")</f>
        <v>URLを開く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 t="s">
        <v>20</v>
      </c>
    </row>
    <row r="111" spans="1:11" x14ac:dyDescent="0.15">
      <c r="A111" s="8" t="s">
        <v>187</v>
      </c>
      <c r="B111" s="8" t="s">
        <v>185</v>
      </c>
      <c r="C111" s="15" t="s">
        <v>60</v>
      </c>
      <c r="D111" s="6" t="s">
        <v>174</v>
      </c>
      <c r="E111" s="6" t="s">
        <v>198</v>
      </c>
      <c r="F111" s="7" t="str">
        <f>HYPERLINK("http://www.asahi.com/and_M/information/pressrelease/Cdpress000156227.html","URLを開く")</f>
        <v>URLを開く</v>
      </c>
      <c r="G111" s="10" t="s">
        <v>20</v>
      </c>
      <c r="H111" s="10" t="s">
        <v>20</v>
      </c>
      <c r="I111" s="10" t="s">
        <v>20</v>
      </c>
      <c r="J111" s="10" t="s">
        <v>20</v>
      </c>
      <c r="K111" s="10" t="s">
        <v>20</v>
      </c>
    </row>
    <row r="112" spans="1:11" x14ac:dyDescent="0.15">
      <c r="A112" s="8" t="s">
        <v>187</v>
      </c>
      <c r="B112" s="8" t="s">
        <v>185</v>
      </c>
      <c r="C112" s="15" t="s">
        <v>64</v>
      </c>
      <c r="D112" s="6" t="s">
        <v>199</v>
      </c>
      <c r="E112" s="6" t="s">
        <v>200</v>
      </c>
      <c r="F112" s="7" t="str">
        <f>HYPERLINK("http://www.excite.co.jp/News/release/20170710/Dreamnews_0000156227.html","URLを開く")</f>
        <v>URLを開く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</row>
    <row r="113" spans="1:11" x14ac:dyDescent="0.15">
      <c r="A113" s="8" t="s">
        <v>187</v>
      </c>
      <c r="B113" s="8" t="s">
        <v>185</v>
      </c>
      <c r="C113" s="15" t="s">
        <v>50</v>
      </c>
      <c r="D113" s="6" t="s">
        <v>201</v>
      </c>
      <c r="E113" s="6" t="s">
        <v>202</v>
      </c>
      <c r="F113" s="7" t="str">
        <f>HYPERLINK("http://markezine.jp/release/detail/766274","URLを開く")</f>
        <v>URLを開く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 t="s">
        <v>20</v>
      </c>
    </row>
    <row r="114" spans="1:11" x14ac:dyDescent="0.15">
      <c r="A114" s="8" t="s">
        <v>187</v>
      </c>
      <c r="B114" s="8" t="s">
        <v>185</v>
      </c>
      <c r="C114" s="15" t="s">
        <v>67</v>
      </c>
      <c r="D114" s="6" t="s">
        <v>203</v>
      </c>
      <c r="E114" s="6" t="s">
        <v>204</v>
      </c>
      <c r="F114" s="7" t="str">
        <f>HYPERLINK("http://home.kingsoft.jp/news/pr/dreamnews/0000156227.html","URLを開く")</f>
        <v>URLを開く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</row>
    <row r="115" spans="1:11" x14ac:dyDescent="0.15">
      <c r="A115" s="8" t="s">
        <v>187</v>
      </c>
      <c r="B115" s="8" t="s">
        <v>185</v>
      </c>
      <c r="C115" s="15" t="s">
        <v>70</v>
      </c>
      <c r="D115" s="6" t="s">
        <v>205</v>
      </c>
      <c r="E115" s="6" t="s">
        <v>206</v>
      </c>
      <c r="F115" s="7" t="str">
        <f>HYPERLINK("http://news.toremaga.com/entertainment/others/970023.html","URLを開く")</f>
        <v>URLを開く</v>
      </c>
      <c r="G115" s="10" t="s">
        <v>20</v>
      </c>
      <c r="H115" s="10" t="s">
        <v>20</v>
      </c>
      <c r="I115" s="10" t="s">
        <v>20</v>
      </c>
      <c r="J115" s="10" t="s">
        <v>20</v>
      </c>
      <c r="K115" s="10" t="s">
        <v>20</v>
      </c>
    </row>
    <row r="116" spans="1:11" x14ac:dyDescent="0.15">
      <c r="A116" s="8" t="s">
        <v>187</v>
      </c>
      <c r="B116" s="8" t="s">
        <v>185</v>
      </c>
      <c r="C116" s="15" t="s">
        <v>70</v>
      </c>
      <c r="D116" s="6" t="s">
        <v>205</v>
      </c>
      <c r="E116" s="6" t="s">
        <v>207</v>
      </c>
      <c r="F116" s="7" t="str">
        <f>HYPERLINK("http://news.toremaga.com/release/others/970023.html","URLを開く")</f>
        <v>URLを開く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 t="s">
        <v>20</v>
      </c>
    </row>
    <row r="117" spans="1:11" x14ac:dyDescent="0.15">
      <c r="A117" s="8" t="s">
        <v>187</v>
      </c>
      <c r="B117" s="8" t="s">
        <v>185</v>
      </c>
      <c r="C117" s="15" t="s">
        <v>73</v>
      </c>
      <c r="D117" s="6" t="s">
        <v>208</v>
      </c>
      <c r="E117" s="6" t="s">
        <v>209</v>
      </c>
      <c r="F117" s="7" t="str">
        <f>HYPERLINK("http://www.mapion.co.jp/news/release/dn0000156227-all/","URLを開く")</f>
        <v>URLを開く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10" t="s">
        <v>20</v>
      </c>
    </row>
    <row r="118" spans="1:11" x14ac:dyDescent="0.15">
      <c r="A118" s="8" t="s">
        <v>210</v>
      </c>
      <c r="B118" s="8" t="s">
        <v>211</v>
      </c>
      <c r="C118" s="15" t="s">
        <v>34</v>
      </c>
      <c r="D118" s="6" t="s">
        <v>212</v>
      </c>
      <c r="E118" s="6" t="s">
        <v>213</v>
      </c>
      <c r="F118" s="7" t="str">
        <f>HYPERLINK("http://www.kigyou-sns.com/press/press_225966/","URLを開く")</f>
        <v>URLを開く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 t="s">
        <v>20</v>
      </c>
    </row>
    <row r="119" spans="1:11" x14ac:dyDescent="0.15">
      <c r="A119" s="8" t="s">
        <v>214</v>
      </c>
      <c r="B119" s="8" t="s">
        <v>210</v>
      </c>
      <c r="C119" s="15" t="s">
        <v>23</v>
      </c>
      <c r="D119" s="6" t="s">
        <v>215</v>
      </c>
      <c r="E119" s="6" t="s">
        <v>216</v>
      </c>
      <c r="F119" s="7" t="str">
        <f>HYPERLINK("http://www.bizloop.jp/release/DRN0000155706/","URLを開く")</f>
        <v>URLを開く</v>
      </c>
      <c r="G119" s="10" t="s">
        <v>20</v>
      </c>
      <c r="H119" s="10" t="s">
        <v>20</v>
      </c>
      <c r="I119" s="10" t="s">
        <v>20</v>
      </c>
      <c r="J119" s="10" t="s">
        <v>20</v>
      </c>
      <c r="K119" s="10" t="s">
        <v>20</v>
      </c>
    </row>
    <row r="120" spans="1:11" x14ac:dyDescent="0.15">
      <c r="A120" s="8" t="s">
        <v>217</v>
      </c>
      <c r="B120" s="8" t="s">
        <v>214</v>
      </c>
      <c r="C120" s="15" t="s">
        <v>40</v>
      </c>
      <c r="D120" s="6" t="s">
        <v>212</v>
      </c>
      <c r="E120" s="6" t="s">
        <v>218</v>
      </c>
      <c r="F120" s="7" t="str">
        <f>HYPERLINK("https://business.nifty.com/cs/catalog/business_release/catalog_drm0000155706_1.htm","URLを開く")</f>
        <v>URLを開く</v>
      </c>
      <c r="G120" s="10" t="s">
        <v>20</v>
      </c>
      <c r="H120" s="10" t="s">
        <v>20</v>
      </c>
      <c r="I120" s="10" t="s">
        <v>20</v>
      </c>
      <c r="J120" s="10" t="s">
        <v>20</v>
      </c>
      <c r="K120" s="10" t="s">
        <v>20</v>
      </c>
    </row>
    <row r="121" spans="1:11" x14ac:dyDescent="0.15">
      <c r="A121" s="8" t="s">
        <v>217</v>
      </c>
      <c r="B121" s="8" t="s">
        <v>214</v>
      </c>
      <c r="C121" s="15" t="s">
        <v>43</v>
      </c>
      <c r="D121" s="6" t="s">
        <v>212</v>
      </c>
      <c r="E121" s="6" t="s">
        <v>219</v>
      </c>
      <c r="F121" s="7" t="str">
        <f>HYPERLINK("https://news.biglobe.ne.jp/economy/0704/dre_170704_8914854179.html","URLを開く")</f>
        <v>URLを開く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 t="s">
        <v>20</v>
      </c>
    </row>
    <row r="122" spans="1:11" x14ac:dyDescent="0.15">
      <c r="A122" s="8" t="s">
        <v>217</v>
      </c>
      <c r="B122" s="8" t="s">
        <v>214</v>
      </c>
      <c r="C122" s="15" t="s">
        <v>48</v>
      </c>
      <c r="D122" s="6" t="s">
        <v>212</v>
      </c>
      <c r="E122" s="6" t="s">
        <v>220</v>
      </c>
      <c r="F122" s="7" t="str">
        <f>HYPERLINK("https://news.infoseek.co.jp/article/dreamnews_0000155706/","URLを開く")</f>
        <v>URLを開く</v>
      </c>
      <c r="G122" s="10" t="s">
        <v>20</v>
      </c>
      <c r="H122" s="10" t="s">
        <v>20</v>
      </c>
      <c r="I122" s="10" t="s">
        <v>20</v>
      </c>
      <c r="J122" s="10" t="s">
        <v>20</v>
      </c>
      <c r="K122" s="10" t="s">
        <v>20</v>
      </c>
    </row>
    <row r="123" spans="1:11" x14ac:dyDescent="0.15">
      <c r="A123" s="8" t="s">
        <v>217</v>
      </c>
      <c r="B123" s="8" t="s">
        <v>214</v>
      </c>
      <c r="C123" s="15" t="s">
        <v>52</v>
      </c>
      <c r="D123" s="6" t="s">
        <v>212</v>
      </c>
      <c r="E123" s="6" t="s">
        <v>221</v>
      </c>
      <c r="F123" s="7" t="str">
        <f>HYPERLINK("http://news.nplus-inc.co.jp/index.php?action=ViewDetail&amp;number=382864","URLを開く")</f>
        <v>URLを開く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 t="s">
        <v>20</v>
      </c>
    </row>
    <row r="124" spans="1:11" x14ac:dyDescent="0.15">
      <c r="A124" s="8" t="s">
        <v>217</v>
      </c>
      <c r="B124" s="8" t="s">
        <v>214</v>
      </c>
      <c r="C124" s="15" t="s">
        <v>37</v>
      </c>
      <c r="D124" s="6" t="s">
        <v>212</v>
      </c>
      <c r="E124" s="6" t="s">
        <v>222</v>
      </c>
      <c r="F124" s="7" t="str">
        <f>HYPERLINK("http://www.seotools.jp/news/id_0000155706.html","URLを開く")</f>
        <v>URLを開く</v>
      </c>
      <c r="G124" s="10" t="s">
        <v>20</v>
      </c>
      <c r="H124" s="10" t="s">
        <v>20</v>
      </c>
      <c r="I124" s="10" t="s">
        <v>20</v>
      </c>
      <c r="J124" s="10" t="s">
        <v>20</v>
      </c>
      <c r="K124" s="10" t="s">
        <v>20</v>
      </c>
    </row>
    <row r="125" spans="1:11" x14ac:dyDescent="0.15">
      <c r="A125" s="8" t="s">
        <v>217</v>
      </c>
      <c r="B125" s="8" t="s">
        <v>214</v>
      </c>
      <c r="C125" s="15" t="s">
        <v>56</v>
      </c>
      <c r="D125" s="6" t="s">
        <v>212</v>
      </c>
      <c r="E125" s="6" t="s">
        <v>223</v>
      </c>
      <c r="F125" s="7" t="str">
        <f>HYPERLINK("http://newsnavi.jp/detail/624623/","URLを開く")</f>
        <v>URLを開く</v>
      </c>
      <c r="G125" s="10" t="s">
        <v>20</v>
      </c>
      <c r="H125" s="10" t="s">
        <v>20</v>
      </c>
      <c r="I125" s="10" t="s">
        <v>20</v>
      </c>
      <c r="J125" s="10" t="s">
        <v>20</v>
      </c>
      <c r="K125" s="10" t="s">
        <v>20</v>
      </c>
    </row>
    <row r="126" spans="1:11" x14ac:dyDescent="0.15">
      <c r="A126" s="8" t="s">
        <v>217</v>
      </c>
      <c r="B126" s="8" t="s">
        <v>214</v>
      </c>
      <c r="C126" s="15" t="s">
        <v>194</v>
      </c>
      <c r="D126" s="6" t="s">
        <v>212</v>
      </c>
      <c r="E126" s="6" t="s">
        <v>224</v>
      </c>
      <c r="F126" s="7" t="str">
        <f>HYPERLINK("http://press.fideli.com/d/155706/","URLを開く")</f>
        <v>URLを開く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 t="s">
        <v>20</v>
      </c>
    </row>
    <row r="127" spans="1:11" x14ac:dyDescent="0.15">
      <c r="A127" s="8" t="s">
        <v>217</v>
      </c>
      <c r="B127" s="8" t="s">
        <v>214</v>
      </c>
      <c r="C127" s="15" t="s">
        <v>194</v>
      </c>
      <c r="D127" s="6" t="s">
        <v>212</v>
      </c>
      <c r="E127" s="6" t="s">
        <v>225</v>
      </c>
      <c r="F127" s="7" t="str">
        <f>HYPERLINK("http://press.fideli.com/d/155706/7","URLを開く")</f>
        <v>URLを開く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 t="s">
        <v>20</v>
      </c>
    </row>
    <row r="128" spans="1:11" x14ac:dyDescent="0.15">
      <c r="A128" s="8" t="s">
        <v>217</v>
      </c>
      <c r="B128" s="8" t="s">
        <v>214</v>
      </c>
      <c r="C128" s="15" t="s">
        <v>58</v>
      </c>
      <c r="D128" s="6" t="s">
        <v>212</v>
      </c>
      <c r="E128" s="6" t="s">
        <v>226</v>
      </c>
      <c r="F128" s="7" t="str">
        <f>HYPERLINK("http://www.topics.or.jp/press/news/2017/07/DreamNewsDN0000155706.html","URLを開く")</f>
        <v>URLを開く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 t="s">
        <v>20</v>
      </c>
    </row>
    <row r="129" spans="1:11" x14ac:dyDescent="0.15">
      <c r="A129" s="8" t="s">
        <v>217</v>
      </c>
      <c r="B129" s="8" t="s">
        <v>214</v>
      </c>
      <c r="C129" s="15" t="s">
        <v>60</v>
      </c>
      <c r="D129" s="6" t="s">
        <v>212</v>
      </c>
      <c r="E129" s="6" t="s">
        <v>227</v>
      </c>
      <c r="F129" s="7" t="str">
        <f>HYPERLINK("http://www.asahi.com/and_M/information/pressrelease/Cdpress000155706.html","URLを開く")</f>
        <v>URLを開く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</row>
    <row r="130" spans="1:11" x14ac:dyDescent="0.15">
      <c r="A130" s="8" t="s">
        <v>217</v>
      </c>
      <c r="B130" s="8" t="s">
        <v>214</v>
      </c>
      <c r="C130" s="15" t="s">
        <v>64</v>
      </c>
      <c r="D130" s="6" t="s">
        <v>228</v>
      </c>
      <c r="E130" s="6" t="s">
        <v>229</v>
      </c>
      <c r="F130" s="7" t="str">
        <f>HYPERLINK("http://www.excite.co.jp/News/release/20170704/Dreamnews_0000155706.html","URLを開く")</f>
        <v>URLを開く</v>
      </c>
      <c r="G130" s="10" t="s">
        <v>20</v>
      </c>
      <c r="H130" s="10" t="s">
        <v>20</v>
      </c>
      <c r="I130" s="10" t="s">
        <v>20</v>
      </c>
      <c r="J130" s="10" t="s">
        <v>20</v>
      </c>
      <c r="K130" s="10" t="s">
        <v>20</v>
      </c>
    </row>
    <row r="131" spans="1:11" x14ac:dyDescent="0.15">
      <c r="A131" s="8" t="s">
        <v>217</v>
      </c>
      <c r="B131" s="8" t="s">
        <v>214</v>
      </c>
      <c r="C131" s="15" t="s">
        <v>50</v>
      </c>
      <c r="D131" s="6" t="s">
        <v>230</v>
      </c>
      <c r="E131" s="6" t="s">
        <v>231</v>
      </c>
      <c r="F131" s="7" t="str">
        <f>HYPERLINK("http://markezine.jp/release/detail/763972","URLを開く")</f>
        <v>URLを開く</v>
      </c>
      <c r="G131" s="10" t="s">
        <v>20</v>
      </c>
      <c r="H131" s="10" t="s">
        <v>20</v>
      </c>
      <c r="I131" s="10" t="s">
        <v>20</v>
      </c>
      <c r="J131" s="10" t="s">
        <v>20</v>
      </c>
      <c r="K131" s="10" t="s">
        <v>20</v>
      </c>
    </row>
    <row r="132" spans="1:11" x14ac:dyDescent="0.15">
      <c r="A132" s="8" t="s">
        <v>217</v>
      </c>
      <c r="B132" s="8" t="s">
        <v>214</v>
      </c>
      <c r="C132" s="15" t="s">
        <v>67</v>
      </c>
      <c r="D132" s="6" t="s">
        <v>232</v>
      </c>
      <c r="E132" s="6" t="s">
        <v>233</v>
      </c>
      <c r="F132" s="7" t="str">
        <f>HYPERLINK("http://home.kingsoft.jp/news/pr/dreamnews/0000155706.html","URLを開く")</f>
        <v>URLを開く</v>
      </c>
      <c r="G132" s="10" t="s">
        <v>20</v>
      </c>
      <c r="H132" s="10" t="s">
        <v>20</v>
      </c>
      <c r="I132" s="10" t="s">
        <v>20</v>
      </c>
      <c r="J132" s="10" t="s">
        <v>20</v>
      </c>
      <c r="K132" s="10" t="s">
        <v>20</v>
      </c>
    </row>
    <row r="133" spans="1:11" x14ac:dyDescent="0.15">
      <c r="A133" s="8" t="s">
        <v>217</v>
      </c>
      <c r="B133" s="8" t="s">
        <v>214</v>
      </c>
      <c r="C133" s="15" t="s">
        <v>70</v>
      </c>
      <c r="D133" s="6" t="s">
        <v>234</v>
      </c>
      <c r="E133" s="6" t="s">
        <v>235</v>
      </c>
      <c r="F133" s="7" t="str">
        <f>HYPERLINK("http://news.toremaga.com/release/others/967570.html","URLを開く")</f>
        <v>URLを開く</v>
      </c>
      <c r="G133" s="10" t="s">
        <v>20</v>
      </c>
      <c r="H133" s="10" t="s">
        <v>20</v>
      </c>
      <c r="I133" s="10" t="s">
        <v>20</v>
      </c>
      <c r="J133" s="10" t="s">
        <v>20</v>
      </c>
      <c r="K133" s="10" t="s">
        <v>20</v>
      </c>
    </row>
    <row r="134" spans="1:11" x14ac:dyDescent="0.15">
      <c r="A134" s="8" t="s">
        <v>217</v>
      </c>
      <c r="B134" s="8" t="s">
        <v>214</v>
      </c>
      <c r="C134" s="15" t="s">
        <v>73</v>
      </c>
      <c r="D134" s="6" t="s">
        <v>236</v>
      </c>
      <c r="E134" s="6" t="s">
        <v>237</v>
      </c>
      <c r="F134" s="7" t="str">
        <f>HYPERLINK("http://www.mapion.co.jp/news/release/dn0000155706-all/","URLを開く")</f>
        <v>URLを開く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 t="s">
        <v>20</v>
      </c>
    </row>
    <row r="135" spans="1:11" x14ac:dyDescent="0.15">
      <c r="A135" s="8" t="s">
        <v>238</v>
      </c>
      <c r="B135" s="8" t="s">
        <v>217</v>
      </c>
      <c r="C135" s="15" t="s">
        <v>50</v>
      </c>
      <c r="D135" s="6" t="s">
        <v>239</v>
      </c>
      <c r="E135" s="6" t="s">
        <v>240</v>
      </c>
      <c r="F135" s="7" t="str">
        <f>HYPERLINK("http://markezine.jp/release/detail/763317","URLを開く")</f>
        <v>URLを開く</v>
      </c>
      <c r="G135" s="10" t="s">
        <v>20</v>
      </c>
      <c r="H135" s="10" t="s">
        <v>20</v>
      </c>
      <c r="I135" s="10" t="s">
        <v>20</v>
      </c>
      <c r="J135" s="10" t="s">
        <v>20</v>
      </c>
      <c r="K135" s="10" t="s">
        <v>20</v>
      </c>
    </row>
    <row r="136" spans="1:11" x14ac:dyDescent="0.15">
      <c r="A136" s="8" t="s">
        <v>238</v>
      </c>
      <c r="B136" s="8" t="s">
        <v>217</v>
      </c>
      <c r="C136" s="15" t="s">
        <v>40</v>
      </c>
      <c r="D136" s="6" t="s">
        <v>241</v>
      </c>
      <c r="E136" s="6" t="s">
        <v>242</v>
      </c>
      <c r="F136" s="7" t="str">
        <f>HYPERLINK("https://business.nifty.com/cs/catalog/business_release/catalog_drm0000155700_1.htm","URLを開く")</f>
        <v>URLを開く</v>
      </c>
      <c r="G136" s="10" t="s">
        <v>20</v>
      </c>
      <c r="H136" s="10" t="s">
        <v>20</v>
      </c>
      <c r="I136" s="10" t="s">
        <v>20</v>
      </c>
      <c r="J136" s="10" t="s">
        <v>20</v>
      </c>
      <c r="K136" s="10" t="s">
        <v>20</v>
      </c>
    </row>
    <row r="137" spans="1:11" x14ac:dyDescent="0.15">
      <c r="A137" s="8" t="s">
        <v>238</v>
      </c>
      <c r="B137" s="8" t="s">
        <v>217</v>
      </c>
      <c r="C137" s="15" t="s">
        <v>43</v>
      </c>
      <c r="D137" s="6" t="s">
        <v>241</v>
      </c>
      <c r="E137" s="6" t="s">
        <v>243</v>
      </c>
      <c r="F137" s="7" t="str">
        <f>HYPERLINK("https://news.biglobe.ne.jp/economy/0703/dre_170703_6702838866.html","URLを開く")</f>
        <v>URLを開く</v>
      </c>
      <c r="G137" s="10" t="s">
        <v>20</v>
      </c>
      <c r="H137" s="10" t="s">
        <v>20</v>
      </c>
      <c r="I137" s="10" t="s">
        <v>20</v>
      </c>
      <c r="J137" s="10" t="s">
        <v>20</v>
      </c>
      <c r="K137" s="10" t="s">
        <v>20</v>
      </c>
    </row>
    <row r="138" spans="1:11" x14ac:dyDescent="0.15">
      <c r="A138" s="8" t="s">
        <v>238</v>
      </c>
      <c r="B138" s="8" t="s">
        <v>217</v>
      </c>
      <c r="C138" s="15" t="s">
        <v>48</v>
      </c>
      <c r="D138" s="6" t="s">
        <v>241</v>
      </c>
      <c r="E138" s="6" t="s">
        <v>244</v>
      </c>
      <c r="F138" s="7" t="str">
        <f>HYPERLINK("https://news.infoseek.co.jp/article/dreamnews_0000155700/","URLを開く")</f>
        <v>URLを開く</v>
      </c>
      <c r="G138" s="10" t="s">
        <v>20</v>
      </c>
      <c r="H138" s="10" t="s">
        <v>20</v>
      </c>
      <c r="I138" s="10" t="s">
        <v>20</v>
      </c>
      <c r="J138" s="10" t="s">
        <v>20</v>
      </c>
      <c r="K138" s="10" t="s">
        <v>20</v>
      </c>
    </row>
    <row r="139" spans="1:11" x14ac:dyDescent="0.15">
      <c r="A139" s="8" t="s">
        <v>238</v>
      </c>
      <c r="B139" s="8" t="s">
        <v>217</v>
      </c>
      <c r="C139" s="15" t="s">
        <v>52</v>
      </c>
      <c r="D139" s="6" t="s">
        <v>241</v>
      </c>
      <c r="E139" s="6" t="s">
        <v>245</v>
      </c>
      <c r="F139" s="7" t="str">
        <f>HYPERLINK("http://news.nplus-inc.co.jp/index.php?action=ViewDetail&amp;number=382612","URLを開く")</f>
        <v>URLを開く</v>
      </c>
      <c r="G139" s="10" t="s">
        <v>20</v>
      </c>
      <c r="H139" s="10" t="s">
        <v>20</v>
      </c>
      <c r="I139" s="10" t="s">
        <v>20</v>
      </c>
      <c r="J139" s="10" t="s">
        <v>20</v>
      </c>
      <c r="K139" s="10" t="s">
        <v>20</v>
      </c>
    </row>
    <row r="140" spans="1:11" x14ac:dyDescent="0.15">
      <c r="A140" s="8" t="s">
        <v>238</v>
      </c>
      <c r="B140" s="8" t="s">
        <v>217</v>
      </c>
      <c r="C140" s="15" t="s">
        <v>37</v>
      </c>
      <c r="D140" s="6" t="s">
        <v>241</v>
      </c>
      <c r="E140" s="6" t="s">
        <v>246</v>
      </c>
      <c r="F140" s="7" t="str">
        <f>HYPERLINK("http://www.seotools.jp/news/id_0000155700.html","URLを開く")</f>
        <v>URLを開く</v>
      </c>
      <c r="G140" s="10" t="s">
        <v>20</v>
      </c>
      <c r="H140" s="10" t="s">
        <v>20</v>
      </c>
      <c r="I140" s="10" t="s">
        <v>20</v>
      </c>
      <c r="J140" s="10" t="s">
        <v>20</v>
      </c>
      <c r="K140" s="10" t="s">
        <v>20</v>
      </c>
    </row>
    <row r="141" spans="1:11" x14ac:dyDescent="0.15">
      <c r="A141" s="8" t="s">
        <v>238</v>
      </c>
      <c r="B141" s="8" t="s">
        <v>217</v>
      </c>
      <c r="C141" s="15" t="s">
        <v>54</v>
      </c>
      <c r="D141" s="6" t="s">
        <v>241</v>
      </c>
      <c r="E141" s="6" t="s">
        <v>247</v>
      </c>
      <c r="F141" s="7" t="str">
        <f>HYPERLINK("https://miyabiz.com/special/dreamNews/detail.php?id=0000155700","URLを開く")</f>
        <v>URLを開く</v>
      </c>
      <c r="G141" s="10" t="s">
        <v>20</v>
      </c>
      <c r="H141" s="10" t="s">
        <v>20</v>
      </c>
      <c r="I141" s="10" t="s">
        <v>20</v>
      </c>
      <c r="J141" s="10" t="s">
        <v>20</v>
      </c>
      <c r="K141" s="10" t="s">
        <v>20</v>
      </c>
    </row>
    <row r="142" spans="1:11" x14ac:dyDescent="0.15">
      <c r="A142" s="8" t="s">
        <v>238</v>
      </c>
      <c r="B142" s="8" t="s">
        <v>217</v>
      </c>
      <c r="C142" s="15" t="s">
        <v>56</v>
      </c>
      <c r="D142" s="6" t="s">
        <v>241</v>
      </c>
      <c r="E142" s="6" t="s">
        <v>248</v>
      </c>
      <c r="F142" s="7" t="str">
        <f>HYPERLINK("http://newsnavi.jp/detail/623992/","URLを開く")</f>
        <v>URLを開く</v>
      </c>
      <c r="G142" s="10" t="s">
        <v>20</v>
      </c>
      <c r="H142" s="10" t="s">
        <v>20</v>
      </c>
      <c r="I142" s="10" t="s">
        <v>20</v>
      </c>
      <c r="J142" s="10" t="s">
        <v>20</v>
      </c>
      <c r="K142" s="10" t="s">
        <v>20</v>
      </c>
    </row>
    <row r="143" spans="1:11" x14ac:dyDescent="0.15">
      <c r="A143" s="8" t="s">
        <v>238</v>
      </c>
      <c r="B143" s="8" t="s">
        <v>217</v>
      </c>
      <c r="C143" s="15" t="s">
        <v>194</v>
      </c>
      <c r="D143" s="6" t="s">
        <v>241</v>
      </c>
      <c r="E143" s="6" t="s">
        <v>249</v>
      </c>
      <c r="F143" s="7" t="str">
        <f>HYPERLINK("http://press.fideli.com/d/155700/5","URLを開く")</f>
        <v>URLを開く</v>
      </c>
      <c r="G143" s="10" t="s">
        <v>20</v>
      </c>
      <c r="H143" s="10" t="s">
        <v>20</v>
      </c>
      <c r="I143" s="10" t="s">
        <v>20</v>
      </c>
      <c r="J143" s="10" t="s">
        <v>20</v>
      </c>
      <c r="K143" s="10" t="s">
        <v>20</v>
      </c>
    </row>
    <row r="144" spans="1:11" x14ac:dyDescent="0.15">
      <c r="A144" s="8" t="s">
        <v>238</v>
      </c>
      <c r="B144" s="8" t="s">
        <v>217</v>
      </c>
      <c r="C144" s="15" t="s">
        <v>194</v>
      </c>
      <c r="D144" s="6" t="s">
        <v>241</v>
      </c>
      <c r="E144" s="6" t="s">
        <v>250</v>
      </c>
      <c r="F144" s="7" t="str">
        <f>HYPERLINK("http://press.fideli.com/d/155700/","URLを開く")</f>
        <v>URLを開く</v>
      </c>
      <c r="G144" s="10" t="s">
        <v>20</v>
      </c>
      <c r="H144" s="10" t="s">
        <v>20</v>
      </c>
      <c r="I144" s="10" t="s">
        <v>20</v>
      </c>
      <c r="J144" s="10" t="s">
        <v>20</v>
      </c>
      <c r="K144" s="10" t="s">
        <v>20</v>
      </c>
    </row>
    <row r="145" spans="1:11" x14ac:dyDescent="0.15">
      <c r="A145" s="8" t="s">
        <v>238</v>
      </c>
      <c r="B145" s="8" t="s">
        <v>217</v>
      </c>
      <c r="C145" s="15" t="s">
        <v>58</v>
      </c>
      <c r="D145" s="6" t="s">
        <v>241</v>
      </c>
      <c r="E145" s="6" t="s">
        <v>251</v>
      </c>
      <c r="F145" s="7" t="str">
        <f>HYPERLINK("http://www.topics.or.jp/press/news/2017/07/DreamNewsDN0000155700.html","URLを開く")</f>
        <v>URLを開く</v>
      </c>
      <c r="G145" s="10" t="s">
        <v>20</v>
      </c>
      <c r="H145" s="10" t="s">
        <v>20</v>
      </c>
      <c r="I145" s="10" t="s">
        <v>20</v>
      </c>
      <c r="J145" s="10" t="s">
        <v>20</v>
      </c>
      <c r="K145" s="10" t="s">
        <v>20</v>
      </c>
    </row>
    <row r="146" spans="1:11" x14ac:dyDescent="0.15">
      <c r="A146" s="8" t="s">
        <v>238</v>
      </c>
      <c r="B146" s="8" t="s">
        <v>217</v>
      </c>
      <c r="C146" s="15" t="s">
        <v>60</v>
      </c>
      <c r="D146" s="6" t="s">
        <v>241</v>
      </c>
      <c r="E146" s="6" t="s">
        <v>252</v>
      </c>
      <c r="F146" s="7" t="str">
        <f>HYPERLINK("http://www.asahi.com/and_M/information/pressrelease/Cdpress000155700.html","URLを開く")</f>
        <v>URLを開く</v>
      </c>
      <c r="G146" s="10" t="s">
        <v>20</v>
      </c>
      <c r="H146" s="10" t="s">
        <v>20</v>
      </c>
      <c r="I146" s="10" t="s">
        <v>20</v>
      </c>
      <c r="J146" s="10" t="s">
        <v>20</v>
      </c>
      <c r="K146" s="10" t="s">
        <v>20</v>
      </c>
    </row>
    <row r="147" spans="1:11" x14ac:dyDescent="0.15">
      <c r="A147" s="8" t="s">
        <v>238</v>
      </c>
      <c r="B147" s="8" t="s">
        <v>217</v>
      </c>
      <c r="C147" s="15" t="s">
        <v>64</v>
      </c>
      <c r="D147" s="6" t="s">
        <v>253</v>
      </c>
      <c r="E147" s="6" t="s">
        <v>254</v>
      </c>
      <c r="F147" s="7" t="str">
        <f>HYPERLINK("http://www.excite.co.jp/News/release/20170703/Dreamnews_0000155700.html","URLを開く")</f>
        <v>URLを開く</v>
      </c>
      <c r="G147" s="10" t="s">
        <v>20</v>
      </c>
      <c r="H147" s="10" t="s">
        <v>20</v>
      </c>
      <c r="I147" s="10" t="s">
        <v>20</v>
      </c>
      <c r="J147" s="10" t="s">
        <v>20</v>
      </c>
      <c r="K147" s="10" t="s">
        <v>20</v>
      </c>
    </row>
    <row r="148" spans="1:11" x14ac:dyDescent="0.15">
      <c r="A148" s="8" t="s">
        <v>238</v>
      </c>
      <c r="B148" s="8" t="s">
        <v>217</v>
      </c>
      <c r="C148" s="15" t="s">
        <v>67</v>
      </c>
      <c r="D148" s="6" t="s">
        <v>255</v>
      </c>
      <c r="E148" s="6" t="s">
        <v>256</v>
      </c>
      <c r="F148" s="7" t="str">
        <f>HYPERLINK("http://home.kingsoft.jp/news/pr/dreamnews/0000155700.html","URLを開く")</f>
        <v>URLを開く</v>
      </c>
      <c r="G148" s="10" t="s">
        <v>20</v>
      </c>
      <c r="H148" s="10" t="s">
        <v>20</v>
      </c>
      <c r="I148" s="10" t="s">
        <v>20</v>
      </c>
      <c r="J148" s="10" t="s">
        <v>20</v>
      </c>
      <c r="K148" s="10" t="s">
        <v>20</v>
      </c>
    </row>
    <row r="149" spans="1:11" x14ac:dyDescent="0.15">
      <c r="A149" s="8" t="s">
        <v>238</v>
      </c>
      <c r="B149" s="8" t="s">
        <v>217</v>
      </c>
      <c r="C149" s="15" t="s">
        <v>70</v>
      </c>
      <c r="D149" s="6" t="s">
        <v>257</v>
      </c>
      <c r="E149" s="6" t="s">
        <v>258</v>
      </c>
      <c r="F149" s="7" t="str">
        <f>HYPERLINK("http://news.toremaga.com/nation/notice/966849.html","URLを開く")</f>
        <v>URLを開く</v>
      </c>
      <c r="G149" s="10" t="s">
        <v>20</v>
      </c>
      <c r="H149" s="10" t="s">
        <v>20</v>
      </c>
      <c r="I149" s="10" t="s">
        <v>20</v>
      </c>
      <c r="J149" s="10" t="s">
        <v>20</v>
      </c>
      <c r="K149" s="10" t="s">
        <v>20</v>
      </c>
    </row>
    <row r="150" spans="1:11" x14ac:dyDescent="0.15">
      <c r="A150" s="8" t="s">
        <v>238</v>
      </c>
      <c r="B150" s="8" t="s">
        <v>217</v>
      </c>
      <c r="C150" s="15" t="s">
        <v>70</v>
      </c>
      <c r="D150" s="6" t="s">
        <v>257</v>
      </c>
      <c r="E150" s="6" t="s">
        <v>259</v>
      </c>
      <c r="F150" s="7" t="str">
        <f>HYPERLINK("http://news.toremaga.com/release/notice/966849.html","URLを開く")</f>
        <v>URLを開く</v>
      </c>
      <c r="G150" s="10" t="s">
        <v>20</v>
      </c>
      <c r="H150" s="10" t="s">
        <v>20</v>
      </c>
      <c r="I150" s="10" t="s">
        <v>20</v>
      </c>
      <c r="J150" s="10" t="s">
        <v>20</v>
      </c>
      <c r="K150" s="10" t="s">
        <v>20</v>
      </c>
    </row>
    <row r="151" spans="1:11" x14ac:dyDescent="0.15">
      <c r="A151" s="8" t="s">
        <v>238</v>
      </c>
      <c r="B151" s="8" t="s">
        <v>217</v>
      </c>
      <c r="C151" s="15" t="s">
        <v>73</v>
      </c>
      <c r="D151" s="6" t="s">
        <v>260</v>
      </c>
      <c r="E151" s="6" t="s">
        <v>261</v>
      </c>
      <c r="F151" s="7" t="str">
        <f>HYPERLINK("http://www.mapion.co.jp/news/release/dn0000155700-all/","URLを開く")</f>
        <v>URLを開く</v>
      </c>
      <c r="G151" s="10" t="s">
        <v>20</v>
      </c>
      <c r="H151" s="10" t="s">
        <v>20</v>
      </c>
      <c r="I151" s="10" t="s">
        <v>20</v>
      </c>
      <c r="J151" s="10" t="s">
        <v>20</v>
      </c>
      <c r="K151" s="10" t="s">
        <v>20</v>
      </c>
    </row>
    <row r="152" spans="1:11" x14ac:dyDescent="0.15">
      <c r="A152" s="9"/>
      <c r="B152" s="9"/>
      <c r="C152" s="16"/>
      <c r="D152" s="1"/>
      <c r="E152" s="1"/>
      <c r="F152" s="1"/>
    </row>
    <row r="153" spans="1:11" x14ac:dyDescent="0.15">
      <c r="A153" s="1"/>
      <c r="B153" s="1"/>
      <c r="C153" s="16"/>
      <c r="D153" s="1"/>
      <c r="E153" s="1"/>
    </row>
    <row r="154" spans="1:11" x14ac:dyDescent="0.15">
      <c r="A154" s="1"/>
      <c r="B154" s="1"/>
      <c r="C154" s="16"/>
      <c r="D154" s="1"/>
      <c r="E154" s="1"/>
    </row>
    <row r="155" spans="1:11" x14ac:dyDescent="0.15">
      <c r="A155" s="1"/>
      <c r="B155" s="1"/>
      <c r="C155" s="16"/>
      <c r="D155" s="1"/>
      <c r="E155" s="1"/>
    </row>
    <row r="156" spans="1:11" x14ac:dyDescent="0.15">
      <c r="A156" s="1"/>
      <c r="B156" s="1"/>
      <c r="C156" s="16"/>
      <c r="D156" s="1"/>
      <c r="E156" s="1"/>
    </row>
    <row r="157" spans="1:11" x14ac:dyDescent="0.15">
      <c r="A157" s="1"/>
      <c r="B157" s="1"/>
      <c r="C157" s="16"/>
      <c r="D157" s="1"/>
      <c r="E157" s="1"/>
    </row>
    <row r="158" spans="1:11" x14ac:dyDescent="0.15">
      <c r="A158" s="1"/>
      <c r="B158" s="1"/>
      <c r="C158" s="16"/>
      <c r="D158" s="1"/>
      <c r="E158" s="1"/>
    </row>
    <row r="159" spans="1:11" x14ac:dyDescent="0.15">
      <c r="A159" s="1"/>
      <c r="B159" s="1"/>
      <c r="C159" s="16"/>
      <c r="D159" s="1"/>
      <c r="E159" s="1"/>
    </row>
    <row r="160" spans="1:11" x14ac:dyDescent="0.15">
      <c r="A160" s="1"/>
      <c r="B160" s="1"/>
      <c r="C160" s="16"/>
      <c r="D160" s="1"/>
      <c r="E160" s="1"/>
    </row>
    <row r="161" spans="1:5" x14ac:dyDescent="0.15">
      <c r="A161" s="1"/>
      <c r="B161" s="1"/>
      <c r="C161" s="16"/>
      <c r="D161" s="1"/>
      <c r="E161" s="1"/>
    </row>
  </sheetData>
  <mergeCells count="3">
    <mergeCell ref="E4:F4"/>
    <mergeCell ref="B1:D1"/>
    <mergeCell ref="B2:D2"/>
  </mergeCells>
  <phoneticPr fontId="2"/>
  <pageMargins left="0.23622047244094491" right="0.23622047244094491" top="0.70866141732283472" bottom="0.70866141732283472" header="0.31496062992125984" footer="0.31496062992125984"/>
  <pageSetup paperSize="9" scale="7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showGridLines="0" zoomScale="75" zoomScaleNormal="75" workbookViewId="0">
      <pane ySplit="4" topLeftCell="A5" activePane="bottomLeft" state="frozen"/>
      <selection pane="bottomLeft"/>
    </sheetView>
  </sheetViews>
  <sheetFormatPr defaultColWidth="11" defaultRowHeight="13.5" x14ac:dyDescent="0.15"/>
  <cols>
    <col min="1" max="2" width="11.75" customWidth="1"/>
    <col min="3" max="3" width="29" style="17" customWidth="1"/>
    <col min="4" max="4" width="47.25" customWidth="1"/>
    <col min="5" max="6" width="8.75" customWidth="1"/>
    <col min="8" max="12" width="11" customWidth="1"/>
  </cols>
  <sheetData>
    <row r="1" spans="1:11" s="3" customFormat="1" ht="36" customHeight="1" x14ac:dyDescent="0.15">
      <c r="A1" s="2" t="s">
        <v>1</v>
      </c>
      <c r="B1" s="35" t="s">
        <v>9</v>
      </c>
      <c r="C1" s="36"/>
      <c r="D1" s="37"/>
    </row>
    <row r="2" spans="1:11" s="3" customFormat="1" ht="36" customHeight="1" x14ac:dyDescent="0.15">
      <c r="A2" s="14" t="s">
        <v>8</v>
      </c>
      <c r="B2" s="38">
        <v>170</v>
      </c>
      <c r="C2" s="39"/>
      <c r="D2" s="40"/>
    </row>
    <row r="3" spans="1:11" s="3" customFormat="1" ht="36" customHeight="1" x14ac:dyDescent="0.15">
      <c r="B3" s="18"/>
      <c r="C3" s="18"/>
      <c r="D3" s="18"/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535</v>
      </c>
      <c r="B4" s="19" t="s">
        <v>6</v>
      </c>
      <c r="C4" s="19" t="s">
        <v>536</v>
      </c>
      <c r="D4" s="20" t="s">
        <v>537</v>
      </c>
      <c r="E4" s="30" t="s">
        <v>538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22" t="s">
        <v>539</v>
      </c>
      <c r="B5" s="22" t="s">
        <v>540</v>
      </c>
      <c r="C5" s="23" t="s">
        <v>541</v>
      </c>
      <c r="D5" s="24" t="s">
        <v>542</v>
      </c>
      <c r="E5" s="24" t="s">
        <v>543</v>
      </c>
      <c r="F5" s="25" t="str">
        <f>HYPERLINK("https://ryukyushimpo.jp/mainichi/entry-565535.html","URLを開く")</f>
        <v>URLを開く</v>
      </c>
      <c r="G5" s="26" t="s">
        <v>20</v>
      </c>
      <c r="H5" s="26" t="s">
        <v>20</v>
      </c>
      <c r="I5" s="26" t="s">
        <v>20</v>
      </c>
      <c r="J5" s="26" t="s">
        <v>20</v>
      </c>
      <c r="K5" s="26" t="s">
        <v>20</v>
      </c>
    </row>
    <row r="6" spans="1:11" x14ac:dyDescent="0.15">
      <c r="A6" s="22" t="s">
        <v>539</v>
      </c>
      <c r="B6" s="22" t="s">
        <v>540</v>
      </c>
      <c r="C6" s="23" t="s">
        <v>48</v>
      </c>
      <c r="D6" s="24" t="s">
        <v>544</v>
      </c>
      <c r="E6" s="24" t="s">
        <v>545</v>
      </c>
      <c r="F6" s="25" t="str">
        <f>HYPERLINK("https://news.infoseek.co.jp/article/mainichi_20170831k0000m040045000c/","URLを開く")</f>
        <v>URLを開く</v>
      </c>
      <c r="G6" s="26" t="s">
        <v>20</v>
      </c>
      <c r="H6" s="26" t="s">
        <v>20</v>
      </c>
      <c r="I6" s="26" t="s">
        <v>20</v>
      </c>
      <c r="J6" s="26" t="s">
        <v>20</v>
      </c>
      <c r="K6" s="26" t="s">
        <v>20</v>
      </c>
    </row>
    <row r="7" spans="1:11" x14ac:dyDescent="0.15">
      <c r="A7" s="22" t="s">
        <v>539</v>
      </c>
      <c r="B7" s="22" t="s">
        <v>540</v>
      </c>
      <c r="C7" s="23" t="s">
        <v>280</v>
      </c>
      <c r="D7" s="24" t="s">
        <v>546</v>
      </c>
      <c r="E7" s="24" t="s">
        <v>547</v>
      </c>
      <c r="F7" s="25" t="str">
        <f>HYPERLINK("http://mainichi.jp/articles/20170831/ddr/041/040/007000c","URLを開く")</f>
        <v>URLを開く</v>
      </c>
      <c r="G7" s="26" t="s">
        <v>20</v>
      </c>
      <c r="H7" s="26" t="s">
        <v>20</v>
      </c>
      <c r="I7" s="26" t="s">
        <v>20</v>
      </c>
      <c r="J7" s="26" t="s">
        <v>20</v>
      </c>
      <c r="K7" s="26" t="s">
        <v>20</v>
      </c>
    </row>
    <row r="8" spans="1:11" x14ac:dyDescent="0.15">
      <c r="A8" s="8" t="s">
        <v>548</v>
      </c>
      <c r="B8" s="8" t="s">
        <v>539</v>
      </c>
      <c r="C8" s="15" t="s">
        <v>280</v>
      </c>
      <c r="D8" s="6" t="s">
        <v>542</v>
      </c>
      <c r="E8" s="6" t="s">
        <v>549</v>
      </c>
      <c r="F8" s="7" t="str">
        <f>HYPERLINK("http://mainichi.jp/articles/20170831/k00/00m/040/045000c","URLを開く")</f>
        <v>URLを開く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</row>
    <row r="9" spans="1:11" x14ac:dyDescent="0.15">
      <c r="A9" s="8" t="s">
        <v>548</v>
      </c>
      <c r="B9" s="8" t="s">
        <v>539</v>
      </c>
      <c r="C9" s="15" t="s">
        <v>550</v>
      </c>
      <c r="D9" s="6" t="s">
        <v>551</v>
      </c>
      <c r="E9" s="6" t="s">
        <v>552</v>
      </c>
      <c r="F9" s="7" t="str">
        <f>HYPERLINK(" "," ")</f>
        <v xml:space="preserve"> 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</row>
    <row r="10" spans="1:11" x14ac:dyDescent="0.15">
      <c r="A10" s="8" t="s">
        <v>548</v>
      </c>
      <c r="B10" s="8" t="s">
        <v>539</v>
      </c>
      <c r="C10" s="15" t="s">
        <v>553</v>
      </c>
      <c r="D10" s="6" t="s">
        <v>544</v>
      </c>
      <c r="E10" s="6" t="s">
        <v>554</v>
      </c>
      <c r="F10" s="7" t="str">
        <f>HYPERLINK("http://news.tnc.ne.jp/social/196058_1.html","URLを開く")</f>
        <v>URLを開く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</row>
    <row r="11" spans="1:11" x14ac:dyDescent="0.15">
      <c r="A11" s="8" t="s">
        <v>548</v>
      </c>
      <c r="B11" s="8" t="s">
        <v>539</v>
      </c>
      <c r="C11" s="15" t="s">
        <v>555</v>
      </c>
      <c r="D11" s="6" t="s">
        <v>556</v>
      </c>
      <c r="E11" s="6" t="s">
        <v>557</v>
      </c>
      <c r="F11" s="7" t="str">
        <f>HYPERLINK("http://cont.t-com.ne.jp/social/196058_1.html","URLを開く")</f>
        <v>URLを開く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</row>
    <row r="12" spans="1:11" x14ac:dyDescent="0.15">
      <c r="A12" s="8" t="s">
        <v>548</v>
      </c>
      <c r="B12" s="8" t="s">
        <v>539</v>
      </c>
      <c r="C12" s="15" t="s">
        <v>558</v>
      </c>
      <c r="D12" s="6" t="s">
        <v>559</v>
      </c>
      <c r="E12" s="6" t="s">
        <v>560</v>
      </c>
      <c r="F12" s="7" t="str">
        <f>HYPERLINK("http://www.htv.jp/nnn/news8788825.html","URLを開く")</f>
        <v>URLを開く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</row>
    <row r="13" spans="1:11" x14ac:dyDescent="0.15">
      <c r="A13" s="8" t="s">
        <v>548</v>
      </c>
      <c r="B13" s="8" t="s">
        <v>539</v>
      </c>
      <c r="C13" s="15" t="s">
        <v>182</v>
      </c>
      <c r="D13" s="6" t="s">
        <v>561</v>
      </c>
      <c r="E13" s="6" t="s">
        <v>562</v>
      </c>
      <c r="F13" s="7" t="str">
        <f>HYPERLINK("https://headlines.yahoo.co.jp/hl?a=20170829-29466101-ehime-l38","URLを開く")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548</v>
      </c>
      <c r="B14" s="8" t="s">
        <v>539</v>
      </c>
      <c r="C14" s="15" t="s">
        <v>268</v>
      </c>
      <c r="D14" s="6" t="s">
        <v>563</v>
      </c>
      <c r="E14" s="6" t="s">
        <v>564</v>
      </c>
      <c r="F14" s="7" t="str">
        <f>HYPERLINK("http://www.47news.jp/localnews/ehime/2017/08/post_20170830064147.html","URLを開く")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548</v>
      </c>
      <c r="B15" s="8" t="s">
        <v>539</v>
      </c>
      <c r="C15" s="15" t="s">
        <v>273</v>
      </c>
      <c r="D15" s="6" t="s">
        <v>565</v>
      </c>
      <c r="E15" s="6" t="s">
        <v>566</v>
      </c>
      <c r="F15" s="7" t="str">
        <f>HYPERLINK("http://soonhome.jp/connect/post?id=275385888736559110","URLを開く")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548</v>
      </c>
      <c r="B16" s="8" t="s">
        <v>539</v>
      </c>
      <c r="C16" s="15" t="s">
        <v>283</v>
      </c>
      <c r="D16" s="6" t="s">
        <v>567</v>
      </c>
      <c r="E16" s="6" t="s">
        <v>568</v>
      </c>
      <c r="F16" s="7" t="str">
        <f>HYPERLINK("https://news.goo.ne.jp/article/ehimenp/region/ehimenp-news201708294661.html","URLを開く")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548</v>
      </c>
      <c r="B17" s="8" t="s">
        <v>539</v>
      </c>
      <c r="C17" s="15" t="s">
        <v>286</v>
      </c>
      <c r="D17" s="6" t="s">
        <v>569</v>
      </c>
      <c r="E17" s="6" t="s">
        <v>570</v>
      </c>
      <c r="F17" s="7" t="str">
        <f>HYPERLINK("http://topics.smt.docomo.ne.jp/article/ehimenp/region/ehimenp-news201708294661?fm=latestnews","URLを開く")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548</v>
      </c>
      <c r="B18" s="8" t="s">
        <v>539</v>
      </c>
      <c r="C18" s="15" t="s">
        <v>43</v>
      </c>
      <c r="D18" s="6" t="s">
        <v>571</v>
      </c>
      <c r="E18" s="6" t="s">
        <v>572</v>
      </c>
      <c r="F18" s="7" t="str">
        <f>HYPERLINK("https://news.biglobe.ne.jp/domestic/0830/mai_170830_6128826919.html","URLを開く")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548</v>
      </c>
      <c r="B19" s="8" t="s">
        <v>539</v>
      </c>
      <c r="C19" s="15" t="s">
        <v>64</v>
      </c>
      <c r="D19" s="6" t="s">
        <v>571</v>
      </c>
      <c r="E19" s="6" t="s">
        <v>573</v>
      </c>
      <c r="F19" s="7" t="str">
        <f>HYPERLINK("http://www.excite.co.jp/News/society_g/20170830/Mainichi_20170831k0000m040045000c.html","URLを開く")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548</v>
      </c>
      <c r="B20" s="8" t="s">
        <v>539</v>
      </c>
      <c r="C20" s="15" t="s">
        <v>406</v>
      </c>
      <c r="D20" s="6" t="s">
        <v>571</v>
      </c>
      <c r="E20" s="6" t="s">
        <v>574</v>
      </c>
      <c r="F20" s="7" t="str">
        <f>HYPERLINK("http://news.mixi.jp/view_news.pl?id=4741879&amp;media_id=2","URLを開く")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548</v>
      </c>
      <c r="B21" s="8" t="s">
        <v>539</v>
      </c>
      <c r="C21" s="15" t="s">
        <v>575</v>
      </c>
      <c r="D21" s="6" t="s">
        <v>571</v>
      </c>
      <c r="E21" s="6" t="s">
        <v>576</v>
      </c>
      <c r="F21" s="7" t="str">
        <f>HYPERLINK("http://news.nicovideo.jp/watch/nw2948118?news_ref=top_latest","URLを開く")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548</v>
      </c>
      <c r="B22" s="8" t="s">
        <v>539</v>
      </c>
      <c r="C22" s="15" t="s">
        <v>283</v>
      </c>
      <c r="D22" s="6" t="s">
        <v>577</v>
      </c>
      <c r="E22" s="6" t="s">
        <v>578</v>
      </c>
      <c r="F22" s="7" t="str">
        <f>HYPERLINK("https://news.goo.ne.jp/picture/nation/mainichi-20170831k0000m040045000c.html","URLを開く")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548</v>
      </c>
      <c r="B23" s="8" t="s">
        <v>539</v>
      </c>
      <c r="C23" s="15" t="s">
        <v>182</v>
      </c>
      <c r="D23" s="6" t="s">
        <v>579</v>
      </c>
      <c r="E23" s="6" t="s">
        <v>580</v>
      </c>
      <c r="F23" s="7" t="str">
        <f>HYPERLINK("https://headlines.yahoo.co.jp/hl?a=20170830-00000070-mai-soci","URLを開く")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548</v>
      </c>
      <c r="B24" s="8" t="s">
        <v>539</v>
      </c>
      <c r="C24" s="15" t="s">
        <v>283</v>
      </c>
      <c r="D24" s="6" t="s">
        <v>581</v>
      </c>
      <c r="E24" s="6" t="s">
        <v>582</v>
      </c>
      <c r="F24" s="7" t="str">
        <f>HYPERLINK("https://news.goo.ne.jp/article/mainichi/nation/mainichi-20170831k0000m040045000c.html","URLを開く")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548</v>
      </c>
      <c r="B25" s="8" t="s">
        <v>539</v>
      </c>
      <c r="C25" s="15" t="s">
        <v>286</v>
      </c>
      <c r="D25" s="6" t="s">
        <v>583</v>
      </c>
      <c r="E25" s="6" t="s">
        <v>584</v>
      </c>
      <c r="F25" s="7" t="str">
        <f>HYPERLINK("http://topics.smt.docomo.ne.jp/article/mainichi/nation/mainichi-20170831k0000m040045000c?fm=latestnews","URLを開く")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585</v>
      </c>
      <c r="B26" s="8" t="s">
        <v>548</v>
      </c>
      <c r="C26" s="15" t="s">
        <v>60</v>
      </c>
      <c r="D26" s="6" t="s">
        <v>586</v>
      </c>
      <c r="E26" s="6" t="s">
        <v>587</v>
      </c>
      <c r="F26" s="7" t="str">
        <f>HYPERLINK("http://www.asahi.com/and_M/information/pressrelease/Cdpress000158888.html","URLを開く")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585</v>
      </c>
      <c r="B27" s="8" t="s">
        <v>548</v>
      </c>
      <c r="C27" s="15" t="s">
        <v>34</v>
      </c>
      <c r="D27" s="6" t="s">
        <v>586</v>
      </c>
      <c r="E27" s="6" t="s">
        <v>588</v>
      </c>
      <c r="F27" s="7" t="str">
        <f>HYPERLINK("http://www.kigyou-sns.com/press/press_231840/","URLを開く")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585</v>
      </c>
      <c r="B28" s="8" t="s">
        <v>548</v>
      </c>
      <c r="C28" s="15" t="s">
        <v>23</v>
      </c>
      <c r="D28" s="6" t="s">
        <v>589</v>
      </c>
      <c r="E28" s="6" t="s">
        <v>590</v>
      </c>
      <c r="F28" s="7" t="str">
        <f>HYPERLINK("http://www.bizloop.jp/release/DRN0000158888/","URLを開く")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585</v>
      </c>
      <c r="B29" s="8" t="s">
        <v>548</v>
      </c>
      <c r="C29" s="15" t="s">
        <v>591</v>
      </c>
      <c r="D29" s="6" t="s">
        <v>559</v>
      </c>
      <c r="E29" s="6" t="s">
        <v>592</v>
      </c>
      <c r="F29" s="7" t="str">
        <f>HYPERLINK("http://www.jrt.co.jp/nnn/news8788825.html","URLを開く")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585</v>
      </c>
      <c r="B30" s="8" t="s">
        <v>548</v>
      </c>
      <c r="C30" s="15" t="s">
        <v>593</v>
      </c>
      <c r="D30" s="6" t="s">
        <v>559</v>
      </c>
      <c r="E30" s="6" t="s">
        <v>594</v>
      </c>
      <c r="F30" s="7" t="str">
        <f>HYPERLINK("http://www.kkt.jp/news/nnn/news8788825.html","URLを開く")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585</v>
      </c>
      <c r="B31" s="8" t="s">
        <v>548</v>
      </c>
      <c r="C31" s="15" t="s">
        <v>595</v>
      </c>
      <c r="D31" s="6" t="s">
        <v>559</v>
      </c>
      <c r="E31" s="6" t="s">
        <v>596</v>
      </c>
      <c r="F31" s="7" t="str">
        <f>HYPERLINK("http://kry.co.jp/news/news8788825.html","URLを開く")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585</v>
      </c>
      <c r="B32" s="8" t="s">
        <v>548</v>
      </c>
      <c r="C32" s="15" t="s">
        <v>597</v>
      </c>
      <c r="D32" s="6" t="s">
        <v>559</v>
      </c>
      <c r="E32" s="6" t="s">
        <v>598</v>
      </c>
      <c r="F32" s="7" t="str">
        <f>HYPERLINK("http://www.kyt-tv.com/nnn/news8788825.html","URLを開く")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585</v>
      </c>
      <c r="B33" s="8" t="s">
        <v>548</v>
      </c>
      <c r="C33" s="15" t="s">
        <v>599</v>
      </c>
      <c r="D33" s="6" t="s">
        <v>559</v>
      </c>
      <c r="E33" s="6" t="s">
        <v>600</v>
      </c>
      <c r="F33" s="7" t="str">
        <f>HYPERLINK("http://www.nib.jp/nnn/news8788825.html","URLを開く")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585</v>
      </c>
      <c r="B34" s="8" t="s">
        <v>548</v>
      </c>
      <c r="C34" s="15" t="s">
        <v>601</v>
      </c>
      <c r="D34" s="6" t="s">
        <v>559</v>
      </c>
      <c r="E34" s="6" t="s">
        <v>602</v>
      </c>
      <c r="F34" s="7" t="str">
        <f>HYPERLINK("http://www.ybc.co.jp/nnn/news8788825.html","URLを開く")</f>
        <v>URLを開く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585</v>
      </c>
      <c r="B35" s="8" t="s">
        <v>548</v>
      </c>
      <c r="C35" s="15" t="s">
        <v>603</v>
      </c>
      <c r="D35" s="6" t="s">
        <v>559</v>
      </c>
      <c r="E35" s="6" t="s">
        <v>604</v>
      </c>
      <c r="F35" s="7" t="str">
        <f>HYPERLINK("http://www.tsb.jp/news/nnn/news8788825.html","URLを開く")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585</v>
      </c>
      <c r="B36" s="8" t="s">
        <v>548</v>
      </c>
      <c r="C36" s="15" t="s">
        <v>605</v>
      </c>
      <c r="D36" s="6" t="s">
        <v>559</v>
      </c>
      <c r="E36" s="6" t="s">
        <v>606</v>
      </c>
      <c r="F36" s="7" t="str">
        <f>HYPERLINK("http://www.rnb.co.jp/nnn/news8788825.html","URLを開く")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585</v>
      </c>
      <c r="B37" s="8" t="s">
        <v>548</v>
      </c>
      <c r="C37" s="15" t="s">
        <v>607</v>
      </c>
      <c r="D37" s="6" t="s">
        <v>559</v>
      </c>
      <c r="E37" s="6" t="s">
        <v>608</v>
      </c>
      <c r="F37" s="7" t="str">
        <f>HYPERLINK("http://www.nkt-tv.co.jp/pc-news/news8788825.html","URLを開く")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</row>
    <row r="38" spans="1:11" x14ac:dyDescent="0.15">
      <c r="A38" s="8" t="s">
        <v>585</v>
      </c>
      <c r="B38" s="8" t="s">
        <v>548</v>
      </c>
      <c r="C38" s="15" t="s">
        <v>609</v>
      </c>
      <c r="D38" s="6" t="s">
        <v>559</v>
      </c>
      <c r="E38" s="6" t="s">
        <v>610</v>
      </c>
      <c r="F38" s="7" t="str">
        <f>HYPERLINK("http://www.fct.co.jp/nnn_news/news8788825.html","URLを開く")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585</v>
      </c>
      <c r="B39" s="8" t="s">
        <v>548</v>
      </c>
      <c r="C39" s="15" t="s">
        <v>611</v>
      </c>
      <c r="D39" s="6" t="s">
        <v>612</v>
      </c>
      <c r="E39" s="6" t="s">
        <v>613</v>
      </c>
      <c r="F39" s="7" t="str">
        <f>HYPERLINK("http://www.news24.jp/nnn/news8788825.html","URLを開く")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585</v>
      </c>
      <c r="B40" s="8" t="s">
        <v>548</v>
      </c>
      <c r="C40" s="15" t="s">
        <v>500</v>
      </c>
      <c r="D40" s="6" t="s">
        <v>614</v>
      </c>
      <c r="E40" s="6" t="s">
        <v>615</v>
      </c>
      <c r="F40" s="7" t="str">
        <f>HYPERLINK("https://www.ehime-np.co.jp/article/news201708294661","URLを開く")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616</v>
      </c>
      <c r="B41" s="8" t="s">
        <v>585</v>
      </c>
      <c r="C41" s="15" t="s">
        <v>40</v>
      </c>
      <c r="D41" s="6" t="s">
        <v>586</v>
      </c>
      <c r="E41" s="6" t="s">
        <v>617</v>
      </c>
      <c r="F41" s="7" t="str">
        <f>HYPERLINK("https://business.nifty.com/cs/catalog/business_release/catalog_drm0000158888_1.htm","URLを開く")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616</v>
      </c>
      <c r="B42" s="8" t="s">
        <v>585</v>
      </c>
      <c r="C42" s="15" t="s">
        <v>43</v>
      </c>
      <c r="D42" s="6" t="s">
        <v>586</v>
      </c>
      <c r="E42" s="6" t="s">
        <v>618</v>
      </c>
      <c r="F42" s="7" t="str">
        <f>HYPERLINK("https://news.biglobe.ne.jp/economy/0828/dre_170828_9635297707.html","URLを開く")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616</v>
      </c>
      <c r="B43" s="8" t="s">
        <v>585</v>
      </c>
      <c r="C43" s="15" t="s">
        <v>45</v>
      </c>
      <c r="D43" s="6" t="s">
        <v>586</v>
      </c>
      <c r="E43" s="6" t="s">
        <v>619</v>
      </c>
      <c r="F43" s="7" t="str">
        <f>HYPERLINK("http://press.fideli.com/d/158888/","URLを開く")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616</v>
      </c>
      <c r="B44" s="8" t="s">
        <v>585</v>
      </c>
      <c r="C44" s="15" t="s">
        <v>45</v>
      </c>
      <c r="D44" s="6" t="s">
        <v>586</v>
      </c>
      <c r="E44" s="6" t="s">
        <v>620</v>
      </c>
      <c r="F44" s="7" t="str">
        <f>HYPERLINK("http://press.fideli.com/d/158888/5","URLを開く")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616</v>
      </c>
      <c r="B45" s="8" t="s">
        <v>585</v>
      </c>
      <c r="C45" s="15" t="s">
        <v>48</v>
      </c>
      <c r="D45" s="6" t="s">
        <v>586</v>
      </c>
      <c r="E45" s="6" t="s">
        <v>621</v>
      </c>
      <c r="F45" s="7" t="str">
        <f>HYPERLINK("https://news.infoseek.co.jp/article/dreamnews_0000158888/","URLを開く")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616</v>
      </c>
      <c r="B46" s="8" t="s">
        <v>585</v>
      </c>
      <c r="C46" s="15" t="s">
        <v>271</v>
      </c>
      <c r="D46" s="6" t="s">
        <v>586</v>
      </c>
      <c r="E46" s="6" t="s">
        <v>622</v>
      </c>
      <c r="F46" s="7" t="str">
        <f>HYPERLINK("http://www.the-miyanichi.co.jp/special/dreamNews/detailep.php?id=0000158888","URLを開く")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616</v>
      </c>
      <c r="B47" s="8" t="s">
        <v>585</v>
      </c>
      <c r="C47" s="15" t="s">
        <v>52</v>
      </c>
      <c r="D47" s="6" t="s">
        <v>586</v>
      </c>
      <c r="E47" s="6" t="s">
        <v>623</v>
      </c>
      <c r="F47" s="7" t="str">
        <f>HYPERLINK("http://news.nplus-inc.co.jp/index.php?action=ViewDetail&amp;number=390443","URLを開く")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</row>
    <row r="48" spans="1:11" x14ac:dyDescent="0.15">
      <c r="A48" s="8" t="s">
        <v>616</v>
      </c>
      <c r="B48" s="8" t="s">
        <v>585</v>
      </c>
      <c r="C48" s="15" t="s">
        <v>37</v>
      </c>
      <c r="D48" s="6" t="s">
        <v>586</v>
      </c>
      <c r="E48" s="6" t="s">
        <v>624</v>
      </c>
      <c r="F48" s="7" t="str">
        <f>HYPERLINK("http://www.seotools.jp/news/id_0000158888.html","URLを開く")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616</v>
      </c>
      <c r="B49" s="8" t="s">
        <v>585</v>
      </c>
      <c r="C49" s="15" t="s">
        <v>54</v>
      </c>
      <c r="D49" s="6" t="s">
        <v>586</v>
      </c>
      <c r="E49" s="6" t="s">
        <v>625</v>
      </c>
      <c r="F49" s="7" t="str">
        <f>HYPERLINK("https://miyabiz.com/special/dreamNews/detail.php?id=0000158888","URLを開く")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616</v>
      </c>
      <c r="B50" s="8" t="s">
        <v>585</v>
      </c>
      <c r="C50" s="15" t="s">
        <v>56</v>
      </c>
      <c r="D50" s="6" t="s">
        <v>586</v>
      </c>
      <c r="E50" s="6" t="s">
        <v>626</v>
      </c>
      <c r="F50" s="7" t="str">
        <f>HYPERLINK("http://newsnavi.jp/detail/648601/","URLを開く")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616</v>
      </c>
      <c r="B51" s="8" t="s">
        <v>585</v>
      </c>
      <c r="C51" s="15" t="s">
        <v>58</v>
      </c>
      <c r="D51" s="6" t="s">
        <v>586</v>
      </c>
      <c r="E51" s="6" t="s">
        <v>627</v>
      </c>
      <c r="F51" s="7" t="str">
        <f>HYPERLINK("http://www.topics.or.jp/press/news/2017/08/DreamNewsDN0000158888.html","URLを開く")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616</v>
      </c>
      <c r="B52" s="8" t="s">
        <v>585</v>
      </c>
      <c r="C52" s="15" t="s">
        <v>62</v>
      </c>
      <c r="D52" s="6" t="s">
        <v>586</v>
      </c>
      <c r="E52" s="6" t="s">
        <v>628</v>
      </c>
      <c r="F52" s="7" t="str">
        <f>HYPERLINK("http://www.jprime.jp/ud/pressrelease/guid/dn0000158888","URLを開く")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8" t="s">
        <v>616</v>
      </c>
      <c r="B53" s="8" t="s">
        <v>585</v>
      </c>
      <c r="C53" s="15" t="s">
        <v>64</v>
      </c>
      <c r="D53" s="6" t="s">
        <v>629</v>
      </c>
      <c r="E53" s="6" t="s">
        <v>630</v>
      </c>
      <c r="F53" s="7" t="str">
        <f>HYPERLINK("http://www.excite.co.jp/News/release/20170828/Dreamnews_0000158888.html","URLを開く")</f>
        <v>URLを開く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</row>
    <row r="54" spans="1:11" x14ac:dyDescent="0.15">
      <c r="A54" s="8" t="s">
        <v>616</v>
      </c>
      <c r="B54" s="8" t="s">
        <v>585</v>
      </c>
      <c r="C54" s="15" t="s">
        <v>50</v>
      </c>
      <c r="D54" s="6" t="s">
        <v>631</v>
      </c>
      <c r="E54" s="6" t="s">
        <v>632</v>
      </c>
      <c r="F54" s="7" t="str">
        <f>HYPERLINK("http://markezine.jp/release/detail/785268","URLを開く")</f>
        <v>URLを開く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</row>
    <row r="55" spans="1:11" x14ac:dyDescent="0.15">
      <c r="A55" s="8" t="s">
        <v>616</v>
      </c>
      <c r="B55" s="8" t="s">
        <v>585</v>
      </c>
      <c r="C55" s="15" t="s">
        <v>67</v>
      </c>
      <c r="D55" s="6" t="s">
        <v>633</v>
      </c>
      <c r="E55" s="6" t="s">
        <v>634</v>
      </c>
      <c r="F55" s="7" t="str">
        <f>HYPERLINK("http://home.kingsoft.jp/news/pr/dreamnews/0000158888.html","URLを開く")</f>
        <v>URLを開く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</row>
    <row r="56" spans="1:11" x14ac:dyDescent="0.15">
      <c r="A56" s="8" t="s">
        <v>616</v>
      </c>
      <c r="B56" s="8" t="s">
        <v>585</v>
      </c>
      <c r="C56" s="15" t="s">
        <v>70</v>
      </c>
      <c r="D56" s="6" t="s">
        <v>635</v>
      </c>
      <c r="E56" s="6" t="s">
        <v>636</v>
      </c>
      <c r="F56" s="7" t="str">
        <f>HYPERLINK("http://news.toremaga.com/release/others/990401.html","URLを開く")</f>
        <v>URLを開く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</row>
    <row r="57" spans="1:11" x14ac:dyDescent="0.15">
      <c r="A57" s="8" t="s">
        <v>616</v>
      </c>
      <c r="B57" s="8" t="s">
        <v>585</v>
      </c>
      <c r="C57" s="15" t="s">
        <v>73</v>
      </c>
      <c r="D57" s="6" t="s">
        <v>637</v>
      </c>
      <c r="E57" s="6" t="s">
        <v>638</v>
      </c>
      <c r="F57" s="7" t="str">
        <f>HYPERLINK("http://www.mapion.co.jp/news/release/dn0000158888-all/","URLを開く")</f>
        <v>URLを開く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</row>
    <row r="58" spans="1:11" x14ac:dyDescent="0.15">
      <c r="A58" s="8" t="s">
        <v>639</v>
      </c>
      <c r="B58" s="8" t="s">
        <v>640</v>
      </c>
      <c r="C58" s="15" t="s">
        <v>283</v>
      </c>
      <c r="D58" s="6" t="s">
        <v>641</v>
      </c>
      <c r="E58" s="6" t="s">
        <v>642</v>
      </c>
      <c r="F58" s="7" t="str">
        <f>HYPERLINK("https://news.goo.ne.jp/article/hokkaido/region/hokkaido-127978.html","URLを開く")</f>
        <v>URLを開く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</row>
    <row r="59" spans="1:11" x14ac:dyDescent="0.15">
      <c r="A59" s="8" t="s">
        <v>639</v>
      </c>
      <c r="B59" s="8" t="s">
        <v>640</v>
      </c>
      <c r="C59" s="15" t="s">
        <v>286</v>
      </c>
      <c r="D59" s="6" t="s">
        <v>643</v>
      </c>
      <c r="E59" s="6" t="s">
        <v>644</v>
      </c>
      <c r="F59" s="7" t="str">
        <f>HYPERLINK("http://topics.smt.docomo.ne.jp/article/hokkaido/region/hokkaido-127978?fm=latestnews","URLを開く")</f>
        <v>URLを開く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</row>
    <row r="60" spans="1:11" x14ac:dyDescent="0.15">
      <c r="A60" s="8" t="s">
        <v>639</v>
      </c>
      <c r="B60" s="8" t="s">
        <v>640</v>
      </c>
      <c r="C60" s="15" t="s">
        <v>645</v>
      </c>
      <c r="D60" s="6" t="s">
        <v>646</v>
      </c>
      <c r="E60" s="6" t="s">
        <v>647</v>
      </c>
      <c r="F60" s="7" t="str">
        <f>HYPERLINK("https://www.hokkaido-np.co.jp/article/127978?rct=l_otaru","URLを開く")</f>
        <v>URLを開く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</row>
    <row r="61" spans="1:11" x14ac:dyDescent="0.15">
      <c r="A61" s="8" t="s">
        <v>639</v>
      </c>
      <c r="B61" s="8" t="s">
        <v>640</v>
      </c>
      <c r="C61" s="15" t="s">
        <v>645</v>
      </c>
      <c r="D61" s="6" t="s">
        <v>646</v>
      </c>
      <c r="E61" s="6" t="s">
        <v>648</v>
      </c>
      <c r="F61" s="7" t="str">
        <f>HYPERLINK("https://www.hokkaido-np.co.jp/article/127978?rct=n_activation","URLを開く")</f>
        <v>URLを開く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</row>
    <row r="62" spans="1:11" x14ac:dyDescent="0.15">
      <c r="A62" s="8" t="s">
        <v>639</v>
      </c>
      <c r="B62" s="8" t="s">
        <v>640</v>
      </c>
      <c r="C62" s="15" t="s">
        <v>645</v>
      </c>
      <c r="D62" s="6" t="s">
        <v>646</v>
      </c>
      <c r="E62" s="6" t="s">
        <v>649</v>
      </c>
      <c r="F62" s="7" t="str">
        <f>HYPERLINK("https://www.hokkaido-np.co.jp/article/127978?rct=n_sightseeing","URLを開く")</f>
        <v>URLを開く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</row>
    <row r="63" spans="1:11" x14ac:dyDescent="0.15">
      <c r="A63" s="8" t="s">
        <v>639</v>
      </c>
      <c r="B63" s="8" t="s">
        <v>640</v>
      </c>
      <c r="C63" s="15" t="s">
        <v>645</v>
      </c>
      <c r="D63" s="6" t="s">
        <v>646</v>
      </c>
      <c r="E63" s="6" t="s">
        <v>650</v>
      </c>
      <c r="F63" s="7" t="str">
        <f>HYPERLINK("https://www.hokkaido-np.co.jp/article/127978?rct=news","URLを開く")</f>
        <v>URLを開く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</row>
    <row r="64" spans="1:11" x14ac:dyDescent="0.15">
      <c r="A64" s="8" t="s">
        <v>651</v>
      </c>
      <c r="B64" s="8" t="s">
        <v>639</v>
      </c>
      <c r="C64" s="15" t="s">
        <v>43</v>
      </c>
      <c r="D64" s="6" t="s">
        <v>652</v>
      </c>
      <c r="E64" s="6" t="s">
        <v>653</v>
      </c>
      <c r="F64" s="7" t="str">
        <f>HYPERLINK("https://news.biglobe.ne.jp/domestic/0825/hkd_170825_3174498477.html","URLを開く")</f>
        <v>URLを開く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</row>
    <row r="65" spans="1:11" x14ac:dyDescent="0.15">
      <c r="A65" s="8" t="s">
        <v>651</v>
      </c>
      <c r="B65" s="8" t="s">
        <v>639</v>
      </c>
      <c r="C65" s="15" t="s">
        <v>273</v>
      </c>
      <c r="D65" s="6" t="s">
        <v>654</v>
      </c>
      <c r="E65" s="6" t="s">
        <v>655</v>
      </c>
      <c r="F65" s="7" t="str">
        <f>HYPERLINK("http://soonhome.jp/connect/post?id=273544564634320902","URLを開く")</f>
        <v>URLを開く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</row>
    <row r="66" spans="1:11" x14ac:dyDescent="0.15">
      <c r="A66" s="8" t="s">
        <v>651</v>
      </c>
      <c r="B66" s="8" t="s">
        <v>639</v>
      </c>
      <c r="C66" s="15" t="s">
        <v>283</v>
      </c>
      <c r="D66" s="6" t="s">
        <v>656</v>
      </c>
      <c r="E66" s="6" t="s">
        <v>657</v>
      </c>
      <c r="F66" s="7" t="str">
        <f>HYPERLINK("https://news.goo.ne.jp/article/hokkaido/region/hokkaido-127706.html","URLを開く")</f>
        <v>URLを開く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</row>
    <row r="67" spans="1:11" x14ac:dyDescent="0.15">
      <c r="A67" s="8" t="s">
        <v>651</v>
      </c>
      <c r="B67" s="8" t="s">
        <v>639</v>
      </c>
      <c r="C67" s="15" t="s">
        <v>286</v>
      </c>
      <c r="D67" s="6" t="s">
        <v>658</v>
      </c>
      <c r="E67" s="6" t="s">
        <v>659</v>
      </c>
      <c r="F67" s="7" t="str">
        <f>HYPERLINK("http://topics.smt.docomo.ne.jp/article/hokkaido/region/hokkaido-127706?fm=latestnews","URLを開く")</f>
        <v>URLを開く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</row>
    <row r="68" spans="1:11" x14ac:dyDescent="0.15">
      <c r="A68" s="8" t="s">
        <v>651</v>
      </c>
      <c r="B68" s="8" t="s">
        <v>639</v>
      </c>
      <c r="C68" s="15" t="s">
        <v>645</v>
      </c>
      <c r="D68" s="6" t="s">
        <v>660</v>
      </c>
      <c r="E68" s="6" t="s">
        <v>661</v>
      </c>
      <c r="F68" s="7" t="str">
        <f>HYPERLINK("https://www.hokkaido-np.co.jp/article/127706?rct=l_otaru","URLを開く")</f>
        <v>URLを開く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</row>
    <row r="69" spans="1:11" x14ac:dyDescent="0.15">
      <c r="A69" s="8" t="s">
        <v>651</v>
      </c>
      <c r="B69" s="8" t="s">
        <v>639</v>
      </c>
      <c r="C69" s="15" t="s">
        <v>645</v>
      </c>
      <c r="D69" s="6" t="s">
        <v>660</v>
      </c>
      <c r="E69" s="6" t="s">
        <v>662</v>
      </c>
      <c r="F69" s="7" t="str">
        <f>HYPERLINK("https://www.hokkaido-np.co.jp/article/127706?rct=local","URLを開く")</f>
        <v>URLを開く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</row>
    <row r="70" spans="1:11" x14ac:dyDescent="0.15">
      <c r="A70" s="8" t="s">
        <v>663</v>
      </c>
      <c r="B70" s="8" t="s">
        <v>651</v>
      </c>
      <c r="C70" s="15" t="s">
        <v>500</v>
      </c>
      <c r="D70" s="6" t="s">
        <v>664</v>
      </c>
      <c r="E70" s="6" t="s">
        <v>665</v>
      </c>
      <c r="F70" s="7" t="str">
        <f>HYPERLINK("https://www.ehime-np.co.jp/article/news201708243915","URLを開く")</f>
        <v>URLを開く</v>
      </c>
      <c r="G70" s="10" t="s">
        <v>20</v>
      </c>
      <c r="H70" s="10" t="s">
        <v>20</v>
      </c>
      <c r="I70" s="10" t="s">
        <v>20</v>
      </c>
      <c r="J70" s="10" t="s">
        <v>20</v>
      </c>
      <c r="K70" s="10" t="s">
        <v>20</v>
      </c>
    </row>
    <row r="71" spans="1:11" x14ac:dyDescent="0.15">
      <c r="A71" s="8" t="s">
        <v>666</v>
      </c>
      <c r="B71" s="8" t="s">
        <v>667</v>
      </c>
      <c r="C71" s="15" t="s">
        <v>23</v>
      </c>
      <c r="D71" s="6" t="s">
        <v>668</v>
      </c>
      <c r="E71" s="6" t="s">
        <v>669</v>
      </c>
      <c r="F71" s="7" t="str">
        <f>HYPERLINK("http://www.bizloop.jp/release/DRN0000158420/","URLを開く")</f>
        <v>URLを開く</v>
      </c>
      <c r="G71" s="10" t="s">
        <v>20</v>
      </c>
      <c r="H71" s="10" t="s">
        <v>20</v>
      </c>
      <c r="I71" s="10" t="s">
        <v>20</v>
      </c>
      <c r="J71" s="10" t="s">
        <v>20</v>
      </c>
      <c r="K71" s="10" t="s">
        <v>20</v>
      </c>
    </row>
    <row r="72" spans="1:11" x14ac:dyDescent="0.15">
      <c r="A72" s="8" t="s">
        <v>666</v>
      </c>
      <c r="B72" s="8" t="s">
        <v>667</v>
      </c>
      <c r="C72" s="15" t="s">
        <v>34</v>
      </c>
      <c r="D72" s="6" t="s">
        <v>670</v>
      </c>
      <c r="E72" s="6" t="s">
        <v>671</v>
      </c>
      <c r="F72" s="7" t="str">
        <f>HYPERLINK("http://www.kigyou-sns.com/press/press_230996/","URLを開く")</f>
        <v>URLを開く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</row>
    <row r="73" spans="1:11" x14ac:dyDescent="0.15">
      <c r="A73" s="8" t="s">
        <v>672</v>
      </c>
      <c r="B73" s="8" t="s">
        <v>666</v>
      </c>
      <c r="C73" s="15" t="s">
        <v>37</v>
      </c>
      <c r="D73" s="6" t="s">
        <v>673</v>
      </c>
      <c r="E73" s="6" t="s">
        <v>674</v>
      </c>
      <c r="F73" s="7" t="str">
        <f>HYPERLINK("http://www.seotools.jp/news/id_0000158420.html","URLを開く")</f>
        <v>URLを開く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</row>
    <row r="74" spans="1:11" x14ac:dyDescent="0.15">
      <c r="A74" s="8" t="s">
        <v>672</v>
      </c>
      <c r="B74" s="8" t="s">
        <v>666</v>
      </c>
      <c r="C74" s="15" t="s">
        <v>40</v>
      </c>
      <c r="D74" s="6" t="s">
        <v>670</v>
      </c>
      <c r="E74" s="6" t="s">
        <v>675</v>
      </c>
      <c r="F74" s="7" t="str">
        <f>HYPERLINK("https://business.nifty.com/cs/catalog/business_release/catalog_drm0000158420_1.htm","URLを開く")</f>
        <v>URLを開く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</row>
    <row r="75" spans="1:11" x14ac:dyDescent="0.15">
      <c r="A75" s="8" t="s">
        <v>672</v>
      </c>
      <c r="B75" s="8" t="s">
        <v>666</v>
      </c>
      <c r="C75" s="15" t="s">
        <v>43</v>
      </c>
      <c r="D75" s="6" t="s">
        <v>670</v>
      </c>
      <c r="E75" s="6" t="s">
        <v>676</v>
      </c>
      <c r="F75" s="7" t="str">
        <f>HYPERLINK("https://news.biglobe.ne.jp/economy/0821/dre_170821_8992018976.html","URLを開く")</f>
        <v>URLを開く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</row>
    <row r="76" spans="1:11" x14ac:dyDescent="0.15">
      <c r="A76" s="8" t="s">
        <v>672</v>
      </c>
      <c r="B76" s="8" t="s">
        <v>666</v>
      </c>
      <c r="C76" s="15" t="s">
        <v>45</v>
      </c>
      <c r="D76" s="6" t="s">
        <v>670</v>
      </c>
      <c r="E76" s="6" t="s">
        <v>677</v>
      </c>
      <c r="F76" s="7" t="str">
        <f>HYPERLINK("http://press.fideli.com/d/158420/5","URLを開く")</f>
        <v>URLを開く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</row>
    <row r="77" spans="1:11" x14ac:dyDescent="0.15">
      <c r="A77" s="8" t="s">
        <v>672</v>
      </c>
      <c r="B77" s="8" t="s">
        <v>666</v>
      </c>
      <c r="C77" s="15" t="s">
        <v>45</v>
      </c>
      <c r="D77" s="6" t="s">
        <v>670</v>
      </c>
      <c r="E77" s="6" t="s">
        <v>678</v>
      </c>
      <c r="F77" s="7" t="str">
        <f>HYPERLINK("http://press.fideli.com/d/158420/","URLを開く")</f>
        <v>URLを開く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</row>
    <row r="78" spans="1:11" x14ac:dyDescent="0.15">
      <c r="A78" s="8" t="s">
        <v>672</v>
      </c>
      <c r="B78" s="8" t="s">
        <v>666</v>
      </c>
      <c r="C78" s="15" t="s">
        <v>48</v>
      </c>
      <c r="D78" s="6" t="s">
        <v>670</v>
      </c>
      <c r="E78" s="6" t="s">
        <v>679</v>
      </c>
      <c r="F78" s="7" t="str">
        <f>HYPERLINK("https://news.infoseek.co.jp/article/dreamnews_0000158420/","URLを開く")</f>
        <v>URLを開く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</row>
    <row r="79" spans="1:11" x14ac:dyDescent="0.15">
      <c r="A79" s="8" t="s">
        <v>672</v>
      </c>
      <c r="B79" s="8" t="s">
        <v>666</v>
      </c>
      <c r="C79" s="15" t="s">
        <v>52</v>
      </c>
      <c r="D79" s="6" t="s">
        <v>670</v>
      </c>
      <c r="E79" s="6" t="s">
        <v>680</v>
      </c>
      <c r="F79" s="7" t="str">
        <f>HYPERLINK("http://news.nplus-inc.co.jp/index.php?action=ViewDetail&amp;number=389409","URLを開く")</f>
        <v>URLを開く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</row>
    <row r="80" spans="1:11" x14ac:dyDescent="0.15">
      <c r="A80" s="8" t="s">
        <v>672</v>
      </c>
      <c r="B80" s="8" t="s">
        <v>666</v>
      </c>
      <c r="C80" s="15" t="s">
        <v>54</v>
      </c>
      <c r="D80" s="6" t="s">
        <v>670</v>
      </c>
      <c r="E80" s="6" t="s">
        <v>681</v>
      </c>
      <c r="F80" s="7" t="str">
        <f>HYPERLINK("https://miyabiz.com/special/dreamNews/detail.php?id=0000158420","URLを開く")</f>
        <v>URLを開く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</row>
    <row r="81" spans="1:11" x14ac:dyDescent="0.15">
      <c r="A81" s="8" t="s">
        <v>672</v>
      </c>
      <c r="B81" s="8" t="s">
        <v>666</v>
      </c>
      <c r="C81" s="15" t="s">
        <v>56</v>
      </c>
      <c r="D81" s="6" t="s">
        <v>670</v>
      </c>
      <c r="E81" s="6" t="s">
        <v>682</v>
      </c>
      <c r="F81" s="7" t="str">
        <f>HYPERLINK("http://newsnavi.jp/detail/645766/","URLを開く")</f>
        <v>URLを開く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</row>
    <row r="82" spans="1:11" x14ac:dyDescent="0.15">
      <c r="A82" s="8" t="s">
        <v>672</v>
      </c>
      <c r="B82" s="8" t="s">
        <v>666</v>
      </c>
      <c r="C82" s="15" t="s">
        <v>58</v>
      </c>
      <c r="D82" s="6" t="s">
        <v>670</v>
      </c>
      <c r="E82" s="6" t="s">
        <v>683</v>
      </c>
      <c r="F82" s="7" t="str">
        <f>HYPERLINK("http://www.topics.or.jp/press/news/2017/08/DreamNewsDN0000158420.html","URLを開く")</f>
        <v>URLを開く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</row>
    <row r="83" spans="1:11" x14ac:dyDescent="0.15">
      <c r="A83" s="8" t="s">
        <v>672</v>
      </c>
      <c r="B83" s="8" t="s">
        <v>666</v>
      </c>
      <c r="C83" s="15" t="s">
        <v>60</v>
      </c>
      <c r="D83" s="6" t="s">
        <v>670</v>
      </c>
      <c r="E83" s="6" t="s">
        <v>684</v>
      </c>
      <c r="F83" s="7" t="str">
        <f>HYPERLINK("http://www.asahi.com/and_M/information/pressrelease/Cdpress000158420.html","URLを開く")</f>
        <v>URLを開く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</row>
    <row r="84" spans="1:11" x14ac:dyDescent="0.15">
      <c r="A84" s="8" t="s">
        <v>672</v>
      </c>
      <c r="B84" s="8" t="s">
        <v>666</v>
      </c>
      <c r="C84" s="15" t="s">
        <v>62</v>
      </c>
      <c r="D84" s="6" t="s">
        <v>670</v>
      </c>
      <c r="E84" s="6" t="s">
        <v>685</v>
      </c>
      <c r="F84" s="7" t="str">
        <f>HYPERLINK("http://www.jprime.jp/ud/pressrelease/guid/dn0000158420","URLを開く")</f>
        <v>URLを開く</v>
      </c>
      <c r="G84" s="10" t="s">
        <v>20</v>
      </c>
      <c r="H84" s="10" t="s">
        <v>20</v>
      </c>
      <c r="I84" s="10" t="s">
        <v>20</v>
      </c>
      <c r="J84" s="10" t="s">
        <v>20</v>
      </c>
      <c r="K84" s="10" t="s">
        <v>20</v>
      </c>
    </row>
    <row r="85" spans="1:11" x14ac:dyDescent="0.15">
      <c r="A85" s="8" t="s">
        <v>672</v>
      </c>
      <c r="B85" s="8" t="s">
        <v>666</v>
      </c>
      <c r="C85" s="15" t="s">
        <v>64</v>
      </c>
      <c r="D85" s="6" t="s">
        <v>686</v>
      </c>
      <c r="E85" s="6" t="s">
        <v>687</v>
      </c>
      <c r="F85" s="7" t="str">
        <f>HYPERLINK("http://www.excite.co.jp/News/release/20170821/Dreamnews_0000158420.html","URLを開く")</f>
        <v>URLを開く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</row>
    <row r="86" spans="1:11" x14ac:dyDescent="0.15">
      <c r="A86" s="8" t="s">
        <v>672</v>
      </c>
      <c r="B86" s="8" t="s">
        <v>666</v>
      </c>
      <c r="C86" s="15" t="s">
        <v>50</v>
      </c>
      <c r="D86" s="6" t="s">
        <v>688</v>
      </c>
      <c r="E86" s="6" t="s">
        <v>689</v>
      </c>
      <c r="F86" s="7" t="str">
        <f>HYPERLINK("http://markezine.jp/release/detail/782175","URLを開く")</f>
        <v>URLを開く</v>
      </c>
      <c r="G86" s="10" t="s">
        <v>20</v>
      </c>
      <c r="H86" s="10" t="s">
        <v>20</v>
      </c>
      <c r="I86" s="10" t="s">
        <v>20</v>
      </c>
      <c r="J86" s="10" t="s">
        <v>20</v>
      </c>
      <c r="K86" s="10" t="s">
        <v>20</v>
      </c>
    </row>
    <row r="87" spans="1:11" x14ac:dyDescent="0.15">
      <c r="A87" s="8" t="s">
        <v>672</v>
      </c>
      <c r="B87" s="8" t="s">
        <v>666</v>
      </c>
      <c r="C87" s="15" t="s">
        <v>67</v>
      </c>
      <c r="D87" s="6" t="s">
        <v>690</v>
      </c>
      <c r="E87" s="6" t="s">
        <v>691</v>
      </c>
      <c r="F87" s="7" t="str">
        <f>HYPERLINK("http://home.kingsoft.jp/news/pr/dreamnews/0000158420.html","URLを開く")</f>
        <v>URLを開く</v>
      </c>
      <c r="G87" s="10" t="s">
        <v>20</v>
      </c>
      <c r="H87" s="10" t="s">
        <v>20</v>
      </c>
      <c r="I87" s="10" t="s">
        <v>20</v>
      </c>
      <c r="J87" s="10" t="s">
        <v>20</v>
      </c>
      <c r="K87" s="10" t="s">
        <v>20</v>
      </c>
    </row>
    <row r="88" spans="1:11" x14ac:dyDescent="0.15">
      <c r="A88" s="8" t="s">
        <v>672</v>
      </c>
      <c r="B88" s="8" t="s">
        <v>666</v>
      </c>
      <c r="C88" s="15" t="s">
        <v>70</v>
      </c>
      <c r="D88" s="6" t="s">
        <v>692</v>
      </c>
      <c r="E88" s="6" t="s">
        <v>693</v>
      </c>
      <c r="F88" s="7" t="str">
        <f>HYPERLINK("http://news.toremaga.com/release/others/987193.html","URLを開く")</f>
        <v>URLを開く</v>
      </c>
      <c r="G88" s="10" t="s">
        <v>20</v>
      </c>
      <c r="H88" s="10" t="s">
        <v>20</v>
      </c>
      <c r="I88" s="10" t="s">
        <v>20</v>
      </c>
      <c r="J88" s="10" t="s">
        <v>20</v>
      </c>
      <c r="K88" s="10" t="s">
        <v>20</v>
      </c>
    </row>
    <row r="89" spans="1:11" x14ac:dyDescent="0.15">
      <c r="A89" s="8" t="s">
        <v>672</v>
      </c>
      <c r="B89" s="8" t="s">
        <v>666</v>
      </c>
      <c r="C89" s="15" t="s">
        <v>73</v>
      </c>
      <c r="D89" s="6" t="s">
        <v>694</v>
      </c>
      <c r="E89" s="6" t="s">
        <v>695</v>
      </c>
      <c r="F89" s="7" t="str">
        <f>HYPERLINK("http://www.mapion.co.jp/news/release/dn0000158420-all/","URLを開く")</f>
        <v>URLを開く</v>
      </c>
      <c r="G89" s="10" t="s">
        <v>20</v>
      </c>
      <c r="H89" s="10" t="s">
        <v>20</v>
      </c>
      <c r="I89" s="10" t="s">
        <v>20</v>
      </c>
      <c r="J89" s="10" t="s">
        <v>20</v>
      </c>
      <c r="K89" s="10" t="s">
        <v>20</v>
      </c>
    </row>
    <row r="90" spans="1:11" x14ac:dyDescent="0.15">
      <c r="A90" s="8" t="s">
        <v>696</v>
      </c>
      <c r="B90" s="8" t="s">
        <v>672</v>
      </c>
      <c r="C90" s="15" t="s">
        <v>268</v>
      </c>
      <c r="D90" s="6" t="s">
        <v>697</v>
      </c>
      <c r="E90" s="6" t="s">
        <v>698</v>
      </c>
      <c r="F90" s="7" t="str">
        <f>HYPERLINK("http://www.47news.jp/news/2017/08/post_20170820111052.html","URLを開く")</f>
        <v>URLを開く</v>
      </c>
      <c r="G90" s="10" t="s">
        <v>20</v>
      </c>
      <c r="H90" s="10" t="s">
        <v>20</v>
      </c>
      <c r="I90" s="10" t="s">
        <v>20</v>
      </c>
      <c r="J90" s="10" t="s">
        <v>20</v>
      </c>
      <c r="K90" s="10" t="s">
        <v>20</v>
      </c>
    </row>
    <row r="91" spans="1:11" x14ac:dyDescent="0.15">
      <c r="A91" s="8" t="s">
        <v>699</v>
      </c>
      <c r="B91" s="8" t="s">
        <v>696</v>
      </c>
      <c r="C91" s="15" t="s">
        <v>268</v>
      </c>
      <c r="D91" s="6" t="s">
        <v>700</v>
      </c>
      <c r="E91" s="6" t="s">
        <v>701</v>
      </c>
      <c r="F91" s="7" t="str">
        <f>HYPERLINK("http://www.47news.jp/localnews/odekake/2017/08/post-20170819103723.html","URLを開く")</f>
        <v>URLを開く</v>
      </c>
      <c r="G91" s="10" t="s">
        <v>20</v>
      </c>
      <c r="H91" s="10" t="s">
        <v>20</v>
      </c>
      <c r="I91" s="10" t="s">
        <v>20</v>
      </c>
      <c r="J91" s="10" t="s">
        <v>20</v>
      </c>
      <c r="K91" s="10" t="s">
        <v>20</v>
      </c>
    </row>
    <row r="92" spans="1:11" x14ac:dyDescent="0.15">
      <c r="A92" s="8" t="s">
        <v>702</v>
      </c>
      <c r="B92" s="8" t="s">
        <v>699</v>
      </c>
      <c r="C92" s="15" t="s">
        <v>703</v>
      </c>
      <c r="D92" s="6" t="s">
        <v>704</v>
      </c>
      <c r="E92" s="6" t="s">
        <v>705</v>
      </c>
      <c r="F92" s="7" t="str">
        <f>HYPERLINK("http://www.kochinews.co.jp/article/119427/","URLを開く")</f>
        <v>URLを開く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</row>
    <row r="93" spans="1:11" x14ac:dyDescent="0.15">
      <c r="A93" s="8" t="s">
        <v>702</v>
      </c>
      <c r="B93" s="8" t="s">
        <v>699</v>
      </c>
      <c r="C93" s="15" t="s">
        <v>268</v>
      </c>
      <c r="D93" s="6" t="s">
        <v>706</v>
      </c>
      <c r="E93" s="6" t="s">
        <v>707</v>
      </c>
      <c r="F93" s="7" t="str">
        <f>HYPERLINK("http://www.47news.jp/localnews/kochi/2017/08/post_20170818180229.html","URLを開く")</f>
        <v>URLを開く</v>
      </c>
      <c r="G93" s="10" t="s">
        <v>20</v>
      </c>
      <c r="H93" s="10" t="s">
        <v>20</v>
      </c>
      <c r="I93" s="10" t="s">
        <v>20</v>
      </c>
      <c r="J93" s="10" t="s">
        <v>20</v>
      </c>
      <c r="K93" s="10" t="s">
        <v>20</v>
      </c>
    </row>
    <row r="94" spans="1:11" x14ac:dyDescent="0.15">
      <c r="A94" s="8" t="s">
        <v>708</v>
      </c>
      <c r="B94" s="8" t="s">
        <v>702</v>
      </c>
      <c r="C94" s="15" t="s">
        <v>182</v>
      </c>
      <c r="D94" s="6" t="s">
        <v>709</v>
      </c>
      <c r="E94" s="6" t="s">
        <v>710</v>
      </c>
      <c r="F94" s="7" t="str">
        <f>HYPERLINK("https://headlines.yahoo.co.jp/hl?a=20170817-00000015-minkei-l45","URLを開く")</f>
        <v>URLを開く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</row>
    <row r="95" spans="1:11" x14ac:dyDescent="0.15">
      <c r="A95" s="8" t="s">
        <v>711</v>
      </c>
      <c r="B95" s="8" t="s">
        <v>708</v>
      </c>
      <c r="C95" s="15" t="s">
        <v>331</v>
      </c>
      <c r="D95" s="6" t="s">
        <v>712</v>
      </c>
      <c r="E95" s="6" t="s">
        <v>713</v>
      </c>
      <c r="F95" s="7" t="str">
        <f>HYPERLINK("http://www.sankei.com/region/news/170816/rgn1708160043-n1.html","URLを開く")</f>
        <v>URLを開く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</row>
    <row r="96" spans="1:11" x14ac:dyDescent="0.15">
      <c r="A96" s="8" t="s">
        <v>711</v>
      </c>
      <c r="B96" s="8" t="s">
        <v>708</v>
      </c>
      <c r="C96" s="15" t="s">
        <v>182</v>
      </c>
      <c r="D96" s="6" t="s">
        <v>714</v>
      </c>
      <c r="E96" s="6" t="s">
        <v>715</v>
      </c>
      <c r="F96" s="7" t="str">
        <f>HYPERLINK("https://headlines.yahoo.co.jp/hl?a=20170816-00000042-san-l32","URLを開く")</f>
        <v>URLを開く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</row>
    <row r="97" spans="1:11" x14ac:dyDescent="0.15">
      <c r="A97" s="8" t="s">
        <v>711</v>
      </c>
      <c r="B97" s="8" t="s">
        <v>708</v>
      </c>
      <c r="C97" s="15" t="s">
        <v>17</v>
      </c>
      <c r="D97" s="6" t="s">
        <v>18</v>
      </c>
      <c r="E97" s="6" t="s">
        <v>716</v>
      </c>
      <c r="F97" s="7" t="str">
        <f>HYPERLINK("http://www.yukan-daily.co.jp/news.php?id=67407","URLを開く")</f>
        <v>URLを開く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</row>
    <row r="98" spans="1:11" x14ac:dyDescent="0.15">
      <c r="A98" s="8" t="s">
        <v>711</v>
      </c>
      <c r="B98" s="8" t="s">
        <v>708</v>
      </c>
      <c r="C98" s="15" t="s">
        <v>550</v>
      </c>
      <c r="D98" s="6" t="s">
        <v>717</v>
      </c>
      <c r="E98" s="6" t="s">
        <v>718</v>
      </c>
      <c r="F98" s="7" t="str">
        <f>HYPERLINK(" "," ")</f>
        <v xml:space="preserve"> </v>
      </c>
      <c r="G98" s="10" t="s">
        <v>20</v>
      </c>
      <c r="H98" s="10" t="s">
        <v>20</v>
      </c>
      <c r="I98" s="10" t="s">
        <v>20</v>
      </c>
      <c r="J98" s="10" t="s">
        <v>20</v>
      </c>
      <c r="K98" s="10" t="s">
        <v>20</v>
      </c>
    </row>
    <row r="99" spans="1:11" x14ac:dyDescent="0.15">
      <c r="A99" s="8" t="s">
        <v>711</v>
      </c>
      <c r="B99" s="8" t="s">
        <v>708</v>
      </c>
      <c r="C99" s="15" t="s">
        <v>403</v>
      </c>
      <c r="D99" s="6" t="s">
        <v>719</v>
      </c>
      <c r="E99" s="6" t="s">
        <v>720</v>
      </c>
      <c r="F99" s="7" t="str">
        <f>HYPERLINK("http://news.livedoor.com/article/detail/13478610/","URLを開く")</f>
        <v>URLを開く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</row>
    <row r="100" spans="1:11" x14ac:dyDescent="0.15">
      <c r="A100" s="8" t="s">
        <v>711</v>
      </c>
      <c r="B100" s="8" t="s">
        <v>708</v>
      </c>
      <c r="C100" s="15" t="s">
        <v>406</v>
      </c>
      <c r="D100" s="6" t="s">
        <v>719</v>
      </c>
      <c r="E100" s="6" t="s">
        <v>721</v>
      </c>
      <c r="F100" s="7" t="str">
        <f>HYPERLINK("http://news.mixi.jp/view_news.pl?id=4719052&amp;media_id=3","URLを開く")</f>
        <v>URLを開く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</row>
    <row r="101" spans="1:11" x14ac:dyDescent="0.15">
      <c r="A101" s="8" t="s">
        <v>711</v>
      </c>
      <c r="B101" s="8" t="s">
        <v>708</v>
      </c>
      <c r="C101" s="15" t="s">
        <v>331</v>
      </c>
      <c r="D101" s="6" t="s">
        <v>719</v>
      </c>
      <c r="E101" s="6" t="s">
        <v>722</v>
      </c>
      <c r="F101" s="7" t="str">
        <f>HYPERLINK("http://www.sankei.com/west/news/170816/wst1708160020-n1.html","URLを開く")</f>
        <v>URLを開く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</row>
    <row r="102" spans="1:11" x14ac:dyDescent="0.15">
      <c r="A102" s="8" t="s">
        <v>711</v>
      </c>
      <c r="B102" s="8" t="s">
        <v>708</v>
      </c>
      <c r="C102" s="15" t="s">
        <v>283</v>
      </c>
      <c r="D102" s="6" t="s">
        <v>723</v>
      </c>
      <c r="E102" s="6" t="s">
        <v>724</v>
      </c>
      <c r="F102" s="7" t="str">
        <f>HYPERLINK("https://news.goo.ne.jp/article/sankei/nation/sankei-wst1708160020.html","URLを開く")</f>
        <v>URLを開く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</row>
    <row r="103" spans="1:11" x14ac:dyDescent="0.15">
      <c r="A103" s="8" t="s">
        <v>711</v>
      </c>
      <c r="B103" s="8" t="s">
        <v>708</v>
      </c>
      <c r="C103" s="15" t="s">
        <v>286</v>
      </c>
      <c r="D103" s="6" t="s">
        <v>725</v>
      </c>
      <c r="E103" s="6" t="s">
        <v>726</v>
      </c>
      <c r="F103" s="7" t="str">
        <f>HYPERLINK("http://topics.smt.docomo.ne.jp/article/sankei/nation/sankei-wst1708160020?fm=latestnews","URLを開く")</f>
        <v>URLを開く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</row>
    <row r="104" spans="1:11" x14ac:dyDescent="0.15">
      <c r="A104" s="8" t="s">
        <v>727</v>
      </c>
      <c r="B104" s="8" t="s">
        <v>711</v>
      </c>
      <c r="C104" s="15" t="s">
        <v>34</v>
      </c>
      <c r="D104" s="6" t="s">
        <v>728</v>
      </c>
      <c r="E104" s="6" t="s">
        <v>729</v>
      </c>
      <c r="F104" s="7" t="str">
        <f>HYPERLINK("http://www.kigyou-sns.com/press/press_230391/","URLを開く")</f>
        <v>URLを開く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</row>
    <row r="105" spans="1:11" x14ac:dyDescent="0.15">
      <c r="A105" s="8" t="s">
        <v>727</v>
      </c>
      <c r="B105" s="8" t="s">
        <v>711</v>
      </c>
      <c r="C105" s="15" t="s">
        <v>23</v>
      </c>
      <c r="D105" s="6" t="s">
        <v>730</v>
      </c>
      <c r="E105" s="6" t="s">
        <v>731</v>
      </c>
      <c r="F105" s="7" t="str">
        <f>HYPERLINK("http://www.bizloop.jp/release/DRN0000158166/","URLを開く")</f>
        <v>URLを開く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</row>
    <row r="106" spans="1:11" x14ac:dyDescent="0.15">
      <c r="A106" s="8" t="s">
        <v>727</v>
      </c>
      <c r="B106" s="8" t="s">
        <v>711</v>
      </c>
      <c r="C106" s="15" t="s">
        <v>23</v>
      </c>
      <c r="D106" s="6" t="s">
        <v>732</v>
      </c>
      <c r="E106" s="6" t="s">
        <v>733</v>
      </c>
      <c r="F106" s="7" t="str">
        <f>HYPERLINK("http://www.bizloop.jp/release/DRN0000158169/","URLを開く")</f>
        <v>URLを開く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</row>
    <row r="107" spans="1:11" x14ac:dyDescent="0.15">
      <c r="A107" s="8" t="s">
        <v>727</v>
      </c>
      <c r="B107" s="8" t="s">
        <v>711</v>
      </c>
      <c r="C107" s="15" t="s">
        <v>34</v>
      </c>
      <c r="D107" s="6" t="s">
        <v>734</v>
      </c>
      <c r="E107" s="6" t="s">
        <v>735</v>
      </c>
      <c r="F107" s="7" t="str">
        <f>HYPERLINK("http://www.kigyou-sns.com/press/press_230389/","URLを開く")</f>
        <v>URLを開く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</row>
    <row r="108" spans="1:11" x14ac:dyDescent="0.15">
      <c r="A108" s="8" t="s">
        <v>736</v>
      </c>
      <c r="B108" s="8" t="s">
        <v>727</v>
      </c>
      <c r="C108" s="15" t="s">
        <v>40</v>
      </c>
      <c r="D108" s="6" t="s">
        <v>728</v>
      </c>
      <c r="E108" s="6" t="s">
        <v>737</v>
      </c>
      <c r="F108" s="7" t="str">
        <f>HYPERLINK("https://business.nifty.com/cs/catalog/business_release/catalog_drm0000158166_1.htm","URLを開く")</f>
        <v>URLを開く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 t="s">
        <v>20</v>
      </c>
    </row>
    <row r="109" spans="1:11" x14ac:dyDescent="0.15">
      <c r="A109" s="8" t="s">
        <v>736</v>
      </c>
      <c r="B109" s="8" t="s">
        <v>727</v>
      </c>
      <c r="C109" s="15" t="s">
        <v>43</v>
      </c>
      <c r="D109" s="6" t="s">
        <v>728</v>
      </c>
      <c r="E109" s="6" t="s">
        <v>738</v>
      </c>
      <c r="F109" s="7" t="str">
        <f>HYPERLINK("https://news.biglobe.ne.jp/economy/0814/dre_170814_5525035036.html","URLを開く")</f>
        <v>URLを開く</v>
      </c>
      <c r="G109" s="10" t="s">
        <v>20</v>
      </c>
      <c r="H109" s="10" t="s">
        <v>20</v>
      </c>
      <c r="I109" s="10" t="s">
        <v>20</v>
      </c>
      <c r="J109" s="10" t="s">
        <v>20</v>
      </c>
      <c r="K109" s="10" t="s">
        <v>20</v>
      </c>
    </row>
    <row r="110" spans="1:11" x14ac:dyDescent="0.15">
      <c r="A110" s="8" t="s">
        <v>736</v>
      </c>
      <c r="B110" s="8" t="s">
        <v>727</v>
      </c>
      <c r="C110" s="15" t="s">
        <v>45</v>
      </c>
      <c r="D110" s="6" t="s">
        <v>728</v>
      </c>
      <c r="E110" s="6" t="s">
        <v>739</v>
      </c>
      <c r="F110" s="7" t="str">
        <f>HYPERLINK("http://press.fideli.com/d/158166/","URLを開く")</f>
        <v>URLを開く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 t="s">
        <v>20</v>
      </c>
    </row>
    <row r="111" spans="1:11" x14ac:dyDescent="0.15">
      <c r="A111" s="8" t="s">
        <v>736</v>
      </c>
      <c r="B111" s="8" t="s">
        <v>727</v>
      </c>
      <c r="C111" s="15" t="s">
        <v>45</v>
      </c>
      <c r="D111" s="6" t="s">
        <v>728</v>
      </c>
      <c r="E111" s="6" t="s">
        <v>740</v>
      </c>
      <c r="F111" s="7" t="str">
        <f>HYPERLINK("http://press.fideli.com/d/158166/5","URLを開く")</f>
        <v>URLを開く</v>
      </c>
      <c r="G111" s="10" t="s">
        <v>20</v>
      </c>
      <c r="H111" s="10" t="s">
        <v>20</v>
      </c>
      <c r="I111" s="10" t="s">
        <v>20</v>
      </c>
      <c r="J111" s="10" t="s">
        <v>20</v>
      </c>
      <c r="K111" s="10" t="s">
        <v>20</v>
      </c>
    </row>
    <row r="112" spans="1:11" x14ac:dyDescent="0.15">
      <c r="A112" s="8" t="s">
        <v>736</v>
      </c>
      <c r="B112" s="8" t="s">
        <v>727</v>
      </c>
      <c r="C112" s="15" t="s">
        <v>48</v>
      </c>
      <c r="D112" s="6" t="s">
        <v>728</v>
      </c>
      <c r="E112" s="6" t="s">
        <v>741</v>
      </c>
      <c r="F112" s="7" t="str">
        <f>HYPERLINK("https://news.infoseek.co.jp/article/dreamnews_0000158166/","URLを開く")</f>
        <v>URLを開く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</row>
    <row r="113" spans="1:11" x14ac:dyDescent="0.15">
      <c r="A113" s="8" t="s">
        <v>736</v>
      </c>
      <c r="B113" s="8" t="s">
        <v>727</v>
      </c>
      <c r="C113" s="15" t="s">
        <v>52</v>
      </c>
      <c r="D113" s="6" t="s">
        <v>728</v>
      </c>
      <c r="E113" s="6" t="s">
        <v>742</v>
      </c>
      <c r="F113" s="7" t="str">
        <f>HYPERLINK("http://news.nplus-inc.co.jp/index.php?action=ViewDetail&amp;number=388704","URLを開く")</f>
        <v>URLを開く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 t="s">
        <v>20</v>
      </c>
    </row>
    <row r="114" spans="1:11" x14ac:dyDescent="0.15">
      <c r="A114" s="8" t="s">
        <v>736</v>
      </c>
      <c r="B114" s="8" t="s">
        <v>727</v>
      </c>
      <c r="C114" s="15" t="s">
        <v>37</v>
      </c>
      <c r="D114" s="6" t="s">
        <v>728</v>
      </c>
      <c r="E114" s="6" t="s">
        <v>743</v>
      </c>
      <c r="F114" s="7" t="str">
        <f>HYPERLINK("http://www.seotools.jp/news/id_0000158166.html","URLを開く")</f>
        <v>URLを開く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</row>
    <row r="115" spans="1:11" x14ac:dyDescent="0.15">
      <c r="A115" s="8" t="s">
        <v>736</v>
      </c>
      <c r="B115" s="8" t="s">
        <v>727</v>
      </c>
      <c r="C115" s="15" t="s">
        <v>54</v>
      </c>
      <c r="D115" s="6" t="s">
        <v>728</v>
      </c>
      <c r="E115" s="6" t="s">
        <v>744</v>
      </c>
      <c r="F115" s="7" t="str">
        <f>HYPERLINK("https://miyabiz.com/special/dreamNews/detail.php?id=0000158166","URLを開く")</f>
        <v>URLを開く</v>
      </c>
      <c r="G115" s="10" t="s">
        <v>20</v>
      </c>
      <c r="H115" s="10" t="s">
        <v>20</v>
      </c>
      <c r="I115" s="10" t="s">
        <v>20</v>
      </c>
      <c r="J115" s="10" t="s">
        <v>20</v>
      </c>
      <c r="K115" s="10" t="s">
        <v>20</v>
      </c>
    </row>
    <row r="116" spans="1:11" x14ac:dyDescent="0.15">
      <c r="A116" s="8" t="s">
        <v>736</v>
      </c>
      <c r="B116" s="8" t="s">
        <v>727</v>
      </c>
      <c r="C116" s="15" t="s">
        <v>56</v>
      </c>
      <c r="D116" s="6" t="s">
        <v>728</v>
      </c>
      <c r="E116" s="6" t="s">
        <v>745</v>
      </c>
      <c r="F116" s="7" t="str">
        <f>HYPERLINK("http://newsnavi.jp/detail/643734/","URLを開く")</f>
        <v>URLを開く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 t="s">
        <v>20</v>
      </c>
    </row>
    <row r="117" spans="1:11" x14ac:dyDescent="0.15">
      <c r="A117" s="8" t="s">
        <v>736</v>
      </c>
      <c r="B117" s="8" t="s">
        <v>727</v>
      </c>
      <c r="C117" s="15" t="s">
        <v>58</v>
      </c>
      <c r="D117" s="6" t="s">
        <v>728</v>
      </c>
      <c r="E117" s="6" t="s">
        <v>746</v>
      </c>
      <c r="F117" s="7" t="str">
        <f>HYPERLINK("http://www.topics.or.jp/press/news/2017/08/DreamNewsDN0000158166.html","URLを開く")</f>
        <v>URLを開く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10" t="s">
        <v>20</v>
      </c>
    </row>
    <row r="118" spans="1:11" x14ac:dyDescent="0.15">
      <c r="A118" s="8" t="s">
        <v>736</v>
      </c>
      <c r="B118" s="8" t="s">
        <v>727</v>
      </c>
      <c r="C118" s="15" t="s">
        <v>60</v>
      </c>
      <c r="D118" s="6" t="s">
        <v>728</v>
      </c>
      <c r="E118" s="6" t="s">
        <v>747</v>
      </c>
      <c r="F118" s="7" t="str">
        <f>HYPERLINK("http://www.asahi.com/and_M/information/pressrelease/Cdpress000158166.html","URLを開く")</f>
        <v>URLを開く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 t="s">
        <v>20</v>
      </c>
    </row>
    <row r="119" spans="1:11" x14ac:dyDescent="0.15">
      <c r="A119" s="8" t="s">
        <v>736</v>
      </c>
      <c r="B119" s="8" t="s">
        <v>727</v>
      </c>
      <c r="C119" s="15" t="s">
        <v>62</v>
      </c>
      <c r="D119" s="6" t="s">
        <v>728</v>
      </c>
      <c r="E119" s="6" t="s">
        <v>748</v>
      </c>
      <c r="F119" s="7" t="str">
        <f>HYPERLINK("http://www.jprime.jp/ud/pressrelease/guid/dn0000158166","URLを開く")</f>
        <v>URLを開く</v>
      </c>
      <c r="G119" s="10" t="s">
        <v>20</v>
      </c>
      <c r="H119" s="10" t="s">
        <v>20</v>
      </c>
      <c r="I119" s="10" t="s">
        <v>20</v>
      </c>
      <c r="J119" s="10" t="s">
        <v>20</v>
      </c>
      <c r="K119" s="10" t="s">
        <v>20</v>
      </c>
    </row>
    <row r="120" spans="1:11" x14ac:dyDescent="0.15">
      <c r="A120" s="8" t="s">
        <v>736</v>
      </c>
      <c r="B120" s="8" t="s">
        <v>727</v>
      </c>
      <c r="C120" s="15" t="s">
        <v>64</v>
      </c>
      <c r="D120" s="6" t="s">
        <v>749</v>
      </c>
      <c r="E120" s="6" t="s">
        <v>750</v>
      </c>
      <c r="F120" s="7" t="str">
        <f>HYPERLINK("http://www.excite.co.jp/News/release/20170814/Dreamnews_0000158166.html","URLを開く")</f>
        <v>URLを開く</v>
      </c>
      <c r="G120" s="10" t="s">
        <v>20</v>
      </c>
      <c r="H120" s="10" t="s">
        <v>20</v>
      </c>
      <c r="I120" s="10" t="s">
        <v>20</v>
      </c>
      <c r="J120" s="10" t="s">
        <v>20</v>
      </c>
      <c r="K120" s="10" t="s">
        <v>20</v>
      </c>
    </row>
    <row r="121" spans="1:11" x14ac:dyDescent="0.15">
      <c r="A121" s="8" t="s">
        <v>736</v>
      </c>
      <c r="B121" s="8" t="s">
        <v>727</v>
      </c>
      <c r="C121" s="15" t="s">
        <v>50</v>
      </c>
      <c r="D121" s="6" t="s">
        <v>751</v>
      </c>
      <c r="E121" s="6" t="s">
        <v>752</v>
      </c>
      <c r="F121" s="7" t="str">
        <f>HYPERLINK("http://markezine.jp/release/detail/780196","URLを開く")</f>
        <v>URLを開く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 t="s">
        <v>20</v>
      </c>
    </row>
    <row r="122" spans="1:11" x14ac:dyDescent="0.15">
      <c r="A122" s="8" t="s">
        <v>736</v>
      </c>
      <c r="B122" s="8" t="s">
        <v>727</v>
      </c>
      <c r="C122" s="15" t="s">
        <v>67</v>
      </c>
      <c r="D122" s="6" t="s">
        <v>753</v>
      </c>
      <c r="E122" s="6" t="s">
        <v>754</v>
      </c>
      <c r="F122" s="7" t="str">
        <f>HYPERLINK("http://home.kingsoft.jp/news/pr/dreamnews/0000158166.html","URLを開く")</f>
        <v>URLを開く</v>
      </c>
      <c r="G122" s="10" t="s">
        <v>20</v>
      </c>
      <c r="H122" s="10" t="s">
        <v>20</v>
      </c>
      <c r="I122" s="10" t="s">
        <v>20</v>
      </c>
      <c r="J122" s="10" t="s">
        <v>20</v>
      </c>
      <c r="K122" s="10" t="s">
        <v>20</v>
      </c>
    </row>
    <row r="123" spans="1:11" x14ac:dyDescent="0.15">
      <c r="A123" s="8" t="s">
        <v>736</v>
      </c>
      <c r="B123" s="8" t="s">
        <v>727</v>
      </c>
      <c r="C123" s="15" t="s">
        <v>70</v>
      </c>
      <c r="D123" s="6" t="s">
        <v>755</v>
      </c>
      <c r="E123" s="6" t="s">
        <v>756</v>
      </c>
      <c r="F123" s="7" t="str">
        <f>HYPERLINK("http://news.toremaga.com/nation/notice/985119.html","URLを開く")</f>
        <v>URLを開く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 t="s">
        <v>20</v>
      </c>
    </row>
    <row r="124" spans="1:11" x14ac:dyDescent="0.15">
      <c r="A124" s="8" t="s">
        <v>736</v>
      </c>
      <c r="B124" s="8" t="s">
        <v>727</v>
      </c>
      <c r="C124" s="15" t="s">
        <v>70</v>
      </c>
      <c r="D124" s="6" t="s">
        <v>755</v>
      </c>
      <c r="E124" s="6" t="s">
        <v>757</v>
      </c>
      <c r="F124" s="7" t="str">
        <f>HYPERLINK("http://news.toremaga.com/release/notice/985119.html","URLを開く")</f>
        <v>URLを開く</v>
      </c>
      <c r="G124" s="10" t="s">
        <v>20</v>
      </c>
      <c r="H124" s="10" t="s">
        <v>20</v>
      </c>
      <c r="I124" s="10" t="s">
        <v>20</v>
      </c>
      <c r="J124" s="10" t="s">
        <v>20</v>
      </c>
      <c r="K124" s="10" t="s">
        <v>20</v>
      </c>
    </row>
    <row r="125" spans="1:11" x14ac:dyDescent="0.15">
      <c r="A125" s="8" t="s">
        <v>736</v>
      </c>
      <c r="B125" s="8" t="s">
        <v>727</v>
      </c>
      <c r="C125" s="15" t="s">
        <v>73</v>
      </c>
      <c r="D125" s="6" t="s">
        <v>758</v>
      </c>
      <c r="E125" s="6" t="s">
        <v>759</v>
      </c>
      <c r="F125" s="7" t="str">
        <f>HYPERLINK("http://www.mapion.co.jp/news/release/dn0000158166-all/","URLを開く")</f>
        <v>URLを開く</v>
      </c>
      <c r="G125" s="10" t="s">
        <v>20</v>
      </c>
      <c r="H125" s="10" t="s">
        <v>20</v>
      </c>
      <c r="I125" s="10" t="s">
        <v>20</v>
      </c>
      <c r="J125" s="10" t="s">
        <v>20</v>
      </c>
      <c r="K125" s="10" t="s">
        <v>20</v>
      </c>
    </row>
    <row r="126" spans="1:11" x14ac:dyDescent="0.15">
      <c r="A126" s="8" t="s">
        <v>736</v>
      </c>
      <c r="B126" s="8" t="s">
        <v>727</v>
      </c>
      <c r="C126" s="15" t="s">
        <v>37</v>
      </c>
      <c r="D126" s="6" t="s">
        <v>760</v>
      </c>
      <c r="E126" s="6" t="s">
        <v>761</v>
      </c>
      <c r="F126" s="7" t="str">
        <f>HYPERLINK("http://www.seotools.jp/news/id_0000158169.html","URLを開く")</f>
        <v>URLを開く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 t="s">
        <v>20</v>
      </c>
    </row>
    <row r="127" spans="1:11" x14ac:dyDescent="0.15">
      <c r="A127" s="8" t="s">
        <v>736</v>
      </c>
      <c r="B127" s="8" t="s">
        <v>727</v>
      </c>
      <c r="C127" s="15" t="s">
        <v>40</v>
      </c>
      <c r="D127" s="6" t="s">
        <v>734</v>
      </c>
      <c r="E127" s="6" t="s">
        <v>762</v>
      </c>
      <c r="F127" s="7" t="str">
        <f>HYPERLINK("https://business.nifty.com/cs/catalog/business_release/catalog_drm0000158169_1.htm","URLを開く")</f>
        <v>URLを開く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 t="s">
        <v>20</v>
      </c>
    </row>
    <row r="128" spans="1:11" x14ac:dyDescent="0.15">
      <c r="A128" s="8" t="s">
        <v>736</v>
      </c>
      <c r="B128" s="8" t="s">
        <v>727</v>
      </c>
      <c r="C128" s="15" t="s">
        <v>43</v>
      </c>
      <c r="D128" s="6" t="s">
        <v>734</v>
      </c>
      <c r="E128" s="6" t="s">
        <v>763</v>
      </c>
      <c r="F128" s="7" t="str">
        <f>HYPERLINK("https://news.biglobe.ne.jp/economy/0814/dre_170814_4796011648.html","URLを開く")</f>
        <v>URLを開く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 t="s">
        <v>20</v>
      </c>
    </row>
    <row r="129" spans="1:11" x14ac:dyDescent="0.15">
      <c r="A129" s="8" t="s">
        <v>736</v>
      </c>
      <c r="B129" s="8" t="s">
        <v>727</v>
      </c>
      <c r="C129" s="15" t="s">
        <v>45</v>
      </c>
      <c r="D129" s="6" t="s">
        <v>734</v>
      </c>
      <c r="E129" s="6" t="s">
        <v>764</v>
      </c>
      <c r="F129" s="7" t="str">
        <f>HYPERLINK("http://press.fideli.com/d/158169/","URLを開く")</f>
        <v>URLを開く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</row>
    <row r="130" spans="1:11" x14ac:dyDescent="0.15">
      <c r="A130" s="8" t="s">
        <v>736</v>
      </c>
      <c r="B130" s="8" t="s">
        <v>727</v>
      </c>
      <c r="C130" s="15" t="s">
        <v>45</v>
      </c>
      <c r="D130" s="6" t="s">
        <v>734</v>
      </c>
      <c r="E130" s="6" t="s">
        <v>765</v>
      </c>
      <c r="F130" s="7" t="str">
        <f>HYPERLINK("http://press.fideli.com/d/158169/5","URLを開く")</f>
        <v>URLを開く</v>
      </c>
      <c r="G130" s="10" t="s">
        <v>20</v>
      </c>
      <c r="H130" s="10" t="s">
        <v>20</v>
      </c>
      <c r="I130" s="10" t="s">
        <v>20</v>
      </c>
      <c r="J130" s="10" t="s">
        <v>20</v>
      </c>
      <c r="K130" s="10" t="s">
        <v>20</v>
      </c>
    </row>
    <row r="131" spans="1:11" x14ac:dyDescent="0.15">
      <c r="A131" s="8" t="s">
        <v>736</v>
      </c>
      <c r="B131" s="8" t="s">
        <v>727</v>
      </c>
      <c r="C131" s="15" t="s">
        <v>48</v>
      </c>
      <c r="D131" s="6" t="s">
        <v>734</v>
      </c>
      <c r="E131" s="6" t="s">
        <v>766</v>
      </c>
      <c r="F131" s="7" t="str">
        <f>HYPERLINK("https://news.infoseek.co.jp/article/dreamnews_0000158169/","URLを開く")</f>
        <v>URLを開く</v>
      </c>
      <c r="G131" s="10" t="s">
        <v>20</v>
      </c>
      <c r="H131" s="10" t="s">
        <v>20</v>
      </c>
      <c r="I131" s="10" t="s">
        <v>20</v>
      </c>
      <c r="J131" s="10" t="s">
        <v>20</v>
      </c>
      <c r="K131" s="10" t="s">
        <v>20</v>
      </c>
    </row>
    <row r="132" spans="1:11" x14ac:dyDescent="0.15">
      <c r="A132" s="8" t="s">
        <v>736</v>
      </c>
      <c r="B132" s="8" t="s">
        <v>727</v>
      </c>
      <c r="C132" s="15" t="s">
        <v>52</v>
      </c>
      <c r="D132" s="6" t="s">
        <v>734</v>
      </c>
      <c r="E132" s="6" t="s">
        <v>767</v>
      </c>
      <c r="F132" s="7" t="str">
        <f>HYPERLINK("http://news.nplus-inc.co.jp/index.php?action=ViewDetail&amp;number=388705","URLを開く")</f>
        <v>URLを開く</v>
      </c>
      <c r="G132" s="10" t="s">
        <v>20</v>
      </c>
      <c r="H132" s="10" t="s">
        <v>20</v>
      </c>
      <c r="I132" s="10" t="s">
        <v>20</v>
      </c>
      <c r="J132" s="10" t="s">
        <v>20</v>
      </c>
      <c r="K132" s="10" t="s">
        <v>20</v>
      </c>
    </row>
    <row r="133" spans="1:11" x14ac:dyDescent="0.15">
      <c r="A133" s="8" t="s">
        <v>736</v>
      </c>
      <c r="B133" s="8" t="s">
        <v>727</v>
      </c>
      <c r="C133" s="15" t="s">
        <v>54</v>
      </c>
      <c r="D133" s="6" t="s">
        <v>734</v>
      </c>
      <c r="E133" s="6" t="s">
        <v>768</v>
      </c>
      <c r="F133" s="7" t="str">
        <f>HYPERLINK("https://miyabiz.com/special/dreamNews/detail.php?id=0000158169","URLを開く")</f>
        <v>URLを開く</v>
      </c>
      <c r="G133" s="10" t="s">
        <v>20</v>
      </c>
      <c r="H133" s="10" t="s">
        <v>20</v>
      </c>
      <c r="I133" s="10" t="s">
        <v>20</v>
      </c>
      <c r="J133" s="10" t="s">
        <v>20</v>
      </c>
      <c r="K133" s="10" t="s">
        <v>20</v>
      </c>
    </row>
    <row r="134" spans="1:11" x14ac:dyDescent="0.15">
      <c r="A134" s="8" t="s">
        <v>736</v>
      </c>
      <c r="B134" s="8" t="s">
        <v>727</v>
      </c>
      <c r="C134" s="15" t="s">
        <v>56</v>
      </c>
      <c r="D134" s="6" t="s">
        <v>734</v>
      </c>
      <c r="E134" s="6" t="s">
        <v>769</v>
      </c>
      <c r="F134" s="7" t="str">
        <f>HYPERLINK("http://newsnavi.jp/detail/643735/","URLを開く")</f>
        <v>URLを開く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 t="s">
        <v>20</v>
      </c>
    </row>
    <row r="135" spans="1:11" x14ac:dyDescent="0.15">
      <c r="A135" s="8" t="s">
        <v>736</v>
      </c>
      <c r="B135" s="8" t="s">
        <v>727</v>
      </c>
      <c r="C135" s="15" t="s">
        <v>58</v>
      </c>
      <c r="D135" s="6" t="s">
        <v>734</v>
      </c>
      <c r="E135" s="6" t="s">
        <v>770</v>
      </c>
      <c r="F135" s="7" t="str">
        <f>HYPERLINK("http://www.topics.or.jp/press/news/2017/08/DreamNewsDN0000158169.html","URLを開く")</f>
        <v>URLを開く</v>
      </c>
      <c r="G135" s="10" t="s">
        <v>20</v>
      </c>
      <c r="H135" s="10" t="s">
        <v>20</v>
      </c>
      <c r="I135" s="10" t="s">
        <v>20</v>
      </c>
      <c r="J135" s="10" t="s">
        <v>20</v>
      </c>
      <c r="K135" s="10" t="s">
        <v>20</v>
      </c>
    </row>
    <row r="136" spans="1:11" x14ac:dyDescent="0.15">
      <c r="A136" s="8" t="s">
        <v>736</v>
      </c>
      <c r="B136" s="8" t="s">
        <v>727</v>
      </c>
      <c r="C136" s="15" t="s">
        <v>60</v>
      </c>
      <c r="D136" s="6" t="s">
        <v>734</v>
      </c>
      <c r="E136" s="6" t="s">
        <v>771</v>
      </c>
      <c r="F136" s="7" t="str">
        <f>HYPERLINK("http://www.asahi.com/and_M/information/pressrelease/Cdpress000158169.html","URLを開く")</f>
        <v>URLを開く</v>
      </c>
      <c r="G136" s="10" t="s">
        <v>20</v>
      </c>
      <c r="H136" s="10" t="s">
        <v>20</v>
      </c>
      <c r="I136" s="10" t="s">
        <v>20</v>
      </c>
      <c r="J136" s="10" t="s">
        <v>20</v>
      </c>
      <c r="K136" s="10" t="s">
        <v>20</v>
      </c>
    </row>
    <row r="137" spans="1:11" x14ac:dyDescent="0.15">
      <c r="A137" s="8" t="s">
        <v>736</v>
      </c>
      <c r="B137" s="8" t="s">
        <v>727</v>
      </c>
      <c r="C137" s="15" t="s">
        <v>62</v>
      </c>
      <c r="D137" s="6" t="s">
        <v>734</v>
      </c>
      <c r="E137" s="6" t="s">
        <v>772</v>
      </c>
      <c r="F137" s="7" t="str">
        <f>HYPERLINK("http://www.jprime.jp/ud/pressrelease/guid/dn0000158169","URLを開く")</f>
        <v>URLを開く</v>
      </c>
      <c r="G137" s="10" t="s">
        <v>20</v>
      </c>
      <c r="H137" s="10" t="s">
        <v>20</v>
      </c>
      <c r="I137" s="10" t="s">
        <v>20</v>
      </c>
      <c r="J137" s="10" t="s">
        <v>20</v>
      </c>
      <c r="K137" s="10" t="s">
        <v>20</v>
      </c>
    </row>
    <row r="138" spans="1:11" x14ac:dyDescent="0.15">
      <c r="A138" s="8" t="s">
        <v>736</v>
      </c>
      <c r="B138" s="8" t="s">
        <v>727</v>
      </c>
      <c r="C138" s="15" t="s">
        <v>64</v>
      </c>
      <c r="D138" s="6" t="s">
        <v>773</v>
      </c>
      <c r="E138" s="6" t="s">
        <v>774</v>
      </c>
      <c r="F138" s="7" t="str">
        <f>HYPERLINK("http://www.excite.co.jp/News/release/20170814/Dreamnews_0000158169.html","URLを開く")</f>
        <v>URLを開く</v>
      </c>
      <c r="G138" s="10" t="s">
        <v>20</v>
      </c>
      <c r="H138" s="10" t="s">
        <v>20</v>
      </c>
      <c r="I138" s="10" t="s">
        <v>20</v>
      </c>
      <c r="J138" s="10" t="s">
        <v>20</v>
      </c>
      <c r="K138" s="10" t="s">
        <v>20</v>
      </c>
    </row>
    <row r="139" spans="1:11" x14ac:dyDescent="0.15">
      <c r="A139" s="8" t="s">
        <v>736</v>
      </c>
      <c r="B139" s="8" t="s">
        <v>727</v>
      </c>
      <c r="C139" s="15" t="s">
        <v>50</v>
      </c>
      <c r="D139" s="6" t="s">
        <v>775</v>
      </c>
      <c r="E139" s="6" t="s">
        <v>776</v>
      </c>
      <c r="F139" s="7" t="str">
        <f>HYPERLINK("http://markezine.jp/release/detail/780195","URLを開く")</f>
        <v>URLを開く</v>
      </c>
      <c r="G139" s="10" t="s">
        <v>20</v>
      </c>
      <c r="H139" s="10" t="s">
        <v>20</v>
      </c>
      <c r="I139" s="10" t="s">
        <v>20</v>
      </c>
      <c r="J139" s="10" t="s">
        <v>20</v>
      </c>
      <c r="K139" s="10" t="s">
        <v>20</v>
      </c>
    </row>
    <row r="140" spans="1:11" x14ac:dyDescent="0.15">
      <c r="A140" s="8" t="s">
        <v>736</v>
      </c>
      <c r="B140" s="8" t="s">
        <v>727</v>
      </c>
      <c r="C140" s="15" t="s">
        <v>67</v>
      </c>
      <c r="D140" s="6" t="s">
        <v>777</v>
      </c>
      <c r="E140" s="6" t="s">
        <v>778</v>
      </c>
      <c r="F140" s="7" t="str">
        <f>HYPERLINK("http://home.kingsoft.jp/news/pr/dreamnews/0000158169.html","URLを開く")</f>
        <v>URLを開く</v>
      </c>
      <c r="G140" s="10" t="s">
        <v>20</v>
      </c>
      <c r="H140" s="10" t="s">
        <v>20</v>
      </c>
      <c r="I140" s="10" t="s">
        <v>20</v>
      </c>
      <c r="J140" s="10" t="s">
        <v>20</v>
      </c>
      <c r="K140" s="10" t="s">
        <v>20</v>
      </c>
    </row>
    <row r="141" spans="1:11" x14ac:dyDescent="0.15">
      <c r="A141" s="8" t="s">
        <v>736</v>
      </c>
      <c r="B141" s="8" t="s">
        <v>727</v>
      </c>
      <c r="C141" s="15" t="s">
        <v>70</v>
      </c>
      <c r="D141" s="6" t="s">
        <v>779</v>
      </c>
      <c r="E141" s="6" t="s">
        <v>780</v>
      </c>
      <c r="F141" s="7" t="str">
        <f>HYPERLINK("http://news.toremaga.com/entertainment/others/985118.html","URLを開く")</f>
        <v>URLを開く</v>
      </c>
      <c r="G141" s="10" t="s">
        <v>20</v>
      </c>
      <c r="H141" s="10" t="s">
        <v>20</v>
      </c>
      <c r="I141" s="10" t="s">
        <v>20</v>
      </c>
      <c r="J141" s="10" t="s">
        <v>20</v>
      </c>
      <c r="K141" s="10" t="s">
        <v>20</v>
      </c>
    </row>
    <row r="142" spans="1:11" x14ac:dyDescent="0.15">
      <c r="A142" s="8" t="s">
        <v>736</v>
      </c>
      <c r="B142" s="8" t="s">
        <v>727</v>
      </c>
      <c r="C142" s="15" t="s">
        <v>70</v>
      </c>
      <c r="D142" s="6" t="s">
        <v>779</v>
      </c>
      <c r="E142" s="6" t="s">
        <v>781</v>
      </c>
      <c r="F142" s="7" t="str">
        <f>HYPERLINK("http://news.toremaga.com/release/others/985118.html","URLを開く")</f>
        <v>URLを開く</v>
      </c>
      <c r="G142" s="10" t="s">
        <v>20</v>
      </c>
      <c r="H142" s="10" t="s">
        <v>20</v>
      </c>
      <c r="I142" s="10" t="s">
        <v>20</v>
      </c>
      <c r="J142" s="10" t="s">
        <v>20</v>
      </c>
      <c r="K142" s="10" t="s">
        <v>20</v>
      </c>
    </row>
    <row r="143" spans="1:11" x14ac:dyDescent="0.15">
      <c r="A143" s="8" t="s">
        <v>736</v>
      </c>
      <c r="B143" s="8" t="s">
        <v>727</v>
      </c>
      <c r="C143" s="15" t="s">
        <v>73</v>
      </c>
      <c r="D143" s="6" t="s">
        <v>782</v>
      </c>
      <c r="E143" s="6" t="s">
        <v>783</v>
      </c>
      <c r="F143" s="7" t="str">
        <f>HYPERLINK("http://www.mapion.co.jp/news/release/dn0000158169-all/","URLを開く")</f>
        <v>URLを開く</v>
      </c>
      <c r="G143" s="10" t="s">
        <v>20</v>
      </c>
      <c r="H143" s="10" t="s">
        <v>20</v>
      </c>
      <c r="I143" s="10" t="s">
        <v>20</v>
      </c>
      <c r="J143" s="10" t="s">
        <v>20</v>
      </c>
      <c r="K143" s="10" t="s">
        <v>20</v>
      </c>
    </row>
    <row r="144" spans="1:11" x14ac:dyDescent="0.15">
      <c r="A144" s="8" t="s">
        <v>784</v>
      </c>
      <c r="B144" s="8" t="s">
        <v>785</v>
      </c>
      <c r="C144" s="15" t="s">
        <v>40</v>
      </c>
      <c r="D144" s="6" t="s">
        <v>786</v>
      </c>
      <c r="E144" s="6" t="s">
        <v>787</v>
      </c>
      <c r="F144" s="7" t="str">
        <f>HYPERLINK("https://business.nifty.com/cs/catalog/business_release/catalog_drm0000157933_1.htm","URLを開く")</f>
        <v>URLを開く</v>
      </c>
      <c r="G144" s="10" t="s">
        <v>20</v>
      </c>
      <c r="H144" s="10" t="s">
        <v>20</v>
      </c>
      <c r="I144" s="10" t="s">
        <v>20</v>
      </c>
      <c r="J144" s="10" t="s">
        <v>20</v>
      </c>
      <c r="K144" s="10" t="s">
        <v>20</v>
      </c>
    </row>
    <row r="145" spans="1:11" x14ac:dyDescent="0.15">
      <c r="A145" s="8" t="s">
        <v>784</v>
      </c>
      <c r="B145" s="8" t="s">
        <v>785</v>
      </c>
      <c r="C145" s="15" t="s">
        <v>43</v>
      </c>
      <c r="D145" s="6" t="s">
        <v>786</v>
      </c>
      <c r="E145" s="6" t="s">
        <v>788</v>
      </c>
      <c r="F145" s="7" t="str">
        <f>HYPERLINK("https://news.biglobe.ne.jp/economy/0810/dre_170810_5398009326.html","URLを開く")</f>
        <v>URLを開く</v>
      </c>
      <c r="G145" s="10" t="s">
        <v>20</v>
      </c>
      <c r="H145" s="10" t="s">
        <v>20</v>
      </c>
      <c r="I145" s="10" t="s">
        <v>20</v>
      </c>
      <c r="J145" s="10" t="s">
        <v>20</v>
      </c>
      <c r="K145" s="10" t="s">
        <v>20</v>
      </c>
    </row>
    <row r="146" spans="1:11" x14ac:dyDescent="0.15">
      <c r="A146" s="8" t="s">
        <v>784</v>
      </c>
      <c r="B146" s="8" t="s">
        <v>785</v>
      </c>
      <c r="C146" s="15" t="s">
        <v>45</v>
      </c>
      <c r="D146" s="6" t="s">
        <v>786</v>
      </c>
      <c r="E146" s="6" t="s">
        <v>789</v>
      </c>
      <c r="F146" s="7" t="str">
        <f>HYPERLINK("http://press.fideli.com/d/157933/","URLを開く")</f>
        <v>URLを開く</v>
      </c>
      <c r="G146" s="10" t="s">
        <v>20</v>
      </c>
      <c r="H146" s="10" t="s">
        <v>20</v>
      </c>
      <c r="I146" s="10" t="s">
        <v>20</v>
      </c>
      <c r="J146" s="10" t="s">
        <v>20</v>
      </c>
      <c r="K146" s="10" t="s">
        <v>20</v>
      </c>
    </row>
    <row r="147" spans="1:11" x14ac:dyDescent="0.15">
      <c r="A147" s="8" t="s">
        <v>784</v>
      </c>
      <c r="B147" s="8" t="s">
        <v>785</v>
      </c>
      <c r="C147" s="15" t="s">
        <v>45</v>
      </c>
      <c r="D147" s="6" t="s">
        <v>786</v>
      </c>
      <c r="E147" s="6" t="s">
        <v>790</v>
      </c>
      <c r="F147" s="7" t="str">
        <f>HYPERLINK("http://press.fideli.com/d/157933/5","URLを開く")</f>
        <v>URLを開く</v>
      </c>
      <c r="G147" s="10" t="s">
        <v>20</v>
      </c>
      <c r="H147" s="10" t="s">
        <v>20</v>
      </c>
      <c r="I147" s="10" t="s">
        <v>20</v>
      </c>
      <c r="J147" s="10" t="s">
        <v>20</v>
      </c>
      <c r="K147" s="10" t="s">
        <v>20</v>
      </c>
    </row>
    <row r="148" spans="1:11" x14ac:dyDescent="0.15">
      <c r="A148" s="8" t="s">
        <v>784</v>
      </c>
      <c r="B148" s="8" t="s">
        <v>785</v>
      </c>
      <c r="C148" s="15" t="s">
        <v>48</v>
      </c>
      <c r="D148" s="6" t="s">
        <v>786</v>
      </c>
      <c r="E148" s="6" t="s">
        <v>791</v>
      </c>
      <c r="F148" s="7" t="str">
        <f>HYPERLINK("https://news.infoseek.co.jp/article/dreamnews_0000157933/","URLを開く")</f>
        <v>URLを開く</v>
      </c>
      <c r="G148" s="10" t="s">
        <v>20</v>
      </c>
      <c r="H148" s="10" t="s">
        <v>20</v>
      </c>
      <c r="I148" s="10" t="s">
        <v>20</v>
      </c>
      <c r="J148" s="10" t="s">
        <v>20</v>
      </c>
      <c r="K148" s="10" t="s">
        <v>20</v>
      </c>
    </row>
    <row r="149" spans="1:11" x14ac:dyDescent="0.15">
      <c r="A149" s="8" t="s">
        <v>784</v>
      </c>
      <c r="B149" s="8" t="s">
        <v>785</v>
      </c>
      <c r="C149" s="15" t="s">
        <v>52</v>
      </c>
      <c r="D149" s="6" t="s">
        <v>786</v>
      </c>
      <c r="E149" s="6" t="s">
        <v>792</v>
      </c>
      <c r="F149" s="7" t="str">
        <f>HYPERLINK("http://news.nplus-inc.co.jp/index.php?action=ViewDetail&amp;number=388500","URLを開く")</f>
        <v>URLを開く</v>
      </c>
      <c r="G149" s="10" t="s">
        <v>20</v>
      </c>
      <c r="H149" s="10" t="s">
        <v>20</v>
      </c>
      <c r="I149" s="10" t="s">
        <v>20</v>
      </c>
      <c r="J149" s="10" t="s">
        <v>20</v>
      </c>
      <c r="K149" s="10" t="s">
        <v>20</v>
      </c>
    </row>
    <row r="150" spans="1:11" x14ac:dyDescent="0.15">
      <c r="A150" s="8" t="s">
        <v>784</v>
      </c>
      <c r="B150" s="8" t="s">
        <v>785</v>
      </c>
      <c r="C150" s="15" t="s">
        <v>37</v>
      </c>
      <c r="D150" s="6" t="s">
        <v>786</v>
      </c>
      <c r="E150" s="6" t="s">
        <v>793</v>
      </c>
      <c r="F150" s="7" t="str">
        <f>HYPERLINK("http://www.seotools.jp/news/id_0000157933.html","URLを開く")</f>
        <v>URLを開く</v>
      </c>
      <c r="G150" s="10" t="s">
        <v>20</v>
      </c>
      <c r="H150" s="10" t="s">
        <v>20</v>
      </c>
      <c r="I150" s="10" t="s">
        <v>20</v>
      </c>
      <c r="J150" s="10" t="s">
        <v>20</v>
      </c>
      <c r="K150" s="10" t="s">
        <v>20</v>
      </c>
    </row>
    <row r="151" spans="1:11" x14ac:dyDescent="0.15">
      <c r="A151" s="8" t="s">
        <v>784</v>
      </c>
      <c r="B151" s="8" t="s">
        <v>785</v>
      </c>
      <c r="C151" s="15" t="s">
        <v>54</v>
      </c>
      <c r="D151" s="6" t="s">
        <v>786</v>
      </c>
      <c r="E151" s="6" t="s">
        <v>794</v>
      </c>
      <c r="F151" s="7" t="str">
        <f>HYPERLINK("https://miyabiz.com/special/dreamNews/detail.php?id=0000157933","URLを開く")</f>
        <v>URLを開く</v>
      </c>
      <c r="G151" s="10" t="s">
        <v>20</v>
      </c>
      <c r="H151" s="10" t="s">
        <v>20</v>
      </c>
      <c r="I151" s="10" t="s">
        <v>20</v>
      </c>
      <c r="J151" s="10" t="s">
        <v>20</v>
      </c>
      <c r="K151" s="10" t="s">
        <v>20</v>
      </c>
    </row>
    <row r="152" spans="1:11" x14ac:dyDescent="0.15">
      <c r="A152" s="8" t="s">
        <v>784</v>
      </c>
      <c r="B152" s="8" t="s">
        <v>785</v>
      </c>
      <c r="C152" s="15" t="s">
        <v>56</v>
      </c>
      <c r="D152" s="6" t="s">
        <v>786</v>
      </c>
      <c r="E152" s="6" t="s">
        <v>795</v>
      </c>
      <c r="F152" s="7" t="str">
        <f>HYPERLINK("http://newsnavi.jp/detail/642686/","URLを開く")</f>
        <v>URLを開く</v>
      </c>
      <c r="G152" s="10" t="s">
        <v>20</v>
      </c>
      <c r="H152" s="10" t="s">
        <v>20</v>
      </c>
      <c r="I152" s="10" t="s">
        <v>20</v>
      </c>
      <c r="J152" s="10" t="s">
        <v>20</v>
      </c>
      <c r="K152" s="10" t="s">
        <v>20</v>
      </c>
    </row>
    <row r="153" spans="1:11" x14ac:dyDescent="0.15">
      <c r="A153" s="8" t="s">
        <v>784</v>
      </c>
      <c r="B153" s="8" t="s">
        <v>785</v>
      </c>
      <c r="C153" s="15" t="s">
        <v>58</v>
      </c>
      <c r="D153" s="6" t="s">
        <v>786</v>
      </c>
      <c r="E153" s="6" t="s">
        <v>796</v>
      </c>
      <c r="F153" s="7" t="str">
        <f>HYPERLINK("http://www.topics.or.jp/press/news/2017/08/DreamNewsDN0000157933.html","URLを開く")</f>
        <v>URLを開く</v>
      </c>
      <c r="G153" s="10" t="s">
        <v>20</v>
      </c>
      <c r="H153" s="10" t="s">
        <v>20</v>
      </c>
      <c r="I153" s="10" t="s">
        <v>20</v>
      </c>
      <c r="J153" s="10" t="s">
        <v>20</v>
      </c>
      <c r="K153" s="10" t="s">
        <v>20</v>
      </c>
    </row>
    <row r="154" spans="1:11" x14ac:dyDescent="0.15">
      <c r="A154" s="8" t="s">
        <v>784</v>
      </c>
      <c r="B154" s="8" t="s">
        <v>785</v>
      </c>
      <c r="C154" s="15" t="s">
        <v>60</v>
      </c>
      <c r="D154" s="6" t="s">
        <v>786</v>
      </c>
      <c r="E154" s="6" t="s">
        <v>797</v>
      </c>
      <c r="F154" s="7" t="str">
        <f>HYPERLINK("http://www.asahi.com/and_M/information/pressrelease/Cdpress000157933.html","URLを開く")</f>
        <v>URLを開く</v>
      </c>
      <c r="G154" s="10" t="s">
        <v>20</v>
      </c>
      <c r="H154" s="10" t="s">
        <v>20</v>
      </c>
      <c r="I154" s="10" t="s">
        <v>20</v>
      </c>
      <c r="J154" s="10" t="s">
        <v>20</v>
      </c>
      <c r="K154" s="10" t="s">
        <v>20</v>
      </c>
    </row>
    <row r="155" spans="1:11" x14ac:dyDescent="0.15">
      <c r="A155" s="8" t="s">
        <v>784</v>
      </c>
      <c r="B155" s="8" t="s">
        <v>785</v>
      </c>
      <c r="C155" s="15" t="s">
        <v>62</v>
      </c>
      <c r="D155" s="6" t="s">
        <v>786</v>
      </c>
      <c r="E155" s="6" t="s">
        <v>798</v>
      </c>
      <c r="F155" s="7" t="str">
        <f>HYPERLINK("http://www.jprime.jp/ud/pressrelease/guid/dn0000157933","URLを開く")</f>
        <v>URLを開く</v>
      </c>
      <c r="G155" s="10" t="s">
        <v>20</v>
      </c>
      <c r="H155" s="10" t="s">
        <v>20</v>
      </c>
      <c r="I155" s="10" t="s">
        <v>20</v>
      </c>
      <c r="J155" s="10" t="s">
        <v>20</v>
      </c>
      <c r="K155" s="10" t="s">
        <v>20</v>
      </c>
    </row>
    <row r="156" spans="1:11" x14ac:dyDescent="0.15">
      <c r="A156" s="8" t="s">
        <v>784</v>
      </c>
      <c r="B156" s="8" t="s">
        <v>785</v>
      </c>
      <c r="C156" s="15" t="s">
        <v>64</v>
      </c>
      <c r="D156" s="6" t="s">
        <v>799</v>
      </c>
      <c r="E156" s="6" t="s">
        <v>800</v>
      </c>
      <c r="F156" s="7" t="str">
        <f>HYPERLINK("http://www.excite.co.jp/News/release/20170810/Dreamnews_0000157933.html","URLを開く")</f>
        <v>URLを開く</v>
      </c>
      <c r="G156" s="10" t="s">
        <v>20</v>
      </c>
      <c r="H156" s="10" t="s">
        <v>20</v>
      </c>
      <c r="I156" s="10" t="s">
        <v>20</v>
      </c>
      <c r="J156" s="10" t="s">
        <v>20</v>
      </c>
      <c r="K156" s="10" t="s">
        <v>20</v>
      </c>
    </row>
    <row r="157" spans="1:11" x14ac:dyDescent="0.15">
      <c r="A157" s="8" t="s">
        <v>784</v>
      </c>
      <c r="B157" s="8" t="s">
        <v>785</v>
      </c>
      <c r="C157" s="15" t="s">
        <v>50</v>
      </c>
      <c r="D157" s="6" t="s">
        <v>801</v>
      </c>
      <c r="E157" s="6" t="s">
        <v>802</v>
      </c>
      <c r="F157" s="7" t="str">
        <f>HYPERLINK("http://markezine.jp/release/detail/779633","URLを開く")</f>
        <v>URLを開く</v>
      </c>
      <c r="G157" s="10" t="s">
        <v>20</v>
      </c>
      <c r="H157" s="10" t="s">
        <v>20</v>
      </c>
      <c r="I157" s="10" t="s">
        <v>20</v>
      </c>
      <c r="J157" s="10" t="s">
        <v>20</v>
      </c>
      <c r="K157" s="10" t="s">
        <v>20</v>
      </c>
    </row>
    <row r="158" spans="1:11" x14ac:dyDescent="0.15">
      <c r="A158" s="8" t="s">
        <v>784</v>
      </c>
      <c r="B158" s="8" t="s">
        <v>785</v>
      </c>
      <c r="C158" s="15" t="s">
        <v>67</v>
      </c>
      <c r="D158" s="6" t="s">
        <v>803</v>
      </c>
      <c r="E158" s="6" t="s">
        <v>804</v>
      </c>
      <c r="F158" s="7" t="str">
        <f>HYPERLINK("http://home.kingsoft.jp/news/pr/dreamnews/0000157933.html","URLを開く")</f>
        <v>URLを開く</v>
      </c>
      <c r="G158" s="10" t="s">
        <v>20</v>
      </c>
      <c r="H158" s="10" t="s">
        <v>20</v>
      </c>
      <c r="I158" s="10" t="s">
        <v>20</v>
      </c>
      <c r="J158" s="10" t="s">
        <v>20</v>
      </c>
      <c r="K158" s="10" t="s">
        <v>20</v>
      </c>
    </row>
    <row r="159" spans="1:11" x14ac:dyDescent="0.15">
      <c r="A159" s="8" t="s">
        <v>784</v>
      </c>
      <c r="B159" s="8" t="s">
        <v>785</v>
      </c>
      <c r="C159" s="15" t="s">
        <v>70</v>
      </c>
      <c r="D159" s="6" t="s">
        <v>805</v>
      </c>
      <c r="E159" s="6" t="s">
        <v>806</v>
      </c>
      <c r="F159" s="7" t="str">
        <f>HYPERLINK("http://news.toremaga.com/nation/notice/984442.html","URLを開く")</f>
        <v>URLを開く</v>
      </c>
      <c r="G159" s="10" t="s">
        <v>20</v>
      </c>
      <c r="H159" s="10" t="s">
        <v>20</v>
      </c>
      <c r="I159" s="10" t="s">
        <v>20</v>
      </c>
      <c r="J159" s="10" t="s">
        <v>20</v>
      </c>
      <c r="K159" s="10" t="s">
        <v>20</v>
      </c>
    </row>
    <row r="160" spans="1:11" x14ac:dyDescent="0.15">
      <c r="A160" s="8" t="s">
        <v>784</v>
      </c>
      <c r="B160" s="8" t="s">
        <v>785</v>
      </c>
      <c r="C160" s="15" t="s">
        <v>70</v>
      </c>
      <c r="D160" s="6" t="s">
        <v>805</v>
      </c>
      <c r="E160" s="6" t="s">
        <v>807</v>
      </c>
      <c r="F160" s="7" t="str">
        <f>HYPERLINK("http://news.toremaga.com/release/notice/984442.html","URLを開く")</f>
        <v>URLを開く</v>
      </c>
      <c r="G160" s="10" t="s">
        <v>20</v>
      </c>
      <c r="H160" s="10" t="s">
        <v>20</v>
      </c>
      <c r="I160" s="10" t="s">
        <v>20</v>
      </c>
      <c r="J160" s="10" t="s">
        <v>20</v>
      </c>
      <c r="K160" s="10" t="s">
        <v>20</v>
      </c>
    </row>
    <row r="161" spans="1:11" x14ac:dyDescent="0.15">
      <c r="A161" s="8" t="s">
        <v>784</v>
      </c>
      <c r="B161" s="8" t="s">
        <v>785</v>
      </c>
      <c r="C161" s="15" t="s">
        <v>73</v>
      </c>
      <c r="D161" s="6" t="s">
        <v>808</v>
      </c>
      <c r="E161" s="6" t="s">
        <v>809</v>
      </c>
      <c r="F161" s="7" t="str">
        <f>HYPERLINK("http://www.mapion.co.jp/news/release/dn0000157933-all/","URLを開く")</f>
        <v>URLを開く</v>
      </c>
      <c r="G161" s="10" t="s">
        <v>20</v>
      </c>
      <c r="H161" s="10" t="s">
        <v>20</v>
      </c>
      <c r="I161" s="10" t="s">
        <v>20</v>
      </c>
      <c r="J161" s="10" t="s">
        <v>20</v>
      </c>
      <c r="K161" s="10" t="s">
        <v>20</v>
      </c>
    </row>
    <row r="162" spans="1:11" x14ac:dyDescent="0.15">
      <c r="A162" s="8" t="s">
        <v>784</v>
      </c>
      <c r="B162" s="8" t="s">
        <v>785</v>
      </c>
      <c r="C162" s="15" t="s">
        <v>331</v>
      </c>
      <c r="D162" s="6" t="s">
        <v>810</v>
      </c>
      <c r="E162" s="6" t="s">
        <v>811</v>
      </c>
      <c r="F162" s="7" t="str">
        <f>HYPERLINK("http://www.sankei.com/west/news/170809/wst1708090027-n1.html","URLを開く")</f>
        <v>URLを開く</v>
      </c>
      <c r="G162" s="10" t="s">
        <v>20</v>
      </c>
      <c r="H162" s="10" t="s">
        <v>20</v>
      </c>
      <c r="I162" s="10" t="s">
        <v>20</v>
      </c>
      <c r="J162" s="10" t="s">
        <v>20</v>
      </c>
      <c r="K162" s="10" t="s">
        <v>20</v>
      </c>
    </row>
    <row r="163" spans="1:11" x14ac:dyDescent="0.15">
      <c r="A163" s="8" t="s">
        <v>812</v>
      </c>
      <c r="B163" s="8" t="s">
        <v>784</v>
      </c>
      <c r="C163" s="15" t="s">
        <v>331</v>
      </c>
      <c r="D163" s="6" t="s">
        <v>813</v>
      </c>
      <c r="E163" s="6" t="s">
        <v>814</v>
      </c>
      <c r="F163" s="7" t="str">
        <f>HYPERLINK("http://www.sankei.com/region/news/170809/rgn1708090032-n1.html","URLを開く")</f>
        <v>URLを開く</v>
      </c>
      <c r="G163" s="10" t="s">
        <v>20</v>
      </c>
      <c r="H163" s="10" t="s">
        <v>20</v>
      </c>
      <c r="I163" s="10" t="s">
        <v>20</v>
      </c>
      <c r="J163" s="10" t="s">
        <v>20</v>
      </c>
      <c r="K163" s="10" t="s">
        <v>20</v>
      </c>
    </row>
    <row r="164" spans="1:11" x14ac:dyDescent="0.15">
      <c r="A164" s="8" t="s">
        <v>812</v>
      </c>
      <c r="B164" s="8" t="s">
        <v>784</v>
      </c>
      <c r="C164" s="15" t="s">
        <v>182</v>
      </c>
      <c r="D164" s="6" t="s">
        <v>815</v>
      </c>
      <c r="E164" s="6" t="s">
        <v>816</v>
      </c>
      <c r="F164" s="7" t="str">
        <f>HYPERLINK("https://headlines.yahoo.co.jp/hl?a=20170809-00000029-san-l34","URLを開く")</f>
        <v>URLを開く</v>
      </c>
      <c r="G164" s="10" t="s">
        <v>20</v>
      </c>
      <c r="H164" s="10" t="s">
        <v>20</v>
      </c>
      <c r="I164" s="10" t="s">
        <v>20</v>
      </c>
      <c r="J164" s="10" t="s">
        <v>20</v>
      </c>
      <c r="K164" s="10" t="s">
        <v>20</v>
      </c>
    </row>
    <row r="165" spans="1:11" x14ac:dyDescent="0.15">
      <c r="A165" s="8" t="s">
        <v>817</v>
      </c>
      <c r="B165" s="8" t="s">
        <v>812</v>
      </c>
      <c r="C165" s="15" t="s">
        <v>268</v>
      </c>
      <c r="D165" s="6" t="s">
        <v>818</v>
      </c>
      <c r="E165" s="6" t="s">
        <v>819</v>
      </c>
      <c r="F165" s="7" t="str">
        <f>HYPERLINK("http://www.47news.jp/localnews/shimane/2017/08/post_20170808110609.html","URLを開く")</f>
        <v>URLを開く</v>
      </c>
      <c r="G165" s="10" t="s">
        <v>20</v>
      </c>
      <c r="H165" s="10" t="s">
        <v>20</v>
      </c>
      <c r="I165" s="10" t="s">
        <v>20</v>
      </c>
      <c r="J165" s="10" t="s">
        <v>20</v>
      </c>
      <c r="K165" s="10" t="s">
        <v>20</v>
      </c>
    </row>
    <row r="166" spans="1:11" x14ac:dyDescent="0.15">
      <c r="A166" s="8" t="s">
        <v>817</v>
      </c>
      <c r="B166" s="8" t="s">
        <v>812</v>
      </c>
      <c r="C166" s="15" t="s">
        <v>268</v>
      </c>
      <c r="D166" s="6" t="s">
        <v>818</v>
      </c>
      <c r="E166" s="6" t="s">
        <v>820</v>
      </c>
      <c r="F166" s="7" t="str">
        <f>HYPERLINK("http://www.47news.jp/photo/1687804.php","URLを開く")</f>
        <v>URLを開く</v>
      </c>
      <c r="G166" s="10" t="s">
        <v>20</v>
      </c>
      <c r="H166" s="10" t="s">
        <v>20</v>
      </c>
      <c r="I166" s="10" t="s">
        <v>20</v>
      </c>
      <c r="J166" s="10" t="s">
        <v>20</v>
      </c>
      <c r="K166" s="10" t="s">
        <v>20</v>
      </c>
    </row>
    <row r="167" spans="1:11" x14ac:dyDescent="0.15">
      <c r="A167" s="8" t="s">
        <v>817</v>
      </c>
      <c r="B167" s="8" t="s">
        <v>812</v>
      </c>
      <c r="C167" s="15" t="s">
        <v>268</v>
      </c>
      <c r="D167" s="6" t="s">
        <v>821</v>
      </c>
      <c r="E167" s="6" t="s">
        <v>822</v>
      </c>
      <c r="F167" s="7" t="str">
        <f>HYPERLINK("http://www.47news.jp/localnews/odekake/2017/08/post-20170808104939.html","URLを開く")</f>
        <v>URLを開く</v>
      </c>
      <c r="G167" s="10" t="s">
        <v>20</v>
      </c>
      <c r="H167" s="10" t="s">
        <v>20</v>
      </c>
      <c r="I167" s="10" t="s">
        <v>20</v>
      </c>
      <c r="J167" s="10" t="s">
        <v>20</v>
      </c>
      <c r="K167" s="10" t="s">
        <v>20</v>
      </c>
    </row>
    <row r="168" spans="1:11" x14ac:dyDescent="0.15">
      <c r="A168" s="8" t="s">
        <v>823</v>
      </c>
      <c r="B168" s="8" t="s">
        <v>824</v>
      </c>
      <c r="C168" s="15" t="s">
        <v>283</v>
      </c>
      <c r="D168" s="6" t="s">
        <v>825</v>
      </c>
      <c r="E168" s="6" t="s">
        <v>826</v>
      </c>
      <c r="F168" s="7" t="str">
        <f>HYPERLINK("https://news.goo.ne.jp/article/chuplus/region/chuplus-CK2017080502000050.html","URLを開く")</f>
        <v>URLを開く</v>
      </c>
      <c r="G168" s="10" t="s">
        <v>20</v>
      </c>
      <c r="H168" s="10" t="s">
        <v>20</v>
      </c>
      <c r="I168" s="10" t="s">
        <v>20</v>
      </c>
      <c r="J168" s="10" t="s">
        <v>20</v>
      </c>
      <c r="K168" s="10" t="s">
        <v>20</v>
      </c>
    </row>
    <row r="169" spans="1:11" x14ac:dyDescent="0.15">
      <c r="A169" s="8" t="s">
        <v>823</v>
      </c>
      <c r="B169" s="8" t="s">
        <v>824</v>
      </c>
      <c r="C169" s="15" t="s">
        <v>286</v>
      </c>
      <c r="D169" s="6" t="s">
        <v>827</v>
      </c>
      <c r="E169" s="6" t="s">
        <v>828</v>
      </c>
      <c r="F169" s="7" t="str">
        <f>HYPERLINK("http://topics.smt.docomo.ne.jp/article/chuplus/region/chuplus-CK2017080502000050?fm=latestnews","URLを開く")</f>
        <v>URLを開く</v>
      </c>
      <c r="G169" s="10" t="s">
        <v>20</v>
      </c>
      <c r="H169" s="10" t="s">
        <v>20</v>
      </c>
      <c r="I169" s="10" t="s">
        <v>20</v>
      </c>
      <c r="J169" s="10" t="s">
        <v>20</v>
      </c>
      <c r="K169" s="10" t="s">
        <v>20</v>
      </c>
    </row>
    <row r="170" spans="1:11" x14ac:dyDescent="0.15">
      <c r="A170" s="8" t="s">
        <v>823</v>
      </c>
      <c r="B170" s="8" t="s">
        <v>824</v>
      </c>
      <c r="C170" s="15" t="s">
        <v>443</v>
      </c>
      <c r="D170" s="6" t="s">
        <v>829</v>
      </c>
      <c r="E170" s="6" t="s">
        <v>830</v>
      </c>
      <c r="F170" s="7" t="str">
        <f>HYPERLINK("http://www.chunichi.co.jp/article/ishikawa/20170805/CK2017080502000050.html","URLを開く")</f>
        <v>URLを開く</v>
      </c>
      <c r="G170" s="10" t="s">
        <v>20</v>
      </c>
      <c r="H170" s="10" t="s">
        <v>20</v>
      </c>
      <c r="I170" s="10" t="s">
        <v>20</v>
      </c>
      <c r="J170" s="10" t="s">
        <v>20</v>
      </c>
      <c r="K170" s="10" t="s">
        <v>20</v>
      </c>
    </row>
    <row r="171" spans="1:11" x14ac:dyDescent="0.15">
      <c r="A171" s="8" t="s">
        <v>823</v>
      </c>
      <c r="B171" s="8" t="s">
        <v>824</v>
      </c>
      <c r="C171" s="15" t="s">
        <v>268</v>
      </c>
      <c r="D171" s="6" t="s">
        <v>831</v>
      </c>
      <c r="E171" s="6" t="s">
        <v>832</v>
      </c>
      <c r="F171" s="7" t="str">
        <f>HYPERLINK("http://www.47news.jp/localnews/ishikawa/2017/08/post_20170805080545.html","URLを開く")</f>
        <v>URLを開く</v>
      </c>
      <c r="G171" s="10" t="s">
        <v>20</v>
      </c>
      <c r="H171" s="10" t="s">
        <v>20</v>
      </c>
      <c r="I171" s="10" t="s">
        <v>20</v>
      </c>
      <c r="J171" s="10" t="s">
        <v>20</v>
      </c>
      <c r="K171" s="10" t="s">
        <v>20</v>
      </c>
    </row>
    <row r="172" spans="1:11" x14ac:dyDescent="0.15">
      <c r="A172" s="8" t="s">
        <v>823</v>
      </c>
      <c r="B172" s="8" t="s">
        <v>824</v>
      </c>
      <c r="C172" s="15" t="s">
        <v>268</v>
      </c>
      <c r="D172" s="6" t="s">
        <v>831</v>
      </c>
      <c r="E172" s="6" t="s">
        <v>833</v>
      </c>
      <c r="F172" s="7" t="str">
        <f>HYPERLINK("http://www.47news.jp/photo/1685021.php","URLを開く")</f>
        <v>URLを開く</v>
      </c>
      <c r="G172" s="10" t="s">
        <v>20</v>
      </c>
      <c r="H172" s="10" t="s">
        <v>20</v>
      </c>
      <c r="I172" s="10" t="s">
        <v>20</v>
      </c>
      <c r="J172" s="10" t="s">
        <v>20</v>
      </c>
      <c r="K172" s="10" t="s">
        <v>20</v>
      </c>
    </row>
    <row r="173" spans="1:11" x14ac:dyDescent="0.15">
      <c r="A173" s="8" t="s">
        <v>834</v>
      </c>
      <c r="B173" s="8" t="s">
        <v>823</v>
      </c>
      <c r="C173" s="15" t="s">
        <v>280</v>
      </c>
      <c r="D173" s="6" t="s">
        <v>835</v>
      </c>
      <c r="E173" s="6" t="s">
        <v>836</v>
      </c>
      <c r="F173" s="7" t="str">
        <f>HYPERLINK("http://mainichi.jp/articles/20170804/ddl/k32/040/431000c","URLを開く")</f>
        <v>URLを開く</v>
      </c>
      <c r="G173" s="10" t="s">
        <v>20</v>
      </c>
      <c r="H173" s="10" t="s">
        <v>20</v>
      </c>
      <c r="I173" s="10" t="s">
        <v>20</v>
      </c>
      <c r="J173" s="10" t="s">
        <v>20</v>
      </c>
      <c r="K173" s="10" t="s">
        <v>20</v>
      </c>
    </row>
    <row r="174" spans="1:11" x14ac:dyDescent="0.15">
      <c r="A174" s="8" t="s">
        <v>834</v>
      </c>
      <c r="B174" s="8" t="s">
        <v>823</v>
      </c>
      <c r="C174" s="15" t="s">
        <v>80</v>
      </c>
      <c r="D174" s="6" t="s">
        <v>837</v>
      </c>
      <c r="E174" s="6" t="s">
        <v>838</v>
      </c>
      <c r="F174" s="7" t="str">
        <f>HYPERLINK("http://www.yomiuri.co.jp/local/shimane/news/20170803-OYTNT50258.html","URLを開く")</f>
        <v>URLを開く</v>
      </c>
      <c r="G174" s="10" t="s">
        <v>20</v>
      </c>
      <c r="H174" s="10" t="s">
        <v>20</v>
      </c>
      <c r="I174" s="10" t="s">
        <v>20</v>
      </c>
      <c r="J174" s="10" t="s">
        <v>20</v>
      </c>
      <c r="K174" s="10" t="s">
        <v>20</v>
      </c>
    </row>
    <row r="175" spans="1:11" x14ac:dyDescent="0.15">
      <c r="A175" s="1"/>
      <c r="B175" s="1"/>
      <c r="C175" s="16"/>
      <c r="D175" s="1"/>
      <c r="E175" s="1"/>
    </row>
    <row r="176" spans="1:11" x14ac:dyDescent="0.15">
      <c r="A176" s="1"/>
      <c r="B176" s="1"/>
      <c r="C176" s="16"/>
      <c r="D176" s="1"/>
      <c r="E176" s="1"/>
    </row>
    <row r="177" spans="1:5" x14ac:dyDescent="0.15">
      <c r="A177" s="1"/>
      <c r="B177" s="1"/>
      <c r="C177" s="16"/>
      <c r="D177" s="1"/>
      <c r="E177" s="1"/>
    </row>
    <row r="178" spans="1:5" x14ac:dyDescent="0.15">
      <c r="A178" s="1"/>
      <c r="B178" s="1"/>
      <c r="C178" s="16"/>
      <c r="D178" s="1"/>
      <c r="E178" s="1"/>
    </row>
    <row r="179" spans="1:5" x14ac:dyDescent="0.15">
      <c r="A179" s="1"/>
      <c r="B179" s="1"/>
      <c r="C179" s="16"/>
      <c r="D179" s="1"/>
      <c r="E179" s="1"/>
    </row>
    <row r="180" spans="1:5" x14ac:dyDescent="0.15">
      <c r="A180" s="1"/>
      <c r="B180" s="1"/>
      <c r="C180" s="16"/>
      <c r="D180" s="1"/>
      <c r="E180" s="1"/>
    </row>
    <row r="181" spans="1:5" x14ac:dyDescent="0.15">
      <c r="A181" s="1"/>
      <c r="B181" s="1"/>
      <c r="C181" s="16"/>
      <c r="D181" s="1"/>
      <c r="E181" s="1"/>
    </row>
    <row r="182" spans="1:5" x14ac:dyDescent="0.15">
      <c r="A182" s="1"/>
      <c r="B182" s="1"/>
      <c r="C182" s="16"/>
      <c r="D182" s="1"/>
      <c r="E182" s="1"/>
    </row>
    <row r="183" spans="1:5" x14ac:dyDescent="0.15">
      <c r="A183" s="1"/>
      <c r="B183" s="1"/>
      <c r="C183" s="16"/>
      <c r="D183" s="1"/>
      <c r="E183" s="1"/>
    </row>
  </sheetData>
  <mergeCells count="3">
    <mergeCell ref="B1:D1"/>
    <mergeCell ref="B2:D2"/>
    <mergeCell ref="E4:F4"/>
  </mergeCells>
  <phoneticPr fontId="2"/>
  <pageMargins left="0.23622047244094491" right="0.23622047244094491" top="0.70866141732283472" bottom="0.70866141732283472" header="0.31496062992125984" footer="0.31496062992125984"/>
  <pageSetup paperSize="9" scale="75" fitToHeight="0" orientation="landscape" r:id="rId1"/>
  <headerFooter>
    <oddFooter>&amp;P / &amp;N ページ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1"/>
  <sheetViews>
    <sheetView showGridLines="0" zoomScale="75" zoomScaleNormal="75" workbookViewId="0">
      <pane ySplit="4" topLeftCell="A5" activePane="bottomLeft" state="frozen"/>
      <selection pane="bottomLeft"/>
    </sheetView>
  </sheetViews>
  <sheetFormatPr defaultColWidth="11" defaultRowHeight="13.5" x14ac:dyDescent="0.15"/>
  <cols>
    <col min="1" max="2" width="11.75" customWidth="1"/>
    <col min="3" max="3" width="29" style="17" customWidth="1"/>
    <col min="4" max="4" width="47.25" customWidth="1"/>
    <col min="5" max="6" width="8.75" customWidth="1"/>
    <col min="8" max="12" width="11" customWidth="1"/>
  </cols>
  <sheetData>
    <row r="1" spans="1:11" s="3" customFormat="1" ht="36" customHeight="1" x14ac:dyDescent="0.15">
      <c r="A1" s="2" t="s">
        <v>1</v>
      </c>
      <c r="B1" s="35" t="s">
        <v>9</v>
      </c>
      <c r="C1" s="36"/>
      <c r="D1" s="37"/>
    </row>
    <row r="2" spans="1:11" s="3" customFormat="1" ht="36" customHeight="1" x14ac:dyDescent="0.15">
      <c r="A2" s="14" t="s">
        <v>8</v>
      </c>
      <c r="B2" s="38">
        <v>218</v>
      </c>
      <c r="C2" s="39"/>
      <c r="D2" s="40"/>
    </row>
    <row r="3" spans="1:11" s="3" customFormat="1" ht="36" customHeight="1" x14ac:dyDescent="0.15">
      <c r="B3" s="18"/>
      <c r="C3" s="18"/>
      <c r="D3" s="18"/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535</v>
      </c>
      <c r="B4" s="19" t="s">
        <v>6</v>
      </c>
      <c r="C4" s="19" t="s">
        <v>536</v>
      </c>
      <c r="D4" s="20" t="s">
        <v>839</v>
      </c>
      <c r="E4" s="30" t="s">
        <v>840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22" t="s">
        <v>841</v>
      </c>
      <c r="B5" s="22" t="s">
        <v>842</v>
      </c>
      <c r="C5" s="23" t="s">
        <v>843</v>
      </c>
      <c r="D5" s="24" t="s">
        <v>844</v>
      </c>
      <c r="E5" s="24" t="s">
        <v>845</v>
      </c>
      <c r="F5" s="25" t="str">
        <f>HYPERLINK("http://izu-np.co.jp/column/news/20170930iz0002000015000c.html","URLを開く")</f>
        <v>URLを開く</v>
      </c>
      <c r="G5" s="26" t="s">
        <v>20</v>
      </c>
      <c r="H5" s="26" t="s">
        <v>20</v>
      </c>
      <c r="I5" s="26" t="s">
        <v>20</v>
      </c>
      <c r="J5" s="26" t="s">
        <v>20</v>
      </c>
      <c r="K5" s="26" t="s">
        <v>20</v>
      </c>
    </row>
    <row r="6" spans="1:11" x14ac:dyDescent="0.15">
      <c r="A6" s="8" t="s">
        <v>846</v>
      </c>
      <c r="B6" s="8" t="s">
        <v>847</v>
      </c>
      <c r="C6" s="15" t="s">
        <v>40</v>
      </c>
      <c r="D6" s="6" t="s">
        <v>848</v>
      </c>
      <c r="E6" s="6" t="s">
        <v>849</v>
      </c>
      <c r="F6" s="7" t="str">
        <f>HYPERLINK("https://business.nifty.com/cs/catalog/business_release/catalog_drm0000160523_1.htm","URLを開く")</f>
        <v>URLを開く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</row>
    <row r="7" spans="1:11" x14ac:dyDescent="0.15">
      <c r="A7" s="8" t="s">
        <v>846</v>
      </c>
      <c r="B7" s="8" t="s">
        <v>847</v>
      </c>
      <c r="C7" s="15" t="s">
        <v>43</v>
      </c>
      <c r="D7" s="6" t="s">
        <v>848</v>
      </c>
      <c r="E7" s="6" t="s">
        <v>850</v>
      </c>
      <c r="F7" s="7" t="str">
        <f>HYPERLINK("https://news.biglobe.ne.jp/economy/0925/dre_170925_9121740821.html","URLを開く")</f>
        <v>URLを開く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</row>
    <row r="8" spans="1:11" x14ac:dyDescent="0.15">
      <c r="A8" s="8" t="s">
        <v>846</v>
      </c>
      <c r="B8" s="8" t="s">
        <v>847</v>
      </c>
      <c r="C8" s="15" t="s">
        <v>45</v>
      </c>
      <c r="D8" s="6" t="s">
        <v>848</v>
      </c>
      <c r="E8" s="6" t="s">
        <v>851</v>
      </c>
      <c r="F8" s="7" t="str">
        <f>HYPERLINK("http://press.fideli.com/d/160523/5","URLを開く")</f>
        <v>URLを開く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</row>
    <row r="9" spans="1:11" x14ac:dyDescent="0.15">
      <c r="A9" s="8" t="s">
        <v>846</v>
      </c>
      <c r="B9" s="8" t="s">
        <v>847</v>
      </c>
      <c r="C9" s="15" t="s">
        <v>45</v>
      </c>
      <c r="D9" s="6" t="s">
        <v>848</v>
      </c>
      <c r="E9" s="6" t="s">
        <v>852</v>
      </c>
      <c r="F9" s="7" t="str">
        <f>HYPERLINK("http://press.fideli.com/d/160523/","URLを開く")</f>
        <v>URLを開く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</row>
    <row r="10" spans="1:11" x14ac:dyDescent="0.15">
      <c r="A10" s="8" t="s">
        <v>846</v>
      </c>
      <c r="B10" s="8" t="s">
        <v>847</v>
      </c>
      <c r="C10" s="15" t="s">
        <v>48</v>
      </c>
      <c r="D10" s="6" t="s">
        <v>848</v>
      </c>
      <c r="E10" s="6" t="s">
        <v>853</v>
      </c>
      <c r="F10" s="7" t="str">
        <f>HYPERLINK("https://news.infoseek.co.jp/article/dreamnews_0000160523/","URLを開く")</f>
        <v>URLを開く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</row>
    <row r="11" spans="1:11" x14ac:dyDescent="0.15">
      <c r="A11" s="8" t="s">
        <v>846</v>
      </c>
      <c r="B11" s="8" t="s">
        <v>847</v>
      </c>
      <c r="C11" s="15" t="s">
        <v>50</v>
      </c>
      <c r="D11" s="6" t="s">
        <v>848</v>
      </c>
      <c r="E11" s="6" t="s">
        <v>854</v>
      </c>
      <c r="F11" s="7" t="str">
        <f>HYPERLINK("https://markezine.jp/release/detail/797315","URLを開く")</f>
        <v>URLを開く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</row>
    <row r="12" spans="1:11" x14ac:dyDescent="0.15">
      <c r="A12" s="8" t="s">
        <v>846</v>
      </c>
      <c r="B12" s="8" t="s">
        <v>847</v>
      </c>
      <c r="C12" s="15" t="s">
        <v>271</v>
      </c>
      <c r="D12" s="6" t="s">
        <v>848</v>
      </c>
      <c r="E12" s="6" t="s">
        <v>855</v>
      </c>
      <c r="F12" s="7" t="str">
        <f>HYPERLINK("http://www.the-miyanichi.co.jp/special/dreamNews/detailep.php?id=0000160523","URLを開く")</f>
        <v>URLを開く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</row>
    <row r="13" spans="1:11" x14ac:dyDescent="0.15">
      <c r="A13" s="8" t="s">
        <v>846</v>
      </c>
      <c r="B13" s="8" t="s">
        <v>847</v>
      </c>
      <c r="C13" s="15" t="s">
        <v>52</v>
      </c>
      <c r="D13" s="6" t="s">
        <v>848</v>
      </c>
      <c r="E13" s="6" t="s">
        <v>856</v>
      </c>
      <c r="F13" s="7" t="str">
        <f>HYPERLINK("https://news.nplus-inc.co.jp/index.php?action=ViewDetail&amp;number=394685","URLを開く")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846</v>
      </c>
      <c r="B14" s="8" t="s">
        <v>847</v>
      </c>
      <c r="C14" s="15" t="s">
        <v>37</v>
      </c>
      <c r="D14" s="6" t="s">
        <v>848</v>
      </c>
      <c r="E14" s="6" t="s">
        <v>857</v>
      </c>
      <c r="F14" s="7" t="str">
        <f>HYPERLINK("http://www.seotools.jp/news/id_0000160523.html","URLを開く")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846</v>
      </c>
      <c r="B15" s="8" t="s">
        <v>847</v>
      </c>
      <c r="C15" s="15" t="s">
        <v>54</v>
      </c>
      <c r="D15" s="6" t="s">
        <v>848</v>
      </c>
      <c r="E15" s="6" t="s">
        <v>858</v>
      </c>
      <c r="F15" s="7" t="str">
        <f>HYPERLINK("https://miyabiz.com/special/dreamNews/detail.php?id=0000160523","URLを開く")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846</v>
      </c>
      <c r="B16" s="8" t="s">
        <v>847</v>
      </c>
      <c r="C16" s="15" t="s">
        <v>56</v>
      </c>
      <c r="D16" s="6" t="s">
        <v>848</v>
      </c>
      <c r="E16" s="6" t="s">
        <v>859</v>
      </c>
      <c r="F16" s="7" t="str">
        <f>HYPERLINK("http://newsnavi.jp/detail/661521/","URLを開く")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846</v>
      </c>
      <c r="B17" s="8" t="s">
        <v>847</v>
      </c>
      <c r="C17" s="15" t="s">
        <v>58</v>
      </c>
      <c r="D17" s="6" t="s">
        <v>848</v>
      </c>
      <c r="E17" s="6" t="s">
        <v>860</v>
      </c>
      <c r="F17" s="7" t="str">
        <f>HYPERLINK("http://www.topics.or.jp/press/news/2017/09/DreamNewsDN0000160523.html","URLを開く")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846</v>
      </c>
      <c r="B18" s="8" t="s">
        <v>847</v>
      </c>
      <c r="C18" s="15" t="s">
        <v>60</v>
      </c>
      <c r="D18" s="6" t="s">
        <v>848</v>
      </c>
      <c r="E18" s="6" t="s">
        <v>861</v>
      </c>
      <c r="F18" s="7" t="str">
        <f>HYPERLINK("http://www.asahi.com/and_M/information/pressrelease/Cdpress000160523.html","URLを開く")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846</v>
      </c>
      <c r="B19" s="8" t="s">
        <v>847</v>
      </c>
      <c r="C19" s="15" t="s">
        <v>62</v>
      </c>
      <c r="D19" s="6" t="s">
        <v>848</v>
      </c>
      <c r="E19" s="6" t="s">
        <v>862</v>
      </c>
      <c r="F19" s="7" t="str">
        <f>HYPERLINK("http://www.jprime.jp/ud/pressrelease/guid/dn0000160523","URLを開く")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846</v>
      </c>
      <c r="B20" s="8" t="s">
        <v>847</v>
      </c>
      <c r="C20" s="15" t="s">
        <v>64</v>
      </c>
      <c r="D20" s="6" t="s">
        <v>863</v>
      </c>
      <c r="E20" s="6" t="s">
        <v>864</v>
      </c>
      <c r="F20" s="7" t="str">
        <f>HYPERLINK("http://www.excite.co.jp/News/release/20170925/Dreamnews_0000160523.html","URLを開く")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846</v>
      </c>
      <c r="B21" s="8" t="s">
        <v>847</v>
      </c>
      <c r="C21" s="15" t="s">
        <v>67</v>
      </c>
      <c r="D21" s="6" t="s">
        <v>865</v>
      </c>
      <c r="E21" s="6" t="s">
        <v>866</v>
      </c>
      <c r="F21" s="7" t="str">
        <f>HYPERLINK("http://home.kingsoft.jp/news/pr/dreamnews/0000160523.html","URLを開く")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846</v>
      </c>
      <c r="B22" s="8" t="s">
        <v>847</v>
      </c>
      <c r="C22" s="15" t="s">
        <v>70</v>
      </c>
      <c r="D22" s="6" t="s">
        <v>867</v>
      </c>
      <c r="E22" s="6" t="s">
        <v>868</v>
      </c>
      <c r="F22" s="7" t="str">
        <f>HYPERLINK("http://news.toremaga.com/release/others/1003375.html","URLを開く")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846</v>
      </c>
      <c r="B23" s="8" t="s">
        <v>847</v>
      </c>
      <c r="C23" s="15" t="s">
        <v>73</v>
      </c>
      <c r="D23" s="6" t="s">
        <v>869</v>
      </c>
      <c r="E23" s="6" t="s">
        <v>870</v>
      </c>
      <c r="F23" s="7" t="str">
        <f>HYPERLINK("http://www.mapion.co.jp/news/release/dn0000160523-all/","URLを開く")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871</v>
      </c>
      <c r="B24" s="8" t="s">
        <v>872</v>
      </c>
      <c r="C24" s="15" t="s">
        <v>182</v>
      </c>
      <c r="D24" s="6" t="s">
        <v>873</v>
      </c>
      <c r="E24" s="6" t="s">
        <v>874</v>
      </c>
      <c r="F24" s="7" t="str">
        <f>HYPERLINK("https://headlines.yahoo.co.jp/hl?a=20170923-00000006-izu-l22","URLを開く")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871</v>
      </c>
      <c r="B25" s="8" t="s">
        <v>872</v>
      </c>
      <c r="C25" s="15" t="s">
        <v>843</v>
      </c>
      <c r="D25" s="6" t="s">
        <v>875</v>
      </c>
      <c r="E25" s="6" t="s">
        <v>876</v>
      </c>
      <c r="F25" s="7" t="str">
        <f>HYPERLINK("http://izu-np.co.jp/shimoda/news/20170923iz1000000006000c.html","URLを開く")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871</v>
      </c>
      <c r="B26" s="8" t="s">
        <v>872</v>
      </c>
      <c r="C26" s="15" t="s">
        <v>283</v>
      </c>
      <c r="D26" s="6" t="s">
        <v>877</v>
      </c>
      <c r="E26" s="6" t="s">
        <v>878</v>
      </c>
      <c r="F26" s="7" t="str">
        <f>HYPERLINK("https://news.goo.ne.jp/article/dtohoku/region/dtohoku-104619145.html","URLを開く")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871</v>
      </c>
      <c r="B27" s="8" t="s">
        <v>872</v>
      </c>
      <c r="C27" s="15" t="s">
        <v>286</v>
      </c>
      <c r="D27" s="6" t="s">
        <v>879</v>
      </c>
      <c r="E27" s="6" t="s">
        <v>880</v>
      </c>
      <c r="F27" s="7" t="str">
        <f>HYPERLINK("http://topics.smt.docomo.ne.jp/article/dtohoku/region/dtohoku-104619145?fm=latestnews","URLを開く")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871</v>
      </c>
      <c r="B28" s="8" t="s">
        <v>872</v>
      </c>
      <c r="C28" s="15" t="s">
        <v>182</v>
      </c>
      <c r="D28" s="6" t="s">
        <v>881</v>
      </c>
      <c r="E28" s="6" t="s">
        <v>882</v>
      </c>
      <c r="F28" s="7" t="str">
        <f>HYPERLINK("https://headlines.yahoo.co.jp/hl?a=20170923-00010003-dtohoku-l02","URLを開く")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871</v>
      </c>
      <c r="B29" s="8" t="s">
        <v>872</v>
      </c>
      <c r="C29" s="15" t="s">
        <v>182</v>
      </c>
      <c r="D29" s="6" t="s">
        <v>883</v>
      </c>
      <c r="E29" s="6" t="s">
        <v>884</v>
      </c>
      <c r="F29" s="7" t="str">
        <f>HYPERLINK("https://headlines.yahoo.co.jp/hl?a=20170923-23121517-webtoo-l02","URLを開く")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871</v>
      </c>
      <c r="B30" s="8" t="s">
        <v>872</v>
      </c>
      <c r="C30" s="15" t="s">
        <v>268</v>
      </c>
      <c r="D30" s="6" t="s">
        <v>885</v>
      </c>
      <c r="E30" s="6" t="s">
        <v>886</v>
      </c>
      <c r="F30" s="7" t="str">
        <f>HYPERLINK("http://www.47news.jp/localnews/wakayama/2017/09/post_20170923073351.html","URLを開く")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871</v>
      </c>
      <c r="B31" s="8" t="s">
        <v>872</v>
      </c>
      <c r="C31" s="15" t="s">
        <v>403</v>
      </c>
      <c r="D31" s="6" t="s">
        <v>885</v>
      </c>
      <c r="E31" s="6" t="s">
        <v>887</v>
      </c>
      <c r="F31" s="7" t="str">
        <f>HYPERLINK("http://news.livedoor.com/article/detail/13651283/","URLを開く")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871</v>
      </c>
      <c r="B32" s="8" t="s">
        <v>872</v>
      </c>
      <c r="C32" s="15" t="s">
        <v>331</v>
      </c>
      <c r="D32" s="6" t="s">
        <v>885</v>
      </c>
      <c r="E32" s="6" t="s">
        <v>888</v>
      </c>
      <c r="F32" s="7" t="str">
        <f>HYPERLINK("http://www.sankei.com/region/news/170923/rgn1709230038-n1.html","URLを開く")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871</v>
      </c>
      <c r="B33" s="8" t="s">
        <v>872</v>
      </c>
      <c r="C33" s="15" t="s">
        <v>182</v>
      </c>
      <c r="D33" s="6" t="s">
        <v>889</v>
      </c>
      <c r="E33" s="6" t="s">
        <v>890</v>
      </c>
      <c r="F33" s="7" t="str">
        <f>HYPERLINK("https://headlines.yahoo.co.jp/hl?a=20170923-00000035-san-l30","URLを開く")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871</v>
      </c>
      <c r="B34" s="8" t="s">
        <v>872</v>
      </c>
      <c r="C34" s="15" t="s">
        <v>550</v>
      </c>
      <c r="D34" s="6" t="s">
        <v>891</v>
      </c>
      <c r="E34" s="6" t="s">
        <v>892</v>
      </c>
      <c r="F34" s="7" t="str">
        <f>HYPERLINK(" "," ")</f>
        <v xml:space="preserve"> 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871</v>
      </c>
      <c r="B35" s="8" t="s">
        <v>872</v>
      </c>
      <c r="C35" s="15" t="s">
        <v>403</v>
      </c>
      <c r="D35" s="6" t="s">
        <v>893</v>
      </c>
      <c r="E35" s="6" t="s">
        <v>894</v>
      </c>
      <c r="F35" s="7" t="str">
        <f>HYPERLINK("http://news.livedoor.com/article/detail/13652266/","URLを開く")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871</v>
      </c>
      <c r="B36" s="8" t="s">
        <v>872</v>
      </c>
      <c r="C36" s="15" t="s">
        <v>406</v>
      </c>
      <c r="D36" s="6" t="s">
        <v>893</v>
      </c>
      <c r="E36" s="6" t="s">
        <v>895</v>
      </c>
      <c r="F36" s="7" t="str">
        <f>HYPERLINK("http://news.mixi.jp/view_news.pl?id=4779676&amp;media_id=3","URLを開く")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871</v>
      </c>
      <c r="B37" s="8" t="s">
        <v>872</v>
      </c>
      <c r="C37" s="15" t="s">
        <v>331</v>
      </c>
      <c r="D37" s="6" t="s">
        <v>893</v>
      </c>
      <c r="E37" s="6" t="s">
        <v>896</v>
      </c>
      <c r="F37" s="7" t="str">
        <f>HYPERLINK("http://www.sankei.com/west/news/170923/wst1709230020-n1.html","URLを開く")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897</v>
      </c>
    </row>
    <row r="38" spans="1:11" x14ac:dyDescent="0.15">
      <c r="A38" s="8" t="s">
        <v>871</v>
      </c>
      <c r="B38" s="8" t="s">
        <v>872</v>
      </c>
      <c r="C38" s="15" t="s">
        <v>283</v>
      </c>
      <c r="D38" s="6" t="s">
        <v>898</v>
      </c>
      <c r="E38" s="6" t="s">
        <v>899</v>
      </c>
      <c r="F38" s="7" t="str">
        <f>HYPERLINK("https://news.goo.ne.jp/article/sankei/nation/sankei-wst1709230020.html","URLを開く")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871</v>
      </c>
      <c r="B39" s="8" t="s">
        <v>872</v>
      </c>
      <c r="C39" s="15" t="s">
        <v>286</v>
      </c>
      <c r="D39" s="6" t="s">
        <v>900</v>
      </c>
      <c r="E39" s="6" t="s">
        <v>901</v>
      </c>
      <c r="F39" s="7" t="str">
        <f>HYPERLINK("http://topics.smt.docomo.ne.jp/article/sankei/nation/sankei-wst1709230020?fm=latestnews","URLを開く")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902</v>
      </c>
      <c r="B40" s="8" t="s">
        <v>871</v>
      </c>
      <c r="C40" s="15" t="s">
        <v>23</v>
      </c>
      <c r="D40" s="6" t="s">
        <v>903</v>
      </c>
      <c r="E40" s="6" t="s">
        <v>904</v>
      </c>
      <c r="F40" s="7" t="str">
        <f>HYPERLINK("http://www.bizloop.jp/release/DRN0000160252/","URLを開く")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902</v>
      </c>
      <c r="B41" s="8" t="s">
        <v>871</v>
      </c>
      <c r="C41" s="15" t="s">
        <v>905</v>
      </c>
      <c r="D41" s="6" t="s">
        <v>906</v>
      </c>
      <c r="E41" s="6" t="s">
        <v>907</v>
      </c>
      <c r="F41" s="7" t="str">
        <f>HYPERLINK("http://www.at-s.com/news/article/topics/shizuoka/404946.html","URLを開く")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902</v>
      </c>
      <c r="B42" s="8" t="s">
        <v>871</v>
      </c>
      <c r="C42" s="15" t="s">
        <v>182</v>
      </c>
      <c r="D42" s="6" t="s">
        <v>908</v>
      </c>
      <c r="E42" s="6" t="s">
        <v>909</v>
      </c>
      <c r="F42" s="7" t="str">
        <f>HYPERLINK("https://headlines.yahoo.co.jp/hl?a=20170922-00000027-at_s-l22","URLを開く")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902</v>
      </c>
      <c r="B43" s="8" t="s">
        <v>871</v>
      </c>
      <c r="C43" s="15" t="s">
        <v>553</v>
      </c>
      <c r="D43" s="6" t="s">
        <v>910</v>
      </c>
      <c r="E43" s="6" t="s">
        <v>911</v>
      </c>
      <c r="F43" s="7" t="str">
        <f>HYPERLINK("http://news.tnc.ne.jp/shizuoka/199918_1.html","URLを開く")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902</v>
      </c>
      <c r="B44" s="8" t="s">
        <v>871</v>
      </c>
      <c r="C44" s="15" t="s">
        <v>500</v>
      </c>
      <c r="D44" s="6" t="s">
        <v>912</v>
      </c>
      <c r="E44" s="6" t="s">
        <v>913</v>
      </c>
      <c r="F44" s="7" t="str">
        <f>HYPERLINK("https://www.ehime-np.co.jp/article/news201709221747","URLを開く")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902</v>
      </c>
      <c r="B45" s="8" t="s">
        <v>871</v>
      </c>
      <c r="C45" s="15" t="s">
        <v>182</v>
      </c>
      <c r="D45" s="6" t="s">
        <v>914</v>
      </c>
      <c r="E45" s="6" t="s">
        <v>915</v>
      </c>
      <c r="F45" s="7" t="str">
        <f>HYPERLINK("https://headlines.yahoo.co.jp/hl?a=20170922-22174701-ehime-l38","URLを開く")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902</v>
      </c>
      <c r="B46" s="8" t="s">
        <v>871</v>
      </c>
      <c r="C46" s="15" t="s">
        <v>268</v>
      </c>
      <c r="D46" s="6" t="s">
        <v>916</v>
      </c>
      <c r="E46" s="6" t="s">
        <v>917</v>
      </c>
      <c r="F46" s="7" t="str">
        <f>HYPERLINK("http://www.47news.jp/localnews/ehime/2017/09/post_20170922130758.html","URLを開く")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902</v>
      </c>
      <c r="B47" s="8" t="s">
        <v>871</v>
      </c>
      <c r="C47" s="15" t="s">
        <v>273</v>
      </c>
      <c r="D47" s="6" t="s">
        <v>918</v>
      </c>
      <c r="E47" s="6" t="s">
        <v>919</v>
      </c>
      <c r="F47" s="7" t="str">
        <f>HYPERLINK("http://soonhome.jp/connect/post?id=283819022595605601","URLを開く")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</row>
    <row r="48" spans="1:11" x14ac:dyDescent="0.15">
      <c r="A48" s="8" t="s">
        <v>902</v>
      </c>
      <c r="B48" s="8" t="s">
        <v>871</v>
      </c>
      <c r="C48" s="15" t="s">
        <v>283</v>
      </c>
      <c r="D48" s="6" t="s">
        <v>920</v>
      </c>
      <c r="E48" s="6" t="s">
        <v>921</v>
      </c>
      <c r="F48" s="7" t="str">
        <f>HYPERLINK("https://news.goo.ne.jp/article/ehimenp/region/ehimenp-news201709221747.html","URLを開く")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902</v>
      </c>
      <c r="B49" s="8" t="s">
        <v>871</v>
      </c>
      <c r="C49" s="15" t="s">
        <v>286</v>
      </c>
      <c r="D49" s="6" t="s">
        <v>922</v>
      </c>
      <c r="E49" s="6" t="s">
        <v>923</v>
      </c>
      <c r="F49" s="7" t="str">
        <f>HYPERLINK("http://topics.smt.docomo.ne.jp/article/ehimenp/region/ehimenp-news201709221747?fm=latestnews","URLを開く")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924</v>
      </c>
      <c r="B50" s="8" t="s">
        <v>902</v>
      </c>
      <c r="C50" s="15" t="s">
        <v>280</v>
      </c>
      <c r="D50" s="6" t="s">
        <v>925</v>
      </c>
      <c r="E50" s="6" t="s">
        <v>926</v>
      </c>
      <c r="F50" s="7" t="str">
        <f>HYPERLINK("http://mainichi.jp/articles/20170921/ddl/k39/040/549000c","URLを開く")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924</v>
      </c>
      <c r="B51" s="8" t="s">
        <v>902</v>
      </c>
      <c r="C51" s="15" t="s">
        <v>34</v>
      </c>
      <c r="D51" s="6" t="s">
        <v>927</v>
      </c>
      <c r="E51" s="6" t="s">
        <v>928</v>
      </c>
      <c r="F51" s="7" t="str">
        <f>HYPERLINK("http://www.kigyou-sns.com/press/press_234465/","URLを開く")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924</v>
      </c>
      <c r="B52" s="8" t="s">
        <v>902</v>
      </c>
      <c r="C52" s="15" t="s">
        <v>280</v>
      </c>
      <c r="D52" s="6" t="s">
        <v>929</v>
      </c>
      <c r="E52" s="6" t="s">
        <v>930</v>
      </c>
      <c r="F52" s="7" t="str">
        <f>HYPERLINK("http://mainichi.jp/articles/20170921/ddl/k30/040/397000c","URLを開く")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8" t="s">
        <v>924</v>
      </c>
      <c r="B53" s="8" t="s">
        <v>902</v>
      </c>
      <c r="C53" s="15" t="s">
        <v>283</v>
      </c>
      <c r="D53" s="6" t="s">
        <v>931</v>
      </c>
      <c r="E53" s="6" t="s">
        <v>932</v>
      </c>
      <c r="F53" s="7" t="str">
        <f>HYPERLINK("https://news.goo.ne.jp/article/mainichi_region/region/mainichi_region-20170921ddlk30040397000c.html","URLを開く")</f>
        <v>URLを開く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</row>
    <row r="54" spans="1:11" x14ac:dyDescent="0.15">
      <c r="A54" s="8" t="s">
        <v>924</v>
      </c>
      <c r="B54" s="8" t="s">
        <v>902</v>
      </c>
      <c r="C54" s="15" t="s">
        <v>286</v>
      </c>
      <c r="D54" s="6" t="s">
        <v>933</v>
      </c>
      <c r="E54" s="6" t="s">
        <v>934</v>
      </c>
      <c r="F54" s="7" t="str">
        <f>HYPERLINK("http://topics.smt.docomo.ne.jp/article/mainichi_region/region/mainichi_region-20170921ddlk30040397000c?fm=latestnews","URLを開く")</f>
        <v>URLを開く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</row>
    <row r="55" spans="1:11" x14ac:dyDescent="0.15">
      <c r="A55" s="8" t="s">
        <v>924</v>
      </c>
      <c r="B55" s="8" t="s">
        <v>902</v>
      </c>
      <c r="C55" s="15" t="s">
        <v>283</v>
      </c>
      <c r="D55" s="6" t="s">
        <v>935</v>
      </c>
      <c r="E55" s="6" t="s">
        <v>936</v>
      </c>
      <c r="F55" s="7" t="str">
        <f>HYPERLINK("https://news.goo.ne.jp/article/mainichi_region/region/mainichi_region-20170921ddlk39040549000c.html","URLを開く")</f>
        <v>URLを開く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</row>
    <row r="56" spans="1:11" x14ac:dyDescent="0.15">
      <c r="A56" s="8" t="s">
        <v>924</v>
      </c>
      <c r="B56" s="8" t="s">
        <v>902</v>
      </c>
      <c r="C56" s="15" t="s">
        <v>286</v>
      </c>
      <c r="D56" s="6" t="s">
        <v>937</v>
      </c>
      <c r="E56" s="6" t="s">
        <v>938</v>
      </c>
      <c r="F56" s="7" t="str">
        <f>HYPERLINK("http://topics.smt.docomo.ne.jp/article/mainichi_region/region/mainichi_region-20170921ddlk39040549000c?fm=latestnews","URLを開く")</f>
        <v>URLを開く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</row>
    <row r="57" spans="1:11" x14ac:dyDescent="0.15">
      <c r="A57" s="8" t="s">
        <v>939</v>
      </c>
      <c r="B57" s="8" t="s">
        <v>924</v>
      </c>
      <c r="C57" s="15" t="s">
        <v>940</v>
      </c>
      <c r="D57" s="6" t="s">
        <v>941</v>
      </c>
      <c r="E57" s="6" t="s">
        <v>942</v>
      </c>
      <c r="F57" s="7" t="str">
        <f>HYPERLINK("http://www.y-mainichi.co.jp/news/32277/","URLを開く")</f>
        <v>URLを開く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</row>
    <row r="58" spans="1:11" x14ac:dyDescent="0.15">
      <c r="A58" s="8" t="s">
        <v>939</v>
      </c>
      <c r="B58" s="8" t="s">
        <v>924</v>
      </c>
      <c r="C58" s="15" t="s">
        <v>943</v>
      </c>
      <c r="D58" s="6" t="s">
        <v>944</v>
      </c>
      <c r="E58" s="6" t="s">
        <v>945</v>
      </c>
      <c r="F58" s="7" t="str">
        <f>HYPERLINK("http://www.kousyo-sagyo-car.com/another_news/220835.html","URLを開く")</f>
        <v>URLを開く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</row>
    <row r="59" spans="1:11" x14ac:dyDescent="0.15">
      <c r="A59" s="8" t="s">
        <v>939</v>
      </c>
      <c r="B59" s="8" t="s">
        <v>924</v>
      </c>
      <c r="C59" s="15" t="s">
        <v>40</v>
      </c>
      <c r="D59" s="6" t="s">
        <v>927</v>
      </c>
      <c r="E59" s="6" t="s">
        <v>946</v>
      </c>
      <c r="F59" s="7" t="str">
        <f>HYPERLINK("https://business.nifty.com/cs/catalog/business_release/catalog_drm0000160252_1.htm","URLを開く")</f>
        <v>URLを開く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</row>
    <row r="60" spans="1:11" x14ac:dyDescent="0.15">
      <c r="A60" s="8" t="s">
        <v>939</v>
      </c>
      <c r="B60" s="8" t="s">
        <v>924</v>
      </c>
      <c r="C60" s="15" t="s">
        <v>43</v>
      </c>
      <c r="D60" s="6" t="s">
        <v>927</v>
      </c>
      <c r="E60" s="6" t="s">
        <v>947</v>
      </c>
      <c r="F60" s="7" t="str">
        <f>HYPERLINK("https://news.biglobe.ne.jp/economy/0920/dre_170920_9544832867.html","URLを開く")</f>
        <v>URLを開く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</row>
    <row r="61" spans="1:11" x14ac:dyDescent="0.15">
      <c r="A61" s="8" t="s">
        <v>939</v>
      </c>
      <c r="B61" s="8" t="s">
        <v>924</v>
      </c>
      <c r="C61" s="15" t="s">
        <v>45</v>
      </c>
      <c r="D61" s="6" t="s">
        <v>927</v>
      </c>
      <c r="E61" s="6" t="s">
        <v>948</v>
      </c>
      <c r="F61" s="7" t="str">
        <f>HYPERLINK("http://press.fideli.com/d/160252/","URLを開く")</f>
        <v>URLを開く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</row>
    <row r="62" spans="1:11" x14ac:dyDescent="0.15">
      <c r="A62" s="8" t="s">
        <v>939</v>
      </c>
      <c r="B62" s="8" t="s">
        <v>924</v>
      </c>
      <c r="C62" s="15" t="s">
        <v>45</v>
      </c>
      <c r="D62" s="6" t="s">
        <v>927</v>
      </c>
      <c r="E62" s="6" t="s">
        <v>949</v>
      </c>
      <c r="F62" s="7" t="str">
        <f>HYPERLINK("http://press.fideli.com/d/160252/5","URLを開く")</f>
        <v>URLを開く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</row>
    <row r="63" spans="1:11" x14ac:dyDescent="0.15">
      <c r="A63" s="8" t="s">
        <v>939</v>
      </c>
      <c r="B63" s="8" t="s">
        <v>924</v>
      </c>
      <c r="C63" s="15" t="s">
        <v>48</v>
      </c>
      <c r="D63" s="6" t="s">
        <v>927</v>
      </c>
      <c r="E63" s="6" t="s">
        <v>950</v>
      </c>
      <c r="F63" s="7" t="str">
        <f>HYPERLINK("https://news.infoseek.co.jp/article/dreamnews_0000160252/","URLを開く")</f>
        <v>URLを開く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</row>
    <row r="64" spans="1:11" x14ac:dyDescent="0.15">
      <c r="A64" s="8" t="s">
        <v>939</v>
      </c>
      <c r="B64" s="8" t="s">
        <v>924</v>
      </c>
      <c r="C64" s="15" t="s">
        <v>50</v>
      </c>
      <c r="D64" s="6" t="s">
        <v>927</v>
      </c>
      <c r="E64" s="6" t="s">
        <v>951</v>
      </c>
      <c r="F64" s="7" t="str">
        <f>HYPERLINK("https://markezine.jp/release/detail/795340","URLを開く")</f>
        <v>URLを開く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</row>
    <row r="65" spans="1:11" x14ac:dyDescent="0.15">
      <c r="A65" s="8" t="s">
        <v>939</v>
      </c>
      <c r="B65" s="8" t="s">
        <v>924</v>
      </c>
      <c r="C65" s="15" t="s">
        <v>271</v>
      </c>
      <c r="D65" s="6" t="s">
        <v>927</v>
      </c>
      <c r="E65" s="6" t="s">
        <v>952</v>
      </c>
      <c r="F65" s="7" t="str">
        <f>HYPERLINK("http://www.the-miyanichi.co.jp/special/dreamNews/detailep.php?id=0000160252","URLを開く")</f>
        <v>URLを開く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</row>
    <row r="66" spans="1:11" x14ac:dyDescent="0.15">
      <c r="A66" s="8" t="s">
        <v>939</v>
      </c>
      <c r="B66" s="8" t="s">
        <v>924</v>
      </c>
      <c r="C66" s="15" t="s">
        <v>52</v>
      </c>
      <c r="D66" s="6" t="s">
        <v>927</v>
      </c>
      <c r="E66" s="6" t="s">
        <v>953</v>
      </c>
      <c r="F66" s="7" t="str">
        <f>HYPERLINK("https://news.nplus-inc.co.jp/index.php?action=ViewDetail&amp;number=394022","URLを開く")</f>
        <v>URLを開く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</row>
    <row r="67" spans="1:11" x14ac:dyDescent="0.15">
      <c r="A67" s="8" t="s">
        <v>939</v>
      </c>
      <c r="B67" s="8" t="s">
        <v>924</v>
      </c>
      <c r="C67" s="15" t="s">
        <v>37</v>
      </c>
      <c r="D67" s="6" t="s">
        <v>927</v>
      </c>
      <c r="E67" s="6" t="s">
        <v>954</v>
      </c>
      <c r="F67" s="7" t="str">
        <f>HYPERLINK("http://www.seotools.jp/news/id_0000160252.html","URLを開く")</f>
        <v>URLを開く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</row>
    <row r="68" spans="1:11" x14ac:dyDescent="0.15">
      <c r="A68" s="8" t="s">
        <v>939</v>
      </c>
      <c r="B68" s="8" t="s">
        <v>924</v>
      </c>
      <c r="C68" s="15" t="s">
        <v>54</v>
      </c>
      <c r="D68" s="6" t="s">
        <v>927</v>
      </c>
      <c r="E68" s="6" t="s">
        <v>955</v>
      </c>
      <c r="F68" s="7" t="str">
        <f>HYPERLINK("https://miyabiz.com/special/dreamNews/detail.php?id=0000160252","URLを開く")</f>
        <v>URLを開く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</row>
    <row r="69" spans="1:11" x14ac:dyDescent="0.15">
      <c r="A69" s="8" t="s">
        <v>939</v>
      </c>
      <c r="B69" s="8" t="s">
        <v>924</v>
      </c>
      <c r="C69" s="15" t="s">
        <v>56</v>
      </c>
      <c r="D69" s="6" t="s">
        <v>927</v>
      </c>
      <c r="E69" s="6" t="s">
        <v>956</v>
      </c>
      <c r="F69" s="7" t="str">
        <f>HYPERLINK("http://newsnavi.jp/detail/658346/","URLを開く")</f>
        <v>URLを開く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</row>
    <row r="70" spans="1:11" x14ac:dyDescent="0.15">
      <c r="A70" s="8" t="s">
        <v>939</v>
      </c>
      <c r="B70" s="8" t="s">
        <v>924</v>
      </c>
      <c r="C70" s="15" t="s">
        <v>58</v>
      </c>
      <c r="D70" s="6" t="s">
        <v>927</v>
      </c>
      <c r="E70" s="6" t="s">
        <v>957</v>
      </c>
      <c r="F70" s="7" t="str">
        <f>HYPERLINK("http://www.topics.or.jp/press/news/2017/09/DreamNewsDN0000160252.html","URLを開く")</f>
        <v>URLを開く</v>
      </c>
      <c r="G70" s="10" t="s">
        <v>20</v>
      </c>
      <c r="H70" s="10" t="s">
        <v>20</v>
      </c>
      <c r="I70" s="10" t="s">
        <v>20</v>
      </c>
      <c r="J70" s="10" t="s">
        <v>20</v>
      </c>
      <c r="K70" s="10" t="s">
        <v>20</v>
      </c>
    </row>
    <row r="71" spans="1:11" x14ac:dyDescent="0.15">
      <c r="A71" s="8" t="s">
        <v>939</v>
      </c>
      <c r="B71" s="8" t="s">
        <v>924</v>
      </c>
      <c r="C71" s="15" t="s">
        <v>60</v>
      </c>
      <c r="D71" s="6" t="s">
        <v>927</v>
      </c>
      <c r="E71" s="6" t="s">
        <v>958</v>
      </c>
      <c r="F71" s="7" t="str">
        <f>HYPERLINK("http://www.asahi.com/and_M/information/pressrelease/Cdpress000160252.html","URLを開く")</f>
        <v>URLを開く</v>
      </c>
      <c r="G71" s="10" t="s">
        <v>20</v>
      </c>
      <c r="H71" s="10" t="s">
        <v>20</v>
      </c>
      <c r="I71" s="10" t="s">
        <v>20</v>
      </c>
      <c r="J71" s="10" t="s">
        <v>20</v>
      </c>
      <c r="K71" s="10" t="s">
        <v>20</v>
      </c>
    </row>
    <row r="72" spans="1:11" x14ac:dyDescent="0.15">
      <c r="A72" s="8" t="s">
        <v>939</v>
      </c>
      <c r="B72" s="8" t="s">
        <v>924</v>
      </c>
      <c r="C72" s="15" t="s">
        <v>62</v>
      </c>
      <c r="D72" s="6" t="s">
        <v>927</v>
      </c>
      <c r="E72" s="6" t="s">
        <v>959</v>
      </c>
      <c r="F72" s="7" t="str">
        <f>HYPERLINK("http://www.jprime.jp/ud/pressrelease/guid/dn0000160252","URLを開く")</f>
        <v>URLを開く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</row>
    <row r="73" spans="1:11" x14ac:dyDescent="0.15">
      <c r="A73" s="8" t="s">
        <v>939</v>
      </c>
      <c r="B73" s="8" t="s">
        <v>924</v>
      </c>
      <c r="C73" s="15" t="s">
        <v>64</v>
      </c>
      <c r="D73" s="6" t="s">
        <v>960</v>
      </c>
      <c r="E73" s="6" t="s">
        <v>961</v>
      </c>
      <c r="F73" s="7" t="str">
        <f>HYPERLINK("http://www.excite.co.jp/News/release/20170920/Dreamnews_0000160252.html","URLを開く")</f>
        <v>URLを開く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</row>
    <row r="74" spans="1:11" x14ac:dyDescent="0.15">
      <c r="A74" s="8" t="s">
        <v>939</v>
      </c>
      <c r="B74" s="8" t="s">
        <v>924</v>
      </c>
      <c r="C74" s="15" t="s">
        <v>67</v>
      </c>
      <c r="D74" s="6" t="s">
        <v>962</v>
      </c>
      <c r="E74" s="6" t="s">
        <v>963</v>
      </c>
      <c r="F74" s="7" t="str">
        <f>HYPERLINK("http://home.kingsoft.jp/news/pr/dreamnews/0000160252.html","URLを開く")</f>
        <v>URLを開く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</row>
    <row r="75" spans="1:11" x14ac:dyDescent="0.15">
      <c r="A75" s="8" t="s">
        <v>939</v>
      </c>
      <c r="B75" s="8" t="s">
        <v>924</v>
      </c>
      <c r="C75" s="15" t="s">
        <v>70</v>
      </c>
      <c r="D75" s="6" t="s">
        <v>964</v>
      </c>
      <c r="E75" s="6" t="s">
        <v>965</v>
      </c>
      <c r="F75" s="7" t="str">
        <f>HYPERLINK("http://news.toremaga.com/release/others/1001294.html","URLを開く")</f>
        <v>URLを開く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</row>
    <row r="76" spans="1:11" x14ac:dyDescent="0.15">
      <c r="A76" s="8" t="s">
        <v>939</v>
      </c>
      <c r="B76" s="8" t="s">
        <v>924</v>
      </c>
      <c r="C76" s="15" t="s">
        <v>73</v>
      </c>
      <c r="D76" s="6" t="s">
        <v>966</v>
      </c>
      <c r="E76" s="6" t="s">
        <v>967</v>
      </c>
      <c r="F76" s="7" t="str">
        <f>HYPERLINK("http://www.mapion.co.jp/news/release/dn0000160252-all/","URLを開く")</f>
        <v>URLを開く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</row>
    <row r="77" spans="1:11" x14ac:dyDescent="0.15">
      <c r="A77" s="8" t="s">
        <v>939</v>
      </c>
      <c r="B77" s="8" t="s">
        <v>924</v>
      </c>
      <c r="C77" s="15" t="s">
        <v>940</v>
      </c>
      <c r="D77" s="6" t="s">
        <v>968</v>
      </c>
      <c r="E77" s="6" t="s">
        <v>969</v>
      </c>
      <c r="F77" s="7" t="str">
        <f>HYPERLINK("http://www.y-mainichi.co.jp/news/32273/","URLを開く")</f>
        <v>URLを開く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</row>
    <row r="78" spans="1:11" x14ac:dyDescent="0.15">
      <c r="A78" s="8" t="s">
        <v>970</v>
      </c>
      <c r="B78" s="8" t="s">
        <v>971</v>
      </c>
      <c r="C78" s="15" t="s">
        <v>322</v>
      </c>
      <c r="D78" s="6" t="s">
        <v>972</v>
      </c>
      <c r="E78" s="6" t="s">
        <v>973</v>
      </c>
      <c r="F78" s="7" t="str">
        <f>HYPERLINK("http://diamond.jp/ud/pressrelease/59bb38ea7765616452280000","URLを開く")</f>
        <v>URLを開く</v>
      </c>
      <c r="G78" s="10" t="s">
        <v>20</v>
      </c>
      <c r="H78" s="10" t="s">
        <v>20</v>
      </c>
      <c r="I78" s="10" t="s">
        <v>20</v>
      </c>
      <c r="J78" s="10" t="s">
        <v>20</v>
      </c>
      <c r="K78" s="10" t="s">
        <v>20</v>
      </c>
    </row>
    <row r="79" spans="1:11" x14ac:dyDescent="0.15">
      <c r="A79" s="8" t="s">
        <v>970</v>
      </c>
      <c r="B79" s="8" t="s">
        <v>971</v>
      </c>
      <c r="C79" s="15" t="s">
        <v>40</v>
      </c>
      <c r="D79" s="6" t="s">
        <v>974</v>
      </c>
      <c r="E79" s="6" t="s">
        <v>975</v>
      </c>
      <c r="F79" s="7" t="str">
        <f>HYPERLINK("https://business.nifty.com/cs/catalog/business_release/catalog_drm0000159808_1.htm","URLを開く")</f>
        <v>URLを開く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</row>
    <row r="80" spans="1:11" x14ac:dyDescent="0.15">
      <c r="A80" s="8" t="s">
        <v>970</v>
      </c>
      <c r="B80" s="8" t="s">
        <v>971</v>
      </c>
      <c r="C80" s="15" t="s">
        <v>43</v>
      </c>
      <c r="D80" s="6" t="s">
        <v>974</v>
      </c>
      <c r="E80" s="6" t="s">
        <v>976</v>
      </c>
      <c r="F80" s="7" t="str">
        <f>HYPERLINK("https://news.biglobe.ne.jp/economy/0915/dre_170915_6948806024.html","URLを開く")</f>
        <v>URLを開く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</row>
    <row r="81" spans="1:11" x14ac:dyDescent="0.15">
      <c r="A81" s="8" t="s">
        <v>970</v>
      </c>
      <c r="B81" s="8" t="s">
        <v>971</v>
      </c>
      <c r="C81" s="15" t="s">
        <v>45</v>
      </c>
      <c r="D81" s="6" t="s">
        <v>974</v>
      </c>
      <c r="E81" s="6" t="s">
        <v>977</v>
      </c>
      <c r="F81" s="7" t="str">
        <f>HYPERLINK("http://press.fideli.com/d/159808/5","URLを開く")</f>
        <v>URLを開く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</row>
    <row r="82" spans="1:11" x14ac:dyDescent="0.15">
      <c r="A82" s="8" t="s">
        <v>970</v>
      </c>
      <c r="B82" s="8" t="s">
        <v>971</v>
      </c>
      <c r="C82" s="15" t="s">
        <v>45</v>
      </c>
      <c r="D82" s="6" t="s">
        <v>974</v>
      </c>
      <c r="E82" s="6" t="s">
        <v>978</v>
      </c>
      <c r="F82" s="7" t="str">
        <f>HYPERLINK("http://press.fideli.com/d/159808/","URLを開く")</f>
        <v>URLを開く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</row>
    <row r="83" spans="1:11" x14ac:dyDescent="0.15">
      <c r="A83" s="8" t="s">
        <v>970</v>
      </c>
      <c r="B83" s="8" t="s">
        <v>971</v>
      </c>
      <c r="C83" s="15" t="s">
        <v>48</v>
      </c>
      <c r="D83" s="6" t="s">
        <v>974</v>
      </c>
      <c r="E83" s="6" t="s">
        <v>979</v>
      </c>
      <c r="F83" s="7" t="str">
        <f>HYPERLINK("https://news.infoseek.co.jp/article/dreamnews_0000159808/","URLを開く")</f>
        <v>URLを開く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</row>
    <row r="84" spans="1:11" x14ac:dyDescent="0.15">
      <c r="A84" s="8" t="s">
        <v>970</v>
      </c>
      <c r="B84" s="8" t="s">
        <v>971</v>
      </c>
      <c r="C84" s="15" t="s">
        <v>50</v>
      </c>
      <c r="D84" s="6" t="s">
        <v>974</v>
      </c>
      <c r="E84" s="6" t="s">
        <v>980</v>
      </c>
      <c r="F84" s="7" t="str">
        <f>HYPERLINK("https://markezine.jp/release/detail/793882","URLを開く")</f>
        <v>URLを開く</v>
      </c>
      <c r="G84" s="10" t="s">
        <v>20</v>
      </c>
      <c r="H84" s="10" t="s">
        <v>20</v>
      </c>
      <c r="I84" s="10" t="s">
        <v>20</v>
      </c>
      <c r="J84" s="10" t="s">
        <v>20</v>
      </c>
      <c r="K84" s="10" t="s">
        <v>20</v>
      </c>
    </row>
    <row r="85" spans="1:11" x14ac:dyDescent="0.15">
      <c r="A85" s="8" t="s">
        <v>970</v>
      </c>
      <c r="B85" s="8" t="s">
        <v>971</v>
      </c>
      <c r="C85" s="15" t="s">
        <v>271</v>
      </c>
      <c r="D85" s="6" t="s">
        <v>974</v>
      </c>
      <c r="E85" s="6" t="s">
        <v>981</v>
      </c>
      <c r="F85" s="7" t="str">
        <f>HYPERLINK("http://www.the-miyanichi.co.jp/special/dreamNews/detailep.php?id=0000159808","URLを開く")</f>
        <v>URLを開く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</row>
    <row r="86" spans="1:11" x14ac:dyDescent="0.15">
      <c r="A86" s="8" t="s">
        <v>970</v>
      </c>
      <c r="B86" s="8" t="s">
        <v>971</v>
      </c>
      <c r="C86" s="15" t="s">
        <v>52</v>
      </c>
      <c r="D86" s="6" t="s">
        <v>974</v>
      </c>
      <c r="E86" s="6" t="s">
        <v>982</v>
      </c>
      <c r="F86" s="7" t="str">
        <f>HYPERLINK("https://news.nplus-inc.co.jp/index.php?action=ViewDetail&amp;number=393497","URLを開く")</f>
        <v>URLを開く</v>
      </c>
      <c r="G86" s="10" t="s">
        <v>20</v>
      </c>
      <c r="H86" s="10" t="s">
        <v>20</v>
      </c>
      <c r="I86" s="10" t="s">
        <v>20</v>
      </c>
      <c r="J86" s="10" t="s">
        <v>20</v>
      </c>
      <c r="K86" s="10" t="s">
        <v>20</v>
      </c>
    </row>
    <row r="87" spans="1:11" x14ac:dyDescent="0.15">
      <c r="A87" s="8" t="s">
        <v>970</v>
      </c>
      <c r="B87" s="8" t="s">
        <v>971</v>
      </c>
      <c r="C87" s="15" t="s">
        <v>37</v>
      </c>
      <c r="D87" s="6" t="s">
        <v>974</v>
      </c>
      <c r="E87" s="6" t="s">
        <v>983</v>
      </c>
      <c r="F87" s="7" t="str">
        <f>HYPERLINK("http://www.seotools.jp/news/id_0000159808.html","URLを開く")</f>
        <v>URLを開く</v>
      </c>
      <c r="G87" s="10" t="s">
        <v>20</v>
      </c>
      <c r="H87" s="10" t="s">
        <v>20</v>
      </c>
      <c r="I87" s="10" t="s">
        <v>20</v>
      </c>
      <c r="J87" s="10" t="s">
        <v>20</v>
      </c>
      <c r="K87" s="10" t="s">
        <v>20</v>
      </c>
    </row>
    <row r="88" spans="1:11" x14ac:dyDescent="0.15">
      <c r="A88" s="8" t="s">
        <v>970</v>
      </c>
      <c r="B88" s="8" t="s">
        <v>971</v>
      </c>
      <c r="C88" s="15" t="s">
        <v>56</v>
      </c>
      <c r="D88" s="6" t="s">
        <v>974</v>
      </c>
      <c r="E88" s="6" t="s">
        <v>984</v>
      </c>
      <c r="F88" s="7" t="str">
        <f>HYPERLINK("http://newsnavi.jp/detail/656876/","URLを開く")</f>
        <v>URLを開く</v>
      </c>
      <c r="G88" s="10" t="s">
        <v>20</v>
      </c>
      <c r="H88" s="10" t="s">
        <v>20</v>
      </c>
      <c r="I88" s="10" t="s">
        <v>20</v>
      </c>
      <c r="J88" s="10" t="s">
        <v>20</v>
      </c>
      <c r="K88" s="10" t="s">
        <v>20</v>
      </c>
    </row>
    <row r="89" spans="1:11" x14ac:dyDescent="0.15">
      <c r="A89" s="8" t="s">
        <v>970</v>
      </c>
      <c r="B89" s="8" t="s">
        <v>971</v>
      </c>
      <c r="C89" s="15" t="s">
        <v>58</v>
      </c>
      <c r="D89" s="6" t="s">
        <v>974</v>
      </c>
      <c r="E89" s="6" t="s">
        <v>985</v>
      </c>
      <c r="F89" s="7" t="str">
        <f>HYPERLINK("http://www.topics.or.jp/press/news/2017/09/DreamNewsDN0000159808.html","URLを開く")</f>
        <v>URLを開く</v>
      </c>
      <c r="G89" s="10" t="s">
        <v>20</v>
      </c>
      <c r="H89" s="10" t="s">
        <v>20</v>
      </c>
      <c r="I89" s="10" t="s">
        <v>20</v>
      </c>
      <c r="J89" s="10" t="s">
        <v>20</v>
      </c>
      <c r="K89" s="10" t="s">
        <v>20</v>
      </c>
    </row>
    <row r="90" spans="1:11" x14ac:dyDescent="0.15">
      <c r="A90" s="8" t="s">
        <v>970</v>
      </c>
      <c r="B90" s="8" t="s">
        <v>971</v>
      </c>
      <c r="C90" s="15" t="s">
        <v>60</v>
      </c>
      <c r="D90" s="6" t="s">
        <v>974</v>
      </c>
      <c r="E90" s="6" t="s">
        <v>986</v>
      </c>
      <c r="F90" s="7" t="str">
        <f>HYPERLINK("http://www.asahi.com/and_M/information/pressrelease/Cdpress000159808.html","URLを開く")</f>
        <v>URLを開く</v>
      </c>
      <c r="G90" s="10" t="s">
        <v>20</v>
      </c>
      <c r="H90" s="10" t="s">
        <v>20</v>
      </c>
      <c r="I90" s="10" t="s">
        <v>20</v>
      </c>
      <c r="J90" s="10" t="s">
        <v>20</v>
      </c>
      <c r="K90" s="10" t="s">
        <v>20</v>
      </c>
    </row>
    <row r="91" spans="1:11" x14ac:dyDescent="0.15">
      <c r="A91" s="8" t="s">
        <v>970</v>
      </c>
      <c r="B91" s="8" t="s">
        <v>971</v>
      </c>
      <c r="C91" s="15" t="s">
        <v>62</v>
      </c>
      <c r="D91" s="6" t="s">
        <v>974</v>
      </c>
      <c r="E91" s="6" t="s">
        <v>987</v>
      </c>
      <c r="F91" s="7" t="str">
        <f>HYPERLINK("http://www.jprime.jp/ud/pressrelease/guid/dn0000159808","URLを開く")</f>
        <v>URLを開く</v>
      </c>
      <c r="G91" s="10" t="s">
        <v>20</v>
      </c>
      <c r="H91" s="10" t="s">
        <v>20</v>
      </c>
      <c r="I91" s="10" t="s">
        <v>20</v>
      </c>
      <c r="J91" s="10" t="s">
        <v>20</v>
      </c>
      <c r="K91" s="10" t="s">
        <v>20</v>
      </c>
    </row>
    <row r="92" spans="1:11" x14ac:dyDescent="0.15">
      <c r="A92" s="8" t="s">
        <v>970</v>
      </c>
      <c r="B92" s="8" t="s">
        <v>971</v>
      </c>
      <c r="C92" s="15" t="s">
        <v>64</v>
      </c>
      <c r="D92" s="6" t="s">
        <v>988</v>
      </c>
      <c r="E92" s="6" t="s">
        <v>989</v>
      </c>
      <c r="F92" s="7" t="str">
        <f>HYPERLINK("http://www.excite.co.jp/News/release/20170915/Dreamnews_0000159808.html","URLを開く")</f>
        <v>URLを開く</v>
      </c>
      <c r="G92" s="10" t="s">
        <v>20</v>
      </c>
      <c r="H92" s="10" t="s">
        <v>20</v>
      </c>
      <c r="I92" s="10" t="s">
        <v>20</v>
      </c>
      <c r="J92" s="10" t="s">
        <v>20</v>
      </c>
      <c r="K92" s="10" t="s">
        <v>20</v>
      </c>
    </row>
    <row r="93" spans="1:11" x14ac:dyDescent="0.15">
      <c r="A93" s="8" t="s">
        <v>970</v>
      </c>
      <c r="B93" s="8" t="s">
        <v>971</v>
      </c>
      <c r="C93" s="15" t="s">
        <v>67</v>
      </c>
      <c r="D93" s="6" t="s">
        <v>990</v>
      </c>
      <c r="E93" s="6" t="s">
        <v>991</v>
      </c>
      <c r="F93" s="7" t="str">
        <f>HYPERLINK("http://home.kingsoft.jp/news/pr/dreamnews/0000159808.html","URLを開く")</f>
        <v>URLを開く</v>
      </c>
      <c r="G93" s="10" t="s">
        <v>20</v>
      </c>
      <c r="H93" s="10" t="s">
        <v>20</v>
      </c>
      <c r="I93" s="10" t="s">
        <v>20</v>
      </c>
      <c r="J93" s="10" t="s">
        <v>20</v>
      </c>
      <c r="K93" s="10" t="s">
        <v>20</v>
      </c>
    </row>
    <row r="94" spans="1:11" x14ac:dyDescent="0.15">
      <c r="A94" s="8" t="s">
        <v>970</v>
      </c>
      <c r="B94" s="8" t="s">
        <v>971</v>
      </c>
      <c r="C94" s="15" t="s">
        <v>70</v>
      </c>
      <c r="D94" s="6" t="s">
        <v>992</v>
      </c>
      <c r="E94" s="6" t="s">
        <v>993</v>
      </c>
      <c r="F94" s="7" t="str">
        <f>HYPERLINK("http://news.toremaga.com/nation/notice/999659.html","URLを開く")</f>
        <v>URLを開く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</row>
    <row r="95" spans="1:11" x14ac:dyDescent="0.15">
      <c r="A95" s="8" t="s">
        <v>970</v>
      </c>
      <c r="B95" s="8" t="s">
        <v>971</v>
      </c>
      <c r="C95" s="15" t="s">
        <v>70</v>
      </c>
      <c r="D95" s="6" t="s">
        <v>992</v>
      </c>
      <c r="E95" s="6" t="s">
        <v>994</v>
      </c>
      <c r="F95" s="7" t="str">
        <f>HYPERLINK("http://news.toremaga.com/release/notice/999659.html","URLを開く")</f>
        <v>URLを開く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</row>
    <row r="96" spans="1:11" x14ac:dyDescent="0.15">
      <c r="A96" s="8" t="s">
        <v>970</v>
      </c>
      <c r="B96" s="8" t="s">
        <v>971</v>
      </c>
      <c r="C96" s="15" t="s">
        <v>73</v>
      </c>
      <c r="D96" s="6" t="s">
        <v>995</v>
      </c>
      <c r="E96" s="6" t="s">
        <v>996</v>
      </c>
      <c r="F96" s="7" t="str">
        <f>HYPERLINK("http://www.mapion.co.jp/news/release/dn0000159808-all/","URLを開く")</f>
        <v>URLを開く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</row>
    <row r="97" spans="1:11" x14ac:dyDescent="0.15">
      <c r="A97" s="8" t="s">
        <v>970</v>
      </c>
      <c r="B97" s="8" t="s">
        <v>971</v>
      </c>
      <c r="C97" s="15" t="s">
        <v>294</v>
      </c>
      <c r="D97" s="6" t="s">
        <v>997</v>
      </c>
      <c r="E97" s="6" t="s">
        <v>998</v>
      </c>
      <c r="F97" s="7" t="str">
        <f>HYPERLINK("http://30min.jp/release/prtimes/detail/49982","URLを開く")</f>
        <v>URLを開く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</row>
    <row r="98" spans="1:11" x14ac:dyDescent="0.15">
      <c r="A98" s="8" t="s">
        <v>970</v>
      </c>
      <c r="B98" s="8" t="s">
        <v>971</v>
      </c>
      <c r="C98" s="15" t="s">
        <v>40</v>
      </c>
      <c r="D98" s="6" t="s">
        <v>997</v>
      </c>
      <c r="E98" s="6" t="s">
        <v>999</v>
      </c>
      <c r="F98" s="7" t="str">
        <f>HYPERLINK("https://business.nifty.com/cs/catalog/business_release/catalog_prt000000072000017744_1.htm","URLを開く")</f>
        <v>URLを開く</v>
      </c>
      <c r="G98" s="10" t="s">
        <v>20</v>
      </c>
      <c r="H98" s="10" t="s">
        <v>20</v>
      </c>
      <c r="I98" s="10" t="s">
        <v>20</v>
      </c>
      <c r="J98" s="10" t="s">
        <v>20</v>
      </c>
      <c r="K98" s="10" t="s">
        <v>20</v>
      </c>
    </row>
    <row r="99" spans="1:11" x14ac:dyDescent="0.15">
      <c r="A99" s="8" t="s">
        <v>970</v>
      </c>
      <c r="B99" s="8" t="s">
        <v>971</v>
      </c>
      <c r="C99" s="15" t="s">
        <v>298</v>
      </c>
      <c r="D99" s="6" t="s">
        <v>997</v>
      </c>
      <c r="E99" s="6" t="s">
        <v>1000</v>
      </c>
      <c r="F99" s="7" t="str">
        <f>HYPERLINK("http://best-times.jp/ud/pressrelease_besttimes/59bb38e0776561553a220000","URLを開く")</f>
        <v>URLを開く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</row>
    <row r="100" spans="1:11" x14ac:dyDescent="0.15">
      <c r="A100" s="8" t="s">
        <v>970</v>
      </c>
      <c r="B100" s="8" t="s">
        <v>971</v>
      </c>
      <c r="C100" s="15" t="s">
        <v>43</v>
      </c>
      <c r="D100" s="6" t="s">
        <v>997</v>
      </c>
      <c r="E100" s="6" t="s">
        <v>1001</v>
      </c>
      <c r="F100" s="7" t="str">
        <f>HYPERLINK("https://news.biglobe.ne.jp/economy/0915/prt_170915_0815665877.html","URLを開く")</f>
        <v>URLを開く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</row>
    <row r="101" spans="1:11" x14ac:dyDescent="0.15">
      <c r="A101" s="8" t="s">
        <v>970</v>
      </c>
      <c r="B101" s="8" t="s">
        <v>971</v>
      </c>
      <c r="C101" s="15" t="s">
        <v>301</v>
      </c>
      <c r="D101" s="6" t="s">
        <v>997</v>
      </c>
      <c r="E101" s="6" t="s">
        <v>1002</v>
      </c>
      <c r="F101" s="7" t="str">
        <f>HYPERLINK("http://crea.bunshun.jp/ud/pressrelease/59bb37adb31ac9027a000017","URLを開く")</f>
        <v>URLを開く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</row>
    <row r="102" spans="1:11" x14ac:dyDescent="0.15">
      <c r="A102" s="8" t="s">
        <v>970</v>
      </c>
      <c r="B102" s="8" t="s">
        <v>971</v>
      </c>
      <c r="C102" s="15" t="s">
        <v>303</v>
      </c>
      <c r="D102" s="6" t="s">
        <v>997</v>
      </c>
      <c r="E102" s="6" t="s">
        <v>1003</v>
      </c>
      <c r="F102" s="7" t="str">
        <f>HYPERLINK("http://beauty.oricon.co.jp/pressrelease/209257/","URLを開く")</f>
        <v>URLを開く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</row>
    <row r="103" spans="1:11" x14ac:dyDescent="0.15">
      <c r="A103" s="8" t="s">
        <v>970</v>
      </c>
      <c r="B103" s="8" t="s">
        <v>971</v>
      </c>
      <c r="C103" s="15" t="s">
        <v>48</v>
      </c>
      <c r="D103" s="6" t="s">
        <v>997</v>
      </c>
      <c r="E103" s="6" t="s">
        <v>1004</v>
      </c>
      <c r="F103" s="7" t="str">
        <f>HYPERLINK("https://news.infoseek.co.jp/article/prtimes_000000072_000017744/","URLを開く")</f>
        <v>URLを開く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</row>
    <row r="104" spans="1:11" x14ac:dyDescent="0.15">
      <c r="A104" s="8" t="s">
        <v>970</v>
      </c>
      <c r="B104" s="8" t="s">
        <v>971</v>
      </c>
      <c r="C104" s="15" t="s">
        <v>306</v>
      </c>
      <c r="D104" s="6" t="s">
        <v>997</v>
      </c>
      <c r="E104" s="6" t="s">
        <v>1005</v>
      </c>
      <c r="F104" s="7" t="str">
        <f>HYPERLINK("http://jbpress.ismedia.jp/ud/pressrelease/59bb37bf7765619cd02d0000","URLを開く")</f>
        <v>URLを開く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</row>
    <row r="105" spans="1:11" x14ac:dyDescent="0.15">
      <c r="A105" s="8" t="s">
        <v>970</v>
      </c>
      <c r="B105" s="8" t="s">
        <v>971</v>
      </c>
      <c r="C105" s="15" t="s">
        <v>308</v>
      </c>
      <c r="D105" s="6" t="s">
        <v>997</v>
      </c>
      <c r="E105" s="6" t="s">
        <v>1006</v>
      </c>
      <c r="F105" s="7" t="str">
        <f>HYPERLINK("http://joshiplus.jp/pressrelease/209226/","URLを開く")</f>
        <v>URLを開く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</row>
    <row r="106" spans="1:11" x14ac:dyDescent="0.15">
      <c r="A106" s="8" t="s">
        <v>970</v>
      </c>
      <c r="B106" s="8" t="s">
        <v>971</v>
      </c>
      <c r="C106" s="15" t="s">
        <v>50</v>
      </c>
      <c r="D106" s="6" t="s">
        <v>997</v>
      </c>
      <c r="E106" s="6" t="s">
        <v>1007</v>
      </c>
      <c r="F106" s="7" t="str">
        <f>HYPERLINK("https://markezine.jp/release/detail/793705","URLを開く")</f>
        <v>URLを開く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</row>
    <row r="107" spans="1:11" x14ac:dyDescent="0.15">
      <c r="A107" s="8" t="s">
        <v>970</v>
      </c>
      <c r="B107" s="8" t="s">
        <v>971</v>
      </c>
      <c r="C107" s="15" t="s">
        <v>310</v>
      </c>
      <c r="D107" s="6" t="s">
        <v>997</v>
      </c>
      <c r="E107" s="6" t="s">
        <v>1008</v>
      </c>
      <c r="F107" s="7" t="str">
        <f>HYPERLINK("http://okguide.okwave.jp/cafe/2926986","URLを開く")</f>
        <v>URLを開く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</row>
    <row r="108" spans="1:11" x14ac:dyDescent="0.15">
      <c r="A108" s="8" t="s">
        <v>970</v>
      </c>
      <c r="B108" s="8" t="s">
        <v>971</v>
      </c>
      <c r="C108" s="15" t="s">
        <v>28</v>
      </c>
      <c r="D108" s="6" t="s">
        <v>997</v>
      </c>
      <c r="E108" s="6" t="s">
        <v>1009</v>
      </c>
      <c r="F108" s="7" t="str">
        <f>HYPERLINK("http://www.oricon.co.jp/pressrelease/209181/","URLを開く")</f>
        <v>URLを開く</v>
      </c>
      <c r="G108" s="10" t="s">
        <v>20</v>
      </c>
      <c r="H108" s="10" t="s">
        <v>20</v>
      </c>
      <c r="I108" s="10" t="s">
        <v>20</v>
      </c>
      <c r="J108" s="10" t="s">
        <v>20</v>
      </c>
      <c r="K108" s="10" t="s">
        <v>20</v>
      </c>
    </row>
    <row r="109" spans="1:11" x14ac:dyDescent="0.15">
      <c r="A109" s="8" t="s">
        <v>970</v>
      </c>
      <c r="B109" s="8" t="s">
        <v>971</v>
      </c>
      <c r="C109" s="15" t="s">
        <v>313</v>
      </c>
      <c r="D109" s="6" t="s">
        <v>997</v>
      </c>
      <c r="E109" s="6" t="s">
        <v>1010</v>
      </c>
      <c r="F109" s="7" t="str">
        <f>HYPERLINK("http://president.jp/ud/pressrelease/59bb37cf7765610bdd2b0000","URLを開く")</f>
        <v>URLを開く</v>
      </c>
      <c r="G109" s="10" t="s">
        <v>20</v>
      </c>
      <c r="H109" s="10" t="s">
        <v>20</v>
      </c>
      <c r="I109" s="10" t="s">
        <v>20</v>
      </c>
      <c r="J109" s="10" t="s">
        <v>20</v>
      </c>
      <c r="K109" s="10" t="s">
        <v>20</v>
      </c>
    </row>
    <row r="110" spans="1:11" x14ac:dyDescent="0.15">
      <c r="A110" s="8" t="s">
        <v>970</v>
      </c>
      <c r="B110" s="8" t="s">
        <v>971</v>
      </c>
      <c r="C110" s="15" t="s">
        <v>37</v>
      </c>
      <c r="D110" s="6" t="s">
        <v>997</v>
      </c>
      <c r="E110" s="6" t="s">
        <v>1011</v>
      </c>
      <c r="F110" s="7" t="str">
        <f>HYPERLINK("http://www.seotools.jp/news/id_000000072.000017744.html","URLを開く")</f>
        <v>URLを開く</v>
      </c>
      <c r="G110" s="10" t="s">
        <v>20</v>
      </c>
      <c r="H110" s="10" t="s">
        <v>20</v>
      </c>
      <c r="I110" s="10" t="s">
        <v>20</v>
      </c>
      <c r="J110" s="10" t="s">
        <v>20</v>
      </c>
      <c r="K110" s="10" t="s">
        <v>20</v>
      </c>
    </row>
    <row r="111" spans="1:11" x14ac:dyDescent="0.15">
      <c r="A111" s="8" t="s">
        <v>970</v>
      </c>
      <c r="B111" s="8" t="s">
        <v>971</v>
      </c>
      <c r="C111" s="15" t="s">
        <v>316</v>
      </c>
      <c r="D111" s="6" t="s">
        <v>997</v>
      </c>
      <c r="E111" s="6" t="s">
        <v>1012</v>
      </c>
      <c r="F111" s="7" t="str">
        <f>HYPERLINK("https://straightpress.jp/company_news/detail?pr=000000072.000017744","URLを開く")</f>
        <v>URLを開く</v>
      </c>
      <c r="G111" s="10" t="s">
        <v>20</v>
      </c>
      <c r="H111" s="10" t="s">
        <v>20</v>
      </c>
      <c r="I111" s="10" t="s">
        <v>20</v>
      </c>
      <c r="J111" s="10" t="s">
        <v>20</v>
      </c>
      <c r="K111" s="10" t="s">
        <v>20</v>
      </c>
    </row>
    <row r="112" spans="1:11" x14ac:dyDescent="0.15">
      <c r="A112" s="8" t="s">
        <v>970</v>
      </c>
      <c r="B112" s="8" t="s">
        <v>971</v>
      </c>
      <c r="C112" s="15" t="s">
        <v>318</v>
      </c>
      <c r="D112" s="6" t="s">
        <v>997</v>
      </c>
      <c r="E112" s="6" t="s">
        <v>1013</v>
      </c>
      <c r="F112" s="7" t="str">
        <f>HYPERLINK("http://release.traicy.com/archives/2017091568259.html","URLを開く")</f>
        <v>URLを開く</v>
      </c>
      <c r="G112" s="10" t="s">
        <v>20</v>
      </c>
      <c r="H112" s="10" t="s">
        <v>20</v>
      </c>
      <c r="I112" s="10" t="s">
        <v>20</v>
      </c>
      <c r="J112" s="10" t="s">
        <v>20</v>
      </c>
      <c r="K112" s="10" t="s">
        <v>20</v>
      </c>
    </row>
    <row r="113" spans="1:11" x14ac:dyDescent="0.15">
      <c r="A113" s="8" t="s">
        <v>970</v>
      </c>
      <c r="B113" s="8" t="s">
        <v>971</v>
      </c>
      <c r="C113" s="15" t="s">
        <v>1014</v>
      </c>
      <c r="D113" s="6" t="s">
        <v>997</v>
      </c>
      <c r="E113" s="6" t="s">
        <v>1015</v>
      </c>
      <c r="F113" s="7" t="str">
        <f>HYPERLINK("http://otakei.otakuma.net/archives/prtimes/000000072-000017744.html","URLを開く")</f>
        <v>URLを開く</v>
      </c>
      <c r="G113" s="10" t="s">
        <v>20</v>
      </c>
      <c r="H113" s="10" t="s">
        <v>20</v>
      </c>
      <c r="I113" s="10" t="s">
        <v>20</v>
      </c>
      <c r="J113" s="10" t="s">
        <v>20</v>
      </c>
      <c r="K113" s="10" t="s">
        <v>20</v>
      </c>
    </row>
    <row r="114" spans="1:11" x14ac:dyDescent="0.15">
      <c r="A114" s="8" t="s">
        <v>970</v>
      </c>
      <c r="B114" s="8" t="s">
        <v>971</v>
      </c>
      <c r="C114" s="15" t="s">
        <v>1016</v>
      </c>
      <c r="D114" s="6" t="s">
        <v>997</v>
      </c>
      <c r="E114" s="6" t="s">
        <v>1017</v>
      </c>
      <c r="F114" s="7" t="str">
        <f>HYPERLINK("http://ure.pia.co.jp/articles/-/103743","URLを開く")</f>
        <v>URLを開く</v>
      </c>
      <c r="G114" s="10" t="s">
        <v>20</v>
      </c>
      <c r="H114" s="10" t="s">
        <v>20</v>
      </c>
      <c r="I114" s="10" t="s">
        <v>20</v>
      </c>
      <c r="J114" s="10" t="s">
        <v>20</v>
      </c>
      <c r="K114" s="10" t="s">
        <v>20</v>
      </c>
    </row>
    <row r="115" spans="1:11" x14ac:dyDescent="0.15">
      <c r="A115" s="8" t="s">
        <v>970</v>
      </c>
      <c r="B115" s="8" t="s">
        <v>971</v>
      </c>
      <c r="C115" s="15" t="s">
        <v>320</v>
      </c>
      <c r="D115" s="6" t="s">
        <v>997</v>
      </c>
      <c r="E115" s="6" t="s">
        <v>1018</v>
      </c>
      <c r="F115" s="7" t="str">
        <f>HYPERLINK("http://news.jorudan.co.jp/docs/news/detail.cgi?newsid=PT000072A000017744","URLを開く")</f>
        <v>URLを開く</v>
      </c>
      <c r="G115" s="10" t="s">
        <v>20</v>
      </c>
      <c r="H115" s="10" t="s">
        <v>20</v>
      </c>
      <c r="I115" s="10" t="s">
        <v>20</v>
      </c>
      <c r="J115" s="10" t="s">
        <v>20</v>
      </c>
      <c r="K115" s="10" t="s">
        <v>20</v>
      </c>
    </row>
    <row r="116" spans="1:11" x14ac:dyDescent="0.15">
      <c r="A116" s="8" t="s">
        <v>970</v>
      </c>
      <c r="B116" s="8" t="s">
        <v>971</v>
      </c>
      <c r="C116" s="15" t="s">
        <v>324</v>
      </c>
      <c r="D116" s="6" t="s">
        <v>997</v>
      </c>
      <c r="E116" s="6" t="s">
        <v>1019</v>
      </c>
      <c r="F116" s="7" t="str">
        <f>HYPERLINK("https://www.jiji.com/jc/article?g=prt&amp;k=000000072.000017744","URLを開く")</f>
        <v>URLを開く</v>
      </c>
      <c r="G116" s="10" t="s">
        <v>20</v>
      </c>
      <c r="H116" s="10" t="s">
        <v>20</v>
      </c>
      <c r="I116" s="10" t="s">
        <v>20</v>
      </c>
      <c r="J116" s="10" t="s">
        <v>20</v>
      </c>
      <c r="K116" s="10" t="s">
        <v>20</v>
      </c>
    </row>
    <row r="117" spans="1:11" x14ac:dyDescent="0.15">
      <c r="A117" s="8" t="s">
        <v>970</v>
      </c>
      <c r="B117" s="8" t="s">
        <v>971</v>
      </c>
      <c r="C117" s="15" t="s">
        <v>1020</v>
      </c>
      <c r="D117" s="6" t="s">
        <v>997</v>
      </c>
      <c r="E117" s="6" t="s">
        <v>1021</v>
      </c>
      <c r="F117" s="7" t="str">
        <f>HYPERLINK("https://kurashinista.jp/pressrelease/detail/63112","URLを開く")</f>
        <v>URLを開く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10" t="s">
        <v>20</v>
      </c>
    </row>
    <row r="118" spans="1:11" x14ac:dyDescent="0.15">
      <c r="A118" s="8" t="s">
        <v>970</v>
      </c>
      <c r="B118" s="8" t="s">
        <v>971</v>
      </c>
      <c r="C118" s="15" t="s">
        <v>60</v>
      </c>
      <c r="D118" s="6" t="s">
        <v>997</v>
      </c>
      <c r="E118" s="6" t="s">
        <v>1022</v>
      </c>
      <c r="F118" s="7" t="str">
        <f>HYPERLINK("http://www.asahi.com/and_M/information/pressrelease/CPRT201760473.html","URLを開く")</f>
        <v>URLを開く</v>
      </c>
      <c r="G118" s="10" t="s">
        <v>20</v>
      </c>
      <c r="H118" s="10" t="s">
        <v>20</v>
      </c>
      <c r="I118" s="10" t="s">
        <v>20</v>
      </c>
      <c r="J118" s="10" t="s">
        <v>20</v>
      </c>
      <c r="K118" s="10" t="s">
        <v>20</v>
      </c>
    </row>
    <row r="119" spans="1:11" x14ac:dyDescent="0.15">
      <c r="A119" s="8" t="s">
        <v>970</v>
      </c>
      <c r="B119" s="8" t="s">
        <v>971</v>
      </c>
      <c r="C119" s="15" t="s">
        <v>327</v>
      </c>
      <c r="D119" s="6" t="s">
        <v>997</v>
      </c>
      <c r="E119" s="6" t="s">
        <v>1023</v>
      </c>
      <c r="F119" s="7" t="str">
        <f>HYPERLINK("http://toyokeizai.net/ud/pressrelease/59bb382b7765612e9b2a0000","URLを開く")</f>
        <v>URLを開く</v>
      </c>
      <c r="G119" s="10" t="s">
        <v>20</v>
      </c>
      <c r="H119" s="10" t="s">
        <v>20</v>
      </c>
      <c r="I119" s="10" t="s">
        <v>20</v>
      </c>
      <c r="J119" s="10" t="s">
        <v>20</v>
      </c>
      <c r="K119" s="10" t="s">
        <v>20</v>
      </c>
    </row>
    <row r="120" spans="1:11" x14ac:dyDescent="0.15">
      <c r="A120" s="8" t="s">
        <v>970</v>
      </c>
      <c r="B120" s="8" t="s">
        <v>971</v>
      </c>
      <c r="C120" s="15" t="s">
        <v>331</v>
      </c>
      <c r="D120" s="6" t="s">
        <v>997</v>
      </c>
      <c r="E120" s="6" t="s">
        <v>1024</v>
      </c>
      <c r="F120" s="7" t="str">
        <f>HYPERLINK("http://www.sankei.com/economy/news/170915/prl1709150061-n1.html","URLを開く")</f>
        <v>URLを開く</v>
      </c>
      <c r="G120" s="10" t="s">
        <v>20</v>
      </c>
      <c r="H120" s="10" t="s">
        <v>20</v>
      </c>
      <c r="I120" s="10" t="s">
        <v>20</v>
      </c>
      <c r="J120" s="10" t="s">
        <v>20</v>
      </c>
      <c r="K120" s="10" t="s">
        <v>20</v>
      </c>
    </row>
    <row r="121" spans="1:11" x14ac:dyDescent="0.15">
      <c r="A121" s="8" t="s">
        <v>970</v>
      </c>
      <c r="B121" s="8" t="s">
        <v>971</v>
      </c>
      <c r="C121" s="15" t="s">
        <v>333</v>
      </c>
      <c r="D121" s="6" t="s">
        <v>997</v>
      </c>
      <c r="E121" s="6" t="s">
        <v>1025</v>
      </c>
      <c r="F121" s="7" t="str">
        <f>HYPERLINK("http://www.zaikei.co.jp/releases/526954/","URLを開く")</f>
        <v>URLを開く</v>
      </c>
      <c r="G121" s="10" t="s">
        <v>20</v>
      </c>
      <c r="H121" s="10" t="s">
        <v>20</v>
      </c>
      <c r="I121" s="10" t="s">
        <v>20</v>
      </c>
      <c r="J121" s="10" t="s">
        <v>20</v>
      </c>
      <c r="K121" s="10" t="s">
        <v>20</v>
      </c>
    </row>
    <row r="122" spans="1:11" x14ac:dyDescent="0.15">
      <c r="A122" s="8" t="s">
        <v>970</v>
      </c>
      <c r="B122" s="8" t="s">
        <v>971</v>
      </c>
      <c r="C122" s="15" t="s">
        <v>64</v>
      </c>
      <c r="D122" s="6" t="s">
        <v>1026</v>
      </c>
      <c r="E122" s="6" t="s">
        <v>1027</v>
      </c>
      <c r="F122" s="7" t="str">
        <f>HYPERLINK("http://www.excite.co.jp/News/release/20170915/Prtimes_2017-09-15-17744-72.html","URLを開く")</f>
        <v>URLを開く</v>
      </c>
      <c r="G122" s="10" t="s">
        <v>20</v>
      </c>
      <c r="H122" s="10" t="s">
        <v>20</v>
      </c>
      <c r="I122" s="10" t="s">
        <v>20</v>
      </c>
      <c r="J122" s="10" t="s">
        <v>20</v>
      </c>
      <c r="K122" s="10" t="s">
        <v>20</v>
      </c>
    </row>
    <row r="123" spans="1:11" x14ac:dyDescent="0.15">
      <c r="A123" s="8" t="s">
        <v>970</v>
      </c>
      <c r="B123" s="8" t="s">
        <v>971</v>
      </c>
      <c r="C123" s="15" t="s">
        <v>80</v>
      </c>
      <c r="D123" s="6" t="s">
        <v>1028</v>
      </c>
      <c r="E123" s="6" t="s">
        <v>1029</v>
      </c>
      <c r="F123" s="7" t="str">
        <f>HYPERLINK("http://www.yomiuri.co.jp/adv/economy/release/detail/00327194.html","URLを開く")</f>
        <v>URLを開く</v>
      </c>
      <c r="G123" s="10" t="s">
        <v>20</v>
      </c>
      <c r="H123" s="10" t="s">
        <v>20</v>
      </c>
      <c r="I123" s="10" t="s">
        <v>20</v>
      </c>
      <c r="J123" s="10" t="s">
        <v>20</v>
      </c>
      <c r="K123" s="10" t="s">
        <v>20</v>
      </c>
    </row>
    <row r="124" spans="1:11" x14ac:dyDescent="0.15">
      <c r="A124" s="8" t="s">
        <v>970</v>
      </c>
      <c r="B124" s="8" t="s">
        <v>971</v>
      </c>
      <c r="C124" s="15" t="s">
        <v>344</v>
      </c>
      <c r="D124" s="6" t="s">
        <v>1030</v>
      </c>
      <c r="E124" s="6" t="s">
        <v>1031</v>
      </c>
      <c r="F124" s="7" t="str">
        <f>HYPERLINK("http://news.cube-soft.jp/prtimes/archive.php?id=201095","URLを開く")</f>
        <v>URLを開く</v>
      </c>
      <c r="G124" s="10" t="s">
        <v>20</v>
      </c>
      <c r="H124" s="10" t="s">
        <v>20</v>
      </c>
      <c r="I124" s="10" t="s">
        <v>20</v>
      </c>
      <c r="J124" s="10" t="s">
        <v>20</v>
      </c>
      <c r="K124" s="10" t="s">
        <v>20</v>
      </c>
    </row>
    <row r="125" spans="1:11" x14ac:dyDescent="0.15">
      <c r="A125" s="8" t="s">
        <v>970</v>
      </c>
      <c r="B125" s="8" t="s">
        <v>971</v>
      </c>
      <c r="C125" s="15" t="s">
        <v>70</v>
      </c>
      <c r="D125" s="6" t="s">
        <v>1032</v>
      </c>
      <c r="E125" s="6" t="s">
        <v>1033</v>
      </c>
      <c r="F125" s="7" t="str">
        <f>HYPERLINK("http://news.toremaga.com/release/others/999404.html","URLを開く")</f>
        <v>URLを開く</v>
      </c>
      <c r="G125" s="10" t="s">
        <v>20</v>
      </c>
      <c r="H125" s="10" t="s">
        <v>20</v>
      </c>
      <c r="I125" s="10" t="s">
        <v>20</v>
      </c>
      <c r="J125" s="10" t="s">
        <v>20</v>
      </c>
      <c r="K125" s="10" t="s">
        <v>20</v>
      </c>
    </row>
    <row r="126" spans="1:11" x14ac:dyDescent="0.15">
      <c r="A126" s="8" t="s">
        <v>970</v>
      </c>
      <c r="B126" s="8" t="s">
        <v>971</v>
      </c>
      <c r="C126" s="15" t="s">
        <v>349</v>
      </c>
      <c r="D126" s="6" t="s">
        <v>1034</v>
      </c>
      <c r="E126" s="6" t="s">
        <v>1035</v>
      </c>
      <c r="F126" s="7" t="str">
        <f>HYPERLINK("http://www.iza.ne.jp/kiji/pressrelease/news/170915/prl17091511260059-n1.html","URLを開く")</f>
        <v>URLを開く</v>
      </c>
      <c r="G126" s="10" t="s">
        <v>20</v>
      </c>
      <c r="H126" s="10" t="s">
        <v>20</v>
      </c>
      <c r="I126" s="10" t="s">
        <v>20</v>
      </c>
      <c r="J126" s="10" t="s">
        <v>20</v>
      </c>
      <c r="K126" s="10" t="s">
        <v>20</v>
      </c>
    </row>
    <row r="127" spans="1:11" x14ac:dyDescent="0.15">
      <c r="A127" s="8" t="s">
        <v>970</v>
      </c>
      <c r="B127" s="8" t="s">
        <v>971</v>
      </c>
      <c r="C127" s="15" t="s">
        <v>73</v>
      </c>
      <c r="D127" s="6" t="s">
        <v>1036</v>
      </c>
      <c r="E127" s="6" t="s">
        <v>1037</v>
      </c>
      <c r="F127" s="7" t="str">
        <f>HYPERLINK("http://www.mapion.co.jp/news/release/000000072.000017744-all/","URLを開く")</f>
        <v>URLを開く</v>
      </c>
      <c r="G127" s="10" t="s">
        <v>20</v>
      </c>
      <c r="H127" s="10" t="s">
        <v>20</v>
      </c>
      <c r="I127" s="10" t="s">
        <v>20</v>
      </c>
      <c r="J127" s="10" t="s">
        <v>20</v>
      </c>
      <c r="K127" s="10" t="s">
        <v>20</v>
      </c>
    </row>
    <row r="128" spans="1:11" x14ac:dyDescent="0.15">
      <c r="A128" s="8" t="s">
        <v>1038</v>
      </c>
      <c r="B128" s="8" t="s">
        <v>970</v>
      </c>
      <c r="C128" s="15" t="s">
        <v>268</v>
      </c>
      <c r="D128" s="6" t="s">
        <v>1039</v>
      </c>
      <c r="E128" s="6" t="s">
        <v>1040</v>
      </c>
      <c r="F128" s="7" t="str">
        <f>HYPERLINK("http://www.47news.jp/photo/1717978.php","URLを開く")</f>
        <v>URLを開く</v>
      </c>
      <c r="G128" s="10" t="s">
        <v>20</v>
      </c>
      <c r="H128" s="10" t="s">
        <v>20</v>
      </c>
      <c r="I128" s="10" t="s">
        <v>20</v>
      </c>
      <c r="J128" s="10" t="s">
        <v>20</v>
      </c>
      <c r="K128" s="10" t="s">
        <v>20</v>
      </c>
    </row>
    <row r="129" spans="1:11" x14ac:dyDescent="0.15">
      <c r="A129" s="8" t="s">
        <v>1038</v>
      </c>
      <c r="B129" s="8" t="s">
        <v>970</v>
      </c>
      <c r="C129" s="15" t="s">
        <v>268</v>
      </c>
      <c r="D129" s="6" t="s">
        <v>1041</v>
      </c>
      <c r="E129" s="6" t="s">
        <v>1042</v>
      </c>
      <c r="F129" s="7" t="str">
        <f>HYPERLINK("http://www.47news.jp/localnews/odekake/2017/09/post-20170914100443.html","URLを開く")</f>
        <v>URLを開く</v>
      </c>
      <c r="G129" s="10" t="s">
        <v>20</v>
      </c>
      <c r="H129" s="10" t="s">
        <v>20</v>
      </c>
      <c r="I129" s="10" t="s">
        <v>20</v>
      </c>
      <c r="J129" s="10" t="s">
        <v>20</v>
      </c>
      <c r="K129" s="10" t="s">
        <v>20</v>
      </c>
    </row>
    <row r="130" spans="1:11" x14ac:dyDescent="0.15">
      <c r="A130" s="8" t="s">
        <v>1043</v>
      </c>
      <c r="B130" s="8" t="s">
        <v>1038</v>
      </c>
      <c r="C130" s="15" t="s">
        <v>1044</v>
      </c>
      <c r="D130" s="6" t="s">
        <v>1045</v>
      </c>
      <c r="E130" s="6" t="s">
        <v>1046</v>
      </c>
      <c r="F130" s="7" t="str">
        <f>HYPERLINK("http://www.asahi.com/articles/ASK9C4K4YK9CPUZB00S.html","URLを開く")</f>
        <v>URLを開く</v>
      </c>
      <c r="G130" s="10" t="s">
        <v>20</v>
      </c>
      <c r="H130" s="10" t="s">
        <v>20</v>
      </c>
      <c r="I130" s="10" t="s">
        <v>20</v>
      </c>
      <c r="J130" s="10" t="s">
        <v>20</v>
      </c>
      <c r="K130" s="10" t="s">
        <v>20</v>
      </c>
    </row>
    <row r="131" spans="1:11" x14ac:dyDescent="0.15">
      <c r="A131" s="8" t="s">
        <v>1043</v>
      </c>
      <c r="B131" s="8" t="s">
        <v>1038</v>
      </c>
      <c r="C131" s="15" t="s">
        <v>268</v>
      </c>
      <c r="D131" s="6" t="s">
        <v>1047</v>
      </c>
      <c r="E131" s="6" t="s">
        <v>1048</v>
      </c>
      <c r="F131" s="7" t="str">
        <f>HYPERLINK("http://www.47news.jp/localnews/kochi/2017/09/post_20170913183330.html","URLを開く")</f>
        <v>URLを開く</v>
      </c>
      <c r="G131" s="10" t="s">
        <v>20</v>
      </c>
      <c r="H131" s="10" t="s">
        <v>20</v>
      </c>
      <c r="I131" s="10" t="s">
        <v>20</v>
      </c>
      <c r="J131" s="10" t="s">
        <v>20</v>
      </c>
      <c r="K131" s="10" t="s">
        <v>20</v>
      </c>
    </row>
    <row r="132" spans="1:11" x14ac:dyDescent="0.15">
      <c r="A132" s="8" t="s">
        <v>1043</v>
      </c>
      <c r="B132" s="8" t="s">
        <v>1038</v>
      </c>
      <c r="C132" s="15" t="s">
        <v>703</v>
      </c>
      <c r="D132" s="6" t="s">
        <v>1047</v>
      </c>
      <c r="E132" s="6" t="s">
        <v>1049</v>
      </c>
      <c r="F132" s="7" t="str">
        <f>HYPERLINK("http://www.kochinews.co.jp/article/125155/","URLを開く")</f>
        <v>URLを開く</v>
      </c>
      <c r="G132" s="10" t="s">
        <v>20</v>
      </c>
      <c r="H132" s="10" t="s">
        <v>20</v>
      </c>
      <c r="I132" s="10" t="s">
        <v>20</v>
      </c>
      <c r="J132" s="10" t="s">
        <v>20</v>
      </c>
      <c r="K132" s="10" t="s">
        <v>20</v>
      </c>
    </row>
    <row r="133" spans="1:11" x14ac:dyDescent="0.15">
      <c r="A133" s="8" t="s">
        <v>1050</v>
      </c>
      <c r="B133" s="8" t="s">
        <v>1043</v>
      </c>
      <c r="C133" s="15" t="s">
        <v>182</v>
      </c>
      <c r="D133" s="6" t="s">
        <v>1051</v>
      </c>
      <c r="E133" s="6" t="s">
        <v>1052</v>
      </c>
      <c r="F133" s="7" t="str">
        <f>HYPERLINK("https://headlines.yahoo.co.jp/hl?a=20170912-00000003-hokuriku-l16","URLを開く")</f>
        <v>URLを開く</v>
      </c>
      <c r="G133" s="10" t="s">
        <v>20</v>
      </c>
      <c r="H133" s="10" t="s">
        <v>20</v>
      </c>
      <c r="I133" s="10" t="s">
        <v>20</v>
      </c>
      <c r="J133" s="10" t="s">
        <v>20</v>
      </c>
      <c r="K133" s="10" t="s">
        <v>20</v>
      </c>
    </row>
    <row r="134" spans="1:11" x14ac:dyDescent="0.15">
      <c r="A134" s="8" t="s">
        <v>1050</v>
      </c>
      <c r="B134" s="8" t="s">
        <v>1043</v>
      </c>
      <c r="C134" s="15" t="s">
        <v>283</v>
      </c>
      <c r="D134" s="6" t="s">
        <v>1053</v>
      </c>
      <c r="E134" s="6" t="s">
        <v>1054</v>
      </c>
      <c r="F134" s="7" t="str">
        <f>HYPERLINK("https://news.goo.ne.jp/article/hokurikushinkansen/region/hokurikushinkansen-NEWS0000012056.html","URLを開く")</f>
        <v>URLを開く</v>
      </c>
      <c r="G134" s="10" t="s">
        <v>20</v>
      </c>
      <c r="H134" s="10" t="s">
        <v>20</v>
      </c>
      <c r="I134" s="10" t="s">
        <v>20</v>
      </c>
      <c r="J134" s="10" t="s">
        <v>20</v>
      </c>
      <c r="K134" s="10" t="s">
        <v>20</v>
      </c>
    </row>
    <row r="135" spans="1:11" x14ac:dyDescent="0.15">
      <c r="A135" s="8" t="s">
        <v>1050</v>
      </c>
      <c r="B135" s="8" t="s">
        <v>1043</v>
      </c>
      <c r="C135" s="15" t="s">
        <v>286</v>
      </c>
      <c r="D135" s="6" t="s">
        <v>1055</v>
      </c>
      <c r="E135" s="6" t="s">
        <v>1056</v>
      </c>
      <c r="F135" s="7" t="str">
        <f>HYPERLINK("http://topics.smt.docomo.ne.jp/article/hokurikushinkansen/region/hokurikushinkansen-NEWS0000012056?fm=latestnews","URLを開く")</f>
        <v>URLを開く</v>
      </c>
      <c r="G135" s="10" t="s">
        <v>20</v>
      </c>
      <c r="H135" s="10" t="s">
        <v>20</v>
      </c>
      <c r="I135" s="10" t="s">
        <v>20</v>
      </c>
      <c r="J135" s="10" t="s">
        <v>20</v>
      </c>
      <c r="K135" s="10" t="s">
        <v>20</v>
      </c>
    </row>
    <row r="136" spans="1:11" x14ac:dyDescent="0.15">
      <c r="A136" s="8" t="s">
        <v>1050</v>
      </c>
      <c r="B136" s="8" t="s">
        <v>1043</v>
      </c>
      <c r="C136" s="15" t="s">
        <v>268</v>
      </c>
      <c r="D136" s="6" t="s">
        <v>1057</v>
      </c>
      <c r="E136" s="6" t="s">
        <v>1058</v>
      </c>
      <c r="F136" s="7" t="str">
        <f>HYPERLINK("http://www.47news.jp/photo/1716272.php","URLを開く")</f>
        <v>URLを開く</v>
      </c>
      <c r="G136" s="10" t="s">
        <v>20</v>
      </c>
      <c r="H136" s="10" t="s">
        <v>20</v>
      </c>
      <c r="I136" s="10" t="s">
        <v>20</v>
      </c>
      <c r="J136" s="10" t="s">
        <v>20</v>
      </c>
      <c r="K136" s="10" t="s">
        <v>20</v>
      </c>
    </row>
    <row r="137" spans="1:11" x14ac:dyDescent="0.15">
      <c r="A137" s="8" t="s">
        <v>1050</v>
      </c>
      <c r="B137" s="8" t="s">
        <v>1043</v>
      </c>
      <c r="C137" s="15" t="s">
        <v>268</v>
      </c>
      <c r="D137" s="6" t="s">
        <v>1059</v>
      </c>
      <c r="E137" s="6" t="s">
        <v>1060</v>
      </c>
      <c r="F137" s="7" t="str">
        <f>HYPERLINK("http://www.47news.jp/localnews/hotnews/2017/09/post-20170912095301.html","URLを開く")</f>
        <v>URLを開く</v>
      </c>
      <c r="G137" s="10" t="s">
        <v>20</v>
      </c>
      <c r="H137" s="10" t="s">
        <v>20</v>
      </c>
      <c r="I137" s="10" t="s">
        <v>20</v>
      </c>
      <c r="J137" s="10" t="s">
        <v>20</v>
      </c>
      <c r="K137" s="10" t="s">
        <v>20</v>
      </c>
    </row>
    <row r="138" spans="1:11" x14ac:dyDescent="0.15">
      <c r="A138" s="8" t="s">
        <v>1050</v>
      </c>
      <c r="B138" s="8" t="s">
        <v>1043</v>
      </c>
      <c r="C138" s="15" t="s">
        <v>80</v>
      </c>
      <c r="D138" s="6" t="s">
        <v>1061</v>
      </c>
      <c r="E138" s="6" t="s">
        <v>1062</v>
      </c>
      <c r="F138" s="7" t="str">
        <f>HYPERLINK("http://www.yomiuri.co.jp/local/toyama/news/20170912-OYTNT50133.html","URLを開く")</f>
        <v>URLを開く</v>
      </c>
      <c r="G138" s="10" t="s">
        <v>20</v>
      </c>
      <c r="H138" s="10" t="s">
        <v>20</v>
      </c>
      <c r="I138" s="10" t="s">
        <v>20</v>
      </c>
      <c r="J138" s="10" t="s">
        <v>20</v>
      </c>
      <c r="K138" s="10" t="s">
        <v>20</v>
      </c>
    </row>
    <row r="139" spans="1:11" x14ac:dyDescent="0.15">
      <c r="A139" s="8" t="s">
        <v>1050</v>
      </c>
      <c r="B139" s="8" t="s">
        <v>1043</v>
      </c>
      <c r="C139" s="15" t="s">
        <v>268</v>
      </c>
      <c r="D139" s="6" t="s">
        <v>1063</v>
      </c>
      <c r="E139" s="6" t="s">
        <v>1064</v>
      </c>
      <c r="F139" s="7" t="str">
        <f>HYPERLINK("http://www.47news.jp/localnews/toyama/2017/09/post_20170912080851.html","URLを開く")</f>
        <v>URLを開く</v>
      </c>
      <c r="G139" s="10" t="s">
        <v>20</v>
      </c>
      <c r="H139" s="10" t="s">
        <v>20</v>
      </c>
      <c r="I139" s="10" t="s">
        <v>20</v>
      </c>
      <c r="J139" s="10" t="s">
        <v>20</v>
      </c>
      <c r="K139" s="10" t="s">
        <v>20</v>
      </c>
    </row>
    <row r="140" spans="1:11" x14ac:dyDescent="0.15">
      <c r="A140" s="8" t="s">
        <v>1050</v>
      </c>
      <c r="B140" s="8" t="s">
        <v>1043</v>
      </c>
      <c r="C140" s="15" t="s">
        <v>268</v>
      </c>
      <c r="D140" s="6" t="s">
        <v>1063</v>
      </c>
      <c r="E140" s="6" t="s">
        <v>1065</v>
      </c>
      <c r="F140" s="7" t="str">
        <f>HYPERLINK("http://www.47news.jp/photo/1716204.php","URLを開く")</f>
        <v>URLを開く</v>
      </c>
      <c r="G140" s="10" t="s">
        <v>20</v>
      </c>
      <c r="H140" s="10" t="s">
        <v>20</v>
      </c>
      <c r="I140" s="10" t="s">
        <v>20</v>
      </c>
      <c r="J140" s="10" t="s">
        <v>20</v>
      </c>
      <c r="K140" s="10" t="s">
        <v>20</v>
      </c>
    </row>
    <row r="141" spans="1:11" x14ac:dyDescent="0.15">
      <c r="A141" s="8" t="s">
        <v>1050</v>
      </c>
      <c r="B141" s="8" t="s">
        <v>1043</v>
      </c>
      <c r="C141" s="15" t="s">
        <v>283</v>
      </c>
      <c r="D141" s="6" t="s">
        <v>1066</v>
      </c>
      <c r="E141" s="6" t="s">
        <v>1067</v>
      </c>
      <c r="F141" s="7" t="str">
        <f>HYPERLINK("https://news.goo.ne.jp/article/chuplus/region/chuplus-CK2017091202000036.html","URLを開く")</f>
        <v>URLを開く</v>
      </c>
      <c r="G141" s="10" t="s">
        <v>20</v>
      </c>
      <c r="H141" s="10" t="s">
        <v>20</v>
      </c>
      <c r="I141" s="10" t="s">
        <v>20</v>
      </c>
      <c r="J141" s="10" t="s">
        <v>20</v>
      </c>
      <c r="K141" s="10" t="s">
        <v>20</v>
      </c>
    </row>
    <row r="142" spans="1:11" x14ac:dyDescent="0.15">
      <c r="A142" s="8" t="s">
        <v>1050</v>
      </c>
      <c r="B142" s="8" t="s">
        <v>1043</v>
      </c>
      <c r="C142" s="15" t="s">
        <v>286</v>
      </c>
      <c r="D142" s="6" t="s">
        <v>1068</v>
      </c>
      <c r="E142" s="6" t="s">
        <v>1069</v>
      </c>
      <c r="F142" s="7" t="str">
        <f>HYPERLINK("http://topics.smt.docomo.ne.jp/article/chuplus/region/chuplus-CK2017091202000036?fm=latestnews","URLを開く")</f>
        <v>URLを開く</v>
      </c>
      <c r="G142" s="10" t="s">
        <v>20</v>
      </c>
      <c r="H142" s="10" t="s">
        <v>20</v>
      </c>
      <c r="I142" s="10" t="s">
        <v>20</v>
      </c>
      <c r="J142" s="10" t="s">
        <v>20</v>
      </c>
      <c r="K142" s="10" t="s">
        <v>20</v>
      </c>
    </row>
    <row r="143" spans="1:11" x14ac:dyDescent="0.15">
      <c r="A143" s="8" t="s">
        <v>1050</v>
      </c>
      <c r="B143" s="8" t="s">
        <v>1043</v>
      </c>
      <c r="C143" s="15" t="s">
        <v>443</v>
      </c>
      <c r="D143" s="6" t="s">
        <v>1070</v>
      </c>
      <c r="E143" s="6" t="s">
        <v>1071</v>
      </c>
      <c r="F143" s="7" t="str">
        <f>HYPERLINK("http://www.chunichi.co.jp/article/toyama/20170912/CK2017091202000036.html","URLを開く")</f>
        <v>URLを開く</v>
      </c>
      <c r="G143" s="10" t="s">
        <v>20</v>
      </c>
      <c r="H143" s="10" t="s">
        <v>20</v>
      </c>
      <c r="I143" s="10" t="s">
        <v>20</v>
      </c>
      <c r="J143" s="10" t="s">
        <v>20</v>
      </c>
      <c r="K143" s="10" t="s">
        <v>20</v>
      </c>
    </row>
    <row r="144" spans="1:11" x14ac:dyDescent="0.15">
      <c r="A144" s="8" t="s">
        <v>1050</v>
      </c>
      <c r="B144" s="8" t="s">
        <v>1043</v>
      </c>
      <c r="C144" s="15" t="s">
        <v>645</v>
      </c>
      <c r="D144" s="6" t="s">
        <v>1072</v>
      </c>
      <c r="E144" s="6" t="s">
        <v>1073</v>
      </c>
      <c r="F144" s="7" t="str">
        <f>HYPERLINK("https://www.hokkaido-np.co.jp/event/1840","URLを開く")</f>
        <v>URLを開く</v>
      </c>
      <c r="G144" s="10" t="s">
        <v>20</v>
      </c>
      <c r="H144" s="10" t="s">
        <v>20</v>
      </c>
      <c r="I144" s="10" t="s">
        <v>20</v>
      </c>
      <c r="J144" s="10" t="s">
        <v>20</v>
      </c>
      <c r="K144" s="10" t="s">
        <v>20</v>
      </c>
    </row>
    <row r="145" spans="1:11" x14ac:dyDescent="0.15">
      <c r="A145" s="8" t="s">
        <v>1074</v>
      </c>
      <c r="B145" s="8" t="s">
        <v>1050</v>
      </c>
      <c r="C145" s="15" t="s">
        <v>383</v>
      </c>
      <c r="D145" s="6" t="s">
        <v>1075</v>
      </c>
      <c r="E145" s="6" t="s">
        <v>1076</v>
      </c>
      <c r="F145" s="7" t="str">
        <f>HYPERLINK("http://www3.nhk.or.jp/lnews/toyama/3063724821.html","URLを開く")</f>
        <v>URLを開く</v>
      </c>
      <c r="G145" s="10" t="s">
        <v>20</v>
      </c>
      <c r="H145" s="10" t="s">
        <v>20</v>
      </c>
      <c r="I145" s="10" t="s">
        <v>20</v>
      </c>
      <c r="J145" s="10" t="s">
        <v>20</v>
      </c>
      <c r="K145" s="10" t="s">
        <v>20</v>
      </c>
    </row>
    <row r="146" spans="1:11" x14ac:dyDescent="0.15">
      <c r="A146" s="8" t="s">
        <v>1074</v>
      </c>
      <c r="B146" s="8" t="s">
        <v>1050</v>
      </c>
      <c r="C146" s="15" t="s">
        <v>268</v>
      </c>
      <c r="D146" s="6" t="s">
        <v>1057</v>
      </c>
      <c r="E146" s="6" t="s">
        <v>1077</v>
      </c>
      <c r="F146" s="7" t="str">
        <f>HYPERLINK("http://www.47news.jp/localnews/toyama/2017/09/post_20170911132816.html","URLを開く")</f>
        <v>URLを開く</v>
      </c>
      <c r="G146" s="10" t="s">
        <v>20</v>
      </c>
      <c r="H146" s="10" t="s">
        <v>20</v>
      </c>
      <c r="I146" s="10" t="s">
        <v>20</v>
      </c>
      <c r="J146" s="10" t="s">
        <v>20</v>
      </c>
      <c r="K146" s="10" t="s">
        <v>20</v>
      </c>
    </row>
    <row r="147" spans="1:11" x14ac:dyDescent="0.15">
      <c r="A147" s="8" t="s">
        <v>1074</v>
      </c>
      <c r="B147" s="8" t="s">
        <v>1050</v>
      </c>
      <c r="C147" s="15" t="s">
        <v>268</v>
      </c>
      <c r="D147" s="6" t="s">
        <v>1057</v>
      </c>
      <c r="E147" s="6" t="s">
        <v>1078</v>
      </c>
      <c r="F147" s="7" t="str">
        <f>HYPERLINK("http://www.47news.jp/photo/1715752.php","URLを開く")</f>
        <v>URLを開く</v>
      </c>
      <c r="G147" s="10" t="s">
        <v>20</v>
      </c>
      <c r="H147" s="10" t="s">
        <v>20</v>
      </c>
      <c r="I147" s="10" t="s">
        <v>20</v>
      </c>
      <c r="J147" s="10" t="s">
        <v>20</v>
      </c>
      <c r="K147" s="10" t="s">
        <v>20</v>
      </c>
    </row>
    <row r="148" spans="1:11" x14ac:dyDescent="0.15">
      <c r="A148" s="8" t="s">
        <v>1074</v>
      </c>
      <c r="B148" s="8" t="s">
        <v>1050</v>
      </c>
      <c r="C148" s="15" t="s">
        <v>1079</v>
      </c>
      <c r="D148" s="6" t="s">
        <v>1057</v>
      </c>
      <c r="E148" s="6" t="s">
        <v>1080</v>
      </c>
      <c r="F148" s="7" t="str">
        <f>HYPERLINK("http://webun.jp/item/7398688","URLを開く")</f>
        <v>URLを開く</v>
      </c>
      <c r="G148" s="10" t="s">
        <v>20</v>
      </c>
      <c r="H148" s="10" t="s">
        <v>20</v>
      </c>
      <c r="I148" s="10" t="s">
        <v>20</v>
      </c>
      <c r="J148" s="10" t="s">
        <v>20</v>
      </c>
      <c r="K148" s="10" t="s">
        <v>897</v>
      </c>
    </row>
    <row r="149" spans="1:11" x14ac:dyDescent="0.15">
      <c r="A149" s="8" t="s">
        <v>1074</v>
      </c>
      <c r="B149" s="8" t="s">
        <v>1050</v>
      </c>
      <c r="C149" s="15" t="s">
        <v>283</v>
      </c>
      <c r="D149" s="6" t="s">
        <v>1081</v>
      </c>
      <c r="E149" s="6" t="s">
        <v>1082</v>
      </c>
      <c r="F149" s="7" t="str">
        <f>HYPERLINK("https://news.goo.ne.jp/picture/region/kitanihon-104471950.html","URLを開く")</f>
        <v>URLを開く</v>
      </c>
      <c r="G149" s="10" t="s">
        <v>20</v>
      </c>
      <c r="H149" s="10" t="s">
        <v>20</v>
      </c>
      <c r="I149" s="10" t="s">
        <v>20</v>
      </c>
      <c r="J149" s="10" t="s">
        <v>20</v>
      </c>
      <c r="K149" s="10" t="s">
        <v>20</v>
      </c>
    </row>
    <row r="150" spans="1:11" x14ac:dyDescent="0.15">
      <c r="A150" s="8" t="s">
        <v>1074</v>
      </c>
      <c r="B150" s="8" t="s">
        <v>1050</v>
      </c>
      <c r="C150" s="15" t="s">
        <v>273</v>
      </c>
      <c r="D150" s="6" t="s">
        <v>1083</v>
      </c>
      <c r="E150" s="6" t="s">
        <v>1084</v>
      </c>
      <c r="F150" s="7" t="str">
        <f>HYPERLINK("http://soonhome.jp/connect/post?id=279832712373601781","URLを開く")</f>
        <v>URLを開く</v>
      </c>
      <c r="G150" s="10" t="s">
        <v>20</v>
      </c>
      <c r="H150" s="10" t="s">
        <v>20</v>
      </c>
      <c r="I150" s="10" t="s">
        <v>20</v>
      </c>
      <c r="J150" s="10" t="s">
        <v>20</v>
      </c>
      <c r="K150" s="10" t="s">
        <v>20</v>
      </c>
    </row>
    <row r="151" spans="1:11" x14ac:dyDescent="0.15">
      <c r="A151" s="8" t="s">
        <v>1074</v>
      </c>
      <c r="B151" s="8" t="s">
        <v>1050</v>
      </c>
      <c r="C151" s="15" t="s">
        <v>182</v>
      </c>
      <c r="D151" s="6" t="s">
        <v>1085</v>
      </c>
      <c r="E151" s="6" t="s">
        <v>1086</v>
      </c>
      <c r="F151" s="7" t="str">
        <f>HYPERLINK("https://headlines.yahoo.co.jp/hl?a=20170911-00085987-kitanihon-l16","URLを開く")</f>
        <v>URLを開く</v>
      </c>
      <c r="G151" s="10" t="s">
        <v>20</v>
      </c>
      <c r="H151" s="10" t="s">
        <v>20</v>
      </c>
      <c r="I151" s="10" t="s">
        <v>20</v>
      </c>
      <c r="J151" s="10" t="s">
        <v>20</v>
      </c>
      <c r="K151" s="10" t="s">
        <v>20</v>
      </c>
    </row>
    <row r="152" spans="1:11" x14ac:dyDescent="0.15">
      <c r="A152" s="8" t="s">
        <v>1074</v>
      </c>
      <c r="B152" s="8" t="s">
        <v>1050</v>
      </c>
      <c r="C152" s="15" t="s">
        <v>283</v>
      </c>
      <c r="D152" s="6" t="s">
        <v>1087</v>
      </c>
      <c r="E152" s="6" t="s">
        <v>1088</v>
      </c>
      <c r="F152" s="7" t="str">
        <f>HYPERLINK("https://news.goo.ne.jp/article/kitanihon/region/kitanihon-104471950.html","URLを開く")</f>
        <v>URLを開く</v>
      </c>
      <c r="G152" s="10" t="s">
        <v>20</v>
      </c>
      <c r="H152" s="10" t="s">
        <v>20</v>
      </c>
      <c r="I152" s="10" t="s">
        <v>20</v>
      </c>
      <c r="J152" s="10" t="s">
        <v>20</v>
      </c>
      <c r="K152" s="10" t="s">
        <v>20</v>
      </c>
    </row>
    <row r="153" spans="1:11" x14ac:dyDescent="0.15">
      <c r="A153" s="8" t="s">
        <v>1074</v>
      </c>
      <c r="B153" s="8" t="s">
        <v>1050</v>
      </c>
      <c r="C153" s="15" t="s">
        <v>286</v>
      </c>
      <c r="D153" s="6" t="s">
        <v>1089</v>
      </c>
      <c r="E153" s="6" t="s">
        <v>1090</v>
      </c>
      <c r="F153" s="7" t="str">
        <f>HYPERLINK("http://topics.smt.docomo.ne.jp/article/kitanihon/region/kitanihon-104471950?fm=latestnews","URLを開く")</f>
        <v>URLを開く</v>
      </c>
      <c r="G153" s="10" t="s">
        <v>20</v>
      </c>
      <c r="H153" s="10" t="s">
        <v>20</v>
      </c>
      <c r="I153" s="10" t="s">
        <v>20</v>
      </c>
      <c r="J153" s="10" t="s">
        <v>20</v>
      </c>
      <c r="K153" s="10" t="s">
        <v>20</v>
      </c>
    </row>
    <row r="154" spans="1:11" x14ac:dyDescent="0.15">
      <c r="A154" s="8" t="s">
        <v>1091</v>
      </c>
      <c r="B154" s="8" t="s">
        <v>1092</v>
      </c>
      <c r="C154" s="15" t="s">
        <v>37</v>
      </c>
      <c r="D154" s="6" t="s">
        <v>1093</v>
      </c>
      <c r="E154" s="6" t="s">
        <v>1094</v>
      </c>
      <c r="F154" s="7" t="str">
        <f>HYPERLINK("http://www.seotools.jp/news/id_0000159716.html","URLを開く")</f>
        <v>URLを開く</v>
      </c>
      <c r="G154" s="10" t="s">
        <v>20</v>
      </c>
      <c r="H154" s="10" t="s">
        <v>20</v>
      </c>
      <c r="I154" s="10" t="s">
        <v>20</v>
      </c>
      <c r="J154" s="10" t="s">
        <v>20</v>
      </c>
      <c r="K154" s="10" t="s">
        <v>20</v>
      </c>
    </row>
    <row r="155" spans="1:11" x14ac:dyDescent="0.15">
      <c r="A155" s="8" t="s">
        <v>1091</v>
      </c>
      <c r="B155" s="8" t="s">
        <v>1092</v>
      </c>
      <c r="C155" s="15" t="s">
        <v>40</v>
      </c>
      <c r="D155" s="6" t="s">
        <v>1095</v>
      </c>
      <c r="E155" s="6" t="s">
        <v>1096</v>
      </c>
      <c r="F155" s="7" t="str">
        <f>HYPERLINK("https://business.nifty.com/cs/catalog/business_release/catalog_drm0000159716_1.htm","URLを開く")</f>
        <v>URLを開く</v>
      </c>
      <c r="G155" s="10" t="s">
        <v>20</v>
      </c>
      <c r="H155" s="10" t="s">
        <v>20</v>
      </c>
      <c r="I155" s="10" t="s">
        <v>20</v>
      </c>
      <c r="J155" s="10" t="s">
        <v>20</v>
      </c>
      <c r="K155" s="10" t="s">
        <v>20</v>
      </c>
    </row>
    <row r="156" spans="1:11" x14ac:dyDescent="0.15">
      <c r="A156" s="8" t="s">
        <v>1091</v>
      </c>
      <c r="B156" s="8" t="s">
        <v>1092</v>
      </c>
      <c r="C156" s="15" t="s">
        <v>43</v>
      </c>
      <c r="D156" s="6" t="s">
        <v>1095</v>
      </c>
      <c r="E156" s="6" t="s">
        <v>1097</v>
      </c>
      <c r="F156" s="7" t="str">
        <f>HYPERLINK("https://news.biglobe.ne.jp/economy/0908/dre_170908_5771281884.html","URLを開く")</f>
        <v>URLを開く</v>
      </c>
      <c r="G156" s="10" t="s">
        <v>20</v>
      </c>
      <c r="H156" s="10" t="s">
        <v>20</v>
      </c>
      <c r="I156" s="10" t="s">
        <v>20</v>
      </c>
      <c r="J156" s="10" t="s">
        <v>20</v>
      </c>
      <c r="K156" s="10" t="s">
        <v>20</v>
      </c>
    </row>
    <row r="157" spans="1:11" x14ac:dyDescent="0.15">
      <c r="A157" s="8" t="s">
        <v>1091</v>
      </c>
      <c r="B157" s="8" t="s">
        <v>1092</v>
      </c>
      <c r="C157" s="15" t="s">
        <v>45</v>
      </c>
      <c r="D157" s="6" t="s">
        <v>1095</v>
      </c>
      <c r="E157" s="6" t="s">
        <v>1098</v>
      </c>
      <c r="F157" s="7" t="str">
        <f>HYPERLINK("http://press.fideli.com/d/159716/","URLを開く")</f>
        <v>URLを開く</v>
      </c>
      <c r="G157" s="10" t="s">
        <v>20</v>
      </c>
      <c r="H157" s="10" t="s">
        <v>20</v>
      </c>
      <c r="I157" s="10" t="s">
        <v>20</v>
      </c>
      <c r="J157" s="10" t="s">
        <v>20</v>
      </c>
      <c r="K157" s="10" t="s">
        <v>20</v>
      </c>
    </row>
    <row r="158" spans="1:11" x14ac:dyDescent="0.15">
      <c r="A158" s="8" t="s">
        <v>1091</v>
      </c>
      <c r="B158" s="8" t="s">
        <v>1092</v>
      </c>
      <c r="C158" s="15" t="s">
        <v>45</v>
      </c>
      <c r="D158" s="6" t="s">
        <v>1095</v>
      </c>
      <c r="E158" s="6" t="s">
        <v>1099</v>
      </c>
      <c r="F158" s="7" t="str">
        <f>HYPERLINK("http://press.fideli.com/d/159716/5","URLを開く")</f>
        <v>URLを開く</v>
      </c>
      <c r="G158" s="10" t="s">
        <v>20</v>
      </c>
      <c r="H158" s="10" t="s">
        <v>20</v>
      </c>
      <c r="I158" s="10" t="s">
        <v>20</v>
      </c>
      <c r="J158" s="10" t="s">
        <v>20</v>
      </c>
      <c r="K158" s="10" t="s">
        <v>20</v>
      </c>
    </row>
    <row r="159" spans="1:11" x14ac:dyDescent="0.15">
      <c r="A159" s="8" t="s">
        <v>1091</v>
      </c>
      <c r="B159" s="8" t="s">
        <v>1092</v>
      </c>
      <c r="C159" s="15" t="s">
        <v>48</v>
      </c>
      <c r="D159" s="6" t="s">
        <v>1095</v>
      </c>
      <c r="E159" s="6" t="s">
        <v>1100</v>
      </c>
      <c r="F159" s="7" t="str">
        <f>HYPERLINK("https://news.infoseek.co.jp/article/dreamnews_0000159716/","URLを開く")</f>
        <v>URLを開く</v>
      </c>
      <c r="G159" s="10" t="s">
        <v>20</v>
      </c>
      <c r="H159" s="10" t="s">
        <v>20</v>
      </c>
      <c r="I159" s="10" t="s">
        <v>20</v>
      </c>
      <c r="J159" s="10" t="s">
        <v>20</v>
      </c>
      <c r="K159" s="10" t="s">
        <v>20</v>
      </c>
    </row>
    <row r="160" spans="1:11" x14ac:dyDescent="0.15">
      <c r="A160" s="8" t="s">
        <v>1091</v>
      </c>
      <c r="B160" s="8" t="s">
        <v>1092</v>
      </c>
      <c r="C160" s="15" t="s">
        <v>271</v>
      </c>
      <c r="D160" s="6" t="s">
        <v>1095</v>
      </c>
      <c r="E160" s="6" t="s">
        <v>1101</v>
      </c>
      <c r="F160" s="7" t="str">
        <f>HYPERLINK("http://www.the-miyanichi.co.jp/special/dreamNews/detailep.php?id=0000159716","URLを開く")</f>
        <v>URLを開く</v>
      </c>
      <c r="G160" s="10" t="s">
        <v>20</v>
      </c>
      <c r="H160" s="10" t="s">
        <v>20</v>
      </c>
      <c r="I160" s="10" t="s">
        <v>20</v>
      </c>
      <c r="J160" s="10" t="s">
        <v>20</v>
      </c>
      <c r="K160" s="10" t="s">
        <v>20</v>
      </c>
    </row>
    <row r="161" spans="1:11" x14ac:dyDescent="0.15">
      <c r="A161" s="8" t="s">
        <v>1091</v>
      </c>
      <c r="B161" s="8" t="s">
        <v>1092</v>
      </c>
      <c r="C161" s="15" t="s">
        <v>52</v>
      </c>
      <c r="D161" s="6" t="s">
        <v>1095</v>
      </c>
      <c r="E161" s="6" t="s">
        <v>1102</v>
      </c>
      <c r="F161" s="7" t="str">
        <f>HYPERLINK("https://news.nplus-inc.co.jp/index.php?action=ViewDetail&amp;number=392420","URLを開く")</f>
        <v>URLを開く</v>
      </c>
      <c r="G161" s="10" t="s">
        <v>20</v>
      </c>
      <c r="H161" s="10" t="s">
        <v>20</v>
      </c>
      <c r="I161" s="10" t="s">
        <v>20</v>
      </c>
      <c r="J161" s="10" t="s">
        <v>20</v>
      </c>
      <c r="K161" s="10" t="s">
        <v>20</v>
      </c>
    </row>
    <row r="162" spans="1:11" x14ac:dyDescent="0.15">
      <c r="A162" s="8" t="s">
        <v>1091</v>
      </c>
      <c r="B162" s="8" t="s">
        <v>1092</v>
      </c>
      <c r="C162" s="15" t="s">
        <v>54</v>
      </c>
      <c r="D162" s="6" t="s">
        <v>1095</v>
      </c>
      <c r="E162" s="6" t="s">
        <v>1103</v>
      </c>
      <c r="F162" s="7" t="str">
        <f>HYPERLINK("https://miyabiz.com/special/dreamNews/detail.php?id=0000159716","URLを開く")</f>
        <v>URLを開く</v>
      </c>
      <c r="G162" s="10" t="s">
        <v>20</v>
      </c>
      <c r="H162" s="10" t="s">
        <v>20</v>
      </c>
      <c r="I162" s="10" t="s">
        <v>20</v>
      </c>
      <c r="J162" s="10" t="s">
        <v>20</v>
      </c>
      <c r="K162" s="10" t="s">
        <v>20</v>
      </c>
    </row>
    <row r="163" spans="1:11" x14ac:dyDescent="0.15">
      <c r="A163" s="8" t="s">
        <v>1091</v>
      </c>
      <c r="B163" s="8" t="s">
        <v>1092</v>
      </c>
      <c r="C163" s="15" t="s">
        <v>56</v>
      </c>
      <c r="D163" s="6" t="s">
        <v>1095</v>
      </c>
      <c r="E163" s="6" t="s">
        <v>1104</v>
      </c>
      <c r="F163" s="7" t="str">
        <f>HYPERLINK("http://newsnavi.jp/detail/653926/","URLを開く")</f>
        <v>URLを開く</v>
      </c>
      <c r="G163" s="10" t="s">
        <v>20</v>
      </c>
      <c r="H163" s="10" t="s">
        <v>20</v>
      </c>
      <c r="I163" s="10" t="s">
        <v>20</v>
      </c>
      <c r="J163" s="10" t="s">
        <v>20</v>
      </c>
      <c r="K163" s="10" t="s">
        <v>20</v>
      </c>
    </row>
    <row r="164" spans="1:11" x14ac:dyDescent="0.15">
      <c r="A164" s="8" t="s">
        <v>1091</v>
      </c>
      <c r="B164" s="8" t="s">
        <v>1092</v>
      </c>
      <c r="C164" s="15" t="s">
        <v>58</v>
      </c>
      <c r="D164" s="6" t="s">
        <v>1095</v>
      </c>
      <c r="E164" s="6" t="s">
        <v>1105</v>
      </c>
      <c r="F164" s="7" t="str">
        <f>HYPERLINK("http://www.topics.or.jp/press/news/2017/09/DreamNewsDN0000159716.html","URLを開く")</f>
        <v>URLを開く</v>
      </c>
      <c r="G164" s="10" t="s">
        <v>20</v>
      </c>
      <c r="H164" s="10" t="s">
        <v>20</v>
      </c>
      <c r="I164" s="10" t="s">
        <v>20</v>
      </c>
      <c r="J164" s="10" t="s">
        <v>20</v>
      </c>
      <c r="K164" s="10" t="s">
        <v>20</v>
      </c>
    </row>
    <row r="165" spans="1:11" x14ac:dyDescent="0.15">
      <c r="A165" s="8" t="s">
        <v>1091</v>
      </c>
      <c r="B165" s="8" t="s">
        <v>1092</v>
      </c>
      <c r="C165" s="15" t="s">
        <v>60</v>
      </c>
      <c r="D165" s="6" t="s">
        <v>1095</v>
      </c>
      <c r="E165" s="6" t="s">
        <v>1106</v>
      </c>
      <c r="F165" s="7" t="str">
        <f>HYPERLINK("http://www.asahi.com/and_M/information/pressrelease/Cdpress000159716.html","URLを開く")</f>
        <v>URLを開く</v>
      </c>
      <c r="G165" s="10" t="s">
        <v>20</v>
      </c>
      <c r="H165" s="10" t="s">
        <v>20</v>
      </c>
      <c r="I165" s="10" t="s">
        <v>20</v>
      </c>
      <c r="J165" s="10" t="s">
        <v>20</v>
      </c>
      <c r="K165" s="10" t="s">
        <v>20</v>
      </c>
    </row>
    <row r="166" spans="1:11" x14ac:dyDescent="0.15">
      <c r="A166" s="8" t="s">
        <v>1091</v>
      </c>
      <c r="B166" s="8" t="s">
        <v>1092</v>
      </c>
      <c r="C166" s="15" t="s">
        <v>62</v>
      </c>
      <c r="D166" s="6" t="s">
        <v>1095</v>
      </c>
      <c r="E166" s="6" t="s">
        <v>1107</v>
      </c>
      <c r="F166" s="7" t="str">
        <f>HYPERLINK("http://www.jprime.jp/ud/pressrelease/guid/dn0000159716","URLを開く")</f>
        <v>URLを開く</v>
      </c>
      <c r="G166" s="10" t="s">
        <v>20</v>
      </c>
      <c r="H166" s="10" t="s">
        <v>20</v>
      </c>
      <c r="I166" s="10" t="s">
        <v>20</v>
      </c>
      <c r="J166" s="10" t="s">
        <v>20</v>
      </c>
      <c r="K166" s="10" t="s">
        <v>20</v>
      </c>
    </row>
    <row r="167" spans="1:11" x14ac:dyDescent="0.15">
      <c r="A167" s="8" t="s">
        <v>1091</v>
      </c>
      <c r="B167" s="8" t="s">
        <v>1092</v>
      </c>
      <c r="C167" s="15" t="s">
        <v>64</v>
      </c>
      <c r="D167" s="6" t="s">
        <v>1108</v>
      </c>
      <c r="E167" s="6" t="s">
        <v>1109</v>
      </c>
      <c r="F167" s="7" t="str">
        <f>HYPERLINK("http://www.excite.co.jp/News/release/20170908/Dreamnews_0000159716.html","URLを開く")</f>
        <v>URLを開く</v>
      </c>
      <c r="G167" s="10" t="s">
        <v>20</v>
      </c>
      <c r="H167" s="10" t="s">
        <v>20</v>
      </c>
      <c r="I167" s="10" t="s">
        <v>20</v>
      </c>
      <c r="J167" s="10" t="s">
        <v>20</v>
      </c>
      <c r="K167" s="10" t="s">
        <v>20</v>
      </c>
    </row>
    <row r="168" spans="1:11" x14ac:dyDescent="0.15">
      <c r="A168" s="8" t="s">
        <v>1091</v>
      </c>
      <c r="B168" s="8" t="s">
        <v>1092</v>
      </c>
      <c r="C168" s="15" t="s">
        <v>50</v>
      </c>
      <c r="D168" s="6" t="s">
        <v>1110</v>
      </c>
      <c r="E168" s="6" t="s">
        <v>1111</v>
      </c>
      <c r="F168" s="7" t="str">
        <f>HYPERLINK("http://markezine.jp/release/detail/790816","URLを開く")</f>
        <v>URLを開く</v>
      </c>
      <c r="G168" s="10" t="s">
        <v>20</v>
      </c>
      <c r="H168" s="10" t="s">
        <v>20</v>
      </c>
      <c r="I168" s="10" t="s">
        <v>20</v>
      </c>
      <c r="J168" s="10" t="s">
        <v>20</v>
      </c>
      <c r="K168" s="10" t="s">
        <v>20</v>
      </c>
    </row>
    <row r="169" spans="1:11" x14ac:dyDescent="0.15">
      <c r="A169" s="8" t="s">
        <v>1091</v>
      </c>
      <c r="B169" s="8" t="s">
        <v>1092</v>
      </c>
      <c r="C169" s="15" t="s">
        <v>67</v>
      </c>
      <c r="D169" s="6" t="s">
        <v>1112</v>
      </c>
      <c r="E169" s="6" t="s">
        <v>1113</v>
      </c>
      <c r="F169" s="7" t="str">
        <f>HYPERLINK("http://home.kingsoft.jp/news/pr/dreamnews/0000159716.html","URLを開く")</f>
        <v>URLを開く</v>
      </c>
      <c r="G169" s="10" t="s">
        <v>20</v>
      </c>
      <c r="H169" s="10" t="s">
        <v>20</v>
      </c>
      <c r="I169" s="10" t="s">
        <v>20</v>
      </c>
      <c r="J169" s="10" t="s">
        <v>20</v>
      </c>
      <c r="K169" s="10" t="s">
        <v>20</v>
      </c>
    </row>
    <row r="170" spans="1:11" x14ac:dyDescent="0.15">
      <c r="A170" s="8" t="s">
        <v>1091</v>
      </c>
      <c r="B170" s="8" t="s">
        <v>1092</v>
      </c>
      <c r="C170" s="15" t="s">
        <v>70</v>
      </c>
      <c r="D170" s="6" t="s">
        <v>1114</v>
      </c>
      <c r="E170" s="6" t="s">
        <v>1115</v>
      </c>
      <c r="F170" s="7" t="str">
        <f>HYPERLINK("http://news.toremaga.com/release/others/996366.html","URLを開く")</f>
        <v>URLを開く</v>
      </c>
      <c r="G170" s="10" t="s">
        <v>20</v>
      </c>
      <c r="H170" s="10" t="s">
        <v>20</v>
      </c>
      <c r="I170" s="10" t="s">
        <v>20</v>
      </c>
      <c r="J170" s="10" t="s">
        <v>20</v>
      </c>
      <c r="K170" s="10" t="s">
        <v>20</v>
      </c>
    </row>
    <row r="171" spans="1:11" x14ac:dyDescent="0.15">
      <c r="A171" s="8" t="s">
        <v>1091</v>
      </c>
      <c r="B171" s="8" t="s">
        <v>1092</v>
      </c>
      <c r="C171" s="15" t="s">
        <v>73</v>
      </c>
      <c r="D171" s="6" t="s">
        <v>1116</v>
      </c>
      <c r="E171" s="6" t="s">
        <v>1117</v>
      </c>
      <c r="F171" s="7" t="str">
        <f>HYPERLINK("http://www.mapion.co.jp/news/release/dn0000159716-all/","URLを開く")</f>
        <v>URLを開く</v>
      </c>
      <c r="G171" s="10" t="s">
        <v>20</v>
      </c>
      <c r="H171" s="10" t="s">
        <v>20</v>
      </c>
      <c r="I171" s="10" t="s">
        <v>20</v>
      </c>
      <c r="J171" s="10" t="s">
        <v>20</v>
      </c>
      <c r="K171" s="10" t="s">
        <v>20</v>
      </c>
    </row>
    <row r="172" spans="1:11" x14ac:dyDescent="0.15">
      <c r="A172" s="8" t="s">
        <v>1118</v>
      </c>
      <c r="B172" s="8" t="s">
        <v>1119</v>
      </c>
      <c r="C172" s="15" t="s">
        <v>268</v>
      </c>
      <c r="D172" s="6" t="s">
        <v>1120</v>
      </c>
      <c r="E172" s="6" t="s">
        <v>1121</v>
      </c>
      <c r="F172" s="7" t="str">
        <f>HYPERLINK("http://www.47news.jp/localnews/toyama/2017/09/post_20170906080444.html","URLを開く")</f>
        <v>URLを開く</v>
      </c>
      <c r="G172" s="10" t="s">
        <v>20</v>
      </c>
      <c r="H172" s="10" t="s">
        <v>20</v>
      </c>
      <c r="I172" s="10" t="s">
        <v>20</v>
      </c>
      <c r="J172" s="10" t="s">
        <v>20</v>
      </c>
      <c r="K172" s="10" t="s">
        <v>20</v>
      </c>
    </row>
    <row r="173" spans="1:11" x14ac:dyDescent="0.15">
      <c r="A173" s="8" t="s">
        <v>1118</v>
      </c>
      <c r="B173" s="8" t="s">
        <v>1119</v>
      </c>
      <c r="C173" s="15" t="s">
        <v>443</v>
      </c>
      <c r="D173" s="6" t="s">
        <v>1122</v>
      </c>
      <c r="E173" s="6" t="s">
        <v>1123</v>
      </c>
      <c r="F173" s="7" t="str">
        <f>HYPERLINK("http://www.chunichi.co.jp/article/toyama/20170906/CK2017090602000014.html","URLを開く")</f>
        <v>URLを開く</v>
      </c>
      <c r="G173" s="10" t="s">
        <v>20</v>
      </c>
      <c r="H173" s="10" t="s">
        <v>20</v>
      </c>
      <c r="I173" s="10" t="s">
        <v>20</v>
      </c>
      <c r="J173" s="10" t="s">
        <v>20</v>
      </c>
      <c r="K173" s="10" t="s">
        <v>20</v>
      </c>
    </row>
    <row r="174" spans="1:11" x14ac:dyDescent="0.15">
      <c r="A174" s="8" t="s">
        <v>1118</v>
      </c>
      <c r="B174" s="8" t="s">
        <v>1119</v>
      </c>
      <c r="C174" s="15" t="s">
        <v>280</v>
      </c>
      <c r="D174" s="6" t="s">
        <v>1124</v>
      </c>
      <c r="E174" s="6" t="s">
        <v>1125</v>
      </c>
      <c r="F174" s="7" t="str">
        <f>HYPERLINK("http://mainichi.jp/articles/20170906/ddl/k38/040/532000c","URLを開く")</f>
        <v>URLを開く</v>
      </c>
      <c r="G174" s="10" t="s">
        <v>20</v>
      </c>
      <c r="H174" s="10" t="s">
        <v>20</v>
      </c>
      <c r="I174" s="10" t="s">
        <v>20</v>
      </c>
      <c r="J174" s="10" t="s">
        <v>20</v>
      </c>
      <c r="K174" s="10" t="s">
        <v>20</v>
      </c>
    </row>
    <row r="175" spans="1:11" x14ac:dyDescent="0.15">
      <c r="A175" s="8" t="s">
        <v>1118</v>
      </c>
      <c r="B175" s="8" t="s">
        <v>1119</v>
      </c>
      <c r="C175" s="15" t="s">
        <v>283</v>
      </c>
      <c r="D175" s="6" t="s">
        <v>1126</v>
      </c>
      <c r="E175" s="6" t="s">
        <v>1127</v>
      </c>
      <c r="F175" s="7" t="str">
        <f>HYPERLINK("https://news.goo.ne.jp/article/mainichi_region/region/mainichi_region-20170906ddlk38040532000c.html","URLを開く")</f>
        <v>URLを開く</v>
      </c>
      <c r="G175" s="10" t="s">
        <v>20</v>
      </c>
      <c r="H175" s="10" t="s">
        <v>20</v>
      </c>
      <c r="I175" s="10" t="s">
        <v>20</v>
      </c>
      <c r="J175" s="10" t="s">
        <v>20</v>
      </c>
      <c r="K175" s="10" t="s">
        <v>20</v>
      </c>
    </row>
    <row r="176" spans="1:11" x14ac:dyDescent="0.15">
      <c r="A176" s="8" t="s">
        <v>1118</v>
      </c>
      <c r="B176" s="8" t="s">
        <v>1119</v>
      </c>
      <c r="C176" s="15" t="s">
        <v>286</v>
      </c>
      <c r="D176" s="6" t="s">
        <v>1128</v>
      </c>
      <c r="E176" s="6" t="s">
        <v>1129</v>
      </c>
      <c r="F176" s="7" t="str">
        <f>HYPERLINK("http://topics.smt.docomo.ne.jp/article/mainichi_region/region/mainichi_region-20170906ddlk38040532000c?fm=latestnews","URLを開く")</f>
        <v>URLを開く</v>
      </c>
      <c r="G176" s="10" t="s">
        <v>20</v>
      </c>
      <c r="H176" s="10" t="s">
        <v>20</v>
      </c>
      <c r="I176" s="10" t="s">
        <v>20</v>
      </c>
      <c r="J176" s="10" t="s">
        <v>20</v>
      </c>
      <c r="K176" s="10" t="s">
        <v>20</v>
      </c>
    </row>
    <row r="177" spans="1:11" x14ac:dyDescent="0.15">
      <c r="A177" s="8" t="s">
        <v>1130</v>
      </c>
      <c r="B177" s="8" t="s">
        <v>1118</v>
      </c>
      <c r="C177" s="15" t="s">
        <v>280</v>
      </c>
      <c r="D177" s="6" t="s">
        <v>1131</v>
      </c>
      <c r="E177" s="6" t="s">
        <v>1132</v>
      </c>
      <c r="F177" s="7" t="str">
        <f>HYPERLINK("http://mainichi.jp/articles/20170905/k00/00e/040/156000c","URLを開く")</f>
        <v>URLを開く</v>
      </c>
      <c r="G177" s="10" t="s">
        <v>20</v>
      </c>
      <c r="H177" s="10" t="s">
        <v>20</v>
      </c>
      <c r="I177" s="10" t="s">
        <v>20</v>
      </c>
      <c r="J177" s="10" t="s">
        <v>20</v>
      </c>
      <c r="K177" s="10" t="s">
        <v>20</v>
      </c>
    </row>
    <row r="178" spans="1:11" x14ac:dyDescent="0.15">
      <c r="A178" s="8" t="s">
        <v>1130</v>
      </c>
      <c r="B178" s="8" t="s">
        <v>1118</v>
      </c>
      <c r="C178" s="15" t="s">
        <v>541</v>
      </c>
      <c r="D178" s="6" t="s">
        <v>1131</v>
      </c>
      <c r="E178" s="6" t="s">
        <v>1133</v>
      </c>
      <c r="F178" s="7" t="str">
        <f>HYPERLINK("https://ryukyushimpo.jp/mainichi/entry-568789.html","URLを開く")</f>
        <v>URLを開く</v>
      </c>
      <c r="G178" s="10" t="s">
        <v>20</v>
      </c>
      <c r="H178" s="10" t="s">
        <v>20</v>
      </c>
      <c r="I178" s="10" t="s">
        <v>20</v>
      </c>
      <c r="J178" s="10" t="s">
        <v>20</v>
      </c>
      <c r="K178" s="10" t="s">
        <v>20</v>
      </c>
    </row>
    <row r="179" spans="1:11" x14ac:dyDescent="0.15">
      <c r="A179" s="8" t="s">
        <v>1130</v>
      </c>
      <c r="B179" s="8" t="s">
        <v>1118</v>
      </c>
      <c r="C179" s="15" t="s">
        <v>280</v>
      </c>
      <c r="D179" s="6" t="s">
        <v>1134</v>
      </c>
      <c r="E179" s="6" t="s">
        <v>1135</v>
      </c>
      <c r="F179" s="7" t="str">
        <f>HYPERLINK("https://mainichi.jp/articles/20170905/ddl/k16/040/283000c","URLを開く")</f>
        <v>URLを開く</v>
      </c>
      <c r="G179" s="10" t="s">
        <v>20</v>
      </c>
      <c r="H179" s="10" t="s">
        <v>20</v>
      </c>
      <c r="I179" s="10" t="s">
        <v>20</v>
      </c>
      <c r="J179" s="10" t="s">
        <v>20</v>
      </c>
      <c r="K179" s="10" t="s">
        <v>20</v>
      </c>
    </row>
    <row r="180" spans="1:11" x14ac:dyDescent="0.15">
      <c r="A180" s="8" t="s">
        <v>1130</v>
      </c>
      <c r="B180" s="8" t="s">
        <v>1118</v>
      </c>
      <c r="C180" s="15" t="s">
        <v>48</v>
      </c>
      <c r="D180" s="6" t="s">
        <v>1136</v>
      </c>
      <c r="E180" s="6" t="s">
        <v>1137</v>
      </c>
      <c r="F180" s="7" t="str">
        <f>HYPERLINK("https://news.infoseek.co.jp/article/mainichi_20170905k0000e040156000c/","URLを開く")</f>
        <v>URLを開く</v>
      </c>
      <c r="G180" s="10" t="s">
        <v>20</v>
      </c>
      <c r="H180" s="10" t="s">
        <v>20</v>
      </c>
      <c r="I180" s="10" t="s">
        <v>20</v>
      </c>
      <c r="J180" s="10" t="s">
        <v>20</v>
      </c>
      <c r="K180" s="10" t="s">
        <v>20</v>
      </c>
    </row>
    <row r="181" spans="1:11" x14ac:dyDescent="0.15">
      <c r="A181" s="8" t="s">
        <v>1130</v>
      </c>
      <c r="B181" s="8" t="s">
        <v>1118</v>
      </c>
      <c r="C181" s="15" t="s">
        <v>80</v>
      </c>
      <c r="D181" s="6" t="s">
        <v>1138</v>
      </c>
      <c r="E181" s="6" t="s">
        <v>1139</v>
      </c>
      <c r="F181" s="7" t="str">
        <f>HYPERLINK("http://www.yomiuri.co.jp/local/ehime/news/20170904-OYTNT50459.html","URLを開く")</f>
        <v>URLを開く</v>
      </c>
      <c r="G181" s="10" t="s">
        <v>20</v>
      </c>
      <c r="H181" s="10" t="s">
        <v>20</v>
      </c>
      <c r="I181" s="10" t="s">
        <v>20</v>
      </c>
      <c r="J181" s="10" t="s">
        <v>20</v>
      </c>
      <c r="K181" s="10" t="s">
        <v>20</v>
      </c>
    </row>
    <row r="182" spans="1:11" x14ac:dyDescent="0.15">
      <c r="A182" s="8" t="s">
        <v>1130</v>
      </c>
      <c r="B182" s="8" t="s">
        <v>1118</v>
      </c>
      <c r="C182" s="15" t="s">
        <v>283</v>
      </c>
      <c r="D182" s="6" t="s">
        <v>1140</v>
      </c>
      <c r="E182" s="6" t="s">
        <v>1141</v>
      </c>
      <c r="F182" s="7" t="str">
        <f>HYPERLINK("https://news.goo.ne.jp/article/mainichi_region/region/mainichi_region-20170905ddlk16040283000c.html","URLを開く")</f>
        <v>URLを開く</v>
      </c>
      <c r="G182" s="10" t="s">
        <v>20</v>
      </c>
      <c r="H182" s="10" t="s">
        <v>20</v>
      </c>
      <c r="I182" s="10" t="s">
        <v>20</v>
      </c>
      <c r="J182" s="10" t="s">
        <v>20</v>
      </c>
      <c r="K182" s="10" t="s">
        <v>20</v>
      </c>
    </row>
    <row r="183" spans="1:11" x14ac:dyDescent="0.15">
      <c r="A183" s="8" t="s">
        <v>1130</v>
      </c>
      <c r="B183" s="8" t="s">
        <v>1118</v>
      </c>
      <c r="C183" s="15" t="s">
        <v>286</v>
      </c>
      <c r="D183" s="6" t="s">
        <v>1142</v>
      </c>
      <c r="E183" s="6" t="s">
        <v>1143</v>
      </c>
      <c r="F183" s="7" t="str">
        <f>HYPERLINK("http://topics.smt.docomo.ne.jp/article/mainichi_region/region/mainichi_region-20170905ddlk16040283000c?fm=latestnews","URLを開く")</f>
        <v>URLを開く</v>
      </c>
      <c r="G183" s="10" t="s">
        <v>20</v>
      </c>
      <c r="H183" s="10" t="s">
        <v>20</v>
      </c>
      <c r="I183" s="10" t="s">
        <v>20</v>
      </c>
      <c r="J183" s="10" t="s">
        <v>20</v>
      </c>
      <c r="K183" s="10" t="s">
        <v>20</v>
      </c>
    </row>
    <row r="184" spans="1:11" x14ac:dyDescent="0.15">
      <c r="A184" s="8" t="s">
        <v>1130</v>
      </c>
      <c r="B184" s="8" t="s">
        <v>1118</v>
      </c>
      <c r="C184" s="15" t="s">
        <v>283</v>
      </c>
      <c r="D184" s="6" t="s">
        <v>1144</v>
      </c>
      <c r="E184" s="6" t="s">
        <v>1145</v>
      </c>
      <c r="F184" s="7" t="str">
        <f>HYPERLINK("https://news.goo.ne.jp/picture/nation/mainichi-20170905k0000e040156000c.html","URLを開く")</f>
        <v>URLを開く</v>
      </c>
      <c r="G184" s="10" t="s">
        <v>20</v>
      </c>
      <c r="H184" s="10" t="s">
        <v>20</v>
      </c>
      <c r="I184" s="10" t="s">
        <v>20</v>
      </c>
      <c r="J184" s="10" t="s">
        <v>20</v>
      </c>
      <c r="K184" s="10" t="s">
        <v>20</v>
      </c>
    </row>
    <row r="185" spans="1:11" x14ac:dyDescent="0.15">
      <c r="A185" s="8" t="s">
        <v>1130</v>
      </c>
      <c r="B185" s="8" t="s">
        <v>1118</v>
      </c>
      <c r="C185" s="15" t="s">
        <v>182</v>
      </c>
      <c r="D185" s="6" t="s">
        <v>1146</v>
      </c>
      <c r="E185" s="6" t="s">
        <v>1147</v>
      </c>
      <c r="F185" s="7" t="str">
        <f>HYPERLINK("https://headlines.yahoo.co.jp/hl?a=20170905-00000013-mai-soci","URLを開く")</f>
        <v>URLを開く</v>
      </c>
      <c r="G185" s="10" t="s">
        <v>20</v>
      </c>
      <c r="H185" s="10" t="s">
        <v>20</v>
      </c>
      <c r="I185" s="10" t="s">
        <v>20</v>
      </c>
      <c r="J185" s="10" t="s">
        <v>20</v>
      </c>
      <c r="K185" s="10" t="s">
        <v>20</v>
      </c>
    </row>
    <row r="186" spans="1:11" x14ac:dyDescent="0.15">
      <c r="A186" s="8" t="s">
        <v>1130</v>
      </c>
      <c r="B186" s="8" t="s">
        <v>1118</v>
      </c>
      <c r="C186" s="15" t="s">
        <v>283</v>
      </c>
      <c r="D186" s="6" t="s">
        <v>1148</v>
      </c>
      <c r="E186" s="6" t="s">
        <v>1149</v>
      </c>
      <c r="F186" s="7" t="str">
        <f>HYPERLINK("https://news.goo.ne.jp/article/mainichi/nation/mainichi-20170905k0000e040156000c.html","URLを開く")</f>
        <v>URLを開く</v>
      </c>
      <c r="G186" s="10" t="s">
        <v>20</v>
      </c>
      <c r="H186" s="10" t="s">
        <v>20</v>
      </c>
      <c r="I186" s="10" t="s">
        <v>20</v>
      </c>
      <c r="J186" s="10" t="s">
        <v>20</v>
      </c>
      <c r="K186" s="10" t="s">
        <v>20</v>
      </c>
    </row>
    <row r="187" spans="1:11" x14ac:dyDescent="0.15">
      <c r="A187" s="8" t="s">
        <v>1130</v>
      </c>
      <c r="B187" s="8" t="s">
        <v>1118</v>
      </c>
      <c r="C187" s="15" t="s">
        <v>286</v>
      </c>
      <c r="D187" s="6" t="s">
        <v>1150</v>
      </c>
      <c r="E187" s="6" t="s">
        <v>1151</v>
      </c>
      <c r="F187" s="7" t="str">
        <f>HYPERLINK("http://topics.smt.docomo.ne.jp/article/mainichi/nation/mainichi-20170905k0000e040156000c?fm=latestnews","URLを開く")</f>
        <v>URLを開く</v>
      </c>
      <c r="G187" s="10" t="s">
        <v>20</v>
      </c>
      <c r="H187" s="10" t="s">
        <v>20</v>
      </c>
      <c r="I187" s="10" t="s">
        <v>20</v>
      </c>
      <c r="J187" s="10" t="s">
        <v>20</v>
      </c>
      <c r="K187" s="10" t="s">
        <v>20</v>
      </c>
    </row>
    <row r="188" spans="1:11" x14ac:dyDescent="0.15">
      <c r="A188" s="8" t="s">
        <v>1152</v>
      </c>
      <c r="B188" s="8" t="s">
        <v>1130</v>
      </c>
      <c r="C188" s="15" t="s">
        <v>40</v>
      </c>
      <c r="D188" s="6" t="s">
        <v>1153</v>
      </c>
      <c r="E188" s="6" t="s">
        <v>1154</v>
      </c>
      <c r="F188" s="7" t="str">
        <f>HYPERLINK("https://business.nifty.com/cs/catalog/business_release/catalog_drm0000159346_1.htm","URLを開く")</f>
        <v>URLを開く</v>
      </c>
      <c r="G188" s="10" t="s">
        <v>20</v>
      </c>
      <c r="H188" s="10" t="s">
        <v>20</v>
      </c>
      <c r="I188" s="10" t="s">
        <v>20</v>
      </c>
      <c r="J188" s="10" t="s">
        <v>20</v>
      </c>
      <c r="K188" s="10" t="s">
        <v>20</v>
      </c>
    </row>
    <row r="189" spans="1:11" x14ac:dyDescent="0.15">
      <c r="A189" s="8" t="s">
        <v>1152</v>
      </c>
      <c r="B189" s="8" t="s">
        <v>1130</v>
      </c>
      <c r="C189" s="15" t="s">
        <v>43</v>
      </c>
      <c r="D189" s="6" t="s">
        <v>1153</v>
      </c>
      <c r="E189" s="6" t="s">
        <v>1155</v>
      </c>
      <c r="F189" s="7" t="str">
        <f>HYPERLINK("https://news.biglobe.ne.jp/economy/0904/dre_170904_2921901859.html","URLを開く")</f>
        <v>URLを開く</v>
      </c>
      <c r="G189" s="10" t="s">
        <v>20</v>
      </c>
      <c r="H189" s="10" t="s">
        <v>20</v>
      </c>
      <c r="I189" s="10" t="s">
        <v>20</v>
      </c>
      <c r="J189" s="10" t="s">
        <v>20</v>
      </c>
      <c r="K189" s="10" t="s">
        <v>20</v>
      </c>
    </row>
    <row r="190" spans="1:11" x14ac:dyDescent="0.15">
      <c r="A190" s="8" t="s">
        <v>1152</v>
      </c>
      <c r="B190" s="8" t="s">
        <v>1130</v>
      </c>
      <c r="C190" s="15" t="s">
        <v>45</v>
      </c>
      <c r="D190" s="6" t="s">
        <v>1153</v>
      </c>
      <c r="E190" s="6" t="s">
        <v>1156</v>
      </c>
      <c r="F190" s="7" t="str">
        <f>HYPERLINK("http://press.fideli.com/d/159346/","URLを開く")</f>
        <v>URLを開く</v>
      </c>
      <c r="G190" s="10" t="s">
        <v>20</v>
      </c>
      <c r="H190" s="10" t="s">
        <v>20</v>
      </c>
      <c r="I190" s="10" t="s">
        <v>20</v>
      </c>
      <c r="J190" s="10" t="s">
        <v>20</v>
      </c>
      <c r="K190" s="10" t="s">
        <v>20</v>
      </c>
    </row>
    <row r="191" spans="1:11" x14ac:dyDescent="0.15">
      <c r="A191" s="8" t="s">
        <v>1152</v>
      </c>
      <c r="B191" s="8" t="s">
        <v>1130</v>
      </c>
      <c r="C191" s="15" t="s">
        <v>45</v>
      </c>
      <c r="D191" s="6" t="s">
        <v>1153</v>
      </c>
      <c r="E191" s="6" t="s">
        <v>1157</v>
      </c>
      <c r="F191" s="7" t="str">
        <f>HYPERLINK("http://press.fideli.com/d/159346/7","URLを開く")</f>
        <v>URLを開く</v>
      </c>
      <c r="G191" s="10" t="s">
        <v>20</v>
      </c>
      <c r="H191" s="10" t="s">
        <v>20</v>
      </c>
      <c r="I191" s="10" t="s">
        <v>20</v>
      </c>
      <c r="J191" s="10" t="s">
        <v>20</v>
      </c>
      <c r="K191" s="10" t="s">
        <v>20</v>
      </c>
    </row>
    <row r="192" spans="1:11" x14ac:dyDescent="0.15">
      <c r="A192" s="8" t="s">
        <v>1152</v>
      </c>
      <c r="B192" s="8" t="s">
        <v>1130</v>
      </c>
      <c r="C192" s="15" t="s">
        <v>48</v>
      </c>
      <c r="D192" s="6" t="s">
        <v>1153</v>
      </c>
      <c r="E192" s="6" t="s">
        <v>1158</v>
      </c>
      <c r="F192" s="7" t="str">
        <f>HYPERLINK("https://news.infoseek.co.jp/article/dreamnews_0000159346/","URLを開く")</f>
        <v>URLを開く</v>
      </c>
      <c r="G192" s="10" t="s">
        <v>20</v>
      </c>
      <c r="H192" s="10" t="s">
        <v>20</v>
      </c>
      <c r="I192" s="10" t="s">
        <v>20</v>
      </c>
      <c r="J192" s="10" t="s">
        <v>20</v>
      </c>
      <c r="K192" s="10" t="s">
        <v>20</v>
      </c>
    </row>
    <row r="193" spans="1:11" x14ac:dyDescent="0.15">
      <c r="A193" s="8" t="s">
        <v>1152</v>
      </c>
      <c r="B193" s="8" t="s">
        <v>1130</v>
      </c>
      <c r="C193" s="15" t="s">
        <v>50</v>
      </c>
      <c r="D193" s="6" t="s">
        <v>1153</v>
      </c>
      <c r="E193" s="6" t="s">
        <v>1159</v>
      </c>
      <c r="F193" s="7" t="str">
        <f>HYPERLINK("http://markezine.jp/release/detail/788531","URLを開く")</f>
        <v>URLを開く</v>
      </c>
      <c r="G193" s="10" t="s">
        <v>20</v>
      </c>
      <c r="H193" s="10" t="s">
        <v>20</v>
      </c>
      <c r="I193" s="10" t="s">
        <v>20</v>
      </c>
      <c r="J193" s="10" t="s">
        <v>20</v>
      </c>
      <c r="K193" s="10" t="s">
        <v>20</v>
      </c>
    </row>
    <row r="194" spans="1:11" x14ac:dyDescent="0.15">
      <c r="A194" s="8" t="s">
        <v>1152</v>
      </c>
      <c r="B194" s="8" t="s">
        <v>1130</v>
      </c>
      <c r="C194" s="15" t="s">
        <v>271</v>
      </c>
      <c r="D194" s="6" t="s">
        <v>1153</v>
      </c>
      <c r="E194" s="6" t="s">
        <v>1160</v>
      </c>
      <c r="F194" s="7" t="str">
        <f>HYPERLINK("http://www.the-miyanichi.co.jp/special/dreamNews/detailep.php?id=0000159346","URLを開く")</f>
        <v>URLを開く</v>
      </c>
      <c r="G194" s="10" t="s">
        <v>20</v>
      </c>
      <c r="H194" s="10" t="s">
        <v>20</v>
      </c>
      <c r="I194" s="10" t="s">
        <v>20</v>
      </c>
      <c r="J194" s="10" t="s">
        <v>20</v>
      </c>
      <c r="K194" s="10" t="s">
        <v>20</v>
      </c>
    </row>
    <row r="195" spans="1:11" x14ac:dyDescent="0.15">
      <c r="A195" s="8" t="s">
        <v>1152</v>
      </c>
      <c r="B195" s="8" t="s">
        <v>1130</v>
      </c>
      <c r="C195" s="15" t="s">
        <v>52</v>
      </c>
      <c r="D195" s="6" t="s">
        <v>1153</v>
      </c>
      <c r="E195" s="6" t="s">
        <v>1161</v>
      </c>
      <c r="F195" s="7" t="str">
        <f>HYPERLINK("https://news.nplus-inc.co.jp/index.php?action=ViewDetail&amp;number=391603","URLを開く")</f>
        <v>URLを開く</v>
      </c>
      <c r="G195" s="10" t="s">
        <v>20</v>
      </c>
      <c r="H195" s="10" t="s">
        <v>20</v>
      </c>
      <c r="I195" s="10" t="s">
        <v>20</v>
      </c>
      <c r="J195" s="10" t="s">
        <v>20</v>
      </c>
      <c r="K195" s="10" t="s">
        <v>20</v>
      </c>
    </row>
    <row r="196" spans="1:11" x14ac:dyDescent="0.15">
      <c r="A196" s="8" t="s">
        <v>1152</v>
      </c>
      <c r="B196" s="8" t="s">
        <v>1130</v>
      </c>
      <c r="C196" s="15" t="s">
        <v>37</v>
      </c>
      <c r="D196" s="6" t="s">
        <v>1153</v>
      </c>
      <c r="E196" s="6" t="s">
        <v>1162</v>
      </c>
      <c r="F196" s="7" t="str">
        <f>HYPERLINK("http://www.seotools.jp/news/id_0000159346.html","URLを開く")</f>
        <v>URLを開く</v>
      </c>
      <c r="G196" s="10" t="s">
        <v>20</v>
      </c>
      <c r="H196" s="10" t="s">
        <v>20</v>
      </c>
      <c r="I196" s="10" t="s">
        <v>20</v>
      </c>
      <c r="J196" s="10" t="s">
        <v>20</v>
      </c>
      <c r="K196" s="10" t="s">
        <v>20</v>
      </c>
    </row>
    <row r="197" spans="1:11" x14ac:dyDescent="0.15">
      <c r="A197" s="8" t="s">
        <v>1152</v>
      </c>
      <c r="B197" s="8" t="s">
        <v>1130</v>
      </c>
      <c r="C197" s="15" t="s">
        <v>54</v>
      </c>
      <c r="D197" s="6" t="s">
        <v>1153</v>
      </c>
      <c r="E197" s="6" t="s">
        <v>1163</v>
      </c>
      <c r="F197" s="7" t="str">
        <f>HYPERLINK("https://miyabiz.com/special/dreamNews/detail.php?id=0000159346","URLを開く")</f>
        <v>URLを開く</v>
      </c>
      <c r="G197" s="10" t="s">
        <v>20</v>
      </c>
      <c r="H197" s="10" t="s">
        <v>20</v>
      </c>
      <c r="I197" s="10" t="s">
        <v>20</v>
      </c>
      <c r="J197" s="10" t="s">
        <v>20</v>
      </c>
      <c r="K197" s="10" t="s">
        <v>20</v>
      </c>
    </row>
    <row r="198" spans="1:11" x14ac:dyDescent="0.15">
      <c r="A198" s="8" t="s">
        <v>1152</v>
      </c>
      <c r="B198" s="8" t="s">
        <v>1130</v>
      </c>
      <c r="C198" s="15" t="s">
        <v>56</v>
      </c>
      <c r="D198" s="6" t="s">
        <v>1153</v>
      </c>
      <c r="E198" s="6" t="s">
        <v>1164</v>
      </c>
      <c r="F198" s="7" t="str">
        <f>HYPERLINK("http://newsnavi.jp/detail/651760/","URLを開く")</f>
        <v>URLを開く</v>
      </c>
      <c r="G198" s="10" t="s">
        <v>20</v>
      </c>
      <c r="H198" s="10" t="s">
        <v>20</v>
      </c>
      <c r="I198" s="10" t="s">
        <v>20</v>
      </c>
      <c r="J198" s="10" t="s">
        <v>20</v>
      </c>
      <c r="K198" s="10" t="s">
        <v>20</v>
      </c>
    </row>
    <row r="199" spans="1:11" x14ac:dyDescent="0.15">
      <c r="A199" s="8" t="s">
        <v>1152</v>
      </c>
      <c r="B199" s="8" t="s">
        <v>1130</v>
      </c>
      <c r="C199" s="15" t="s">
        <v>58</v>
      </c>
      <c r="D199" s="6" t="s">
        <v>1153</v>
      </c>
      <c r="E199" s="6" t="s">
        <v>1165</v>
      </c>
      <c r="F199" s="7" t="str">
        <f>HYPERLINK("http://www.topics.or.jp/press/news/2017/09/DreamNewsDN0000159346.html","URLを開く")</f>
        <v>URLを開く</v>
      </c>
      <c r="G199" s="10" t="s">
        <v>20</v>
      </c>
      <c r="H199" s="10" t="s">
        <v>20</v>
      </c>
      <c r="I199" s="10" t="s">
        <v>20</v>
      </c>
      <c r="J199" s="10" t="s">
        <v>20</v>
      </c>
      <c r="K199" s="10" t="s">
        <v>20</v>
      </c>
    </row>
    <row r="200" spans="1:11" x14ac:dyDescent="0.15">
      <c r="A200" s="8" t="s">
        <v>1152</v>
      </c>
      <c r="B200" s="8" t="s">
        <v>1130</v>
      </c>
      <c r="C200" s="15" t="s">
        <v>60</v>
      </c>
      <c r="D200" s="6" t="s">
        <v>1153</v>
      </c>
      <c r="E200" s="6" t="s">
        <v>1166</v>
      </c>
      <c r="F200" s="7" t="str">
        <f>HYPERLINK("http://www.asahi.com/and_M/information/pressrelease/Cdpress000159346.html","URLを開く")</f>
        <v>URLを開く</v>
      </c>
      <c r="G200" s="10" t="s">
        <v>20</v>
      </c>
      <c r="H200" s="10" t="s">
        <v>20</v>
      </c>
      <c r="I200" s="10" t="s">
        <v>20</v>
      </c>
      <c r="J200" s="10" t="s">
        <v>20</v>
      </c>
      <c r="K200" s="10" t="s">
        <v>20</v>
      </c>
    </row>
    <row r="201" spans="1:11" x14ac:dyDescent="0.15">
      <c r="A201" s="8" t="s">
        <v>1152</v>
      </c>
      <c r="B201" s="8" t="s">
        <v>1130</v>
      </c>
      <c r="C201" s="15" t="s">
        <v>62</v>
      </c>
      <c r="D201" s="6" t="s">
        <v>1153</v>
      </c>
      <c r="E201" s="6" t="s">
        <v>1167</v>
      </c>
      <c r="F201" s="7" t="str">
        <f>HYPERLINK("http://www.jprime.jp/ud/pressrelease/guid/dn0000159346","URLを開く")</f>
        <v>URLを開く</v>
      </c>
      <c r="G201" s="10" t="s">
        <v>20</v>
      </c>
      <c r="H201" s="10" t="s">
        <v>20</v>
      </c>
      <c r="I201" s="10" t="s">
        <v>20</v>
      </c>
      <c r="J201" s="10" t="s">
        <v>20</v>
      </c>
      <c r="K201" s="10" t="s">
        <v>20</v>
      </c>
    </row>
    <row r="202" spans="1:11" x14ac:dyDescent="0.15">
      <c r="A202" s="8" t="s">
        <v>1152</v>
      </c>
      <c r="B202" s="8" t="s">
        <v>1130</v>
      </c>
      <c r="C202" s="15" t="s">
        <v>64</v>
      </c>
      <c r="D202" s="6" t="s">
        <v>1168</v>
      </c>
      <c r="E202" s="6" t="s">
        <v>1169</v>
      </c>
      <c r="F202" s="7" t="str">
        <f>HYPERLINK("http://www.excite.co.jp/News/release/20170904/Dreamnews_0000159346.html","URLを開く")</f>
        <v>URLを開く</v>
      </c>
      <c r="G202" s="10" t="s">
        <v>20</v>
      </c>
      <c r="H202" s="10" t="s">
        <v>20</v>
      </c>
      <c r="I202" s="10" t="s">
        <v>20</v>
      </c>
      <c r="J202" s="10" t="s">
        <v>20</v>
      </c>
      <c r="K202" s="10" t="s">
        <v>20</v>
      </c>
    </row>
    <row r="203" spans="1:11" x14ac:dyDescent="0.15">
      <c r="A203" s="8" t="s">
        <v>1152</v>
      </c>
      <c r="B203" s="8" t="s">
        <v>1130</v>
      </c>
      <c r="C203" s="15" t="s">
        <v>67</v>
      </c>
      <c r="D203" s="6" t="s">
        <v>1170</v>
      </c>
      <c r="E203" s="6" t="s">
        <v>1171</v>
      </c>
      <c r="F203" s="7" t="str">
        <f>HYPERLINK("http://home.kingsoft.jp/news/pr/dreamnews/0000159346.html","URLを開く")</f>
        <v>URLを開く</v>
      </c>
      <c r="G203" s="10" t="s">
        <v>20</v>
      </c>
      <c r="H203" s="10" t="s">
        <v>20</v>
      </c>
      <c r="I203" s="10" t="s">
        <v>20</v>
      </c>
      <c r="J203" s="10" t="s">
        <v>20</v>
      </c>
      <c r="K203" s="10" t="s">
        <v>20</v>
      </c>
    </row>
    <row r="204" spans="1:11" x14ac:dyDescent="0.15">
      <c r="A204" s="8" t="s">
        <v>1152</v>
      </c>
      <c r="B204" s="8" t="s">
        <v>1130</v>
      </c>
      <c r="C204" s="15" t="s">
        <v>70</v>
      </c>
      <c r="D204" s="6" t="s">
        <v>1172</v>
      </c>
      <c r="E204" s="6" t="s">
        <v>1173</v>
      </c>
      <c r="F204" s="7" t="str">
        <f>HYPERLINK("http://news.toremaga.com/release/others/993913.html","URLを開く")</f>
        <v>URLを開く</v>
      </c>
      <c r="G204" s="10" t="s">
        <v>20</v>
      </c>
      <c r="H204" s="10" t="s">
        <v>20</v>
      </c>
      <c r="I204" s="10" t="s">
        <v>20</v>
      </c>
      <c r="J204" s="10" t="s">
        <v>20</v>
      </c>
      <c r="K204" s="10" t="s">
        <v>20</v>
      </c>
    </row>
    <row r="205" spans="1:11" x14ac:dyDescent="0.15">
      <c r="A205" s="8" t="s">
        <v>1152</v>
      </c>
      <c r="B205" s="8" t="s">
        <v>1130</v>
      </c>
      <c r="C205" s="15" t="s">
        <v>73</v>
      </c>
      <c r="D205" s="6" t="s">
        <v>1174</v>
      </c>
      <c r="E205" s="6" t="s">
        <v>1175</v>
      </c>
      <c r="F205" s="7" t="str">
        <f>HYPERLINK("http://www.mapion.co.jp/news/release/dn0000159346-all/","URLを開く")</f>
        <v>URLを開く</v>
      </c>
      <c r="G205" s="10" t="s">
        <v>20</v>
      </c>
      <c r="H205" s="10" t="s">
        <v>20</v>
      </c>
      <c r="I205" s="10" t="s">
        <v>20</v>
      </c>
      <c r="J205" s="10" t="s">
        <v>20</v>
      </c>
      <c r="K205" s="10" t="s">
        <v>20</v>
      </c>
    </row>
    <row r="206" spans="1:11" x14ac:dyDescent="0.15">
      <c r="A206" s="8" t="s">
        <v>1152</v>
      </c>
      <c r="B206" s="8" t="s">
        <v>1130</v>
      </c>
      <c r="C206" s="15" t="s">
        <v>40</v>
      </c>
      <c r="D206" s="6" t="s">
        <v>1176</v>
      </c>
      <c r="E206" s="6" t="s">
        <v>1177</v>
      </c>
      <c r="F206" s="7" t="str">
        <f>HYPERLINK("https://business.nifty.com/cs/catalog/business_release/catalog_drm0000159340_1.htm","URLを開く")</f>
        <v>URLを開く</v>
      </c>
      <c r="G206" s="10" t="s">
        <v>20</v>
      </c>
      <c r="H206" s="10" t="s">
        <v>20</v>
      </c>
      <c r="I206" s="10" t="s">
        <v>20</v>
      </c>
      <c r="J206" s="10" t="s">
        <v>20</v>
      </c>
      <c r="K206" s="10" t="s">
        <v>20</v>
      </c>
    </row>
    <row r="207" spans="1:11" x14ac:dyDescent="0.15">
      <c r="A207" s="8" t="s">
        <v>1152</v>
      </c>
      <c r="B207" s="8" t="s">
        <v>1130</v>
      </c>
      <c r="C207" s="15" t="s">
        <v>43</v>
      </c>
      <c r="D207" s="6" t="s">
        <v>1176</v>
      </c>
      <c r="E207" s="6" t="s">
        <v>1178</v>
      </c>
      <c r="F207" s="7" t="str">
        <f>HYPERLINK("https://news.biglobe.ne.jp/economy/0904/dre_170904_2508841627.html","URLを開く")</f>
        <v>URLを開く</v>
      </c>
      <c r="G207" s="10" t="s">
        <v>20</v>
      </c>
      <c r="H207" s="10" t="s">
        <v>20</v>
      </c>
      <c r="I207" s="10" t="s">
        <v>20</v>
      </c>
      <c r="J207" s="10" t="s">
        <v>20</v>
      </c>
      <c r="K207" s="10" t="s">
        <v>20</v>
      </c>
    </row>
    <row r="208" spans="1:11" x14ac:dyDescent="0.15">
      <c r="A208" s="8" t="s">
        <v>1152</v>
      </c>
      <c r="B208" s="8" t="s">
        <v>1130</v>
      </c>
      <c r="C208" s="15" t="s">
        <v>45</v>
      </c>
      <c r="D208" s="6" t="s">
        <v>1176</v>
      </c>
      <c r="E208" s="6" t="s">
        <v>1179</v>
      </c>
      <c r="F208" s="7" t="str">
        <f>HYPERLINK("http://press.fideli.com/d/159340/7","URLを開く")</f>
        <v>URLを開く</v>
      </c>
      <c r="G208" s="10" t="s">
        <v>20</v>
      </c>
      <c r="H208" s="10" t="s">
        <v>20</v>
      </c>
      <c r="I208" s="10" t="s">
        <v>20</v>
      </c>
      <c r="J208" s="10" t="s">
        <v>20</v>
      </c>
      <c r="K208" s="10" t="s">
        <v>20</v>
      </c>
    </row>
    <row r="209" spans="1:11" x14ac:dyDescent="0.15">
      <c r="A209" s="8" t="s">
        <v>1152</v>
      </c>
      <c r="B209" s="8" t="s">
        <v>1130</v>
      </c>
      <c r="C209" s="15" t="s">
        <v>48</v>
      </c>
      <c r="D209" s="6" t="s">
        <v>1176</v>
      </c>
      <c r="E209" s="6" t="s">
        <v>1180</v>
      </c>
      <c r="F209" s="7" t="str">
        <f>HYPERLINK("https://news.infoseek.co.jp/article/dreamnews_0000159340/","URLを開く")</f>
        <v>URLを開く</v>
      </c>
      <c r="G209" s="10" t="s">
        <v>20</v>
      </c>
      <c r="H209" s="10" t="s">
        <v>20</v>
      </c>
      <c r="I209" s="10" t="s">
        <v>20</v>
      </c>
      <c r="J209" s="10" t="s">
        <v>20</v>
      </c>
      <c r="K209" s="10" t="s">
        <v>20</v>
      </c>
    </row>
    <row r="210" spans="1:11" x14ac:dyDescent="0.15">
      <c r="A210" s="8" t="s">
        <v>1152</v>
      </c>
      <c r="B210" s="8" t="s">
        <v>1130</v>
      </c>
      <c r="C210" s="15" t="s">
        <v>50</v>
      </c>
      <c r="D210" s="6" t="s">
        <v>1176</v>
      </c>
      <c r="E210" s="6" t="s">
        <v>1181</v>
      </c>
      <c r="F210" s="7" t="str">
        <f>HYPERLINK("http://markezine.jp/release/detail/788532","URLを開く")</f>
        <v>URLを開く</v>
      </c>
      <c r="G210" s="10" t="s">
        <v>20</v>
      </c>
      <c r="H210" s="10" t="s">
        <v>20</v>
      </c>
      <c r="I210" s="10" t="s">
        <v>20</v>
      </c>
      <c r="J210" s="10" t="s">
        <v>20</v>
      </c>
      <c r="K210" s="10" t="s">
        <v>20</v>
      </c>
    </row>
    <row r="211" spans="1:11" x14ac:dyDescent="0.15">
      <c r="A211" s="8" t="s">
        <v>1152</v>
      </c>
      <c r="B211" s="8" t="s">
        <v>1130</v>
      </c>
      <c r="C211" s="15" t="s">
        <v>271</v>
      </c>
      <c r="D211" s="6" t="s">
        <v>1176</v>
      </c>
      <c r="E211" s="6" t="s">
        <v>1182</v>
      </c>
      <c r="F211" s="7" t="str">
        <f>HYPERLINK("http://www.the-miyanichi.co.jp/special/dreamNews/detailep.php?id=0000159340","URLを開く")</f>
        <v>URLを開く</v>
      </c>
      <c r="G211" s="10" t="s">
        <v>20</v>
      </c>
      <c r="H211" s="10" t="s">
        <v>20</v>
      </c>
      <c r="I211" s="10" t="s">
        <v>20</v>
      </c>
      <c r="J211" s="10" t="s">
        <v>20</v>
      </c>
      <c r="K211" s="10" t="s">
        <v>20</v>
      </c>
    </row>
    <row r="212" spans="1:11" x14ac:dyDescent="0.15">
      <c r="A212" s="8" t="s">
        <v>1152</v>
      </c>
      <c r="B212" s="8" t="s">
        <v>1130</v>
      </c>
      <c r="C212" s="15" t="s">
        <v>52</v>
      </c>
      <c r="D212" s="6" t="s">
        <v>1176</v>
      </c>
      <c r="E212" s="6" t="s">
        <v>1183</v>
      </c>
      <c r="F212" s="7" t="str">
        <f>HYPERLINK("https://news.nplus-inc.co.jp/index.php?action=ViewDetail&amp;number=391602","URLを開く")</f>
        <v>URLを開く</v>
      </c>
      <c r="G212" s="10" t="s">
        <v>20</v>
      </c>
      <c r="H212" s="10" t="s">
        <v>20</v>
      </c>
      <c r="I212" s="10" t="s">
        <v>20</v>
      </c>
      <c r="J212" s="10" t="s">
        <v>20</v>
      </c>
      <c r="K212" s="10" t="s">
        <v>20</v>
      </c>
    </row>
    <row r="213" spans="1:11" x14ac:dyDescent="0.15">
      <c r="A213" s="8" t="s">
        <v>1152</v>
      </c>
      <c r="B213" s="8" t="s">
        <v>1130</v>
      </c>
      <c r="C213" s="15" t="s">
        <v>37</v>
      </c>
      <c r="D213" s="6" t="s">
        <v>1176</v>
      </c>
      <c r="E213" s="6" t="s">
        <v>1184</v>
      </c>
      <c r="F213" s="7" t="str">
        <f>HYPERLINK("http://www.seotools.jp/news/id_0000159340.html","URLを開く")</f>
        <v>URLを開く</v>
      </c>
      <c r="G213" s="10" t="s">
        <v>20</v>
      </c>
      <c r="H213" s="10" t="s">
        <v>20</v>
      </c>
      <c r="I213" s="10" t="s">
        <v>20</v>
      </c>
      <c r="J213" s="10" t="s">
        <v>20</v>
      </c>
      <c r="K213" s="10" t="s">
        <v>20</v>
      </c>
    </row>
    <row r="214" spans="1:11" x14ac:dyDescent="0.15">
      <c r="A214" s="8" t="s">
        <v>1152</v>
      </c>
      <c r="B214" s="8" t="s">
        <v>1130</v>
      </c>
      <c r="C214" s="15" t="s">
        <v>54</v>
      </c>
      <c r="D214" s="6" t="s">
        <v>1176</v>
      </c>
      <c r="E214" s="6" t="s">
        <v>1185</v>
      </c>
      <c r="F214" s="7" t="str">
        <f>HYPERLINK("https://miyabiz.com/special/dreamNews/detail.php?id=0000159340","URLを開く")</f>
        <v>URLを開く</v>
      </c>
      <c r="G214" s="10" t="s">
        <v>20</v>
      </c>
      <c r="H214" s="10" t="s">
        <v>20</v>
      </c>
      <c r="I214" s="10" t="s">
        <v>20</v>
      </c>
      <c r="J214" s="10" t="s">
        <v>20</v>
      </c>
      <c r="K214" s="10" t="s">
        <v>20</v>
      </c>
    </row>
    <row r="215" spans="1:11" x14ac:dyDescent="0.15">
      <c r="A215" s="8" t="s">
        <v>1152</v>
      </c>
      <c r="B215" s="8" t="s">
        <v>1130</v>
      </c>
      <c r="C215" s="15" t="s">
        <v>56</v>
      </c>
      <c r="D215" s="6" t="s">
        <v>1176</v>
      </c>
      <c r="E215" s="6" t="s">
        <v>1186</v>
      </c>
      <c r="F215" s="7" t="str">
        <f>HYPERLINK("http://newsnavi.jp/detail/651759/","URLを開く")</f>
        <v>URLを開く</v>
      </c>
      <c r="G215" s="10" t="s">
        <v>20</v>
      </c>
      <c r="H215" s="10" t="s">
        <v>20</v>
      </c>
      <c r="I215" s="10" t="s">
        <v>20</v>
      </c>
      <c r="J215" s="10" t="s">
        <v>20</v>
      </c>
      <c r="K215" s="10" t="s">
        <v>20</v>
      </c>
    </row>
    <row r="216" spans="1:11" x14ac:dyDescent="0.15">
      <c r="A216" s="8" t="s">
        <v>1152</v>
      </c>
      <c r="B216" s="8" t="s">
        <v>1130</v>
      </c>
      <c r="C216" s="15" t="s">
        <v>58</v>
      </c>
      <c r="D216" s="6" t="s">
        <v>1176</v>
      </c>
      <c r="E216" s="6" t="s">
        <v>1187</v>
      </c>
      <c r="F216" s="7" t="str">
        <f>HYPERLINK("http://www.topics.or.jp/press/news/2017/09/DreamNewsDN0000159340.html","URLを開く")</f>
        <v>URLを開く</v>
      </c>
      <c r="G216" s="10" t="s">
        <v>20</v>
      </c>
      <c r="H216" s="10" t="s">
        <v>20</v>
      </c>
      <c r="I216" s="10" t="s">
        <v>20</v>
      </c>
      <c r="J216" s="10" t="s">
        <v>20</v>
      </c>
      <c r="K216" s="10" t="s">
        <v>20</v>
      </c>
    </row>
    <row r="217" spans="1:11" x14ac:dyDescent="0.15">
      <c r="A217" s="8" t="s">
        <v>1152</v>
      </c>
      <c r="B217" s="8" t="s">
        <v>1130</v>
      </c>
      <c r="C217" s="15" t="s">
        <v>60</v>
      </c>
      <c r="D217" s="6" t="s">
        <v>1176</v>
      </c>
      <c r="E217" s="6" t="s">
        <v>1188</v>
      </c>
      <c r="F217" s="7" t="str">
        <f>HYPERLINK("http://www.asahi.com/and_M/information/pressrelease/Cdpress000159340.html","URLを開く")</f>
        <v>URLを開く</v>
      </c>
      <c r="G217" s="10" t="s">
        <v>20</v>
      </c>
      <c r="H217" s="10" t="s">
        <v>20</v>
      </c>
      <c r="I217" s="10" t="s">
        <v>20</v>
      </c>
      <c r="J217" s="10" t="s">
        <v>20</v>
      </c>
      <c r="K217" s="10" t="s">
        <v>20</v>
      </c>
    </row>
    <row r="218" spans="1:11" x14ac:dyDescent="0.15">
      <c r="A218" s="8" t="s">
        <v>1152</v>
      </c>
      <c r="B218" s="8" t="s">
        <v>1130</v>
      </c>
      <c r="C218" s="15" t="s">
        <v>62</v>
      </c>
      <c r="D218" s="6" t="s">
        <v>1176</v>
      </c>
      <c r="E218" s="6" t="s">
        <v>1189</v>
      </c>
      <c r="F218" s="7" t="str">
        <f>HYPERLINK("http://www.jprime.jp/ud/pressrelease/guid/dn0000159340","URLを開く")</f>
        <v>URLを開く</v>
      </c>
      <c r="G218" s="10" t="s">
        <v>20</v>
      </c>
      <c r="H218" s="10" t="s">
        <v>20</v>
      </c>
      <c r="I218" s="10" t="s">
        <v>20</v>
      </c>
      <c r="J218" s="10" t="s">
        <v>20</v>
      </c>
      <c r="K218" s="10" t="s">
        <v>20</v>
      </c>
    </row>
    <row r="219" spans="1:11" x14ac:dyDescent="0.15">
      <c r="A219" s="8" t="s">
        <v>1152</v>
      </c>
      <c r="B219" s="8" t="s">
        <v>1130</v>
      </c>
      <c r="C219" s="15" t="s">
        <v>64</v>
      </c>
      <c r="D219" s="6" t="s">
        <v>1190</v>
      </c>
      <c r="E219" s="6" t="s">
        <v>1191</v>
      </c>
      <c r="F219" s="7" t="str">
        <f>HYPERLINK("http://www.excite.co.jp/News/release/20170904/Dreamnews_0000159340.html","URLを開く")</f>
        <v>URLを開く</v>
      </c>
      <c r="G219" s="10" t="s">
        <v>20</v>
      </c>
      <c r="H219" s="10" t="s">
        <v>20</v>
      </c>
      <c r="I219" s="10" t="s">
        <v>20</v>
      </c>
      <c r="J219" s="10" t="s">
        <v>20</v>
      </c>
      <c r="K219" s="10" t="s">
        <v>20</v>
      </c>
    </row>
    <row r="220" spans="1:11" x14ac:dyDescent="0.15">
      <c r="A220" s="8" t="s">
        <v>1152</v>
      </c>
      <c r="B220" s="8" t="s">
        <v>1130</v>
      </c>
      <c r="C220" s="15" t="s">
        <v>67</v>
      </c>
      <c r="D220" s="6" t="s">
        <v>1192</v>
      </c>
      <c r="E220" s="6" t="s">
        <v>1193</v>
      </c>
      <c r="F220" s="7" t="str">
        <f>HYPERLINK("http://home.kingsoft.jp/news/pr/dreamnews/0000159340.html","URLを開く")</f>
        <v>URLを開く</v>
      </c>
      <c r="G220" s="10" t="s">
        <v>20</v>
      </c>
      <c r="H220" s="10" t="s">
        <v>20</v>
      </c>
      <c r="I220" s="10" t="s">
        <v>20</v>
      </c>
      <c r="J220" s="10" t="s">
        <v>20</v>
      </c>
      <c r="K220" s="10" t="s">
        <v>20</v>
      </c>
    </row>
    <row r="221" spans="1:11" x14ac:dyDescent="0.15">
      <c r="A221" s="8" t="s">
        <v>1152</v>
      </c>
      <c r="B221" s="8" t="s">
        <v>1130</v>
      </c>
      <c r="C221" s="15" t="s">
        <v>70</v>
      </c>
      <c r="D221" s="6" t="s">
        <v>1194</v>
      </c>
      <c r="E221" s="6" t="s">
        <v>1195</v>
      </c>
      <c r="F221" s="7" t="str">
        <f>HYPERLINK("http://news.toremaga.com/release/others/993914.html","URLを開く")</f>
        <v>URLを開く</v>
      </c>
      <c r="G221" s="10" t="s">
        <v>20</v>
      </c>
      <c r="H221" s="10" t="s">
        <v>20</v>
      </c>
      <c r="I221" s="10" t="s">
        <v>20</v>
      </c>
      <c r="J221" s="10" t="s">
        <v>20</v>
      </c>
      <c r="K221" s="10" t="s">
        <v>20</v>
      </c>
    </row>
    <row r="222" spans="1:11" x14ac:dyDescent="0.15">
      <c r="A222" s="8" t="s">
        <v>1152</v>
      </c>
      <c r="B222" s="8" t="s">
        <v>1130</v>
      </c>
      <c r="C222" s="15" t="s">
        <v>73</v>
      </c>
      <c r="D222" s="6" t="s">
        <v>1196</v>
      </c>
      <c r="E222" s="6" t="s">
        <v>1197</v>
      </c>
      <c r="F222" s="7" t="str">
        <f>HYPERLINK("http://www.mapion.co.jp/news/release/dn0000159340-all/","URLを開く")</f>
        <v>URLを開く</v>
      </c>
      <c r="G222" s="10" t="s">
        <v>20</v>
      </c>
      <c r="H222" s="10" t="s">
        <v>20</v>
      </c>
      <c r="I222" s="10" t="s">
        <v>20</v>
      </c>
      <c r="J222" s="10" t="s">
        <v>20</v>
      </c>
      <c r="K222" s="10" t="s">
        <v>20</v>
      </c>
    </row>
    <row r="223" spans="1:11" x14ac:dyDescent="0.15">
      <c r="A223" s="1"/>
      <c r="B223" s="1"/>
      <c r="C223" s="16"/>
      <c r="D223" s="1"/>
      <c r="E223" s="1"/>
    </row>
    <row r="224" spans="1:11" x14ac:dyDescent="0.15">
      <c r="A224" s="1"/>
      <c r="B224" s="1"/>
      <c r="C224" s="16"/>
      <c r="D224" s="1"/>
      <c r="E224" s="1"/>
    </row>
    <row r="225" spans="1:5" x14ac:dyDescent="0.15">
      <c r="A225" s="1"/>
      <c r="B225" s="1"/>
      <c r="C225" s="16"/>
      <c r="D225" s="1"/>
      <c r="E225" s="1"/>
    </row>
    <row r="226" spans="1:5" x14ac:dyDescent="0.15">
      <c r="A226" s="1"/>
      <c r="B226" s="1"/>
      <c r="C226" s="16"/>
      <c r="D226" s="1"/>
      <c r="E226" s="1"/>
    </row>
    <row r="227" spans="1:5" x14ac:dyDescent="0.15">
      <c r="A227" s="1"/>
      <c r="B227" s="1"/>
      <c r="C227" s="16"/>
      <c r="D227" s="1"/>
      <c r="E227" s="1"/>
    </row>
    <row r="228" spans="1:5" x14ac:dyDescent="0.15">
      <c r="A228" s="1"/>
      <c r="B228" s="1"/>
      <c r="C228" s="16"/>
      <c r="D228" s="1"/>
      <c r="E228" s="1"/>
    </row>
    <row r="229" spans="1:5" x14ac:dyDescent="0.15">
      <c r="A229" s="1"/>
      <c r="B229" s="1"/>
      <c r="C229" s="16"/>
      <c r="D229" s="1"/>
      <c r="E229" s="1"/>
    </row>
    <row r="230" spans="1:5" x14ac:dyDescent="0.15">
      <c r="A230" s="1"/>
      <c r="B230" s="1"/>
      <c r="C230" s="16"/>
      <c r="D230" s="1"/>
      <c r="E230" s="1"/>
    </row>
    <row r="231" spans="1:5" x14ac:dyDescent="0.15">
      <c r="A231" s="1"/>
      <c r="B231" s="1"/>
      <c r="C231" s="16"/>
      <c r="D231" s="1"/>
      <c r="E231" s="1"/>
    </row>
  </sheetData>
  <mergeCells count="3">
    <mergeCell ref="B1:D1"/>
    <mergeCell ref="B2:D2"/>
    <mergeCell ref="E4:F4"/>
  </mergeCells>
  <phoneticPr fontId="2"/>
  <pageMargins left="0.23622047244094491" right="0.23622047244094491" top="0.70866141732283472" bottom="0.70866141732283472" header="0.31496062992125984" footer="0.31496062992125984"/>
  <pageSetup paperSize="9" scale="75" fitToHeight="0" orientation="landscape" r:id="rId1"/>
  <headerFooter>
    <oddFooter>&amp;P / &amp;N ページ</oddFooter>
  </headerFooter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showGridLines="0" zoomScale="75" zoomScaleNormal="75" workbookViewId="0">
      <pane ySplit="4" topLeftCell="A5" activePane="bottomLeft" state="frozen"/>
      <selection pane="bottomLeft"/>
    </sheetView>
  </sheetViews>
  <sheetFormatPr defaultColWidth="11" defaultRowHeight="13.5" x14ac:dyDescent="0.15"/>
  <cols>
    <col min="1" max="2" width="11.75" customWidth="1"/>
    <col min="3" max="3" width="29" style="17" customWidth="1"/>
    <col min="4" max="4" width="47.25" customWidth="1"/>
    <col min="5" max="6" width="8.75" customWidth="1"/>
    <col min="8" max="12" width="11" customWidth="1"/>
  </cols>
  <sheetData>
    <row r="1" spans="1:11" s="3" customFormat="1" ht="36" customHeight="1" x14ac:dyDescent="0.15">
      <c r="A1" s="2" t="s">
        <v>1</v>
      </c>
      <c r="B1" s="35" t="s">
        <v>9</v>
      </c>
      <c r="C1" s="36"/>
      <c r="D1" s="37"/>
    </row>
    <row r="2" spans="1:11" s="3" customFormat="1" ht="36" customHeight="1" x14ac:dyDescent="0.15">
      <c r="A2" s="14" t="s">
        <v>8</v>
      </c>
      <c r="B2" s="38">
        <v>65</v>
      </c>
      <c r="C2" s="39"/>
      <c r="D2" s="40"/>
    </row>
    <row r="3" spans="1:11" s="3" customFormat="1" ht="36" customHeight="1" x14ac:dyDescent="0.15">
      <c r="B3" s="18"/>
      <c r="C3" s="18"/>
      <c r="D3" s="18"/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1198</v>
      </c>
      <c r="B4" s="19" t="s">
        <v>6</v>
      </c>
      <c r="C4" s="19" t="s">
        <v>1199</v>
      </c>
      <c r="D4" s="20" t="s">
        <v>1200</v>
      </c>
      <c r="E4" s="30" t="s">
        <v>1201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22" t="s">
        <v>1202</v>
      </c>
      <c r="B5" s="22" t="s">
        <v>1203</v>
      </c>
      <c r="C5" s="23" t="s">
        <v>182</v>
      </c>
      <c r="D5" s="24" t="s">
        <v>1204</v>
      </c>
      <c r="E5" s="24" t="s">
        <v>1205</v>
      </c>
      <c r="F5" s="25" t="str">
        <f>HYPERLINK("https://headlines.yahoo.co.jp/hl?a=20171031-00000005-hokuriku-l15","URLを開く")</f>
        <v>URLを開く</v>
      </c>
      <c r="G5" s="26" t="s">
        <v>20</v>
      </c>
      <c r="H5" s="26" t="s">
        <v>20</v>
      </c>
      <c r="I5" s="26" t="s">
        <v>20</v>
      </c>
      <c r="J5" s="26" t="s">
        <v>20</v>
      </c>
      <c r="K5" s="26" t="s">
        <v>20</v>
      </c>
    </row>
    <row r="6" spans="1:11" x14ac:dyDescent="0.15">
      <c r="A6" s="22" t="s">
        <v>1202</v>
      </c>
      <c r="B6" s="22" t="s">
        <v>1203</v>
      </c>
      <c r="C6" s="23" t="s">
        <v>283</v>
      </c>
      <c r="D6" s="24" t="s">
        <v>1206</v>
      </c>
      <c r="E6" s="24" t="s">
        <v>1207</v>
      </c>
      <c r="F6" s="25" t="str">
        <f>HYPERLINK("https://news.goo.ne.jp/article/hokurikushinkansen/region/hokurikushinkansen-NEWS0000012555.html","URLを開く")</f>
        <v>URLを開く</v>
      </c>
      <c r="G6" s="26" t="s">
        <v>20</v>
      </c>
      <c r="H6" s="26" t="s">
        <v>20</v>
      </c>
      <c r="I6" s="26" t="s">
        <v>20</v>
      </c>
      <c r="J6" s="26" t="s">
        <v>20</v>
      </c>
      <c r="K6" s="26" t="s">
        <v>20</v>
      </c>
    </row>
    <row r="7" spans="1:11" x14ac:dyDescent="0.15">
      <c r="A7" s="22" t="s">
        <v>1202</v>
      </c>
      <c r="B7" s="22" t="s">
        <v>1203</v>
      </c>
      <c r="C7" s="23" t="s">
        <v>286</v>
      </c>
      <c r="D7" s="24" t="s">
        <v>1208</v>
      </c>
      <c r="E7" s="24" t="s">
        <v>1209</v>
      </c>
      <c r="F7" s="25" t="str">
        <f>HYPERLINK("http://topics.smt.docomo.ne.jp/article/hokurikushinkansen/region/hokurikushinkansen-NEWS0000012555?fm=latestnews","URLを開く")</f>
        <v>URLを開く</v>
      </c>
      <c r="G7" s="26" t="s">
        <v>20</v>
      </c>
      <c r="H7" s="26" t="s">
        <v>20</v>
      </c>
      <c r="I7" s="26" t="s">
        <v>20</v>
      </c>
      <c r="J7" s="26" t="s">
        <v>20</v>
      </c>
      <c r="K7" s="26" t="s">
        <v>20</v>
      </c>
    </row>
    <row r="8" spans="1:11" x14ac:dyDescent="0.15">
      <c r="A8" s="22" t="s">
        <v>1202</v>
      </c>
      <c r="B8" s="22" t="s">
        <v>1203</v>
      </c>
      <c r="C8" s="23" t="s">
        <v>1210</v>
      </c>
      <c r="D8" s="24" t="s">
        <v>1211</v>
      </c>
      <c r="E8" s="24" t="s">
        <v>1212</v>
      </c>
      <c r="F8" s="25" t="str">
        <f>HYPERLINK("http://www.ohbsn.com/news/detail/kennai20171031_8896073.php","URLを開く")</f>
        <v>URLを開く</v>
      </c>
      <c r="G8" s="26" t="s">
        <v>20</v>
      </c>
      <c r="H8" s="26" t="s">
        <v>20</v>
      </c>
      <c r="I8" s="26" t="s">
        <v>20</v>
      </c>
      <c r="J8" s="26" t="s">
        <v>20</v>
      </c>
      <c r="K8" s="26" t="s">
        <v>20</v>
      </c>
    </row>
    <row r="9" spans="1:11" x14ac:dyDescent="0.15">
      <c r="A9" s="22" t="s">
        <v>1202</v>
      </c>
      <c r="B9" s="22" t="s">
        <v>1203</v>
      </c>
      <c r="C9" s="23" t="s">
        <v>268</v>
      </c>
      <c r="D9" s="24" t="s">
        <v>1213</v>
      </c>
      <c r="E9" s="24" t="s">
        <v>1214</v>
      </c>
      <c r="F9" s="25" t="str">
        <f>HYPERLINK("http://www.47news.jp/localnews/niigata/2017/10/post_20171031132225.html","URLを開く")</f>
        <v>URLを開く</v>
      </c>
      <c r="G9" s="26" t="s">
        <v>20</v>
      </c>
      <c r="H9" s="26" t="s">
        <v>20</v>
      </c>
      <c r="I9" s="26" t="s">
        <v>20</v>
      </c>
      <c r="J9" s="26" t="s">
        <v>20</v>
      </c>
      <c r="K9" s="26" t="s">
        <v>20</v>
      </c>
    </row>
    <row r="10" spans="1:11" x14ac:dyDescent="0.15">
      <c r="A10" s="22" t="s">
        <v>1202</v>
      </c>
      <c r="B10" s="22" t="s">
        <v>1203</v>
      </c>
      <c r="C10" s="23" t="s">
        <v>268</v>
      </c>
      <c r="D10" s="24" t="s">
        <v>1213</v>
      </c>
      <c r="E10" s="24" t="s">
        <v>1215</v>
      </c>
      <c r="F10" s="25" t="str">
        <f>HYPERLINK("http://www.47news.jp/photo/1755177.php","URLを開く")</f>
        <v>URLを開く</v>
      </c>
      <c r="G10" s="26" t="s">
        <v>20</v>
      </c>
      <c r="H10" s="26" t="s">
        <v>20</v>
      </c>
      <c r="I10" s="26" t="s">
        <v>20</v>
      </c>
      <c r="J10" s="26" t="s">
        <v>20</v>
      </c>
      <c r="K10" s="26" t="s">
        <v>20</v>
      </c>
    </row>
    <row r="11" spans="1:11" x14ac:dyDescent="0.15">
      <c r="A11" s="22" t="s">
        <v>1202</v>
      </c>
      <c r="B11" s="22" t="s">
        <v>1203</v>
      </c>
      <c r="C11" s="23" t="s">
        <v>1216</v>
      </c>
      <c r="D11" s="24" t="s">
        <v>1213</v>
      </c>
      <c r="E11" s="24" t="s">
        <v>1217</v>
      </c>
      <c r="F11" s="25" t="str">
        <f>HYPERLINK("http://www.niigata-nippo.co.jp/news/national/20171031354934.html","URLを開く")</f>
        <v>URLを開く</v>
      </c>
      <c r="G11" s="26" t="s">
        <v>20</v>
      </c>
      <c r="H11" s="26" t="s">
        <v>20</v>
      </c>
      <c r="I11" s="26" t="s">
        <v>20</v>
      </c>
      <c r="J11" s="26" t="s">
        <v>20</v>
      </c>
      <c r="K11" s="26" t="s">
        <v>20</v>
      </c>
    </row>
    <row r="12" spans="1:11" x14ac:dyDescent="0.15">
      <c r="A12" s="22" t="s">
        <v>1202</v>
      </c>
      <c r="B12" s="22" t="s">
        <v>1203</v>
      </c>
      <c r="C12" s="23" t="s">
        <v>268</v>
      </c>
      <c r="D12" s="24" t="s">
        <v>1218</v>
      </c>
      <c r="E12" s="24" t="s">
        <v>1219</v>
      </c>
      <c r="F12" s="25" t="str">
        <f>HYPERLINK("http://www.47news.jp/localnews/odekake/2017/10/post-20171031130056.html","URLを開く")</f>
        <v>URLを開く</v>
      </c>
      <c r="G12" s="26" t="s">
        <v>20</v>
      </c>
      <c r="H12" s="26" t="s">
        <v>20</v>
      </c>
      <c r="I12" s="26" t="s">
        <v>20</v>
      </c>
      <c r="J12" s="26" t="s">
        <v>20</v>
      </c>
      <c r="K12" s="26" t="s">
        <v>20</v>
      </c>
    </row>
    <row r="13" spans="1:11" x14ac:dyDescent="0.15">
      <c r="A13" s="8" t="s">
        <v>1220</v>
      </c>
      <c r="B13" s="8" t="s">
        <v>1221</v>
      </c>
      <c r="C13" s="15" t="s">
        <v>34</v>
      </c>
      <c r="D13" s="6" t="s">
        <v>1222</v>
      </c>
      <c r="E13" s="6" t="s">
        <v>1223</v>
      </c>
      <c r="F13" s="7" t="str">
        <f>HYPERLINK("http://www.kigyou-sns.com/press/press_237615/","URLを開く")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1224</v>
      </c>
      <c r="B14" s="8" t="s">
        <v>1225</v>
      </c>
      <c r="C14" s="15" t="s">
        <v>494</v>
      </c>
      <c r="D14" s="6" t="s">
        <v>1226</v>
      </c>
      <c r="E14" s="6" t="s">
        <v>1227</v>
      </c>
      <c r="F14" s="7" t="str">
        <f>HYPERLINK("http://www.biz-hacks.com/pressrelease/?id=70570","URLを開く")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1224</v>
      </c>
      <c r="B15" s="8" t="s">
        <v>1225</v>
      </c>
      <c r="C15" s="15" t="s">
        <v>23</v>
      </c>
      <c r="D15" s="6" t="s">
        <v>1228</v>
      </c>
      <c r="E15" s="6" t="s">
        <v>1229</v>
      </c>
      <c r="F15" s="7" t="str">
        <f>HYPERLINK("http://www.bizloop.jp/release/AT140774/","URLを開く")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1230</v>
      </c>
      <c r="B16" s="8" t="s">
        <v>1224</v>
      </c>
      <c r="C16" s="15" t="s">
        <v>60</v>
      </c>
      <c r="D16" s="6" t="s">
        <v>1231</v>
      </c>
      <c r="E16" s="6" t="s">
        <v>1232</v>
      </c>
      <c r="F16" s="7" t="str">
        <f>HYPERLINK("http://www.asahi.com/and_M/information/pressrelease/CATP2017140774.html","URLを開く")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1230</v>
      </c>
      <c r="B17" s="8" t="s">
        <v>1224</v>
      </c>
      <c r="C17" s="15" t="s">
        <v>40</v>
      </c>
      <c r="D17" s="6" t="s">
        <v>1222</v>
      </c>
      <c r="E17" s="6" t="s">
        <v>1233</v>
      </c>
      <c r="F17" s="7" t="str">
        <f>HYPERLINK("https://business.nifty.com/cs/catalog/business_release/catalog_atp140774_1.htm","URLを開く")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1230</v>
      </c>
      <c r="B18" s="8" t="s">
        <v>1224</v>
      </c>
      <c r="C18" s="15" t="s">
        <v>43</v>
      </c>
      <c r="D18" s="6" t="s">
        <v>1222</v>
      </c>
      <c r="E18" s="6" t="s">
        <v>1234</v>
      </c>
      <c r="F18" s="7" t="str">
        <f>HYPERLINK("https://news.biglobe.ne.jp/economy/1017/atp_171017_8505778352.html","URLを開く")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1230</v>
      </c>
      <c r="B19" s="8" t="s">
        <v>1224</v>
      </c>
      <c r="C19" s="15" t="s">
        <v>48</v>
      </c>
      <c r="D19" s="6" t="s">
        <v>1222</v>
      </c>
      <c r="E19" s="6" t="s">
        <v>1235</v>
      </c>
      <c r="F19" s="7" t="str">
        <f>HYPERLINK("https://news.infoseek.co.jp/article/atpress_140774/","URLを開く")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1230</v>
      </c>
      <c r="B20" s="8" t="s">
        <v>1224</v>
      </c>
      <c r="C20" s="15" t="s">
        <v>50</v>
      </c>
      <c r="D20" s="6" t="s">
        <v>1222</v>
      </c>
      <c r="E20" s="6" t="s">
        <v>1236</v>
      </c>
      <c r="F20" s="7" t="str">
        <f>HYPERLINK("https://markezine.jp/release/detail/807444","URLを開く")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1230</v>
      </c>
      <c r="B21" s="8" t="s">
        <v>1224</v>
      </c>
      <c r="C21" s="15" t="s">
        <v>52</v>
      </c>
      <c r="D21" s="6" t="s">
        <v>1222</v>
      </c>
      <c r="E21" s="6" t="s">
        <v>1237</v>
      </c>
      <c r="F21" s="7" t="str">
        <f>HYPERLINK("https://news.nplus-inc.co.jp/index.php?action=ViewDetail&amp;number=398403","URLを開く")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1230</v>
      </c>
      <c r="B22" s="8" t="s">
        <v>1224</v>
      </c>
      <c r="C22" s="15" t="s">
        <v>408</v>
      </c>
      <c r="D22" s="6" t="s">
        <v>1222</v>
      </c>
      <c r="E22" s="6" t="s">
        <v>1238</v>
      </c>
      <c r="F22" s="7" t="str">
        <f>HYPERLINK("http://www.sankeibiz.jp/business/news/171017/prl1710171642167-n1.htm","URLを開く")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1230</v>
      </c>
      <c r="B23" s="8" t="s">
        <v>1224</v>
      </c>
      <c r="C23" s="15" t="s">
        <v>513</v>
      </c>
      <c r="D23" s="6" t="s">
        <v>1222</v>
      </c>
      <c r="E23" s="6" t="s">
        <v>1239</v>
      </c>
      <c r="F23" s="7" t="str">
        <f>HYPERLINK("http://www.sanspo.com/geino/news/20171017/prl17101716420148-n1.html","URLを開く")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1230</v>
      </c>
      <c r="B24" s="8" t="s">
        <v>1224</v>
      </c>
      <c r="C24" s="15" t="s">
        <v>37</v>
      </c>
      <c r="D24" s="6" t="s">
        <v>1222</v>
      </c>
      <c r="E24" s="6" t="s">
        <v>1240</v>
      </c>
      <c r="F24" s="7" t="str">
        <f>HYPERLINK("http://www.seotools.jp/news/id_at_140774.html","URLを開く")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1230</v>
      </c>
      <c r="B25" s="8" t="s">
        <v>1224</v>
      </c>
      <c r="C25" s="15" t="s">
        <v>516</v>
      </c>
      <c r="D25" s="6" t="s">
        <v>1222</v>
      </c>
      <c r="E25" s="6" t="s">
        <v>1241</v>
      </c>
      <c r="F25" s="7" t="str">
        <f>HYPERLINK("http://www.zakzak.co.jp/eco/news/171017/prl1710170148-n1.html","URLを開く")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1230</v>
      </c>
      <c r="B26" s="8" t="s">
        <v>1224</v>
      </c>
      <c r="C26" s="15" t="s">
        <v>56</v>
      </c>
      <c r="D26" s="6" t="s">
        <v>1222</v>
      </c>
      <c r="E26" s="6" t="s">
        <v>1242</v>
      </c>
      <c r="F26" s="7" t="str">
        <f>HYPERLINK("http://newsnavi.jp/detail/671992/","URLを開く")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1230</v>
      </c>
      <c r="B27" s="8" t="s">
        <v>1224</v>
      </c>
      <c r="C27" s="15" t="s">
        <v>519</v>
      </c>
      <c r="D27" s="6" t="s">
        <v>1222</v>
      </c>
      <c r="E27" s="6" t="s">
        <v>1243</v>
      </c>
      <c r="F27" s="7" t="str">
        <f>HYPERLINK("https://resemom.jp/feature/newsrelease/atpress/press_detail.html?pr_id=140774&amp;charset=UTF-8","URLを開く")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1230</v>
      </c>
      <c r="B28" s="8" t="s">
        <v>1224</v>
      </c>
      <c r="C28" s="15" t="s">
        <v>521</v>
      </c>
      <c r="D28" s="6" t="s">
        <v>1222</v>
      </c>
      <c r="E28" s="6" t="s">
        <v>1244</v>
      </c>
      <c r="F28" s="7" t="str">
        <f>HYPERLINK("http://www.topsalesman.net/press/index.php?id=149601","URLを開く")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1230</v>
      </c>
      <c r="B29" s="8" t="s">
        <v>1224</v>
      </c>
      <c r="C29" s="15" t="s">
        <v>58</v>
      </c>
      <c r="D29" s="6" t="s">
        <v>1222</v>
      </c>
      <c r="E29" s="6" t="s">
        <v>1245</v>
      </c>
      <c r="F29" s="7" t="str">
        <f>HYPERLINK("http://www.topics.or.jp/press/news/2017/10/Atpress140774.html","URLを開く")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1230</v>
      </c>
      <c r="B30" s="8" t="s">
        <v>1224</v>
      </c>
      <c r="C30" s="15" t="s">
        <v>333</v>
      </c>
      <c r="D30" s="6" t="s">
        <v>1222</v>
      </c>
      <c r="E30" s="6" t="s">
        <v>1246</v>
      </c>
      <c r="F30" s="7" t="str">
        <f>HYPERLINK("http://www.zaikei.co.jp/releases/540590/","URLを開く")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1230</v>
      </c>
      <c r="B31" s="8" t="s">
        <v>1224</v>
      </c>
      <c r="C31" s="15" t="s">
        <v>64</v>
      </c>
      <c r="D31" s="6" t="s">
        <v>1247</v>
      </c>
      <c r="E31" s="6" t="s">
        <v>1248</v>
      </c>
      <c r="F31" s="7" t="str">
        <f>HYPERLINK("http://www.excite.co.jp/News/release/20171017/Atpress_140774.html","URLを開く")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1230</v>
      </c>
      <c r="B32" s="8" t="s">
        <v>1224</v>
      </c>
      <c r="C32" s="15" t="s">
        <v>67</v>
      </c>
      <c r="D32" s="6" t="s">
        <v>1249</v>
      </c>
      <c r="E32" s="6" t="s">
        <v>1250</v>
      </c>
      <c r="F32" s="7" t="str">
        <f>HYPERLINK("http://home.kingsoft.jp/news/pr/atpress/140774.html","URLを開く")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1230</v>
      </c>
      <c r="B33" s="8" t="s">
        <v>1224</v>
      </c>
      <c r="C33" s="15" t="s">
        <v>70</v>
      </c>
      <c r="D33" s="6" t="s">
        <v>1251</v>
      </c>
      <c r="E33" s="6" t="s">
        <v>1252</v>
      </c>
      <c r="F33" s="7" t="str">
        <f>HYPERLINK("http://news.toremaga.com/politics/country/1014676.html","URLを開く")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1230</v>
      </c>
      <c r="B34" s="8" t="s">
        <v>1224</v>
      </c>
      <c r="C34" s="15" t="s">
        <v>73</v>
      </c>
      <c r="D34" s="6" t="s">
        <v>1253</v>
      </c>
      <c r="E34" s="6" t="s">
        <v>1254</v>
      </c>
      <c r="F34" s="7" t="str">
        <f>HYPERLINK("http://www.mapion.co.jp/news/release/ap140774-all/","URLを開く")</f>
        <v>URLを開く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1255</v>
      </c>
      <c r="B35" s="8" t="s">
        <v>1256</v>
      </c>
      <c r="C35" s="15" t="s">
        <v>940</v>
      </c>
      <c r="D35" s="6" t="s">
        <v>1257</v>
      </c>
      <c r="E35" s="6" t="s">
        <v>1258</v>
      </c>
      <c r="F35" s="7" t="str">
        <f>HYPERLINK("http://www.y-mainichi.co.jp/news/32376/","URLを開く")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1259</v>
      </c>
      <c r="B36" s="8" t="s">
        <v>1260</v>
      </c>
      <c r="C36" s="15" t="s">
        <v>1261</v>
      </c>
      <c r="D36" s="6" t="s">
        <v>1262</v>
      </c>
      <c r="E36" s="6" t="s">
        <v>1263</v>
      </c>
      <c r="F36" s="7" t="str">
        <f>HYPERLINK("http://www.townnews.co.jp/0502/2017/10/06/400888.html","URLを開く")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1264</v>
      </c>
      <c r="B37" s="8" t="s">
        <v>1259</v>
      </c>
      <c r="C37" s="15" t="s">
        <v>34</v>
      </c>
      <c r="D37" s="6" t="s">
        <v>1265</v>
      </c>
      <c r="E37" s="6" t="s">
        <v>1266</v>
      </c>
      <c r="F37" s="7" t="str">
        <f>HYPERLINK("http://www.kigyou-sns.com/press/press_236242/","URLを開く")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</row>
    <row r="38" spans="1:11" x14ac:dyDescent="0.15">
      <c r="A38" s="8" t="s">
        <v>1264</v>
      </c>
      <c r="B38" s="8" t="s">
        <v>1259</v>
      </c>
      <c r="C38" s="15" t="s">
        <v>23</v>
      </c>
      <c r="D38" s="6" t="s">
        <v>1267</v>
      </c>
      <c r="E38" s="6" t="s">
        <v>1268</v>
      </c>
      <c r="F38" s="7" t="str">
        <f>HYPERLINK("http://www.bizloop.jp/release/DRN0000161078/","URLを開く")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1264</v>
      </c>
      <c r="B39" s="8" t="s">
        <v>1259</v>
      </c>
      <c r="C39" s="15" t="s">
        <v>403</v>
      </c>
      <c r="D39" s="6" t="s">
        <v>1269</v>
      </c>
      <c r="E39" s="6" t="s">
        <v>1270</v>
      </c>
      <c r="F39" s="7" t="str">
        <f>HYPERLINK("http://news.livedoor.com/article/detail/13709273/","URLを開く")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1264</v>
      </c>
      <c r="B40" s="8" t="s">
        <v>1259</v>
      </c>
      <c r="C40" s="15" t="s">
        <v>1271</v>
      </c>
      <c r="D40" s="6" t="s">
        <v>1269</v>
      </c>
      <c r="E40" s="6" t="s">
        <v>1272</v>
      </c>
      <c r="F40" s="7" t="str">
        <f>HYPERLINK("http://getnews.jp/archives/1923571","URLを開く")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1264</v>
      </c>
      <c r="B41" s="8" t="s">
        <v>1259</v>
      </c>
      <c r="C41" s="15" t="s">
        <v>1273</v>
      </c>
      <c r="D41" s="6" t="s">
        <v>1269</v>
      </c>
      <c r="E41" s="6" t="s">
        <v>1274</v>
      </c>
      <c r="F41" s="7" t="str">
        <f>HYPERLINK("http://news.merumo.ne.jp/article/genre/6645133","URLを開く")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1264</v>
      </c>
      <c r="B42" s="8" t="s">
        <v>1259</v>
      </c>
      <c r="C42" s="15" t="s">
        <v>1275</v>
      </c>
      <c r="D42" s="6" t="s">
        <v>1276</v>
      </c>
      <c r="E42" s="6" t="s">
        <v>1277</v>
      </c>
      <c r="F42" s="7" t="str">
        <f>HYPERLINK("http://www.nicheee.com/archives/2149715.html","URLを開く")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1278</v>
      </c>
      <c r="B43" s="8" t="s">
        <v>1264</v>
      </c>
      <c r="C43" s="15" t="s">
        <v>40</v>
      </c>
      <c r="D43" s="6" t="s">
        <v>1265</v>
      </c>
      <c r="E43" s="6" t="s">
        <v>1279</v>
      </c>
      <c r="F43" s="7" t="str">
        <f>HYPERLINK("https://business.nifty.com/cs/catalog/business_release/catalog_drm0000161078_1.htm","URLを開く")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1278</v>
      </c>
      <c r="B44" s="8" t="s">
        <v>1264</v>
      </c>
      <c r="C44" s="15" t="s">
        <v>43</v>
      </c>
      <c r="D44" s="6" t="s">
        <v>1265</v>
      </c>
      <c r="E44" s="6" t="s">
        <v>1280</v>
      </c>
      <c r="F44" s="7" t="str">
        <f>HYPERLINK("https://news.biglobe.ne.jp/economy/1004/dre_171004_6586248369.html","URLを開く")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1278</v>
      </c>
      <c r="B45" s="8" t="s">
        <v>1264</v>
      </c>
      <c r="C45" s="15" t="s">
        <v>45</v>
      </c>
      <c r="D45" s="6" t="s">
        <v>1265</v>
      </c>
      <c r="E45" s="6" t="s">
        <v>1281</v>
      </c>
      <c r="F45" s="7" t="str">
        <f>HYPERLINK("http://press.fideli.com/d/161078/","URLを開く")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1278</v>
      </c>
      <c r="B46" s="8" t="s">
        <v>1264</v>
      </c>
      <c r="C46" s="15" t="s">
        <v>45</v>
      </c>
      <c r="D46" s="6" t="s">
        <v>1265</v>
      </c>
      <c r="E46" s="6" t="s">
        <v>1282</v>
      </c>
      <c r="F46" s="7" t="str">
        <f>HYPERLINK("http://press.fideli.com/d/161078/5","URLを開く")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1278</v>
      </c>
      <c r="B47" s="8" t="s">
        <v>1264</v>
      </c>
      <c r="C47" s="15" t="s">
        <v>48</v>
      </c>
      <c r="D47" s="6" t="s">
        <v>1265</v>
      </c>
      <c r="E47" s="6" t="s">
        <v>1283</v>
      </c>
      <c r="F47" s="7" t="str">
        <f>HYPERLINK("https://news.infoseek.co.jp/article/dreamnews_0000161078/","URLを開く")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</row>
    <row r="48" spans="1:11" x14ac:dyDescent="0.15">
      <c r="A48" s="8" t="s">
        <v>1278</v>
      </c>
      <c r="B48" s="8" t="s">
        <v>1264</v>
      </c>
      <c r="C48" s="15" t="s">
        <v>50</v>
      </c>
      <c r="D48" s="6" t="s">
        <v>1265</v>
      </c>
      <c r="E48" s="6" t="s">
        <v>1284</v>
      </c>
      <c r="F48" s="7" t="str">
        <f>HYPERLINK("https://markezine.jp/release/detail/802168","URLを開く")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1278</v>
      </c>
      <c r="B49" s="8" t="s">
        <v>1264</v>
      </c>
      <c r="C49" s="15" t="s">
        <v>271</v>
      </c>
      <c r="D49" s="6" t="s">
        <v>1265</v>
      </c>
      <c r="E49" s="6" t="s">
        <v>1285</v>
      </c>
      <c r="F49" s="7" t="str">
        <f>HYPERLINK("http://www.the-miyanichi.co.jp/special/dreamNews/detailep.php?id=0000161078","URLを開く")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1278</v>
      </c>
      <c r="B50" s="8" t="s">
        <v>1264</v>
      </c>
      <c r="C50" s="15" t="s">
        <v>52</v>
      </c>
      <c r="D50" s="6" t="s">
        <v>1265</v>
      </c>
      <c r="E50" s="6" t="s">
        <v>1286</v>
      </c>
      <c r="F50" s="7" t="str">
        <f>HYPERLINK("https://news.nplus-inc.co.jp/index.php?action=ViewDetail&amp;number=396459","URLを開く")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1278</v>
      </c>
      <c r="B51" s="8" t="s">
        <v>1264</v>
      </c>
      <c r="C51" s="15" t="s">
        <v>37</v>
      </c>
      <c r="D51" s="6" t="s">
        <v>1265</v>
      </c>
      <c r="E51" s="6" t="s">
        <v>1287</v>
      </c>
      <c r="F51" s="7" t="str">
        <f>HYPERLINK("http://www.seotools.jp/news/id_0000161078.html","URLを開く")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1278</v>
      </c>
      <c r="B52" s="8" t="s">
        <v>1264</v>
      </c>
      <c r="C52" s="15" t="s">
        <v>54</v>
      </c>
      <c r="D52" s="6" t="s">
        <v>1265</v>
      </c>
      <c r="E52" s="6" t="s">
        <v>1288</v>
      </c>
      <c r="F52" s="7" t="str">
        <f>HYPERLINK("https://miyabiz.com/special/dreamNews/detail.php?id=0000161078","URLを開く")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8" t="s">
        <v>1278</v>
      </c>
      <c r="B53" s="8" t="s">
        <v>1264</v>
      </c>
      <c r="C53" s="15" t="s">
        <v>56</v>
      </c>
      <c r="D53" s="6" t="s">
        <v>1265</v>
      </c>
      <c r="E53" s="6" t="s">
        <v>1289</v>
      </c>
      <c r="F53" s="7" t="str">
        <f>HYPERLINK("http://newsnavi.jp/detail/667062/","URLを開く")</f>
        <v>URLを開く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</row>
    <row r="54" spans="1:11" x14ac:dyDescent="0.15">
      <c r="A54" s="8" t="s">
        <v>1278</v>
      </c>
      <c r="B54" s="8" t="s">
        <v>1264</v>
      </c>
      <c r="C54" s="15" t="s">
        <v>58</v>
      </c>
      <c r="D54" s="6" t="s">
        <v>1265</v>
      </c>
      <c r="E54" s="6" t="s">
        <v>1290</v>
      </c>
      <c r="F54" s="7" t="str">
        <f>HYPERLINK("http://www.topics.or.jp/press/news/2017/10/DreamNewsDN0000161078.html","URLを開く")</f>
        <v>URLを開く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</row>
    <row r="55" spans="1:11" x14ac:dyDescent="0.15">
      <c r="A55" s="8" t="s">
        <v>1278</v>
      </c>
      <c r="B55" s="8" t="s">
        <v>1264</v>
      </c>
      <c r="C55" s="15" t="s">
        <v>60</v>
      </c>
      <c r="D55" s="6" t="s">
        <v>1265</v>
      </c>
      <c r="E55" s="6" t="s">
        <v>1291</v>
      </c>
      <c r="F55" s="7" t="str">
        <f>HYPERLINK("http://www.asahi.com/and_M/information/pressrelease/Cdpress000161078.html","URLを開く")</f>
        <v>URLを開く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</row>
    <row r="56" spans="1:11" x14ac:dyDescent="0.15">
      <c r="A56" s="8" t="s">
        <v>1278</v>
      </c>
      <c r="B56" s="8" t="s">
        <v>1264</v>
      </c>
      <c r="C56" s="15" t="s">
        <v>62</v>
      </c>
      <c r="D56" s="6" t="s">
        <v>1265</v>
      </c>
      <c r="E56" s="6" t="s">
        <v>1292</v>
      </c>
      <c r="F56" s="7" t="str">
        <f>HYPERLINK("http://www.jprime.jp/ud/pressrelease/guid/dn0000161078","URLを開く")</f>
        <v>URLを開く</v>
      </c>
      <c r="G56" s="10" t="s">
        <v>20</v>
      </c>
      <c r="H56" s="10" t="s">
        <v>20</v>
      </c>
      <c r="I56" s="10" t="s">
        <v>20</v>
      </c>
      <c r="J56" s="10" t="s">
        <v>20</v>
      </c>
      <c r="K56" s="10" t="s">
        <v>20</v>
      </c>
    </row>
    <row r="57" spans="1:11" x14ac:dyDescent="0.15">
      <c r="A57" s="8" t="s">
        <v>1278</v>
      </c>
      <c r="B57" s="8" t="s">
        <v>1264</v>
      </c>
      <c r="C57" s="15" t="s">
        <v>64</v>
      </c>
      <c r="D57" s="6" t="s">
        <v>1293</v>
      </c>
      <c r="E57" s="6" t="s">
        <v>1294</v>
      </c>
      <c r="F57" s="7" t="str">
        <f>HYPERLINK("http://www.excite.co.jp/News/release/20171004/Dreamnews_0000161078.html","URLを開く")</f>
        <v>URLを開く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</row>
    <row r="58" spans="1:11" x14ac:dyDescent="0.15">
      <c r="A58" s="8" t="s">
        <v>1278</v>
      </c>
      <c r="B58" s="8" t="s">
        <v>1264</v>
      </c>
      <c r="C58" s="15" t="s">
        <v>67</v>
      </c>
      <c r="D58" s="6" t="s">
        <v>1295</v>
      </c>
      <c r="E58" s="6" t="s">
        <v>1296</v>
      </c>
      <c r="F58" s="7" t="str">
        <f>HYPERLINK("http://home.kingsoft.jp/news/pr/dreamnews/0000161078.html","URLを開く")</f>
        <v>URLを開く</v>
      </c>
      <c r="G58" s="10" t="s">
        <v>20</v>
      </c>
      <c r="H58" s="10" t="s">
        <v>20</v>
      </c>
      <c r="I58" s="10" t="s">
        <v>20</v>
      </c>
      <c r="J58" s="10" t="s">
        <v>20</v>
      </c>
      <c r="K58" s="10" t="s">
        <v>20</v>
      </c>
    </row>
    <row r="59" spans="1:11" x14ac:dyDescent="0.15">
      <c r="A59" s="8" t="s">
        <v>1278</v>
      </c>
      <c r="B59" s="8" t="s">
        <v>1264</v>
      </c>
      <c r="C59" s="15" t="s">
        <v>70</v>
      </c>
      <c r="D59" s="6" t="s">
        <v>1297</v>
      </c>
      <c r="E59" s="6" t="s">
        <v>1298</v>
      </c>
      <c r="F59" s="7" t="str">
        <f>HYPERLINK("http://news.toremaga.com/release/others/1008773.html","URLを開く")</f>
        <v>URLを開く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</row>
    <row r="60" spans="1:11" x14ac:dyDescent="0.15">
      <c r="A60" s="8" t="s">
        <v>1278</v>
      </c>
      <c r="B60" s="8" t="s">
        <v>1264</v>
      </c>
      <c r="C60" s="15" t="s">
        <v>73</v>
      </c>
      <c r="D60" s="6" t="s">
        <v>1299</v>
      </c>
      <c r="E60" s="6" t="s">
        <v>1300</v>
      </c>
      <c r="F60" s="7" t="str">
        <f>HYPERLINK("http://www.mapion.co.jp/news/release/dn0000161078-all/","URLを開く")</f>
        <v>URLを開く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</row>
    <row r="61" spans="1:11" x14ac:dyDescent="0.15">
      <c r="A61" s="8" t="s">
        <v>1278</v>
      </c>
      <c r="B61" s="8" t="s">
        <v>1264</v>
      </c>
      <c r="C61" s="15" t="s">
        <v>843</v>
      </c>
      <c r="D61" s="6" t="s">
        <v>1301</v>
      </c>
      <c r="E61" s="6" t="s">
        <v>1302</v>
      </c>
      <c r="F61" s="7" t="str">
        <f>HYPERLINK("http://izu-np.co.jp/shimoda/news/20171001iz1000000004000c.html","URLを開く")</f>
        <v>URLを開く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</row>
    <row r="62" spans="1:11" x14ac:dyDescent="0.15">
      <c r="A62" s="8" t="s">
        <v>1303</v>
      </c>
      <c r="B62" s="8" t="s">
        <v>1304</v>
      </c>
      <c r="C62" s="15" t="s">
        <v>268</v>
      </c>
      <c r="D62" s="6" t="s">
        <v>1305</v>
      </c>
      <c r="E62" s="6" t="s">
        <v>1306</v>
      </c>
      <c r="F62" s="7" t="str">
        <f>HYPERLINK("http://www.47news.jp/localnews/okinawa/2017/10/post_20171002193215.html","URLを開く")</f>
        <v>URLを開く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</row>
    <row r="63" spans="1:11" x14ac:dyDescent="0.15">
      <c r="A63" s="8" t="s">
        <v>1303</v>
      </c>
      <c r="B63" s="8" t="s">
        <v>1304</v>
      </c>
      <c r="C63" s="15" t="s">
        <v>268</v>
      </c>
      <c r="D63" s="6" t="s">
        <v>1305</v>
      </c>
      <c r="E63" s="6" t="s">
        <v>1307</v>
      </c>
      <c r="F63" s="7" t="str">
        <f>HYPERLINK("http://www.47news.jp/photo/1732725.php","URLを開く")</f>
        <v>URLを開く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</row>
    <row r="64" spans="1:11" x14ac:dyDescent="0.15">
      <c r="A64" s="8" t="s">
        <v>1303</v>
      </c>
      <c r="B64" s="8" t="s">
        <v>1304</v>
      </c>
      <c r="C64" s="15" t="s">
        <v>283</v>
      </c>
      <c r="D64" s="6" t="s">
        <v>1308</v>
      </c>
      <c r="E64" s="6" t="s">
        <v>1309</v>
      </c>
      <c r="F64" s="7" t="str">
        <f>HYPERLINK("https://news.goo.ne.jp/picture/region/okinawa-104706468.html","URLを開く")</f>
        <v>URLを開く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</row>
    <row r="65" spans="1:11" x14ac:dyDescent="0.15">
      <c r="A65" s="8" t="s">
        <v>1303</v>
      </c>
      <c r="B65" s="8" t="s">
        <v>1304</v>
      </c>
      <c r="C65" s="15" t="s">
        <v>182</v>
      </c>
      <c r="D65" s="6" t="s">
        <v>1310</v>
      </c>
      <c r="E65" s="6" t="s">
        <v>1311</v>
      </c>
      <c r="F65" s="7" t="str">
        <f>HYPERLINK("https://headlines.yahoo.co.jp/hl?a=20171002-00150344-okinawat-oki","URLを開く")</f>
        <v>URLを開く</v>
      </c>
      <c r="G65" s="10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</row>
    <row r="66" spans="1:11" x14ac:dyDescent="0.15">
      <c r="A66" s="8" t="s">
        <v>1303</v>
      </c>
      <c r="B66" s="8" t="s">
        <v>1304</v>
      </c>
      <c r="C66" s="15" t="s">
        <v>283</v>
      </c>
      <c r="D66" s="6" t="s">
        <v>1312</v>
      </c>
      <c r="E66" s="6" t="s">
        <v>1313</v>
      </c>
      <c r="F66" s="7" t="str">
        <f>HYPERLINK("https://news.goo.ne.jp/article/okinawa/region/okinawa-104706468.html","URLを開く")</f>
        <v>URLを開く</v>
      </c>
      <c r="G66" s="10" t="s">
        <v>20</v>
      </c>
      <c r="H66" s="10" t="s">
        <v>20</v>
      </c>
      <c r="I66" s="10" t="s">
        <v>20</v>
      </c>
      <c r="J66" s="10" t="s">
        <v>20</v>
      </c>
      <c r="K66" s="10" t="s">
        <v>20</v>
      </c>
    </row>
    <row r="67" spans="1:11" x14ac:dyDescent="0.15">
      <c r="A67" s="8" t="s">
        <v>1303</v>
      </c>
      <c r="B67" s="8" t="s">
        <v>1304</v>
      </c>
      <c r="C67" s="15" t="s">
        <v>286</v>
      </c>
      <c r="D67" s="6" t="s">
        <v>1314</v>
      </c>
      <c r="E67" s="6" t="s">
        <v>1315</v>
      </c>
      <c r="F67" s="7" t="str">
        <f>HYPERLINK("http://topics.smt.docomo.ne.jp/article/okinawa/region/okinawa-104706468?fm=latestnews","URLを開く")</f>
        <v>URLを開く</v>
      </c>
      <c r="G67" s="10" t="s">
        <v>20</v>
      </c>
      <c r="H67" s="10" t="s">
        <v>20</v>
      </c>
      <c r="I67" s="10" t="s">
        <v>20</v>
      </c>
      <c r="J67" s="10" t="s">
        <v>20</v>
      </c>
      <c r="K67" s="10" t="s">
        <v>20</v>
      </c>
    </row>
    <row r="68" spans="1:11" x14ac:dyDescent="0.15">
      <c r="A68" s="8" t="s">
        <v>1303</v>
      </c>
      <c r="B68" s="8" t="s">
        <v>1304</v>
      </c>
      <c r="C68" s="15" t="s">
        <v>1316</v>
      </c>
      <c r="D68" s="6" t="s">
        <v>1317</v>
      </c>
      <c r="E68" s="6" t="s">
        <v>1318</v>
      </c>
      <c r="F68" s="7" t="str">
        <f>HYPERLINK("http://www.okinawatimes.co.jp/articles/-/150344","URLを開く")</f>
        <v>URLを開く</v>
      </c>
      <c r="G68" s="10" t="s">
        <v>20</v>
      </c>
      <c r="H68" s="10" t="s">
        <v>20</v>
      </c>
      <c r="I68" s="10" t="s">
        <v>20</v>
      </c>
      <c r="J68" s="10" t="s">
        <v>20</v>
      </c>
      <c r="K68" s="10" t="s">
        <v>20</v>
      </c>
    </row>
    <row r="69" spans="1:11" x14ac:dyDescent="0.15">
      <c r="A69" s="8" t="s">
        <v>1303</v>
      </c>
      <c r="B69" s="8" t="s">
        <v>1304</v>
      </c>
      <c r="C69" s="15" t="s">
        <v>273</v>
      </c>
      <c r="D69" s="6" t="s">
        <v>1319</v>
      </c>
      <c r="E69" s="6" t="s">
        <v>1320</v>
      </c>
      <c r="F69" s="7" t="str">
        <f>HYPERLINK("http://soonhome.jp/connect/post?id=287528387403252833","URLを開く")</f>
        <v>URLを開く</v>
      </c>
      <c r="G69" s="10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</row>
    <row r="70" spans="1:11" x14ac:dyDescent="0.15">
      <c r="A70" s="1"/>
      <c r="B70" s="1"/>
      <c r="C70" s="16"/>
      <c r="D70" s="1"/>
      <c r="E70" s="1"/>
    </row>
    <row r="71" spans="1:11" x14ac:dyDescent="0.15">
      <c r="A71" s="1"/>
      <c r="B71" s="1"/>
      <c r="C71" s="16"/>
      <c r="D71" s="1"/>
      <c r="E71" s="1"/>
    </row>
    <row r="72" spans="1:11" x14ac:dyDescent="0.15">
      <c r="A72" s="1"/>
      <c r="B72" s="1"/>
      <c r="C72" s="16"/>
      <c r="D72" s="1"/>
      <c r="E72" s="1"/>
    </row>
    <row r="73" spans="1:11" x14ac:dyDescent="0.15">
      <c r="A73" s="1"/>
      <c r="B73" s="1"/>
      <c r="C73" s="16"/>
      <c r="D73" s="1"/>
      <c r="E73" s="1"/>
    </row>
    <row r="74" spans="1:11" x14ac:dyDescent="0.15">
      <c r="A74" s="1"/>
      <c r="B74" s="1"/>
      <c r="C74" s="16"/>
      <c r="D74" s="1"/>
      <c r="E74" s="1"/>
    </row>
    <row r="75" spans="1:11" x14ac:dyDescent="0.15">
      <c r="A75" s="1"/>
      <c r="B75" s="1"/>
      <c r="C75" s="16"/>
      <c r="D75" s="1"/>
      <c r="E75" s="1"/>
    </row>
    <row r="76" spans="1:11" x14ac:dyDescent="0.15">
      <c r="A76" s="1"/>
      <c r="B76" s="1"/>
      <c r="C76" s="16"/>
      <c r="D76" s="1"/>
      <c r="E76" s="1"/>
    </row>
    <row r="77" spans="1:11" x14ac:dyDescent="0.15">
      <c r="A77" s="1"/>
      <c r="B77" s="1"/>
      <c r="C77" s="16"/>
      <c r="D77" s="1"/>
      <c r="E77" s="1"/>
    </row>
    <row r="78" spans="1:11" x14ac:dyDescent="0.15">
      <c r="A78" s="1"/>
      <c r="B78" s="1"/>
      <c r="C78" s="16"/>
      <c r="D78" s="1"/>
      <c r="E78" s="1"/>
    </row>
  </sheetData>
  <mergeCells count="3">
    <mergeCell ref="B1:D1"/>
    <mergeCell ref="B2:D2"/>
    <mergeCell ref="E4:F4"/>
  </mergeCells>
  <phoneticPr fontId="2"/>
  <pageMargins left="0.23622047244094491" right="0.23622047244094491" top="0.70866141732283472" bottom="0.70866141732283472" header="0.31496062992125984" footer="0.31496062992125984"/>
  <pageSetup paperSize="9" scale="75" fitToHeight="0" orientation="landscape" r:id="rId1"/>
  <headerFooter>
    <oddFooter>&amp;P / &amp;N ページ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"/>
  <sheetViews>
    <sheetView workbookViewId="0"/>
  </sheetViews>
  <sheetFormatPr defaultColWidth="11" defaultRowHeight="13.5" x14ac:dyDescent="0.15"/>
  <sheetData>
    <row r="3" spans="2:2" x14ac:dyDescent="0.15">
      <c r="B3" t="s">
        <v>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70" zoomScaleNormal="70" workbookViewId="0">
      <selection activeCell="C17" sqref="C17"/>
    </sheetView>
  </sheetViews>
  <sheetFormatPr defaultColWidth="11" defaultRowHeight="13.5" x14ac:dyDescent="0.15"/>
  <cols>
    <col min="1" max="2" width="11.75" customWidth="1"/>
    <col min="3" max="3" width="29" style="17" customWidth="1"/>
    <col min="4" max="4" width="47.25" customWidth="1"/>
    <col min="5" max="6" width="8.75" customWidth="1"/>
    <col min="7" max="12" width="11" customWidth="1"/>
  </cols>
  <sheetData>
    <row r="1" spans="1:11" s="3" customFormat="1" ht="36" customHeight="1" x14ac:dyDescent="0.15">
      <c r="A1" s="2" t="s">
        <v>1</v>
      </c>
      <c r="B1" s="32" t="s">
        <v>9</v>
      </c>
      <c r="C1" s="32"/>
      <c r="D1" s="33"/>
    </row>
    <row r="2" spans="1:11" s="3" customFormat="1" ht="36" customHeight="1" x14ac:dyDescent="0.15">
      <c r="A2" s="14" t="s">
        <v>8</v>
      </c>
      <c r="B2" s="34">
        <v>48</v>
      </c>
      <c r="C2" s="34"/>
      <c r="D2" s="33"/>
    </row>
    <row r="3" spans="1:11" s="3" customFormat="1" ht="36" customHeight="1" x14ac:dyDescent="0.15">
      <c r="B3" s="18"/>
      <c r="C3" s="18"/>
      <c r="D3" s="18"/>
      <c r="G3" s="11" t="s">
        <v>7</v>
      </c>
      <c r="H3" s="12"/>
      <c r="I3" s="12"/>
      <c r="J3" s="12"/>
      <c r="K3" s="12"/>
    </row>
    <row r="4" spans="1:11" s="4" customFormat="1" ht="35.25" customHeight="1" x14ac:dyDescent="0.15">
      <c r="A4" s="5" t="s">
        <v>1398</v>
      </c>
      <c r="B4" s="19" t="s">
        <v>6</v>
      </c>
      <c r="C4" s="19" t="s">
        <v>1399</v>
      </c>
      <c r="D4" s="20" t="s">
        <v>1400</v>
      </c>
      <c r="E4" s="30" t="s">
        <v>1401</v>
      </c>
      <c r="F4" s="31"/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pans="1:11" x14ac:dyDescent="0.15">
      <c r="A5" s="8" t="s">
        <v>1321</v>
      </c>
      <c r="B5" s="8" t="s">
        <v>1322</v>
      </c>
      <c r="C5" s="15" t="s">
        <v>403</v>
      </c>
      <c r="D5" s="6" t="s">
        <v>1323</v>
      </c>
      <c r="E5" s="6" t="s">
        <v>1324</v>
      </c>
      <c r="F5" s="7" t="str">
        <f>HYPERLINK("http://news.livedoor.com/article/detail/13844697/","URLを開く")</f>
        <v>URLを開く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20</v>
      </c>
    </row>
    <row r="6" spans="1:11" x14ac:dyDescent="0.15">
      <c r="A6" s="8" t="s">
        <v>1321</v>
      </c>
      <c r="B6" s="8" t="s">
        <v>1322</v>
      </c>
      <c r="C6" s="15" t="s">
        <v>550</v>
      </c>
      <c r="D6" s="6" t="s">
        <v>1323</v>
      </c>
      <c r="E6" s="6" t="s">
        <v>1325</v>
      </c>
      <c r="F6" s="7" t="str">
        <f>HYPERLINK(" "," ")</f>
        <v xml:space="preserve"> 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</row>
    <row r="7" spans="1:11" x14ac:dyDescent="0.15">
      <c r="A7" s="8" t="s">
        <v>1321</v>
      </c>
      <c r="B7" s="8" t="s">
        <v>1322</v>
      </c>
      <c r="C7" s="15" t="s">
        <v>331</v>
      </c>
      <c r="D7" s="6" t="s">
        <v>1323</v>
      </c>
      <c r="E7" s="6" t="s">
        <v>1326</v>
      </c>
      <c r="F7" s="7" t="str">
        <f>HYPERLINK("http://www.sankei.com/west/news/171104/wst1711040031-n1.html","URLを開く")</f>
        <v>URLを開く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</row>
    <row r="8" spans="1:11" x14ac:dyDescent="0.15">
      <c r="A8" s="8" t="s">
        <v>1321</v>
      </c>
      <c r="B8" s="8" t="s">
        <v>1322</v>
      </c>
      <c r="C8" s="15" t="s">
        <v>283</v>
      </c>
      <c r="D8" s="6" t="s">
        <v>1327</v>
      </c>
      <c r="E8" s="6" t="s">
        <v>1328</v>
      </c>
      <c r="F8" s="7" t="str">
        <f>HYPERLINK("https://news.goo.ne.jp/picture/nation/sankei-wst1711040031.html","URLを開く")</f>
        <v>URLを開く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</row>
    <row r="9" spans="1:11" x14ac:dyDescent="0.15">
      <c r="A9" s="8" t="s">
        <v>1321</v>
      </c>
      <c r="B9" s="8" t="s">
        <v>1322</v>
      </c>
      <c r="C9" s="15" t="s">
        <v>283</v>
      </c>
      <c r="D9" s="6" t="s">
        <v>1329</v>
      </c>
      <c r="E9" s="6" t="s">
        <v>1330</v>
      </c>
      <c r="F9" s="7" t="str">
        <f>HYPERLINK("https://news.goo.ne.jp/article/sankei/nation/sankei-wst1711040031.html","URLを開く")</f>
        <v>URLを開く</v>
      </c>
      <c r="G9" s="10" t="s">
        <v>20</v>
      </c>
      <c r="H9" s="10" t="s">
        <v>20</v>
      </c>
      <c r="I9" s="10" t="s">
        <v>20</v>
      </c>
      <c r="J9" s="10" t="s">
        <v>20</v>
      </c>
      <c r="K9" s="10" t="s">
        <v>20</v>
      </c>
    </row>
    <row r="10" spans="1:11" x14ac:dyDescent="0.15">
      <c r="A10" s="8" t="s">
        <v>1321</v>
      </c>
      <c r="B10" s="8" t="s">
        <v>1322</v>
      </c>
      <c r="C10" s="15" t="s">
        <v>286</v>
      </c>
      <c r="D10" s="6" t="s">
        <v>1331</v>
      </c>
      <c r="E10" s="6" t="s">
        <v>1332</v>
      </c>
      <c r="F10" s="7" t="str">
        <f>HYPERLINK("http://topics.smt.docomo.ne.jp/article/sankei/nation/sankei-wst1711040031?fm=latestnews","URLを開く")</f>
        <v>URLを開く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</row>
    <row r="11" spans="1:11" x14ac:dyDescent="0.15">
      <c r="A11" s="8" t="s">
        <v>1321</v>
      </c>
      <c r="B11" s="8" t="s">
        <v>1322</v>
      </c>
      <c r="C11" s="15" t="s">
        <v>1333</v>
      </c>
      <c r="D11" s="6" t="s">
        <v>1334</v>
      </c>
      <c r="E11" s="6" t="s">
        <v>1335</v>
      </c>
      <c r="F11" s="7" t="str">
        <f>HYPERLINK("http://times.sanpou-s.net/detail/pid-33/","URLを開く")</f>
        <v>URLを開く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</row>
    <row r="12" spans="1:11" x14ac:dyDescent="0.15">
      <c r="A12" s="8" t="s">
        <v>1336</v>
      </c>
      <c r="B12" s="8" t="s">
        <v>1321</v>
      </c>
      <c r="C12" s="15" t="s">
        <v>591</v>
      </c>
      <c r="D12" s="6" t="s">
        <v>1337</v>
      </c>
      <c r="E12" s="6" t="s">
        <v>1338</v>
      </c>
      <c r="F12" s="7" t="str">
        <f>HYPERLINK("http://www.jrt.co.jp/nnn/news8789105.html","URLを開く")</f>
        <v>URLを開く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</row>
    <row r="13" spans="1:11" x14ac:dyDescent="0.15">
      <c r="A13" s="8" t="s">
        <v>1336</v>
      </c>
      <c r="B13" s="8" t="s">
        <v>1321</v>
      </c>
      <c r="C13" s="15" t="s">
        <v>593</v>
      </c>
      <c r="D13" s="6" t="s">
        <v>1337</v>
      </c>
      <c r="E13" s="6" t="s">
        <v>1339</v>
      </c>
      <c r="F13" s="7" t="str">
        <f>HYPERLINK("http://www.kkt.jp/news/nnn/news8789105.html","URLを開く")</f>
        <v>URLを開く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</row>
    <row r="14" spans="1:11" x14ac:dyDescent="0.15">
      <c r="A14" s="8" t="s">
        <v>1336</v>
      </c>
      <c r="B14" s="8" t="s">
        <v>1321</v>
      </c>
      <c r="C14" s="15" t="s">
        <v>595</v>
      </c>
      <c r="D14" s="6" t="s">
        <v>1337</v>
      </c>
      <c r="E14" s="6" t="s">
        <v>1340</v>
      </c>
      <c r="F14" s="7" t="str">
        <f>HYPERLINK("http://kry.co.jp/news/news8789105.html","URLを開く")</f>
        <v>URLを開く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</row>
    <row r="15" spans="1:11" x14ac:dyDescent="0.15">
      <c r="A15" s="8" t="s">
        <v>1336</v>
      </c>
      <c r="B15" s="8" t="s">
        <v>1321</v>
      </c>
      <c r="C15" s="15" t="s">
        <v>597</v>
      </c>
      <c r="D15" s="6" t="s">
        <v>1337</v>
      </c>
      <c r="E15" s="6" t="s">
        <v>1341</v>
      </c>
      <c r="F15" s="7" t="str">
        <f>HYPERLINK("http://www.kyt-tv.com/nnn/news8789105.html","URLを開く")</f>
        <v>URLを開く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</row>
    <row r="16" spans="1:11" x14ac:dyDescent="0.15">
      <c r="A16" s="8" t="s">
        <v>1336</v>
      </c>
      <c r="B16" s="8" t="s">
        <v>1321</v>
      </c>
      <c r="C16" s="15" t="s">
        <v>599</v>
      </c>
      <c r="D16" s="6" t="s">
        <v>1337</v>
      </c>
      <c r="E16" s="6" t="s">
        <v>1342</v>
      </c>
      <c r="F16" s="7" t="str">
        <f>HYPERLINK("http://www.nib.jp/nnn/news8789105.html","URLを開く")</f>
        <v>URLを開く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</row>
    <row r="17" spans="1:11" x14ac:dyDescent="0.15">
      <c r="A17" s="8" t="s">
        <v>1336</v>
      </c>
      <c r="B17" s="8" t="s">
        <v>1321</v>
      </c>
      <c r="C17" s="15" t="s">
        <v>1343</v>
      </c>
      <c r="D17" s="6" t="s">
        <v>1337</v>
      </c>
      <c r="E17" s="6" t="s">
        <v>1344</v>
      </c>
      <c r="F17" s="7" t="str">
        <f>HYPERLINK("http://www.teny.co.jp/nnn/news8789105.html","URLを開く")</f>
        <v>URLを開く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</row>
    <row r="18" spans="1:11" x14ac:dyDescent="0.15">
      <c r="A18" s="8" t="s">
        <v>1336</v>
      </c>
      <c r="B18" s="8" t="s">
        <v>1321</v>
      </c>
      <c r="C18" s="15" t="s">
        <v>601</v>
      </c>
      <c r="D18" s="6" t="s">
        <v>1337</v>
      </c>
      <c r="E18" s="6" t="s">
        <v>1345</v>
      </c>
      <c r="F18" s="7" t="str">
        <f>HYPERLINK("http://www.ybc.co.jp/nnn/news8789105.html","URLを開く")</f>
        <v>URLを開く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</row>
    <row r="19" spans="1:11" x14ac:dyDescent="0.15">
      <c r="A19" s="8" t="s">
        <v>1336</v>
      </c>
      <c r="B19" s="8" t="s">
        <v>1321</v>
      </c>
      <c r="C19" s="15" t="s">
        <v>603</v>
      </c>
      <c r="D19" s="6" t="s">
        <v>1337</v>
      </c>
      <c r="E19" s="6" t="s">
        <v>1346</v>
      </c>
      <c r="F19" s="7" t="str">
        <f>HYPERLINK("http://www.tsb.jp/news/nnn/news8789105.html","URLを開く")</f>
        <v>URLを開く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</row>
    <row r="20" spans="1:11" x14ac:dyDescent="0.15">
      <c r="A20" s="8" t="s">
        <v>1336</v>
      </c>
      <c r="B20" s="8" t="s">
        <v>1321</v>
      </c>
      <c r="C20" s="15" t="s">
        <v>605</v>
      </c>
      <c r="D20" s="6" t="s">
        <v>1337</v>
      </c>
      <c r="E20" s="6" t="s">
        <v>1347</v>
      </c>
      <c r="F20" s="7" t="str">
        <f>HYPERLINK("http://www.rnb.co.jp/nnn/news8789105.html","URLを開く")</f>
        <v>URLを開く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</row>
    <row r="21" spans="1:11" x14ac:dyDescent="0.15">
      <c r="A21" s="8" t="s">
        <v>1336</v>
      </c>
      <c r="B21" s="8" t="s">
        <v>1321</v>
      </c>
      <c r="C21" s="15" t="s">
        <v>558</v>
      </c>
      <c r="D21" s="6" t="s">
        <v>1337</v>
      </c>
      <c r="E21" s="6" t="s">
        <v>1348</v>
      </c>
      <c r="F21" s="7" t="str">
        <f>HYPERLINK("http://www.htv.jp/nnn/news8789105.html","URLを開く")</f>
        <v>URLを開く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</row>
    <row r="22" spans="1:11" x14ac:dyDescent="0.15">
      <c r="A22" s="8" t="s">
        <v>1336</v>
      </c>
      <c r="B22" s="8" t="s">
        <v>1321</v>
      </c>
      <c r="C22" s="15" t="s">
        <v>607</v>
      </c>
      <c r="D22" s="6" t="s">
        <v>1337</v>
      </c>
      <c r="E22" s="6" t="s">
        <v>1349</v>
      </c>
      <c r="F22" s="7" t="str">
        <f>HYPERLINK("http://www.nkt-tv.co.jp/pc-news/news8789105.html","URLを開く")</f>
        <v>URLを開く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</row>
    <row r="23" spans="1:11" x14ac:dyDescent="0.15">
      <c r="A23" s="8" t="s">
        <v>1336</v>
      </c>
      <c r="B23" s="8" t="s">
        <v>1321</v>
      </c>
      <c r="C23" s="15" t="s">
        <v>609</v>
      </c>
      <c r="D23" s="6" t="s">
        <v>1337</v>
      </c>
      <c r="E23" s="6" t="s">
        <v>1350</v>
      </c>
      <c r="F23" s="7" t="str">
        <f>HYPERLINK("http://www.fct.co.jp/nnn_news/news8789105.html","URLを開く")</f>
        <v>URLを開く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</row>
    <row r="24" spans="1:11" x14ac:dyDescent="0.15">
      <c r="A24" s="8" t="s">
        <v>1336</v>
      </c>
      <c r="B24" s="8" t="s">
        <v>1321</v>
      </c>
      <c r="C24" s="15" t="s">
        <v>611</v>
      </c>
      <c r="D24" s="6" t="s">
        <v>1351</v>
      </c>
      <c r="E24" s="6" t="s">
        <v>1352</v>
      </c>
      <c r="F24" s="7" t="str">
        <f>HYPERLINK("http://www.news24.jp/nnn/news8789105.html","URLを開く")</f>
        <v>URLを開く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</row>
    <row r="25" spans="1:11" x14ac:dyDescent="0.15">
      <c r="A25" s="8" t="s">
        <v>1336</v>
      </c>
      <c r="B25" s="8" t="s">
        <v>1321</v>
      </c>
      <c r="C25" s="15" t="s">
        <v>43</v>
      </c>
      <c r="D25" s="6" t="s">
        <v>1334</v>
      </c>
      <c r="E25" s="6" t="s">
        <v>1353</v>
      </c>
      <c r="F25" s="7" t="str">
        <f>HYPERLINK("https://news.biglobe.ne.jp/economy/1103/atp_171103_1253704919.html","URLを開く")</f>
        <v>URLを開く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</row>
    <row r="26" spans="1:11" x14ac:dyDescent="0.15">
      <c r="A26" s="8" t="s">
        <v>1336</v>
      </c>
      <c r="B26" s="8" t="s">
        <v>1321</v>
      </c>
      <c r="C26" s="15" t="s">
        <v>34</v>
      </c>
      <c r="D26" s="6" t="s">
        <v>1334</v>
      </c>
      <c r="E26" s="6" t="s">
        <v>1354</v>
      </c>
      <c r="F26" s="7" t="str">
        <f>HYPERLINK("http://www.kigyou-sns.com/press/press_239592/","URLを開く")</f>
        <v>URLを開く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</row>
    <row r="27" spans="1:11" x14ac:dyDescent="0.15">
      <c r="A27" s="8" t="s">
        <v>1336</v>
      </c>
      <c r="B27" s="8" t="s">
        <v>1321</v>
      </c>
      <c r="C27" s="15" t="s">
        <v>494</v>
      </c>
      <c r="D27" s="6" t="s">
        <v>1355</v>
      </c>
      <c r="E27" s="6" t="s">
        <v>1356</v>
      </c>
      <c r="F27" s="7" t="str">
        <f>HYPERLINK("http://www.biz-hacks.com/pressrelease/?id=71960","URLを開く")</f>
        <v>URLを開く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</row>
    <row r="28" spans="1:11" x14ac:dyDescent="0.15">
      <c r="A28" s="8" t="s">
        <v>1336</v>
      </c>
      <c r="B28" s="8" t="s">
        <v>1321</v>
      </c>
      <c r="C28" s="15" t="s">
        <v>23</v>
      </c>
      <c r="D28" s="6" t="s">
        <v>1357</v>
      </c>
      <c r="E28" s="6" t="s">
        <v>1358</v>
      </c>
      <c r="F28" s="7" t="str">
        <f>HYPERLINK("http://www.bizloop.jp/release/AT141938/","URLを開く")</f>
        <v>URLを開く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</row>
    <row r="29" spans="1:11" x14ac:dyDescent="0.15">
      <c r="A29" s="8" t="s">
        <v>1359</v>
      </c>
      <c r="B29" s="8" t="s">
        <v>1336</v>
      </c>
      <c r="C29" s="15" t="s">
        <v>60</v>
      </c>
      <c r="D29" s="6" t="s">
        <v>1360</v>
      </c>
      <c r="E29" s="6" t="s">
        <v>1361</v>
      </c>
      <c r="F29" s="7" t="str">
        <f>HYPERLINK("http://www.asahi.com/and_M/information/pressrelease/CATP2017141938.html","URLを開く")</f>
        <v>URLを開く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</row>
    <row r="30" spans="1:11" x14ac:dyDescent="0.15">
      <c r="A30" s="8" t="s">
        <v>1359</v>
      </c>
      <c r="B30" s="8" t="s">
        <v>1336</v>
      </c>
      <c r="C30" s="15" t="s">
        <v>40</v>
      </c>
      <c r="D30" s="6" t="s">
        <v>1334</v>
      </c>
      <c r="E30" s="6" t="s">
        <v>1362</v>
      </c>
      <c r="F30" s="7" t="str">
        <f>HYPERLINK("https://business.nifty.com/cs/catalog/business_release/catalog_atp141938_1.htm","URLを開く")</f>
        <v>URLを開く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</row>
    <row r="31" spans="1:11" x14ac:dyDescent="0.15">
      <c r="A31" s="8" t="s">
        <v>1359</v>
      </c>
      <c r="B31" s="8" t="s">
        <v>1336</v>
      </c>
      <c r="C31" s="15" t="s">
        <v>48</v>
      </c>
      <c r="D31" s="6" t="s">
        <v>1334</v>
      </c>
      <c r="E31" s="6" t="s">
        <v>1363</v>
      </c>
      <c r="F31" s="7" t="str">
        <f>HYPERLINK("https://news.infoseek.co.jp/article/atpress_141938/","URLを開く")</f>
        <v>URLを開く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</row>
    <row r="32" spans="1:11" x14ac:dyDescent="0.15">
      <c r="A32" s="8" t="s">
        <v>1359</v>
      </c>
      <c r="B32" s="8" t="s">
        <v>1336</v>
      </c>
      <c r="C32" s="15" t="s">
        <v>50</v>
      </c>
      <c r="D32" s="6" t="s">
        <v>1334</v>
      </c>
      <c r="E32" s="6" t="s">
        <v>1364</v>
      </c>
      <c r="F32" s="7" t="str">
        <f>HYPERLINK("https://markezine.jp/release/detail/815305","URLを開く")</f>
        <v>URLを開く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</row>
    <row r="33" spans="1:11" x14ac:dyDescent="0.15">
      <c r="A33" s="8" t="s">
        <v>1359</v>
      </c>
      <c r="B33" s="8" t="s">
        <v>1336</v>
      </c>
      <c r="C33" s="15" t="s">
        <v>52</v>
      </c>
      <c r="D33" s="6" t="s">
        <v>1334</v>
      </c>
      <c r="E33" s="6" t="s">
        <v>1365</v>
      </c>
      <c r="F33" s="7" t="str">
        <f>HYPERLINK("https://news.nplus-inc.co.jp/index.php?action=ViewDetail&amp;number=401099","URLを開く")</f>
        <v>URLを開く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</row>
    <row r="34" spans="1:11" x14ac:dyDescent="0.15">
      <c r="A34" s="8" t="s">
        <v>1359</v>
      </c>
      <c r="B34" s="8" t="s">
        <v>1336</v>
      </c>
      <c r="C34" s="15" t="s">
        <v>408</v>
      </c>
      <c r="D34" s="6" t="s">
        <v>1334</v>
      </c>
      <c r="E34" s="6" t="s">
        <v>1366</v>
      </c>
      <c r="F34" s="7" t="str">
        <f>HYPERLINK("http://www.sankeibiz.jp/business/news/171102/prl1711021808169-n1.htm","URLを開く")</f>
        <v>URLを開く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</row>
    <row r="35" spans="1:11" x14ac:dyDescent="0.15">
      <c r="A35" s="8" t="s">
        <v>1359</v>
      </c>
      <c r="B35" s="8" t="s">
        <v>1336</v>
      </c>
      <c r="C35" s="15" t="s">
        <v>513</v>
      </c>
      <c r="D35" s="6" t="s">
        <v>1334</v>
      </c>
      <c r="E35" s="6" t="s">
        <v>1367</v>
      </c>
      <c r="F35" s="7" t="str">
        <f>HYPERLINK("http://www.sanspo.com/geino/news/20171102/prl17110218080150-n1.html","URLを開く")</f>
        <v>URLを開く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</row>
    <row r="36" spans="1:11" x14ac:dyDescent="0.15">
      <c r="A36" s="8" t="s">
        <v>1359</v>
      </c>
      <c r="B36" s="8" t="s">
        <v>1336</v>
      </c>
      <c r="C36" s="15" t="s">
        <v>37</v>
      </c>
      <c r="D36" s="6" t="s">
        <v>1334</v>
      </c>
      <c r="E36" s="6" t="s">
        <v>1368</v>
      </c>
      <c r="F36" s="7" t="str">
        <f>HYPERLINK("http://www.seotools.jp/news/id_at_141938.html","URLを開く")</f>
        <v>URLを開く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</row>
    <row r="37" spans="1:11" x14ac:dyDescent="0.15">
      <c r="A37" s="8" t="s">
        <v>1359</v>
      </c>
      <c r="B37" s="8" t="s">
        <v>1336</v>
      </c>
      <c r="C37" s="15" t="s">
        <v>516</v>
      </c>
      <c r="D37" s="6" t="s">
        <v>1334</v>
      </c>
      <c r="E37" s="6" t="s">
        <v>1369</v>
      </c>
      <c r="F37" s="7" t="str">
        <f>HYPERLINK("http://www.zakzak.co.jp/eco/news/171102/prl1711020150-n1.html","URLを開く")</f>
        <v>URLを開く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</row>
    <row r="38" spans="1:11" x14ac:dyDescent="0.15">
      <c r="A38" s="8" t="s">
        <v>1359</v>
      </c>
      <c r="B38" s="8" t="s">
        <v>1336</v>
      </c>
      <c r="C38" s="15" t="s">
        <v>519</v>
      </c>
      <c r="D38" s="6" t="s">
        <v>1334</v>
      </c>
      <c r="E38" s="6" t="s">
        <v>1370</v>
      </c>
      <c r="F38" s="7" t="str">
        <f>HYPERLINK("https://resemom.jp/feature/newsrelease/atpress/press_detail.html?pr_id=141938&amp;charset=UTF-8","URLを開く")</f>
        <v>URLを開く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</row>
    <row r="39" spans="1:11" x14ac:dyDescent="0.15">
      <c r="A39" s="8" t="s">
        <v>1359</v>
      </c>
      <c r="B39" s="8" t="s">
        <v>1336</v>
      </c>
      <c r="C39" s="15" t="s">
        <v>521</v>
      </c>
      <c r="D39" s="6" t="s">
        <v>1334</v>
      </c>
      <c r="E39" s="6" t="s">
        <v>1371</v>
      </c>
      <c r="F39" s="7" t="str">
        <f>HYPERLINK("http://www.topsalesman.net/press/index.php?id=151258","URLを開く")</f>
        <v>URLを開く</v>
      </c>
      <c r="G39" s="10" t="s">
        <v>20</v>
      </c>
      <c r="H39" s="10" t="s">
        <v>20</v>
      </c>
      <c r="I39" s="10" t="s">
        <v>20</v>
      </c>
      <c r="J39" s="10" t="s">
        <v>20</v>
      </c>
      <c r="K39" s="10" t="s">
        <v>20</v>
      </c>
    </row>
    <row r="40" spans="1:11" x14ac:dyDescent="0.15">
      <c r="A40" s="8" t="s">
        <v>1359</v>
      </c>
      <c r="B40" s="8" t="s">
        <v>1336</v>
      </c>
      <c r="C40" s="15" t="s">
        <v>58</v>
      </c>
      <c r="D40" s="6" t="s">
        <v>1334</v>
      </c>
      <c r="E40" s="6" t="s">
        <v>1372</v>
      </c>
      <c r="F40" s="7" t="str">
        <f>HYPERLINK("http://www.topics.or.jp/press/news/2017/11/Atpress141938.html","URLを開く")</f>
        <v>URLを開く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</row>
    <row r="41" spans="1:11" x14ac:dyDescent="0.15">
      <c r="A41" s="8" t="s">
        <v>1359</v>
      </c>
      <c r="B41" s="8" t="s">
        <v>1336</v>
      </c>
      <c r="C41" s="15" t="s">
        <v>333</v>
      </c>
      <c r="D41" s="6" t="s">
        <v>1334</v>
      </c>
      <c r="E41" s="6" t="s">
        <v>1373</v>
      </c>
      <c r="F41" s="7" t="str">
        <f>HYPERLINK("http://www.zaikei.co.jp/releases/548434/","URLを開く")</f>
        <v>URLを開く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</row>
    <row r="42" spans="1:11" x14ac:dyDescent="0.15">
      <c r="A42" s="8" t="s">
        <v>1359</v>
      </c>
      <c r="B42" s="8" t="s">
        <v>1336</v>
      </c>
      <c r="C42" s="15" t="s">
        <v>64</v>
      </c>
      <c r="D42" s="6" t="s">
        <v>1374</v>
      </c>
      <c r="E42" s="6" t="s">
        <v>1375</v>
      </c>
      <c r="F42" s="7" t="str">
        <f>HYPERLINK("http://www.excite.co.jp/News/release/20171102/Atpress_141938.html","URLを開く")</f>
        <v>URLを開く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</row>
    <row r="43" spans="1:11" x14ac:dyDescent="0.15">
      <c r="A43" s="8" t="s">
        <v>1359</v>
      </c>
      <c r="B43" s="8" t="s">
        <v>1336</v>
      </c>
      <c r="C43" s="15" t="s">
        <v>67</v>
      </c>
      <c r="D43" s="6" t="s">
        <v>1376</v>
      </c>
      <c r="E43" s="6" t="s">
        <v>1377</v>
      </c>
      <c r="F43" s="7" t="str">
        <f>HYPERLINK("http://home.kingsoft.jp/news/pr/atpress/141938.html","URLを開く")</f>
        <v>URLを開く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</row>
    <row r="44" spans="1:11" x14ac:dyDescent="0.15">
      <c r="A44" s="8" t="s">
        <v>1359</v>
      </c>
      <c r="B44" s="8" t="s">
        <v>1336</v>
      </c>
      <c r="C44" s="15" t="s">
        <v>70</v>
      </c>
      <c r="D44" s="6" t="s">
        <v>1378</v>
      </c>
      <c r="E44" s="6" t="s">
        <v>1379</v>
      </c>
      <c r="F44" s="7" t="str">
        <f>HYPERLINK("http://news.toremaga.com/nation/eco/1030845.html","URLを開く")</f>
        <v>URLを開く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</row>
    <row r="45" spans="1:11" x14ac:dyDescent="0.15">
      <c r="A45" s="8" t="s">
        <v>1359</v>
      </c>
      <c r="B45" s="8" t="s">
        <v>1336</v>
      </c>
      <c r="C45" s="15" t="s">
        <v>1380</v>
      </c>
      <c r="D45" s="6" t="s">
        <v>1381</v>
      </c>
      <c r="E45" s="6" t="s">
        <v>1382</v>
      </c>
      <c r="F45" s="7" t="str">
        <f>HYPERLINK("http://www.livehouse.com/live/newspin/key/141938/","URLを開く")</f>
        <v>URLを開く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</row>
    <row r="46" spans="1:11" x14ac:dyDescent="0.15">
      <c r="A46" s="8" t="s">
        <v>1359</v>
      </c>
      <c r="B46" s="8" t="s">
        <v>1336</v>
      </c>
      <c r="C46" s="15" t="s">
        <v>73</v>
      </c>
      <c r="D46" s="6" t="s">
        <v>1383</v>
      </c>
      <c r="E46" s="6" t="s">
        <v>1384</v>
      </c>
      <c r="F46" s="7" t="str">
        <f>HYPERLINK("http://www.mapion.co.jp/news/release/ap141938-all/","URLを開く")</f>
        <v>URLを開く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</row>
    <row r="47" spans="1:11" x14ac:dyDescent="0.15">
      <c r="A47" s="8" t="s">
        <v>1359</v>
      </c>
      <c r="B47" s="8" t="s">
        <v>1336</v>
      </c>
      <c r="C47" s="15" t="s">
        <v>1385</v>
      </c>
      <c r="D47" s="6" t="s">
        <v>1386</v>
      </c>
      <c r="E47" s="6" t="s">
        <v>1387</v>
      </c>
      <c r="F47" s="7" t="str">
        <f>HYPERLINK("http://marriage-blog.info/27948.html","URLを開く")</f>
        <v>URLを開く</v>
      </c>
      <c r="G47" s="10" t="s">
        <v>20</v>
      </c>
      <c r="H47" s="10" t="s">
        <v>20</v>
      </c>
      <c r="I47" s="10" t="s">
        <v>20</v>
      </c>
      <c r="J47" s="10" t="s">
        <v>897</v>
      </c>
      <c r="K47" s="10" t="s">
        <v>20</v>
      </c>
    </row>
    <row r="48" spans="1:11" x14ac:dyDescent="0.15">
      <c r="A48" s="8" t="s">
        <v>1359</v>
      </c>
      <c r="B48" s="8" t="s">
        <v>1336</v>
      </c>
      <c r="C48" s="15" t="s">
        <v>182</v>
      </c>
      <c r="D48" s="6" t="s">
        <v>1388</v>
      </c>
      <c r="E48" s="6" t="s">
        <v>1389</v>
      </c>
      <c r="F48" s="7" t="str">
        <f>HYPERLINK("https://headlines.yahoo.co.jp/hl?a=20171102-02407301-ehime-l38","URLを開く")</f>
        <v>URLを開く</v>
      </c>
      <c r="G48" s="10" t="s">
        <v>20</v>
      </c>
      <c r="H48" s="10" t="s">
        <v>20</v>
      </c>
      <c r="I48" s="10" t="s">
        <v>20</v>
      </c>
      <c r="J48" s="10" t="s">
        <v>20</v>
      </c>
      <c r="K48" s="10" t="s">
        <v>20</v>
      </c>
    </row>
    <row r="49" spans="1:11" x14ac:dyDescent="0.15">
      <c r="A49" s="8" t="s">
        <v>1359</v>
      </c>
      <c r="B49" s="8" t="s">
        <v>1336</v>
      </c>
      <c r="C49" s="15" t="s">
        <v>268</v>
      </c>
      <c r="D49" s="6" t="s">
        <v>1390</v>
      </c>
      <c r="E49" s="6" t="s">
        <v>1391</v>
      </c>
      <c r="F49" s="7" t="str">
        <f>HYPERLINK("http://www.47news.jp/localnews/ehime/2017/11/post_20171102172150.html","URLを開く")</f>
        <v>URLを開く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</row>
    <row r="50" spans="1:11" x14ac:dyDescent="0.15">
      <c r="A50" s="8" t="s">
        <v>1359</v>
      </c>
      <c r="B50" s="8" t="s">
        <v>1336</v>
      </c>
      <c r="C50" s="15" t="s">
        <v>283</v>
      </c>
      <c r="D50" s="6" t="s">
        <v>1392</v>
      </c>
      <c r="E50" s="6" t="s">
        <v>1393</v>
      </c>
      <c r="F50" s="7" t="str">
        <f>HYPERLINK("https://news.goo.ne.jp/article/ehimenp/region/ehimenp-news201711024073.html","URLを開く")</f>
        <v>URLを開く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</row>
    <row r="51" spans="1:11" x14ac:dyDescent="0.15">
      <c r="A51" s="8" t="s">
        <v>1359</v>
      </c>
      <c r="B51" s="8" t="s">
        <v>1336</v>
      </c>
      <c r="C51" s="15" t="s">
        <v>286</v>
      </c>
      <c r="D51" s="6" t="s">
        <v>1394</v>
      </c>
      <c r="E51" s="6" t="s">
        <v>1395</v>
      </c>
      <c r="F51" s="7" t="str">
        <f>HYPERLINK("http://topics.smt.docomo.ne.jp/article/ehimenp/region/ehimenp-news201711024073?fm=latestnews","URLを開く")</f>
        <v>URLを開く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</row>
    <row r="52" spans="1:11" x14ac:dyDescent="0.15">
      <c r="A52" s="8" t="s">
        <v>1359</v>
      </c>
      <c r="B52" s="8" t="s">
        <v>1336</v>
      </c>
      <c r="C52" s="15" t="s">
        <v>500</v>
      </c>
      <c r="D52" s="6" t="s">
        <v>1396</v>
      </c>
      <c r="E52" s="6" t="s">
        <v>1397</v>
      </c>
      <c r="F52" s="7" t="str">
        <f>HYPERLINK("https://www.ehime-np.co.jp/article/news201711024073","URLを開く")</f>
        <v>URLを開く</v>
      </c>
      <c r="G52" s="10" t="s">
        <v>20</v>
      </c>
      <c r="H52" s="10" t="s">
        <v>20</v>
      </c>
      <c r="I52" s="10" t="s">
        <v>20</v>
      </c>
      <c r="J52" s="10" t="s">
        <v>20</v>
      </c>
      <c r="K52" s="10" t="s">
        <v>20</v>
      </c>
    </row>
    <row r="53" spans="1:11" x14ac:dyDescent="0.15">
      <c r="A53" s="9"/>
      <c r="B53" s="9"/>
      <c r="C53" s="16"/>
      <c r="D53" s="1"/>
      <c r="E53" s="1"/>
      <c r="F53" s="1"/>
    </row>
    <row r="54" spans="1:11" x14ac:dyDescent="0.15">
      <c r="A54" s="1"/>
      <c r="B54" s="1"/>
      <c r="C54" s="16"/>
      <c r="D54" s="1"/>
      <c r="E54" s="1"/>
    </row>
    <row r="55" spans="1:11" x14ac:dyDescent="0.15">
      <c r="A55" s="1"/>
      <c r="B55" s="1"/>
      <c r="C55" s="16"/>
      <c r="D55" s="1"/>
      <c r="E55" s="1"/>
    </row>
    <row r="56" spans="1:11" x14ac:dyDescent="0.15">
      <c r="A56" s="1"/>
      <c r="B56" s="1"/>
      <c r="C56" s="16"/>
      <c r="D56" s="1"/>
      <c r="E56" s="1"/>
    </row>
    <row r="57" spans="1:11" x14ac:dyDescent="0.15">
      <c r="A57" s="1"/>
      <c r="B57" s="1"/>
      <c r="C57" s="16"/>
      <c r="D57" s="1"/>
      <c r="E57" s="1"/>
    </row>
    <row r="58" spans="1:11" x14ac:dyDescent="0.15">
      <c r="A58" s="1"/>
      <c r="B58" s="1"/>
      <c r="C58" s="16"/>
      <c r="D58" s="1"/>
      <c r="E58" s="1"/>
    </row>
    <row r="59" spans="1:11" x14ac:dyDescent="0.15">
      <c r="A59" s="1"/>
      <c r="B59" s="1"/>
      <c r="C59" s="16"/>
      <c r="D59" s="1"/>
      <c r="E59" s="1"/>
    </row>
    <row r="60" spans="1:11" x14ac:dyDescent="0.15">
      <c r="A60" s="1"/>
      <c r="B60" s="1"/>
      <c r="C60" s="16"/>
      <c r="D60" s="1"/>
      <c r="E60" s="1"/>
    </row>
    <row r="61" spans="1:11" x14ac:dyDescent="0.15">
      <c r="A61" s="1"/>
      <c r="B61" s="1"/>
      <c r="C61" s="16"/>
      <c r="D61" s="1"/>
      <c r="E61" s="1"/>
    </row>
    <row r="62" spans="1:11" x14ac:dyDescent="0.15">
      <c r="A62" s="1"/>
      <c r="B62" s="1"/>
      <c r="C62" s="16"/>
      <c r="D62" s="1"/>
      <c r="E62" s="1"/>
    </row>
  </sheetData>
  <mergeCells count="3">
    <mergeCell ref="B1:D1"/>
    <mergeCell ref="B2:D2"/>
    <mergeCell ref="E4:F4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201706</vt:lpstr>
      <vt:lpstr>201707</vt:lpstr>
      <vt:lpstr>201708</vt:lpstr>
      <vt:lpstr>201709</vt:lpstr>
      <vt:lpstr>201710</vt:lpstr>
      <vt:lpstr>Display me</vt:lpstr>
      <vt:lpstr>201711</vt:lpstr>
      <vt:lpstr>'201706'!Print_Titles</vt:lpstr>
      <vt:lpstr>'201707'!Print_Titles</vt:lpstr>
      <vt:lpstr>'201708'!Print_Titles</vt:lpstr>
      <vt:lpstr>'201709'!Print_Titles</vt:lpstr>
      <vt:lpstr>'201710'!Print_Titles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skrol29;OpenTBS 1.9.4</dc:creator>
  <cp:lastModifiedBy>tkskb5</cp:lastModifiedBy>
  <cp:lastPrinted>2016-10-02T06:20:15Z</cp:lastPrinted>
  <dcterms:created xsi:type="dcterms:W3CDTF">2009-10-15T13:12:29Z</dcterms:created>
  <dcterms:modified xsi:type="dcterms:W3CDTF">2018-04-12T09:53:09Z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bd65cbf2-eab2-4cf8-8e0c-f99240e79c95</vt:lpwstr>
  </property>
</Properties>
</file>