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Display me" sheetId="2" r:id="rId5"/>
  </sheets>
  <definedNames/>
  <calcPr/>
  <extLst>
    <ext uri="GoogleSheetsCustomDataVersion1">
      <go:sheetsCustomData xmlns:go="http://customooxmlschemas.google.com/" r:id="rId6" roundtripDataSignature="AMtx7mimYW3/JF+9pJ3Sa1vkK7p7KGOJHQ=="/>
    </ext>
  </extLst>
</workbook>
</file>

<file path=xl/sharedStrings.xml><?xml version="1.0" encoding="utf-8"?>
<sst xmlns="http://schemas.openxmlformats.org/spreadsheetml/2006/main" count="2119" uniqueCount="389">
  <si>
    <t>This sheet was hidden in the template, and it becomes visible.</t>
  </si>
  <si>
    <t>PRタイトル</t>
  </si>
  <si>
    <t>あの有名声優も参加！“世界一”楽しいごみ拾いイベント　
「コスプレ de 海ごみゼロ大作戦！in 東京タワー」
日時：2019年6月8日(土) 10:00～18:00(更衣室9:00オープン)
場所：東京タワーおよび周辺</t>
  </si>
  <si>
    <t>報告記事数</t>
  </si>
  <si>
    <t>合計</t>
  </si>
  <si>
    <t>キュレーション</t>
  </si>
  <si>
    <t xml:space="preserve">掲載日
</t>
  </si>
  <si>
    <t xml:space="preserve">報告日
</t>
  </si>
  <si>
    <t xml:space="preserve">媒体名
</t>
  </si>
  <si>
    <t xml:space="preserve">記事タイトル
</t>
  </si>
  <si>
    <t xml:space="preserve">URL
</t>
  </si>
  <si>
    <t xml:space="preserve">広告換算値
　</t>
  </si>
  <si>
    <t>Facebook
（いいね）</t>
  </si>
  <si>
    <t>antenna</t>
  </si>
  <si>
    <t>News
Picks</t>
  </si>
  <si>
    <t>LINE NEWS</t>
  </si>
  <si>
    <t>カメリオ</t>
  </si>
  <si>
    <t>Vingow</t>
  </si>
  <si>
    <t>2019/06/03</t>
  </si>
  <si>
    <t>2019/06/14</t>
  </si>
  <si>
    <t>pool</t>
  </si>
  <si>
    <t>木村良平さんら豪華声優も参加！コスプレでごみ拾い＆撮影を楽しむ「…</t>
  </si>
  <si>
    <t>https://pool.ist/articles/5cf48e0e05e35b98f4d040b2</t>
  </si>
  <si>
    <t>0</t>
  </si>
  <si>
    <t/>
  </si>
  <si>
    <t>2019/06/12</t>
  </si>
  <si>
    <t>2019/06/13</t>
  </si>
  <si>
    <t>MSNニュース</t>
  </si>
  <si>
    <t>2700リットルのごみを回収 “コスプレ”と“ごみ拾い”がコラボした社会派イベント開催</t>
  </si>
  <si>
    <t>https://www.msn.com/ja-jp/news/other/2700%E3%83%AA%E3%83%83%E3%83%88%E3%83%AB%E3%81%AE%E3%81%94%E3%81%BF%E3%82%92%E5%9B%9E%E5%8F%8E-%E2%80%9C%E3%82%B3%E3%82%B9%E3%83%97%E3%83%AC%E2%80%9D%E3%81%A8%E2%80%9C%E3%81%94%E3%81%BF%E6%8B%BE%E3%81%84%E2%80%9D%E3%81%8C%E3%82%B3%E3%83%A9%E3%83%9C%E3%81%97%E3%81%9F%E7%A4%BE%E4%BC%9A%E6%B4%BE%E3%82%A4%E3%83%99%E3%83%B3%E3%83%88%E9%96%8B%E5%82%AC/ar-AACJyLS</t>
  </si>
  <si>
    <t>グノシー</t>
  </si>
  <si>
    <t>https://gunosy.com/articles/aLbKX</t>
  </si>
  <si>
    <t>373news.com</t>
  </si>
  <si>
    <t>2700リットルのごみを回収　“コスプレ”と“ごみ拾い”がコラボした社会派イベント開催</t>
  </si>
  <si>
    <t>https://373news.com/_news/oricon/kiji.php?id=2137322</t>
  </si>
  <si>
    <t>47NEWS</t>
  </si>
  <si>
    <t>https://www.47news.jp/culture/entertainment/oricon/3660028.html</t>
  </si>
  <si>
    <t>@nifty ニュース</t>
  </si>
  <si>
    <t>https://news.nifty.com/article/entame/showbizd/12173-303893/</t>
  </si>
  <si>
    <t>AGARA紀伊民報</t>
  </si>
  <si>
    <t>https://www.agara.co.jp/article/10520</t>
  </si>
  <si>
    <t>https://www.agara.co.jp/article/10520?rct=oricon</t>
  </si>
  <si>
    <t>au Webポータル</t>
  </si>
  <si>
    <t>https://article.auone.jp/detail/1/5/9/20_9_r_20190612_1560290651924990</t>
  </si>
  <si>
    <t>BIGLOBEニュース</t>
  </si>
  <si>
    <t>https://news.biglobe.ne.jp/entertainment/0612/ori_190612_5642011514.html</t>
  </si>
  <si>
    <t>CLUB Panasonic</t>
  </si>
  <si>
    <t>https://club.panasonic.jp/oriconnews/detail/?id=2137322</t>
  </si>
  <si>
    <t>Felia!</t>
  </si>
  <si>
    <t>https://mall.373news.com/felia/?oricon_news=2137322-2</t>
  </si>
  <si>
    <t>FM NACK5</t>
  </si>
  <si>
    <t>https://www.nack5.co.jp/oricon_2137322.shtml</t>
  </si>
  <si>
    <t>goo ニュース</t>
  </si>
  <si>
    <t>https://news.goo.ne.jp/article/oricon/entertainment/oricon-2137322.html</t>
  </si>
  <si>
    <t>GREE</t>
  </si>
  <si>
    <t>http://jp.news.gree.net/news/entry/3248139?from_ggpnews=news_genre_list</t>
  </si>
  <si>
    <t>Infoseekニュース</t>
  </si>
  <si>
    <t>https://news.infoseek.co.jp/article/oricon_2137322</t>
  </si>
  <si>
    <t>livedoor</t>
  </si>
  <si>
    <t>https://news.livedoor.com/article/detail/16604902/</t>
  </si>
  <si>
    <t>mixiニュース</t>
  </si>
  <si>
    <t>https://news.mixi.jp/view_news.pl?id=5659263&amp;media_id=54</t>
  </si>
  <si>
    <t>Miyanichi e-press</t>
  </si>
  <si>
    <t>http://www.the-miyanichi.co.jp/special/oricon/index.php?oriconid=entertainment/201906122137322</t>
  </si>
  <si>
    <t>ORICON NEWS</t>
  </si>
  <si>
    <t>https://www.oricon.co.jp/news/2137322/full/</t>
  </si>
  <si>
    <t>TNCニュース</t>
  </si>
  <si>
    <t>https://news.tnc.ne.jp/entame/307308_1.html</t>
  </si>
  <si>
    <t>Web東奥</t>
  </si>
  <si>
    <t>https://www.toonippo.co.jp/articles/-/204171</t>
  </si>
  <si>
    <t>woman.excite</t>
  </si>
  <si>
    <t>https://woman.excite.co.jp/article/lifestyle/rid_OriconStyle_2137322/</t>
  </si>
  <si>
    <t>Yahoo! ニュース</t>
  </si>
  <si>
    <t>https://headlines.yahoo.co.jp/hl?a=20190612-00000306-oric-ent</t>
  </si>
  <si>
    <t>オリコンミュージックストア</t>
  </si>
  <si>
    <t>https://music.oricon.co.jp/php/news/NewsInfo.php?news=2137322</t>
  </si>
  <si>
    <t>千葉日報</t>
  </si>
  <si>
    <t>https://www.chibanippo.co.jp/life/oricon/601842</t>
  </si>
  <si>
    <t>大分合同新聞</t>
  </si>
  <si>
    <t>https://www.oita-press.co.jp/1009000000/2019/06/12/ORI2137322</t>
  </si>
  <si>
    <t>岩手日報</t>
  </si>
  <si>
    <t>https://www.iwate-np.co.jp/article/oricon/2137322</t>
  </si>
  <si>
    <t>徳島新聞Web</t>
  </si>
  <si>
    <t>https://www.topics.or.jp/articles/-/214826</t>
  </si>
  <si>
    <t>楽天woman</t>
  </si>
  <si>
    <t>https://woman.infoseek.co.jp/news/entertainment/oricon_2137322</t>
  </si>
  <si>
    <t>毎日新聞</t>
  </si>
  <si>
    <t>https://mainichi.jp/articles/20190612/orc/00m/200/020000c</t>
  </si>
  <si>
    <t>沖縄タイムス</t>
  </si>
  <si>
    <t>https://www.okinawatimes.co.jp/articles/-/431562</t>
  </si>
  <si>
    <t>秋田魁新報電子版</t>
  </si>
  <si>
    <t>https://www.sakigake.jp/news/article/20190612OR0020/?nv=oricon</t>
  </si>
  <si>
    <t>https://www.sakigake.jp/news/article/20190612OR0020/?nv=ent</t>
  </si>
  <si>
    <t>@T COM</t>
  </si>
  <si>
    <t>2700リットルのごみを回収　“コスプレ”と“ごみ拾い”がコラボした社会派イベント開催│@T COM(アットティーコム)ニュース</t>
  </si>
  <si>
    <t>https://cont.t-com.ne.jp/entame/307308_1.html</t>
  </si>
  <si>
    <t>dメニュー</t>
  </si>
  <si>
    <t>2700リットルのごみを回収　“コスプレ”と“ごみ拾い”がコラボした社会派イベント開催（ORICON NEWS）　海洋ごみ問題の周知、啓蒙を狙ったイベン…</t>
  </si>
  <si>
    <t>http://topics.smt.docomo.ne.jp/article/oricon/entertainment/oricon-2137322?fm=latestnews</t>
  </si>
  <si>
    <t>みんゆうNet</t>
  </si>
  <si>
    <t>2700リットルのごみを回収　“コスプレ”と“ごみ拾い”がコラボした社会派イベント開催：エンタメ総合：福島民友新聞社 みんゆうNet</t>
  </si>
  <si>
    <t>http://www.minyu-net.com/oricon/OR2137322.php</t>
  </si>
  <si>
    <t>上毛新聞ニュース</t>
  </si>
  <si>
    <t>2700リットルのごみを回収　“コスプレ”と“ごみ拾い”がコラボした社会派イベント開催｜オリコンニュース｜上毛新聞ニュース</t>
  </si>
  <si>
    <t>https://www.jomo-news.co.jp/life/oricon/138116</t>
  </si>
  <si>
    <t>Ameba News</t>
  </si>
  <si>
    <t>2700リットルのごみを回収　コスプレとごみ拾いがコラボした社会派イベント開催</t>
  </si>
  <si>
    <t>https://news.ameba.jp/entry/20190612-90/</t>
  </si>
  <si>
    <t>excite.ニュース</t>
  </si>
  <si>
    <t>コスプレとごみ拾いがコラボしたイベントで430人参加 2700リットルのごみを回収</t>
  </si>
  <si>
    <t>https://www.excite.co.jp/news/article/Oricon_2137322/</t>
  </si>
  <si>
    <t>2019/06/11</t>
  </si>
  <si>
    <t>コスプレイヤーが東京タワーでゴミ拾い！　日本財団・笹川会長も「ルフィ」に扮し...</t>
  </si>
  <si>
    <t>https://news.nifty.com/article/domestic/society/12144-302836/</t>
  </si>
  <si>
    <t>https://news.biglobe.ne.jp/domestic/0611/jc_190611_2693106660.html</t>
  </si>
  <si>
    <t>feedclassニュース</t>
  </si>
  <si>
    <t>https://feedclass.com/posts/Uq8eamWw</t>
  </si>
  <si>
    <t>https://news.infoseek.co.jp/article/20190611jcast20192359675</t>
  </si>
  <si>
    <t>J-CAST</t>
  </si>
  <si>
    <t>https://www.j-cast.com/2019/06/11359675.html?p=all</t>
  </si>
  <si>
    <t>https://news.livedoor.com/article/detail/16599373/</t>
  </si>
  <si>
    <t>NEWS Collect</t>
  </si>
  <si>
    <t>https://newscollect.jp/article/?id=510943075369534561</t>
  </si>
  <si>
    <t>https://newscollect.jp/article/?id=510943075369534561&amp;tid=1</t>
  </si>
  <si>
    <t>https://headlines.yahoo.co.jp/hl?a=20190611-00000000-jct-soci</t>
  </si>
  <si>
    <t>エンタメプラス</t>
  </si>
  <si>
    <t>https://entameplus.jp/article/index.php?id=510943075369534561</t>
  </si>
  <si>
    <t>エンタメポスト</t>
  </si>
  <si>
    <t>コスプレイヤーが東京タワーでゴミ拾い！　日本財団・笹川会長も「ルフィ」に扮し... 2019/6/11 7:25</t>
  </si>
  <si>
    <t>https://entamepost.jp/post/?id=510943075369534561</t>
  </si>
  <si>
    <t>2019/06/10</t>
  </si>
  <si>
    <t>LINEニュース</t>
  </si>
  <si>
    <t>「ナイツのちゃきちゃき」に雛形あきこが生出演！</t>
  </si>
  <si>
    <t>https://news.line.me/issue/oa-tbsradio/fa3bd57eeab0</t>
  </si>
  <si>
    <t>本家もリスペクト！？人気コスプレイヤー・五木あきら、超キュートなバーチャルYouTuber“ミライアカリ”コスプレで海ごみゼロを目指す！</t>
  </si>
  <si>
    <t>http://jp.news.gree.net/news/entry/3245987?from_ggpnews=news_genre_list</t>
  </si>
  <si>
    <t>https://news.infoseek.co.jp/article/gree_165492</t>
  </si>
  <si>
    <t>https://news.mixi.jp/view_news.pl?id=5656696&amp;media_id=189</t>
  </si>
  <si>
    <t>ニコニコニュース</t>
  </si>
  <si>
    <t>https://news.nicovideo.jp/watch/nw5453834?news_ref=top_accessRank</t>
  </si>
  <si>
    <t>https://news.nicovideo.jp/watch/nw5453834?news_ref=top_large</t>
  </si>
  <si>
    <t>https://news.nicovideo.jp/watch/nw5453834?news_ref=top_topiclist</t>
  </si>
  <si>
    <t>ネタりか</t>
  </si>
  <si>
    <t>https://netallica.yahoo.co.jp/news/20190610-88449937-scoopie</t>
  </si>
  <si>
    <t>雛形あきこがナイツに悩みを告白！</t>
  </si>
  <si>
    <t>https://www.excite.co.jp/news/article/TBSRadio_378325/</t>
  </si>
  <si>
    <t>2019/06/08</t>
  </si>
  <si>
    <t>2019/06/09</t>
  </si>
  <si>
    <t>世界中のコスプレイヤーが海洋ごみ問題を発信！東京タワーでごみ拾い</t>
  </si>
  <si>
    <t>https://headlines.yahoo.co.jp/hl?a=20190608-00000150-socialinv-env</t>
  </si>
  <si>
    <t>ソーシャル・イノベーション・ニュース</t>
  </si>
  <si>
    <t>http://social-innovation-news.jp/?p=943</t>
  </si>
  <si>
    <t>auヘッドライン</t>
  </si>
  <si>
    <t>思い思いのコスプレで…“海… （テレビ朝日）</t>
  </si>
  <si>
    <t>https://news.headlines.auone.jp/stories/movie/news/12440288?articleid=12440288&amp;cpid=10130007&amp;genreid=8&amp;subgenreid=21</t>
  </si>
  <si>
    <t>思い思いのコスプレで…“海洋ごみ減らせ”の思い</t>
  </si>
  <si>
    <t>http://news.livedoor.com/article/detail/16589085/</t>
  </si>
  <si>
    <t>https://headlines.yahoo.co.jp/videonews/ann?a=20190608-00000040-ann-soci</t>
  </si>
  <si>
    <t>テレ朝news</t>
  </si>
  <si>
    <t>https://news.tv-asahi.co.jp/news_society/articles/000156632.html</t>
  </si>
  <si>
    <t>海外の人気コスプレイヤー達が東京タワーに集結！“海ごみ拾い”を呼び掛け</t>
  </si>
  <si>
    <t>https://news.biglobe.ne.jp/entertainment/0608/rbb_190608_8863598480.html</t>
  </si>
  <si>
    <t>https://news.infoseek.co.jp/article/rbbtoday_170448</t>
  </si>
  <si>
    <t>http://news.livedoor.com/article/detail/16588617/</t>
  </si>
  <si>
    <t>https://news.mixi.jp/view_news.pl?id=5654922&amp;media_id=17</t>
  </si>
  <si>
    <t>RBB TODAY</t>
  </si>
  <si>
    <t>https://www.rbbtoday.com/article/2019/06/08/170448.html</t>
  </si>
  <si>
    <t>https://woman.infoseek.co.jp/news/entertainment/rbbtoday_170448</t>
  </si>
  <si>
    <t>2019/06/07</t>
  </si>
  <si>
    <t>AdGang</t>
  </si>
  <si>
    <t>【Pick of the week】今週の国内事例ピックアップ 6/7</t>
  </si>
  <si>
    <t>https://adgang.jp/2019/06/174825.html</t>
  </si>
  <si>
    <t>ネタとぴ</t>
  </si>
  <si>
    <t>あの有名声優も参加! 手ぶらで参加できる“世界一”楽しいごみ拾い「コスプレ de 海ごみゼロ大作戦！in 東京タワー」が明日8日(土)開催～参加費無料で青色トートや水も支給</t>
  </si>
  <si>
    <t>https://netatopi.jp/article/1189094.html</t>
  </si>
  <si>
    <t>NEWSCAST</t>
  </si>
  <si>
    <t>あの有名声優も参加！“世界一”楽しいごみ拾いイベント　 「コスプレ de 海ごみゼロ大作戦！in 東京タワー」 日時：2019年6月8日(土) 10:00～18:00(更衣室9:00オープン) 場所：東京タワーおよび周辺</t>
  </si>
  <si>
    <t>https://newscast.jp/news/356880</t>
  </si>
  <si>
    <t>2019/06/05</t>
  </si>
  <si>
    <t>「海洋ごみ問題」に斬新な一手 コスプレイヤーが“ごみ拾い”で問題提起</t>
  </si>
  <si>
    <t>https://www.msn.com/ja-jp/news/other/%E3%80%8C%E6%B5%B7%E6%B4%8B%E3%81%94%E3%81%BF%E5%95%8F%E9%A1%8C%E3%80%8D%E3%81%AB%E6%96%AC%E6%96%B0%E3%81%AA%E4%B8%80%E6%89%8B-%E3%82%B3%E3%82%B9%E3%83%97%E3%83%AC%E3%82%A4%E3%83%A4%E3%83%BC%E3%81%8C%E2%80%9C%E3%81%94%E3%81%BF%E6%8B%BE%E3%81%84%E2%80%9D%E3%81%A7%E5%95%8F%E9%A1%8C%E6%8F%90%E8%B5%B7/ar-AACqBkC#page=2</t>
  </si>
  <si>
    <t>「海洋ごみ問題」に斬新な一手　コスプレイヤーが“ごみ拾い”で問題提起</t>
  </si>
  <si>
    <t>https://www.47news.jp/culture/entertainment/oricon/3639039.html</t>
  </si>
  <si>
    <t>https://news.headlines.auone.jp/stories/showbiz/news/12431037</t>
  </si>
  <si>
    <t>http://topics.smt.docomo.ne.jp/article/oricon/entertainment/oricon-2136898</t>
  </si>
  <si>
    <t>GREE ニュース</t>
  </si>
  <si>
    <t>http://jp.news.gree.net/news/entry/3240743</t>
  </si>
  <si>
    <t>https://news.line.me/articles/oa-oriconstyle/728df4defc61</t>
  </si>
  <si>
    <t>TBSデジストア</t>
  </si>
  <si>
    <t>https://spstore.tbs.co.jp/news/detail.php?id=2136898</t>
  </si>
  <si>
    <t>どうしん電子版</t>
  </si>
  <si>
    <t>https://www.hokkaido-np.co.jp/article/312309</t>
  </si>
  <si>
    <t>オリコンブックストア</t>
  </si>
  <si>
    <t>https://book.oricon.co.jp/php/news/NewsInfo.php?news=2136898</t>
  </si>
  <si>
    <t>プリキャンニュース</t>
  </si>
  <si>
    <t>https://news.prcm.jp/article/184126</t>
  </si>
  <si>
    <t>愛媛新聞ONLINE</t>
  </si>
  <si>
    <t>https://www.ehime-np.co.jp/article/201906050098</t>
  </si>
  <si>
    <t>福井新聞</t>
  </si>
  <si>
    <t>https://www.fukuishimbun.co.jp/articles/-/868729</t>
  </si>
  <si>
    <t>秋田魁新報</t>
  </si>
  <si>
    <t>https://www.sakigake.jp/news/article/20190605OR0058</t>
  </si>
  <si>
    <t>茨城新聞クロスアイ</t>
  </si>
  <si>
    <t>https://ibarakinews.jp/news/newsdetail.php?f_jun=2136898&amp;elem=oricon</t>
  </si>
  <si>
    <t>西日本スポーツ</t>
  </si>
  <si>
    <t>https://www.nishinippon.co.jp/nsp/item/o/516090/</t>
  </si>
  <si>
    <t>ナイスタイム</t>
  </si>
  <si>
    <t>コスサミの新企画！「コスプレ de 海ごみゼロ大作戦！in 東京タワー」は無料で楽しめる！</t>
  </si>
  <si>
    <t>https://nice-time.jp/event/32717</t>
  </si>
  <si>
    <t>朝日新聞デジタル＆woman／朝日新聞デジタル＆M</t>
  </si>
  <si>
    <t>レイヤーが”ごみ拾い”で問題提起</t>
  </si>
  <si>
    <t>https://www.asahi.com/and_w/entertainment/ent_602689/</t>
  </si>
  <si>
    <t>東京タワーでコスプレーヤーのごみ拾いイベント　海洋ごみ問題の周知を目的に</t>
  </si>
  <si>
    <t>http://topics.smt.docomo.ne.jp/article/minkei/region/minkei-roppongi4256</t>
  </si>
  <si>
    <t>2019/06/04</t>
  </si>
  <si>
    <t>あにまっぷ</t>
  </si>
  <si>
    <t>http://news.animap.jp/2019/06/04/%e3%81%82%e3%81%ae%e6%9c%89%e5%90%8d%e5%a3%b0%e5%84%aa%e3%82%82%e5%8f%82%e5%8a%a0%ef%bc%81%e4%b8%96%e7%95%8c%e4%b8%80%e6%a5%bd%e3%81%97%e3%81%84%e3%81%94%e3%81%bf%e6%8b%be%e3%81%84/</t>
  </si>
  <si>
    <t>JCNEWS</t>
  </si>
  <si>
    <t>コスプレを楽しみながら地球にやさしい活動を。スプレ de 海ごみゼロ大作戦！ in 東京タワーが6月8日に開催</t>
  </si>
  <si>
    <t>https://jcnews.tokyo/article/1443977/1</t>
  </si>
  <si>
    <t>https://news.nicovideo.jp/watch/nw5416990</t>
  </si>
  <si>
    <t>ハッカドール</t>
  </si>
  <si>
    <t>木村良平さんら豪華声優も参加！コスプレでごみ拾い＆撮影を楽しむ「コスプレ de 海ごみゼロ大作戦！」</t>
  </si>
  <si>
    <t>https://web.hackadoll.com/n/8pP5C</t>
  </si>
  <si>
    <t>2019/05/31</t>
  </si>
  <si>
    <t>NAOVIC</t>
  </si>
  <si>
    <t>「コスプレ de 海ごみゼロ大作戦!in 東京タワー」開催発表！有名声優も参加</t>
  </si>
  <si>
    <t>https://naovic.com/cos/umigomi/20190531/</t>
  </si>
  <si>
    <t>あの有名声優も参加！ “世界一” 楽しいごみ拾いイベント 「コスプレ de 海ごみゼロ大作戦！in 東京タワー」6月8日（土）開催！！</t>
  </si>
  <si>
    <t>https://jcnews.tokyo/article/1440374/1</t>
  </si>
  <si>
    <t>オッカケ!!</t>
  </si>
  <si>
    <t>https://okkake.me/entries/892392</t>
  </si>
  <si>
    <t>https://web.hackadoll.com/n/8pORZ</t>
  </si>
  <si>
    <t>https://news.line.me/articles/oa-rp20153/a449db7a9724</t>
  </si>
  <si>
    <t>2019/06/06</t>
  </si>
  <si>
    <t>https://www.msn.com/ja-jp/news/other/%E3%80%8C%E6%B5%B7%E6%B4%8B%E3%81%94%E3%81%BF%E5%95%8F%E9%A1%8C%E3%80%8D%E3%81%AB%E6%96%AC%E6%96%B0%E3%81%AA%E4%B8%80%E6%89%8B-%E3%82%B3%E3%82%B9%E3%83%97%E3%83%AC%E3%82%A4%E3%83%A4%E3%83%BC%E3%81%8C%E2%80%9C%E3%81%94%E3%81%BF%E6%8B%BE%E3%81%84%E2%80%9D%E3%81%A7%E5%95%8F%E9%A1%8C%E6%8F%90%E8%B5%B7/ar-AACqBkC</t>
  </si>
  <si>
    <t>https://gunosy.com/articles/Rq6oX</t>
  </si>
  <si>
    <t>「海洋ごみ問題」に斬新な一手　コスプレイヤーが"ごみ拾い"で問題提起：エンタメ総合：福島民友新聞社 みんゆうNet</t>
  </si>
  <si>
    <t>http://www.minyu-net.com/oricon/OR2136898.php</t>
  </si>
  <si>
    <t>https://373news.com/_news/oricon/kiji.php?id=2136898</t>
  </si>
  <si>
    <t>https://news.nifty.com/article/entame/showbizd/12173-296791/</t>
  </si>
  <si>
    <t>https://www.agara.co.jp/article/9866</t>
  </si>
  <si>
    <t>https://www.agara.co.jp/article/9866?rct=oricon</t>
  </si>
  <si>
    <t>https://article.auone.jp/detail/1/5/9/20_9_r_20190605_1559723473292624</t>
  </si>
  <si>
    <t>https://news.biglobe.ne.jp/entertainment/0605/ori_190605_7592596730.html</t>
  </si>
  <si>
    <t>https://club.panasonic.jp/oriconnews/detail/?id=2136898</t>
  </si>
  <si>
    <t>https://www.excite.co.jp/news/article/Oricon_2136898/</t>
  </si>
  <si>
    <t>https://mall.373news.com/felia/?oricon_news=2136898-2</t>
  </si>
  <si>
    <t>https://www.nack5.co.jp/oricon_2136898.shtml</t>
  </si>
  <si>
    <t>https://news.goo.ne.jp/article/oricon/entertainment/oricon-2136898.html</t>
  </si>
  <si>
    <t>https://news.infoseek.co.jp/article/oricon_2136898</t>
  </si>
  <si>
    <t>http://news.livedoor.com/article/detail/16572243/</t>
  </si>
  <si>
    <t>https://news.mixi.jp/view_news.pl?id=5650269&amp;media_id=54</t>
  </si>
  <si>
    <t>http://www.the-miyanichi.co.jp/special/oricon/index.php?oriconid=entertainment/201906052136898</t>
  </si>
  <si>
    <t>https://www.oricon.co.jp/news/2136898/full/</t>
  </si>
  <si>
    <t>https://news.tnc.ne.jp/entame/306213_1.html</t>
  </si>
  <si>
    <t>https://www.toonippo.co.jp/articles/-/201247</t>
  </si>
  <si>
    <t>https://woman.excite.co.jp/article/lifestyle/rid_OriconStyle_2136898/</t>
  </si>
  <si>
    <t>https://headlines.yahoo.co.jp/hl?a=20190605-00000371-oric-ent</t>
  </si>
  <si>
    <t>https://music.oricon.co.jp/php/news/NewsInfo.php?news=2136898</t>
  </si>
  <si>
    <t>https://www.oita-press.co.jp/1009000000/2019/06/05/ORI2136898</t>
  </si>
  <si>
    <t>山陽新聞</t>
  </si>
  <si>
    <t>https://www.sanyonews.jp/article/905713</t>
  </si>
  <si>
    <t>https://www.iwate-np.co.jp/article/oricon/2136898</t>
  </si>
  <si>
    <t>https://www.topics.or.jp/articles/-/211932</t>
  </si>
  <si>
    <t>https://woman.infoseek.co.jp/news/entertainment/oricon_2136898</t>
  </si>
  <si>
    <t>https://mainichi.jp/articles/20190605/orc/00m/200/058000c</t>
  </si>
  <si>
    <t>https://www.okinawatimes.co.jp/articles/-/429056</t>
  </si>
  <si>
    <t>https://www.sakigake.jp/news/article/20190605OR0058/?nv=ent</t>
  </si>
  <si>
    <t>https://www.sakigake.jp/news/article/20190605OR0058/?nv=oricon</t>
  </si>
  <si>
    <t>「海洋ごみ問題」に斬新な一手　コスプレイヤーが“ごみ拾い”で問題提起│@T COM(アットティーコム)ニュース</t>
  </si>
  <si>
    <t>https://cont.t-com.ne.jp/entame/306213_1.html</t>
  </si>
  <si>
    <t>「海洋ごみ問題」に斬新な一手　コスプレイヤーが“ごみ拾い”で問題提起（ORICON NEWS）　海洋ごみについて学びながらごみ拾い、そ…</t>
  </si>
  <si>
    <t>http://topics.smt.docomo.ne.jp/article/oricon/entertainment/oricon-2136898?fm=latestnews</t>
  </si>
  <si>
    <t>「海洋ごみ問題」に斬新な一手　コスプレイヤーが“ごみ拾い”で問題提起：北海道新聞 どうしん電子版</t>
  </si>
  <si>
    <t>https://www.hokkaido-np.co.jp/article/312309?rct=oricon_news</t>
  </si>
  <si>
    <t>「海洋ごみ問題」に斬新な一手　コスプレイヤーが“ごみ拾い”で問題提起｜オリコンニュース｜上毛新聞ニュース</t>
  </si>
  <si>
    <t>https://www.jomo-news.co.jp/life/oricon/136651</t>
  </si>
  <si>
    <t>「海洋ごみ問題」に斬新な一手　コスプレイヤーがごみ拾いで問題提起</t>
  </si>
  <si>
    <t>https://news.ameba.jp/entry/20190605-667/</t>
  </si>
  <si>
    <t>https://news.goo.ne.jp/article/minkei/region/minkei-roppongi4256.html</t>
  </si>
  <si>
    <t>六本木経済新聞</t>
  </si>
  <si>
    <t>https://roppongi.keizai.biz/headline/4256/</t>
  </si>
  <si>
    <t>緑のgoo</t>
  </si>
  <si>
    <t>https://www.goo.ne.jp/green/column/minkei_roppongi4256.html</t>
  </si>
  <si>
    <t>東京タワーでコスプレーヤーのごみ拾いイベント　海洋ごみ問題の周知を目的に　／東京</t>
  </si>
  <si>
    <t>https://headlines.yahoo.co.jp/hl?a=20190605-00000035-minkei-l13</t>
  </si>
  <si>
    <t>東京タワーでコスプレーヤーのごみ拾いイベント　海洋ごみ問題の周知を目的に（みんなの経済新聞ネットワーク）　海洋ごみについて学び、ごみ拾いをした後…</t>
  </si>
  <si>
    <t>http://topics.smt.docomo.ne.jp/article/minkei/region/minkei-roppongi4256?fm=latestnews</t>
  </si>
  <si>
    <t>東京タワーとその周辺でコスプレ撮影をしながら、楽しくごみ拾いができる</t>
  </si>
  <si>
    <t>https://roppongi.keizai.biz/photoflash/2238/</t>
  </si>
  <si>
    <t>うたまっぷNEWS</t>
  </si>
  <si>
    <t>6/8(土)あの有名声優も参加! “世界一”楽しいごみ拾いイベント｢コスプレ de 海ごみゼロ大作戦！in 東京タワー｣</t>
  </si>
  <si>
    <t>https://news.utamap.com/anime/222054/</t>
  </si>
  <si>
    <t>Mapionニュース</t>
  </si>
  <si>
    <t>あの有名声優も参加！“世界一”楽しいごみ拾いイベント　「コスプレ de 海ごみゼロ大作戦！in 東京タワー」日時：2019年6月8日(土) 10:00～18:00(更衣室9:00オープン)場所：東京タワーおよび周辺：マピオンニュース</t>
  </si>
  <si>
    <t>https://www.mapion.co.jp/news/release/ap185239-all/</t>
  </si>
  <si>
    <t>https://news.biglobe.ne.jp/trend/0604/kpa_190604_7244547456.html</t>
  </si>
  <si>
    <t>https://www.excite.co.jp/news/article/Karapaia_52275074/</t>
  </si>
  <si>
    <t>JCnews</t>
  </si>
  <si>
    <t>https://jcnews.tokyo/article/1443977/2</t>
  </si>
  <si>
    <t>https://jcnews.tokyo/article/1443977/52</t>
  </si>
  <si>
    <t>カラパイア</t>
  </si>
  <si>
    <t>コスプレを楽しみながら地球にやさしい活動を。スプレ de 海ごみゼロ大作戦！ in 東京タワーが6月8日に開催 : カラパイア</t>
  </si>
  <si>
    <t>http://karapaia.com/archives/52275074.html</t>
  </si>
  <si>
    <t>デイリーニュースオンライン</t>
  </si>
  <si>
    <t>コスプレを楽しみながら地球にやさしい活動を。スプレ de 海ごみゼロ大作戦！ in 東京タワーが6月8日に開催(1ページ目) - デイリーニュースオンライン</t>
  </si>
  <si>
    <t>http://dailynewsonline.jp/article/1858584/</t>
  </si>
  <si>
    <t>numan</t>
  </si>
  <si>
    <t>https://numan.tokyo/news/Ivca7</t>
  </si>
  <si>
    <t>木村良平さんら豪華声優も参加！コスプレでごみ拾い＆撮影を楽しむ「コスプレde海ごみゼロ大作戦！」</t>
  </si>
  <si>
    <t>https://news.nicovideo.jp/watch/nw5409345</t>
  </si>
  <si>
    <t>水田わさびさん、茶風林さん、木村良平さん、河西 健吾さんらも参加！ 「コスプレ de 海ごみゼロ大作戦！in 東京タワー」開催！</t>
  </si>
  <si>
    <t>https://web.hackadoll.com/n/8pP47</t>
  </si>
  <si>
    <t>声優グランプリweb</t>
  </si>
  <si>
    <t>水田わさびさん、茶風林さん、木村良平さん、河西 健吾さんらも参加！ 「コスプレ de 海ごみゼロ大作戦！in 東京タワー」開催！ – seigura.com</t>
  </si>
  <si>
    <t>https://seigura.com/news/17519/</t>
  </si>
  <si>
    <t>2019/06/01</t>
  </si>
  <si>
    <t>ビズハック！</t>
  </si>
  <si>
    <t>あの有名声優も参加！“世界一”楽しいごみ拾いイベント　「コスプレ de 海ごみゼロ大作戦！in 東京タワー」日時：2019年6月8日(土) 10:00～18:00(更衣室9:00オープン)場所：東京タワーおよび周辺 コスプレ海ごみゼロ実行委員会</t>
  </si>
  <si>
    <t>http://www.biz-hacks.com/pressrelease/?id=111853</t>
  </si>
  <si>
    <t>ロイター.co.jp</t>
  </si>
  <si>
    <t>あの有名声優も参加！“世界一”楽しいごみ拾いイベント　「コスプレde海ごみゼロ大作戦！in東京タワー」日時：2019年6月8日(土)10:00～18:00(更衣室9:00オープン)場所：東京タワーおよび周辺</t>
  </si>
  <si>
    <t>https://jp.reuters.com/prcenter/article?id=185239-20190601</t>
  </si>
  <si>
    <t>れポたま！</t>
  </si>
  <si>
    <t>あの有名声優も参加！ "世界一" 楽しいごみ拾いイベント 「コスプレ de 海ごみゼロ大作戦！in 東京タワー」6月8日（土）開催！！</t>
  </si>
  <si>
    <t>http://repotama.com/2019/05/113802/</t>
  </si>
  <si>
    <t>読売新聞オンライン</t>
  </si>
  <si>
    <t>https://yab.yomiuri.co.jp/adv/life/release/detail/00069803.html</t>
  </si>
  <si>
    <t>えんウチ</t>
  </si>
  <si>
    <t>あの有名声優も参加！“世界一”楽しいごみ拾いイベント　 「コスプレ de 海ごみゼロ大作戦！in 東京タワー」 日時：2019年6月8日(土) 10:00～18:00(更衣室9:00オープン) 場所：東京タワーおよび周辺（プレスリリース 提供元：＠Press）</t>
  </si>
  <si>
    <t>https://pressrelease.enuchi.jp/press-release/217430</t>
  </si>
  <si>
    <t>SEOTOOLS</t>
  </si>
  <si>
    <t>あの有名声優も参加！“世界一”楽しいごみ拾いイベント　「コスプレ de 海ごみゼロ大作戦！in 東京タワー」日時：2019年6月8日(土) 10:00〜18:00(更衣室9:00オープン)場所：東京タワーおよび周辺</t>
  </si>
  <si>
    <t>http://www.seotools.jp/news/id_at_185239.html</t>
  </si>
  <si>
    <t>LIVE HOUSE.COM</t>
  </si>
  <si>
    <t>あの有名声優も参加！“世界一”楽しいごみ拾いイベント　「コスプレ de 海ごみゼロ大作戦！in 東京タワー」日時：2019年6月8日(土) 10:00〜18:00(更衣室9:00オープン)場所：東京タワーおよび周辺コスプレ海ごみゼロ実行委員会 音楽ニュース livehouse.com ライブハウス ドットコム</t>
  </si>
  <si>
    <t>http://www.livehouse.com/live/newspin/key/185239/</t>
  </si>
  <si>
    <t>@nifty ビジネス</t>
  </si>
  <si>
    <t>あの有名声優も参加！“世界一”楽しいごみ拾いイベント　「コスプレ de 海ごみゼロ大作戦！in 東京タワー」日時：2019年6月8日(土) 10:00～18:00(更衣室9:00オープン)場所：東京タワーおよび周辺</t>
  </si>
  <si>
    <t>https://business.nifty.com/cs/catalog/business_release/catalog_atp185239_1.htm</t>
  </si>
  <si>
    <t>@Press</t>
  </si>
  <si>
    <t>https://www.atpress.ne.jp/news/185239</t>
  </si>
  <si>
    <t>Ba-ter.News※</t>
  </si>
  <si>
    <t>https://news.ba-ter.com/user/</t>
  </si>
  <si>
    <t>Barclay Global BIZ</t>
  </si>
  <si>
    <t>https://barclay-global.biz/oversea/?p=152454</t>
  </si>
  <si>
    <t>bizocean※</t>
  </si>
  <si>
    <t>http://www.bizocean.jp/news/pr/</t>
  </si>
  <si>
    <t>-</t>
  </si>
  <si>
    <t>Blogpeople</t>
  </si>
  <si>
    <t>http://www.blogpeople.net/press_detail.html?pr_id=185239&amp;charset=UTF-8</t>
  </si>
  <si>
    <t>https://www.excite.co.jp/news/article/Atpress_185239/</t>
  </si>
  <si>
    <t>https://news.infoseek.co.jp/article/atpress_185239/</t>
  </si>
  <si>
    <t>N+NewsRelease</t>
  </si>
  <si>
    <t>https://news.nplus-inc.co.jp/index.php?action=ViewDetail&amp;number=484316</t>
  </si>
  <si>
    <t>RBBTODAY</t>
  </si>
  <si>
    <t>https://www.rbbtoday.com/ad/atpress/release.html?pr_id=185239&amp;charset=UTF-8</t>
  </si>
  <si>
    <t>rentaloffice.bz※</t>
  </si>
  <si>
    <t>http://rentaloffice.bz/</t>
  </si>
  <si>
    <t>Resemom</t>
  </si>
  <si>
    <t>https://resemom.jp/feature/newsrelease/atpress/press_detail.html?pr_id=185239&amp;charset=UTF-8</t>
  </si>
  <si>
    <t>Response</t>
  </si>
  <si>
    <t>https://response.jp/feature/newsrelease/atpress/press_detail.html?pr_id=185239&amp;charset=UTF-8</t>
  </si>
  <si>
    <t>StartHome</t>
  </si>
  <si>
    <t>http://home.kingsoft.jp/news/pr/atpress/185239.html</t>
  </si>
  <si>
    <t>Trend Times</t>
  </si>
  <si>
    <t>https://trend-times.jp/display/328896</t>
  </si>
  <si>
    <t>zakzak</t>
  </si>
  <si>
    <t>https://www.zakzak.co.jp/eco/news/190531/prl1905310185-n1.html</t>
  </si>
  <si>
    <t>とれまがニュース</t>
  </si>
  <si>
    <t>https://news.toremaga.com/politics/foreign/1328867.html</t>
  </si>
  <si>
    <t>クイックオーダー※</t>
  </si>
  <si>
    <t>http://www.quickorder.jp/q_news/banneta/index.php</t>
  </si>
  <si>
    <t>https://www.topics.or.jp/ud/pressrelease/5cf0d23a7765618941010000</t>
  </si>
  <si>
    <t>朝日新聞デジタル＆M</t>
  </si>
  <si>
    <t>https://www.asahi.com/and_M/pressrelease/pre_2766538/</t>
  </si>
  <si>
    <t>東京ビューティー</t>
  </si>
  <si>
    <t>https://tokyo-beauty.jp/headline/%E3%81%82%E3%81%AE%E6%9C%89%E5%90%8D%E5%A3%B0%E5%84%AA%E3%82%82%E5%8F%82%E5%8A%A0%EF%BC%81%E4%B8%96%E7%95%8C%E4%B8%80%E6%A5%BD%E3%81%97%E3%81%84%E3%81%94%E3%81%BF%E6%8B%BE%E3%81%84/</t>
  </si>
  <si>
    <t>財経新聞</t>
  </si>
  <si>
    <t>https://www.zaikei.co.jp/releases/811587/</t>
  </si>
  <si>
    <t>SANSPO.COM</t>
  </si>
  <si>
    <t>あの有名声優も参加！“世界一”楽しいごみ拾いイベント　「コスプレ de 海ごみゼロ大作戦！in 東京タワー」日時：2019年6月8日(土) 10:00～18:00(更衣室9:00オープン)場所：東京タワーおよび周辺 あの有名声優も参加！“世界一”楽しいごみ拾いイベント　「コスプレ de 海ごみゼロ大作戦！in 東京タワー」日時：2019年6月8日(土) 10:00～18:00(更衣室9:00オープン)場所：東京タワーおよび周辺</t>
  </si>
  <si>
    <t>https://www.sanspo.com/geino/news/20190531/prl19053116220185-n1.html</t>
  </si>
  <si>
    <t>あの有名声優も参加！“世界一”楽しいごみ拾いイベント　「コスプレ de 海ごみゼロ大作戦！in 東京タワー」日時：2019年6月8日(土) 10:00～18:00(更衣室9:00オープン)場所：東京タワーおよび周辺（＠Press）</t>
  </si>
  <si>
    <t>https://mainichi.jp/articles/20190531/pls/00m/020/102000c</t>
  </si>
  <si>
    <t>SankeiBiz</t>
  </si>
  <si>
    <t>http://www.sankeibiz.jp/business/news/190531/prl1905311622136-n1.htm</t>
  </si>
  <si>
    <t>https://news.nicovideo.jp/watch/nw5394796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</si>
</sst>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"/>
    <numFmt numFmtId="165" formatCode="&quot;¥&quot;#,##0;&quot;¥&quot;\-#,##0"/>
    <numFmt numFmtId="166" formatCode="yyyy/m/d"/>
  </numFmts>
  <fonts count="11">
    <font>
      <sz val="11.0"/>
      <color theme="1"/>
      <name val="Arial"/>
    </font>
    <font>
      <color theme="1"/>
      <name val="Calibri"/>
    </font>
    <font>
      <sz val="11.0"/>
      <color theme="0"/>
      <name val="Calibri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</font>
    <font>
      <u/>
      <sz val="11.0"/>
      <color theme="10"/>
    </font>
    <font>
      <u/>
      <sz val="11.0"/>
      <color rgb="FF000000"/>
    </font>
    <font>
      <sz val="11.0"/>
      <color theme="10"/>
      <name val="Calibri"/>
    </font>
    <font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F3F3F"/>
        <bgColor rgb="FF3F3F3F"/>
      </patternFill>
    </fill>
    <fill>
      <patternFill patternType="solid">
        <fgColor rgb="FFB6DDE8"/>
        <bgColor rgb="FFB6DDE8"/>
      </patternFill>
    </fill>
  </fills>
  <borders count="11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vertical="center"/>
    </xf>
    <xf borderId="2" fillId="0" fontId="3" numFmtId="0" xfId="0" applyAlignment="1" applyBorder="1" applyFont="1">
      <alignment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shrinkToFit="0" vertical="top" wrapText="1"/>
    </xf>
    <xf borderId="2" fillId="0" fontId="3" numFmtId="164" xfId="0" applyAlignment="1" applyBorder="1" applyFont="1" applyNumberFormat="1">
      <alignment horizontal="left" vertical="center"/>
    </xf>
    <xf borderId="5" fillId="2" fontId="2" numFmtId="0" xfId="0" applyAlignment="1" applyBorder="1" applyFont="1">
      <alignment horizontal="left" vertical="center"/>
    </xf>
    <xf borderId="6" fillId="0" fontId="3" numFmtId="165" xfId="0" applyAlignment="1" applyBorder="1" applyFont="1" applyNumberFormat="1">
      <alignment horizontal="center" vertical="center"/>
    </xf>
    <xf borderId="6" fillId="0" fontId="3" numFmtId="164" xfId="0" applyAlignment="1" applyBorder="1" applyFont="1" applyNumberFormat="1">
      <alignment horizontal="center" vertical="center"/>
    </xf>
    <xf borderId="2" fillId="3" fontId="5" numFmtId="0" xfId="0" applyAlignment="1" applyBorder="1" applyFill="1" applyFont="1">
      <alignment horizontal="center" vertical="center"/>
    </xf>
    <xf borderId="7" fillId="3" fontId="5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readingOrder="0" shrinkToFit="0" vertical="center" wrapText="1"/>
    </xf>
    <xf borderId="8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7" fillId="0" fontId="5" numFmtId="166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left" vertical="center"/>
    </xf>
    <xf borderId="7" fillId="0" fontId="7" numFmtId="0" xfId="0" applyAlignment="1" applyBorder="1" applyFont="1">
      <alignment horizontal="center" vertical="center"/>
    </xf>
    <xf borderId="7" fillId="0" fontId="5" numFmtId="165" xfId="0" applyAlignment="1" applyBorder="1" applyFont="1" applyNumberFormat="1">
      <alignment horizontal="right" vertical="center"/>
    </xf>
    <xf borderId="7" fillId="0" fontId="5" numFmtId="16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left" readingOrder="0" vertical="center"/>
    </xf>
    <xf borderId="7" fillId="0" fontId="9" numFmtId="0" xfId="0" applyAlignment="1" applyBorder="1" applyFont="1">
      <alignment horizontal="center" vertical="center"/>
    </xf>
    <xf borderId="0" fillId="0" fontId="10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sn.com/ja-jp/news/other/2700%E3%83%AA%E3%83%83%E3%83%88%E3%83%AB%E3%81%AE%E3%81%94%E3%81%BF%E3%82%92%E5%9B%9E%E5%8F%8E-%E2%80%9C%E3%82%B3%E3%82%B9%E3%83%97%E3%83%AC%E2%80%9D%E3%81%A8%E2%80%9C%E3%81%94%E3%81%BF%E6%8B%BE%E3%81%84%E2%80%9D%E3%81%8C%E3%82%B3%E3%83%A9%E3%83%9C%E3%81%97%E3%81%9F%E7%A4%BE%E4%BC%9A%E6%B4%BE%E3%82%A4%E3%83%99%E3%83%B3%E3%83%88%E9%96%8B%E5%82%AC/ar-AACJyLS" TargetMode="External"/><Relationship Id="rId2" Type="http://schemas.openxmlformats.org/officeDocument/2006/relationships/hyperlink" Target="https://www.msn.com/ja-jp/news/other/%E3%80%8C%E6%B5%B7%E6%B4%8B%E3%81%94%E3%81%BF%E5%95%8F%E9%A1%8C%E3%80%8D%E3%81%AB%E6%96%AC%E6%96%B0%E3%81%AA%E4%B8%80%E6%89%8B-%E3%82%B3%E3%82%B9%E3%83%97%E3%83%AC%E3%82%A4%E3%83%A4%E3%83%BC%E3%81%8C%E2%80%9C%E3%81%94%E3%81%BF%E6%8B%BE%E3%81%84%E2%80%9D%E3%81%A7%E5%95%8F%E9%A1%8C%E6%8F%90%E8%B5%B7/ar-AACqBkC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1.38"/>
    <col customWidth="1" min="2" max="2" width="11.5"/>
    <col customWidth="1" min="3" max="3" width="22.38"/>
    <col customWidth="1" min="4" max="4" width="27.88"/>
    <col customWidth="1" min="5" max="6" width="7.5"/>
    <col customWidth="1" min="7" max="7" width="12.0"/>
    <col customWidth="1" min="8" max="8" width="9.63"/>
    <col customWidth="1" min="9" max="13" width="6.25"/>
    <col customWidth="1" min="14" max="26" width="9.63"/>
  </cols>
  <sheetData>
    <row r="1" ht="21.0" customHeight="1">
      <c r="A1" s="2" t="s">
        <v>1</v>
      </c>
      <c r="B1" s="3" t="s">
        <v>2</v>
      </c>
      <c r="C1" s="4"/>
      <c r="D1" s="5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0" customHeight="1">
      <c r="A2" s="2" t="s">
        <v>3</v>
      </c>
      <c r="B2" s="8">
        <v>191.0</v>
      </c>
      <c r="C2" s="4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4.75" customHeight="1">
      <c r="A3" s="6"/>
      <c r="B3" s="6"/>
      <c r="C3" s="6"/>
      <c r="D3" s="6"/>
      <c r="E3" s="6"/>
      <c r="F3" s="9" t="s">
        <v>4</v>
      </c>
      <c r="G3" s="10">
        <v>1.7607905E7</v>
      </c>
      <c r="H3" s="11">
        <v>0.0</v>
      </c>
      <c r="I3" s="12" t="s">
        <v>5</v>
      </c>
      <c r="J3" s="4"/>
      <c r="K3" s="4"/>
      <c r="L3" s="4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5.25" customHeight="1">
      <c r="A4" s="13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5"/>
      <c r="G4" s="16" t="s">
        <v>11</v>
      </c>
      <c r="H4" s="17" t="s">
        <v>12</v>
      </c>
      <c r="I4" s="18" t="s">
        <v>13</v>
      </c>
      <c r="J4" s="18" t="s">
        <v>14</v>
      </c>
      <c r="K4" s="18" t="s">
        <v>15</v>
      </c>
      <c r="L4" s="17" t="s">
        <v>16</v>
      </c>
      <c r="M4" s="19" t="s">
        <v>17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3.5" customHeight="1">
      <c r="A5" s="21" t="s">
        <v>18</v>
      </c>
      <c r="B5" s="21" t="s">
        <v>19</v>
      </c>
      <c r="C5" s="22" t="s">
        <v>20</v>
      </c>
      <c r="D5" s="22" t="s">
        <v>21</v>
      </c>
      <c r="E5" s="22" t="s">
        <v>22</v>
      </c>
      <c r="F5" s="23" t="str">
        <f>HYPERLINK("https://pool.ist/articles/5cf48e0e05e35b98f4d040b2","URLを開く")</f>
        <v>URLを開く</v>
      </c>
      <c r="G5" s="24">
        <v>9491.0</v>
      </c>
      <c r="H5" s="25" t="s">
        <v>23</v>
      </c>
      <c r="I5" s="26" t="s">
        <v>24</v>
      </c>
      <c r="J5" s="26" t="s">
        <v>24</v>
      </c>
      <c r="K5" s="26" t="s">
        <v>24</v>
      </c>
      <c r="L5" s="26" t="s">
        <v>24</v>
      </c>
      <c r="M5" s="26" t="s">
        <v>24</v>
      </c>
    </row>
    <row r="6" ht="13.5" customHeight="1">
      <c r="A6" s="21" t="s">
        <v>25</v>
      </c>
      <c r="B6" s="21" t="s">
        <v>26</v>
      </c>
      <c r="C6" s="22" t="s">
        <v>27</v>
      </c>
      <c r="D6" s="22" t="s">
        <v>28</v>
      </c>
      <c r="E6" s="27" t="s">
        <v>29</v>
      </c>
      <c r="F6" s="28" t="str">
        <f>HYPERLINK(" "," ")</f>
        <v> </v>
      </c>
      <c r="G6" s="24">
        <v>305390.0</v>
      </c>
      <c r="H6" s="25" t="s">
        <v>23</v>
      </c>
      <c r="I6" s="26" t="s">
        <v>24</v>
      </c>
      <c r="J6" s="26" t="s">
        <v>24</v>
      </c>
      <c r="K6" s="26" t="s">
        <v>24</v>
      </c>
      <c r="L6" s="26" t="s">
        <v>24</v>
      </c>
      <c r="M6" s="26" t="s">
        <v>24</v>
      </c>
    </row>
    <row r="7" ht="13.5" customHeight="1">
      <c r="A7" s="21" t="s">
        <v>25</v>
      </c>
      <c r="B7" s="21" t="s">
        <v>26</v>
      </c>
      <c r="C7" s="22" t="s">
        <v>30</v>
      </c>
      <c r="D7" s="22" t="s">
        <v>28</v>
      </c>
      <c r="E7" s="22" t="s">
        <v>31</v>
      </c>
      <c r="F7" s="23" t="str">
        <f>HYPERLINK("https://gunosy.com/articles/aLbKX","URLを開く")</f>
        <v>URLを開く</v>
      </c>
      <c r="G7" s="24">
        <v>167944.0</v>
      </c>
      <c r="H7" s="25" t="s">
        <v>23</v>
      </c>
      <c r="I7" s="26" t="s">
        <v>24</v>
      </c>
      <c r="J7" s="26" t="s">
        <v>24</v>
      </c>
      <c r="K7" s="26" t="s">
        <v>24</v>
      </c>
      <c r="L7" s="26" t="s">
        <v>24</v>
      </c>
      <c r="M7" s="26" t="s">
        <v>24</v>
      </c>
    </row>
    <row r="8" ht="13.5" customHeight="1">
      <c r="A8" s="21" t="s">
        <v>25</v>
      </c>
      <c r="B8" s="21" t="s">
        <v>26</v>
      </c>
      <c r="C8" s="22" t="s">
        <v>32</v>
      </c>
      <c r="D8" s="22" t="s">
        <v>33</v>
      </c>
      <c r="E8" s="22" t="s">
        <v>34</v>
      </c>
      <c r="F8" s="23" t="str">
        <f>HYPERLINK("https://373news.com/_news/oricon/kiji.php?id=2137322","URLを開く")</f>
        <v>URLを開く</v>
      </c>
      <c r="G8" s="24">
        <v>14350.0</v>
      </c>
      <c r="H8" s="25" t="s">
        <v>23</v>
      </c>
      <c r="I8" s="26" t="s">
        <v>24</v>
      </c>
      <c r="J8" s="26" t="s">
        <v>24</v>
      </c>
      <c r="K8" s="26" t="s">
        <v>24</v>
      </c>
      <c r="L8" s="26" t="s">
        <v>24</v>
      </c>
      <c r="M8" s="26" t="s">
        <v>24</v>
      </c>
    </row>
    <row r="9" ht="13.5" customHeight="1">
      <c r="A9" s="21" t="s">
        <v>25</v>
      </c>
      <c r="B9" s="21" t="s">
        <v>26</v>
      </c>
      <c r="C9" s="22" t="s">
        <v>35</v>
      </c>
      <c r="D9" s="22" t="s">
        <v>33</v>
      </c>
      <c r="E9" s="22" t="s">
        <v>36</v>
      </c>
      <c r="F9" s="23" t="str">
        <f>HYPERLINK("https://www.47news.jp/culture/entertainment/oricon/3660028.html","URLを開く")</f>
        <v>URLを開く</v>
      </c>
      <c r="G9" s="24">
        <v>97532.0</v>
      </c>
      <c r="H9" s="25" t="s">
        <v>23</v>
      </c>
      <c r="I9" s="26" t="s">
        <v>24</v>
      </c>
      <c r="J9" s="26" t="s">
        <v>24</v>
      </c>
      <c r="K9" s="26" t="s">
        <v>24</v>
      </c>
      <c r="L9" s="26" t="s">
        <v>24</v>
      </c>
      <c r="M9" s="26" t="s">
        <v>24</v>
      </c>
    </row>
    <row r="10" ht="13.5" customHeight="1">
      <c r="A10" s="21" t="s">
        <v>25</v>
      </c>
      <c r="B10" s="21" t="s">
        <v>26</v>
      </c>
      <c r="C10" s="22" t="s">
        <v>37</v>
      </c>
      <c r="D10" s="22" t="s">
        <v>33</v>
      </c>
      <c r="E10" s="22" t="s">
        <v>38</v>
      </c>
      <c r="F10" s="23" t="str">
        <f>HYPERLINK("https://news.nifty.com/article/entame/showbizd/12173-303893/","URLを開く")</f>
        <v>URLを開く</v>
      </c>
      <c r="G10" s="24">
        <v>138721.0</v>
      </c>
      <c r="H10" s="25" t="s">
        <v>23</v>
      </c>
      <c r="I10" s="26" t="s">
        <v>24</v>
      </c>
      <c r="J10" s="26" t="s">
        <v>24</v>
      </c>
      <c r="K10" s="26" t="s">
        <v>24</v>
      </c>
      <c r="L10" s="26" t="s">
        <v>24</v>
      </c>
      <c r="M10" s="26" t="s">
        <v>24</v>
      </c>
    </row>
    <row r="11" ht="13.5" customHeight="1">
      <c r="A11" s="21" t="s">
        <v>25</v>
      </c>
      <c r="B11" s="21" t="s">
        <v>26</v>
      </c>
      <c r="C11" s="22" t="s">
        <v>39</v>
      </c>
      <c r="D11" s="22" t="s">
        <v>33</v>
      </c>
      <c r="E11" s="22" t="s">
        <v>40</v>
      </c>
      <c r="F11" s="23" t="str">
        <f>HYPERLINK("https://www.agara.co.jp/article/10520","URLを開く")</f>
        <v>URLを開く</v>
      </c>
      <c r="G11" s="24">
        <v>11947.0</v>
      </c>
      <c r="H11" s="25" t="s">
        <v>23</v>
      </c>
      <c r="I11" s="26" t="s">
        <v>24</v>
      </c>
      <c r="J11" s="26" t="s">
        <v>24</v>
      </c>
      <c r="K11" s="26" t="s">
        <v>24</v>
      </c>
      <c r="L11" s="26" t="s">
        <v>24</v>
      </c>
      <c r="M11" s="26" t="s">
        <v>24</v>
      </c>
    </row>
    <row r="12" ht="13.5" customHeight="1">
      <c r="A12" s="21" t="s">
        <v>25</v>
      </c>
      <c r="B12" s="21" t="s">
        <v>26</v>
      </c>
      <c r="C12" s="22" t="s">
        <v>39</v>
      </c>
      <c r="D12" s="22" t="s">
        <v>33</v>
      </c>
      <c r="E12" s="22" t="s">
        <v>41</v>
      </c>
      <c r="F12" s="23" t="str">
        <f>HYPERLINK("https://www.agara.co.jp/article/10520?rct=oricon","URLを開く")</f>
        <v>URLを開く</v>
      </c>
      <c r="G12" s="24">
        <v>11947.0</v>
      </c>
      <c r="H12" s="25" t="s">
        <v>23</v>
      </c>
      <c r="I12" s="26" t="s">
        <v>24</v>
      </c>
      <c r="J12" s="26" t="s">
        <v>24</v>
      </c>
      <c r="K12" s="26" t="s">
        <v>24</v>
      </c>
      <c r="L12" s="26" t="s">
        <v>24</v>
      </c>
      <c r="M12" s="26" t="s">
        <v>24</v>
      </c>
    </row>
    <row r="13" ht="13.5" customHeight="1">
      <c r="A13" s="21" t="s">
        <v>25</v>
      </c>
      <c r="B13" s="21" t="s">
        <v>26</v>
      </c>
      <c r="C13" s="22" t="s">
        <v>42</v>
      </c>
      <c r="D13" s="22" t="s">
        <v>33</v>
      </c>
      <c r="E13" s="22" t="s">
        <v>43</v>
      </c>
      <c r="F13" s="23" t="str">
        <f>HYPERLINK("https://article.auone.jp/detail/1/5/9/20_9_r_20190612_1560290651924990","URLを開く")</f>
        <v>URLを開く</v>
      </c>
      <c r="G13" s="24">
        <v>190030.0</v>
      </c>
      <c r="H13" s="25" t="s">
        <v>23</v>
      </c>
      <c r="I13" s="26" t="s">
        <v>24</v>
      </c>
      <c r="J13" s="26" t="s">
        <v>24</v>
      </c>
      <c r="K13" s="26" t="s">
        <v>24</v>
      </c>
      <c r="L13" s="26" t="s">
        <v>24</v>
      </c>
      <c r="M13" s="26" t="s">
        <v>24</v>
      </c>
    </row>
    <row r="14" ht="13.5" customHeight="1">
      <c r="A14" s="21" t="s">
        <v>25</v>
      </c>
      <c r="B14" s="21" t="s">
        <v>26</v>
      </c>
      <c r="C14" s="22" t="s">
        <v>44</v>
      </c>
      <c r="D14" s="22" t="s">
        <v>33</v>
      </c>
      <c r="E14" s="22" t="s">
        <v>45</v>
      </c>
      <c r="F14" s="23" t="str">
        <f>HYPERLINK("https://news.biglobe.ne.jp/entertainment/0612/ori_190612_5642011514.html","URLを開く")</f>
        <v>URLを開く</v>
      </c>
      <c r="G14" s="24">
        <v>189139.0</v>
      </c>
      <c r="H14" s="25" t="s">
        <v>23</v>
      </c>
      <c r="I14" s="26" t="s">
        <v>24</v>
      </c>
      <c r="J14" s="26" t="s">
        <v>24</v>
      </c>
      <c r="K14" s="26" t="s">
        <v>24</v>
      </c>
      <c r="L14" s="26" t="s">
        <v>24</v>
      </c>
      <c r="M14" s="26" t="s">
        <v>24</v>
      </c>
    </row>
    <row r="15" ht="13.5" customHeight="1">
      <c r="A15" s="21" t="s">
        <v>25</v>
      </c>
      <c r="B15" s="21" t="s">
        <v>26</v>
      </c>
      <c r="C15" s="22" t="s">
        <v>46</v>
      </c>
      <c r="D15" s="22" t="s">
        <v>33</v>
      </c>
      <c r="E15" s="22" t="s">
        <v>47</v>
      </c>
      <c r="F15" s="23" t="str">
        <f>HYPERLINK("https://club.panasonic.jp/oriconnews/detail/?id=2137322","URLを開く")</f>
        <v>URLを開く</v>
      </c>
      <c r="G15" s="24">
        <v>50059.0</v>
      </c>
      <c r="H15" s="25" t="s">
        <v>23</v>
      </c>
      <c r="I15" s="26" t="s">
        <v>24</v>
      </c>
      <c r="J15" s="26" t="s">
        <v>24</v>
      </c>
      <c r="K15" s="26" t="s">
        <v>24</v>
      </c>
      <c r="L15" s="26" t="s">
        <v>24</v>
      </c>
      <c r="M15" s="26" t="s">
        <v>24</v>
      </c>
    </row>
    <row r="16" ht="13.5" customHeight="1">
      <c r="A16" s="21" t="s">
        <v>25</v>
      </c>
      <c r="B16" s="21" t="s">
        <v>26</v>
      </c>
      <c r="C16" s="22" t="s">
        <v>48</v>
      </c>
      <c r="D16" s="22" t="s">
        <v>33</v>
      </c>
      <c r="E16" s="22" t="s">
        <v>49</v>
      </c>
      <c r="F16" s="23" t="str">
        <f>HYPERLINK("https://mall.373news.com/felia/?oricon_news=2137322-2","URLを開く")</f>
        <v>URLを開く</v>
      </c>
      <c r="G16" s="24">
        <v>11081.0</v>
      </c>
      <c r="H16" s="25" t="s">
        <v>23</v>
      </c>
      <c r="I16" s="26" t="s">
        <v>24</v>
      </c>
      <c r="J16" s="26" t="s">
        <v>24</v>
      </c>
      <c r="K16" s="26" t="s">
        <v>24</v>
      </c>
      <c r="L16" s="26" t="s">
        <v>24</v>
      </c>
      <c r="M16" s="26" t="s">
        <v>24</v>
      </c>
    </row>
    <row r="17" ht="13.5" customHeight="1">
      <c r="A17" s="21" t="s">
        <v>25</v>
      </c>
      <c r="B17" s="21" t="s">
        <v>26</v>
      </c>
      <c r="C17" s="22" t="s">
        <v>50</v>
      </c>
      <c r="D17" s="22" t="s">
        <v>33</v>
      </c>
      <c r="E17" s="22" t="s">
        <v>51</v>
      </c>
      <c r="F17" s="23" t="str">
        <f>HYPERLINK("https://www.nack5.co.jp/oricon_2137322.shtml","URLを開く")</f>
        <v>URLを開く</v>
      </c>
      <c r="G17" s="24">
        <v>14899.0</v>
      </c>
      <c r="H17" s="25" t="s">
        <v>23</v>
      </c>
      <c r="I17" s="26" t="s">
        <v>24</v>
      </c>
      <c r="J17" s="26" t="s">
        <v>24</v>
      </c>
      <c r="K17" s="26" t="s">
        <v>24</v>
      </c>
      <c r="L17" s="26" t="s">
        <v>24</v>
      </c>
      <c r="M17" s="26" t="s">
        <v>24</v>
      </c>
    </row>
    <row r="18" ht="13.5" customHeight="1">
      <c r="A18" s="21" t="s">
        <v>25</v>
      </c>
      <c r="B18" s="21" t="s">
        <v>26</v>
      </c>
      <c r="C18" s="22" t="s">
        <v>52</v>
      </c>
      <c r="D18" s="22" t="s">
        <v>33</v>
      </c>
      <c r="E18" s="22" t="s">
        <v>53</v>
      </c>
      <c r="F18" s="23" t="str">
        <f>HYPERLINK("https://news.goo.ne.jp/article/oricon/entertainment/oricon-2137322.html","URLを開く")</f>
        <v>URLを開く</v>
      </c>
      <c r="G18" s="24">
        <v>133606.0</v>
      </c>
      <c r="H18" s="25" t="s">
        <v>23</v>
      </c>
      <c r="I18" s="26" t="s">
        <v>24</v>
      </c>
      <c r="J18" s="26" t="s">
        <v>24</v>
      </c>
      <c r="K18" s="26" t="s">
        <v>24</v>
      </c>
      <c r="L18" s="26" t="s">
        <v>24</v>
      </c>
      <c r="M18" s="26" t="s">
        <v>24</v>
      </c>
    </row>
    <row r="19" ht="13.5" customHeight="1">
      <c r="A19" s="21" t="s">
        <v>25</v>
      </c>
      <c r="B19" s="21" t="s">
        <v>26</v>
      </c>
      <c r="C19" s="22" t="s">
        <v>54</v>
      </c>
      <c r="D19" s="22" t="s">
        <v>33</v>
      </c>
      <c r="E19" s="22" t="s">
        <v>55</v>
      </c>
      <c r="F19" s="23" t="str">
        <f>HYPERLINK("http://jp.news.gree.net/news/entry/3248139?from_ggpnews=news_genre_list","URLを開く")</f>
        <v>URLを開く</v>
      </c>
      <c r="G19" s="24">
        <v>15763.0</v>
      </c>
      <c r="H19" s="25" t="s">
        <v>23</v>
      </c>
      <c r="I19" s="26" t="s">
        <v>24</v>
      </c>
      <c r="J19" s="26" t="s">
        <v>24</v>
      </c>
      <c r="K19" s="26" t="s">
        <v>24</v>
      </c>
      <c r="L19" s="26" t="s">
        <v>24</v>
      </c>
      <c r="M19" s="26" t="s">
        <v>24</v>
      </c>
    </row>
    <row r="20" ht="13.5" customHeight="1">
      <c r="A20" s="21" t="s">
        <v>25</v>
      </c>
      <c r="B20" s="21" t="s">
        <v>26</v>
      </c>
      <c r="C20" s="22" t="s">
        <v>56</v>
      </c>
      <c r="D20" s="22" t="s">
        <v>33</v>
      </c>
      <c r="E20" s="22" t="s">
        <v>57</v>
      </c>
      <c r="F20" s="23" t="str">
        <f>HYPERLINK("https://news.infoseek.co.jp/article/oricon_2137322","URLを開く")</f>
        <v>URLを開く</v>
      </c>
      <c r="G20" s="24">
        <v>161222.0</v>
      </c>
      <c r="H20" s="25" t="s">
        <v>23</v>
      </c>
      <c r="I20" s="26" t="s">
        <v>24</v>
      </c>
      <c r="J20" s="26" t="s">
        <v>24</v>
      </c>
      <c r="K20" s="26" t="s">
        <v>24</v>
      </c>
      <c r="L20" s="26" t="s">
        <v>24</v>
      </c>
      <c r="M20" s="26" t="s">
        <v>24</v>
      </c>
    </row>
    <row r="21" ht="13.5" customHeight="1">
      <c r="A21" s="21" t="s">
        <v>25</v>
      </c>
      <c r="B21" s="21" t="s">
        <v>26</v>
      </c>
      <c r="C21" s="22" t="s">
        <v>58</v>
      </c>
      <c r="D21" s="22" t="s">
        <v>33</v>
      </c>
      <c r="E21" s="22" t="s">
        <v>59</v>
      </c>
      <c r="F21" s="23" t="str">
        <f>HYPERLINK("https://news.livedoor.com/article/detail/16604902/","URLを開く")</f>
        <v>URLを開く</v>
      </c>
      <c r="G21" s="24">
        <v>251894.0</v>
      </c>
      <c r="H21" s="25" t="s">
        <v>23</v>
      </c>
      <c r="I21" s="26" t="s">
        <v>24</v>
      </c>
      <c r="J21" s="26" t="s">
        <v>24</v>
      </c>
      <c r="K21" s="26" t="s">
        <v>24</v>
      </c>
      <c r="L21" s="26" t="s">
        <v>24</v>
      </c>
      <c r="M21" s="26" t="s">
        <v>24</v>
      </c>
    </row>
    <row r="22" ht="13.5" customHeight="1">
      <c r="A22" s="21" t="s">
        <v>25</v>
      </c>
      <c r="B22" s="21" t="s">
        <v>26</v>
      </c>
      <c r="C22" s="22" t="s">
        <v>60</v>
      </c>
      <c r="D22" s="22" t="s">
        <v>33</v>
      </c>
      <c r="E22" s="22" t="s">
        <v>61</v>
      </c>
      <c r="F22" s="23" t="str">
        <f>HYPERLINK("https://news.mixi.jp/view_news.pl?id=5659263&amp;media_id=54","URLを開く")</f>
        <v>URLを開く</v>
      </c>
      <c r="G22" s="24">
        <v>90048.0</v>
      </c>
      <c r="H22" s="25" t="s">
        <v>23</v>
      </c>
      <c r="I22" s="26" t="s">
        <v>24</v>
      </c>
      <c r="J22" s="26" t="s">
        <v>24</v>
      </c>
      <c r="K22" s="26" t="s">
        <v>24</v>
      </c>
      <c r="L22" s="26" t="s">
        <v>24</v>
      </c>
      <c r="M22" s="26" t="s">
        <v>24</v>
      </c>
    </row>
    <row r="23" ht="13.5" customHeight="1">
      <c r="A23" s="21" t="s">
        <v>25</v>
      </c>
      <c r="B23" s="21" t="s">
        <v>26</v>
      </c>
      <c r="C23" s="22" t="s">
        <v>62</v>
      </c>
      <c r="D23" s="22" t="s">
        <v>33</v>
      </c>
      <c r="E23" s="22" t="s">
        <v>63</v>
      </c>
      <c r="F23" s="23" t="str">
        <f>HYPERLINK("http://www.the-miyanichi.co.jp/special/oricon/index.php?oriconid=entertainment/201906122137322","URLを開く")</f>
        <v>URLを開く</v>
      </c>
      <c r="G23" s="24">
        <v>14760.0</v>
      </c>
      <c r="H23" s="25" t="s">
        <v>23</v>
      </c>
      <c r="I23" s="26" t="s">
        <v>24</v>
      </c>
      <c r="J23" s="26" t="s">
        <v>24</v>
      </c>
      <c r="K23" s="26" t="s">
        <v>24</v>
      </c>
      <c r="L23" s="26" t="s">
        <v>24</v>
      </c>
      <c r="M23" s="26" t="s">
        <v>24</v>
      </c>
    </row>
    <row r="24" ht="13.5" customHeight="1">
      <c r="A24" s="21" t="s">
        <v>25</v>
      </c>
      <c r="B24" s="21" t="s">
        <v>26</v>
      </c>
      <c r="C24" s="22" t="s">
        <v>64</v>
      </c>
      <c r="D24" s="22" t="s">
        <v>33</v>
      </c>
      <c r="E24" s="22" t="s">
        <v>65</v>
      </c>
      <c r="F24" s="23" t="str">
        <f>HYPERLINK("https://www.oricon.co.jp/news/2137322/full/","URLを開く")</f>
        <v>URLを開く</v>
      </c>
      <c r="G24" s="24">
        <v>150254.0</v>
      </c>
      <c r="H24" s="25" t="s">
        <v>23</v>
      </c>
      <c r="I24" s="26" t="s">
        <v>24</v>
      </c>
      <c r="J24" s="26" t="s">
        <v>24</v>
      </c>
      <c r="K24" s="26" t="s">
        <v>24</v>
      </c>
      <c r="L24" s="26" t="s">
        <v>24</v>
      </c>
      <c r="M24" s="26" t="s">
        <v>24</v>
      </c>
    </row>
    <row r="25" ht="13.5" customHeight="1">
      <c r="A25" s="21" t="s">
        <v>25</v>
      </c>
      <c r="B25" s="21" t="s">
        <v>26</v>
      </c>
      <c r="C25" s="22" t="s">
        <v>66</v>
      </c>
      <c r="D25" s="22" t="s">
        <v>33</v>
      </c>
      <c r="E25" s="22" t="s">
        <v>67</v>
      </c>
      <c r="F25" s="23" t="str">
        <f>HYPERLINK("https://news.tnc.ne.jp/entame/307308_1.html","URLを開く")</f>
        <v>URLを開く</v>
      </c>
      <c r="G25" s="24">
        <v>12116.0</v>
      </c>
      <c r="H25" s="25" t="s">
        <v>23</v>
      </c>
      <c r="I25" s="26" t="s">
        <v>24</v>
      </c>
      <c r="J25" s="26" t="s">
        <v>24</v>
      </c>
      <c r="K25" s="26" t="s">
        <v>24</v>
      </c>
      <c r="L25" s="26" t="s">
        <v>24</v>
      </c>
      <c r="M25" s="26" t="s">
        <v>24</v>
      </c>
    </row>
    <row r="26" ht="13.5" customHeight="1">
      <c r="A26" s="21" t="s">
        <v>25</v>
      </c>
      <c r="B26" s="21" t="s">
        <v>26</v>
      </c>
      <c r="C26" s="22" t="s">
        <v>68</v>
      </c>
      <c r="D26" s="22" t="s">
        <v>33</v>
      </c>
      <c r="E26" s="22" t="s">
        <v>69</v>
      </c>
      <c r="F26" s="23" t="str">
        <f>HYPERLINK("https://www.toonippo.co.jp/articles/-/204171","URLを開く")</f>
        <v>URLを開く</v>
      </c>
      <c r="G26" s="24">
        <v>12289.0</v>
      </c>
      <c r="H26" s="25" t="s">
        <v>23</v>
      </c>
      <c r="I26" s="26" t="s">
        <v>24</v>
      </c>
      <c r="J26" s="26" t="s">
        <v>24</v>
      </c>
      <c r="K26" s="26" t="s">
        <v>24</v>
      </c>
      <c r="L26" s="26" t="s">
        <v>24</v>
      </c>
      <c r="M26" s="26" t="s">
        <v>24</v>
      </c>
    </row>
    <row r="27" ht="13.5" customHeight="1">
      <c r="A27" s="21" t="s">
        <v>25</v>
      </c>
      <c r="B27" s="21" t="s">
        <v>26</v>
      </c>
      <c r="C27" s="22" t="s">
        <v>70</v>
      </c>
      <c r="D27" s="22" t="s">
        <v>33</v>
      </c>
      <c r="E27" s="22" t="s">
        <v>71</v>
      </c>
      <c r="F27" s="23" t="str">
        <f>HYPERLINK("https://woman.excite.co.jp/article/lifestyle/rid_OriconStyle_2137322/","URLを開く")</f>
        <v>URLを開く</v>
      </c>
      <c r="G27" s="24">
        <v>134867.0</v>
      </c>
      <c r="H27" s="25" t="s">
        <v>23</v>
      </c>
      <c r="I27" s="26" t="s">
        <v>24</v>
      </c>
      <c r="J27" s="26" t="s">
        <v>24</v>
      </c>
      <c r="K27" s="26" t="s">
        <v>24</v>
      </c>
      <c r="L27" s="26" t="s">
        <v>24</v>
      </c>
      <c r="M27" s="26" t="s">
        <v>24</v>
      </c>
    </row>
    <row r="28" ht="13.5" customHeight="1">
      <c r="A28" s="21" t="s">
        <v>25</v>
      </c>
      <c r="B28" s="21" t="s">
        <v>26</v>
      </c>
      <c r="C28" s="22" t="s">
        <v>72</v>
      </c>
      <c r="D28" s="22" t="s">
        <v>33</v>
      </c>
      <c r="E28" s="22" t="s">
        <v>73</v>
      </c>
      <c r="F28" s="23" t="str">
        <f>HYPERLINK("https://headlines.yahoo.co.jp/hl?a=20190612-00000306-oric-ent","URLを開く")</f>
        <v>URLを開く</v>
      </c>
      <c r="G28" s="24">
        <v>428281.0</v>
      </c>
      <c r="H28" s="25" t="s">
        <v>23</v>
      </c>
      <c r="I28" s="26" t="s">
        <v>24</v>
      </c>
      <c r="J28" s="26" t="s">
        <v>24</v>
      </c>
      <c r="K28" s="26" t="s">
        <v>24</v>
      </c>
      <c r="L28" s="26" t="s">
        <v>24</v>
      </c>
      <c r="M28" s="26" t="s">
        <v>24</v>
      </c>
    </row>
    <row r="29" ht="13.5" customHeight="1">
      <c r="A29" s="21" t="s">
        <v>25</v>
      </c>
      <c r="B29" s="21" t="s">
        <v>26</v>
      </c>
      <c r="C29" s="22" t="s">
        <v>74</v>
      </c>
      <c r="D29" s="22" t="s">
        <v>33</v>
      </c>
      <c r="E29" s="22" t="s">
        <v>75</v>
      </c>
      <c r="F29" s="23" t="str">
        <f>HYPERLINK("https://music.oricon.co.jp/php/news/NewsInfo.php?news=2137322","URLを開く")</f>
        <v>URLを開く</v>
      </c>
      <c r="G29" s="24">
        <v>68251.0</v>
      </c>
      <c r="H29" s="25" t="s">
        <v>23</v>
      </c>
      <c r="I29" s="26" t="s">
        <v>24</v>
      </c>
      <c r="J29" s="26" t="s">
        <v>24</v>
      </c>
      <c r="K29" s="26" t="s">
        <v>24</v>
      </c>
      <c r="L29" s="26" t="s">
        <v>24</v>
      </c>
      <c r="M29" s="26" t="s">
        <v>24</v>
      </c>
    </row>
    <row r="30" ht="13.5" customHeight="1">
      <c r="A30" s="21" t="s">
        <v>25</v>
      </c>
      <c r="B30" s="21" t="s">
        <v>26</v>
      </c>
      <c r="C30" s="22" t="s">
        <v>76</v>
      </c>
      <c r="D30" s="22" t="s">
        <v>33</v>
      </c>
      <c r="E30" s="22" t="s">
        <v>77</v>
      </c>
      <c r="F30" s="23" t="str">
        <f>HYPERLINK("https://www.chibanippo.co.jp/life/oricon/601842","URLを開く")</f>
        <v>URLを開く</v>
      </c>
      <c r="G30" s="24">
        <v>13185.0</v>
      </c>
      <c r="H30" s="25" t="s">
        <v>23</v>
      </c>
      <c r="I30" s="26" t="s">
        <v>24</v>
      </c>
      <c r="J30" s="26" t="s">
        <v>24</v>
      </c>
      <c r="K30" s="26" t="s">
        <v>24</v>
      </c>
      <c r="L30" s="26" t="s">
        <v>24</v>
      </c>
      <c r="M30" s="26" t="s">
        <v>24</v>
      </c>
    </row>
    <row r="31" ht="13.5" customHeight="1">
      <c r="A31" s="21" t="s">
        <v>25</v>
      </c>
      <c r="B31" s="21" t="s">
        <v>26</v>
      </c>
      <c r="C31" s="22" t="s">
        <v>78</v>
      </c>
      <c r="D31" s="22" t="s">
        <v>33</v>
      </c>
      <c r="E31" s="22" t="s">
        <v>79</v>
      </c>
      <c r="F31" s="23" t="str">
        <f>HYPERLINK("https://www.oita-press.co.jp/1009000000/2019/06/12/ORI2137322","URLを開く")</f>
        <v>URLを開く</v>
      </c>
      <c r="G31" s="24">
        <v>12580.0</v>
      </c>
      <c r="H31" s="25" t="s">
        <v>23</v>
      </c>
      <c r="I31" s="26" t="s">
        <v>24</v>
      </c>
      <c r="J31" s="26" t="s">
        <v>24</v>
      </c>
      <c r="K31" s="26" t="s">
        <v>24</v>
      </c>
      <c r="L31" s="26" t="s">
        <v>24</v>
      </c>
      <c r="M31" s="26" t="s">
        <v>24</v>
      </c>
    </row>
    <row r="32" ht="13.5" customHeight="1">
      <c r="A32" s="21" t="s">
        <v>25</v>
      </c>
      <c r="B32" s="21" t="s">
        <v>26</v>
      </c>
      <c r="C32" s="22" t="s">
        <v>80</v>
      </c>
      <c r="D32" s="22" t="s">
        <v>33</v>
      </c>
      <c r="E32" s="22" t="s">
        <v>81</v>
      </c>
      <c r="F32" s="23" t="str">
        <f>HYPERLINK("https://www.iwate-np.co.jp/article/oricon/2137322","URLを開く")</f>
        <v>URLを開く</v>
      </c>
      <c r="G32" s="24">
        <v>13659.0</v>
      </c>
      <c r="H32" s="25" t="s">
        <v>23</v>
      </c>
      <c r="I32" s="26" t="s">
        <v>24</v>
      </c>
      <c r="J32" s="26" t="s">
        <v>24</v>
      </c>
      <c r="K32" s="26" t="s">
        <v>24</v>
      </c>
      <c r="L32" s="26" t="s">
        <v>24</v>
      </c>
      <c r="M32" s="26" t="s">
        <v>24</v>
      </c>
    </row>
    <row r="33" ht="13.5" customHeight="1">
      <c r="A33" s="21" t="s">
        <v>25</v>
      </c>
      <c r="B33" s="21" t="s">
        <v>26</v>
      </c>
      <c r="C33" s="22" t="s">
        <v>82</v>
      </c>
      <c r="D33" s="22" t="s">
        <v>33</v>
      </c>
      <c r="E33" s="22" t="s">
        <v>83</v>
      </c>
      <c r="F33" s="23" t="str">
        <f>HYPERLINK("https://www.topics.or.jp/articles/-/214826","URLを開く")</f>
        <v>URLを開く</v>
      </c>
      <c r="G33" s="24">
        <v>12819.0</v>
      </c>
      <c r="H33" s="25" t="s">
        <v>23</v>
      </c>
      <c r="I33" s="26" t="s">
        <v>24</v>
      </c>
      <c r="J33" s="26" t="s">
        <v>24</v>
      </c>
      <c r="K33" s="26" t="s">
        <v>24</v>
      </c>
      <c r="L33" s="26" t="s">
        <v>24</v>
      </c>
      <c r="M33" s="26" t="s">
        <v>24</v>
      </c>
    </row>
    <row r="34" ht="13.5" customHeight="1">
      <c r="A34" s="21" t="s">
        <v>25</v>
      </c>
      <c r="B34" s="21" t="s">
        <v>26</v>
      </c>
      <c r="C34" s="22" t="s">
        <v>84</v>
      </c>
      <c r="D34" s="22" t="s">
        <v>33</v>
      </c>
      <c r="E34" s="22" t="s">
        <v>85</v>
      </c>
      <c r="F34" s="23" t="str">
        <f>HYPERLINK("https://woman.infoseek.co.jp/news/entertainment/oricon_2137322","URLを開く")</f>
        <v>URLを開く</v>
      </c>
      <c r="G34" s="24">
        <v>152385.0</v>
      </c>
      <c r="H34" s="25" t="s">
        <v>23</v>
      </c>
      <c r="I34" s="26" t="s">
        <v>24</v>
      </c>
      <c r="J34" s="26" t="s">
        <v>24</v>
      </c>
      <c r="K34" s="26" t="s">
        <v>24</v>
      </c>
      <c r="L34" s="26" t="s">
        <v>24</v>
      </c>
      <c r="M34" s="26" t="s">
        <v>24</v>
      </c>
    </row>
    <row r="35" ht="13.5" customHeight="1">
      <c r="A35" s="21" t="s">
        <v>25</v>
      </c>
      <c r="B35" s="21" t="s">
        <v>26</v>
      </c>
      <c r="C35" s="22" t="s">
        <v>86</v>
      </c>
      <c r="D35" s="22" t="s">
        <v>33</v>
      </c>
      <c r="E35" s="22" t="s">
        <v>87</v>
      </c>
      <c r="F35" s="23" t="str">
        <f>HYPERLINK("https://mainichi.jp/articles/20190612/orc/00m/200/020000c","URLを開く")</f>
        <v>URLを開く</v>
      </c>
      <c r="G35" s="24">
        <v>295512.0</v>
      </c>
      <c r="H35" s="25" t="s">
        <v>23</v>
      </c>
      <c r="I35" s="26" t="s">
        <v>24</v>
      </c>
      <c r="J35" s="26" t="s">
        <v>24</v>
      </c>
      <c r="K35" s="26" t="s">
        <v>24</v>
      </c>
      <c r="L35" s="26" t="s">
        <v>24</v>
      </c>
      <c r="M35" s="26" t="s">
        <v>24</v>
      </c>
    </row>
    <row r="36" ht="13.5" customHeight="1">
      <c r="A36" s="21" t="s">
        <v>25</v>
      </c>
      <c r="B36" s="21" t="s">
        <v>26</v>
      </c>
      <c r="C36" s="22" t="s">
        <v>88</v>
      </c>
      <c r="D36" s="22" t="s">
        <v>33</v>
      </c>
      <c r="E36" s="22" t="s">
        <v>89</v>
      </c>
      <c r="F36" s="23" t="str">
        <f>HYPERLINK("https://www.okinawatimes.co.jp/articles/-/431562","URLを開く")</f>
        <v>URLを開く</v>
      </c>
      <c r="G36" s="24">
        <v>50769.0</v>
      </c>
      <c r="H36" s="25" t="s">
        <v>23</v>
      </c>
      <c r="I36" s="26" t="s">
        <v>24</v>
      </c>
      <c r="J36" s="26" t="s">
        <v>24</v>
      </c>
      <c r="K36" s="26" t="s">
        <v>24</v>
      </c>
      <c r="L36" s="26" t="s">
        <v>24</v>
      </c>
      <c r="M36" s="26" t="s">
        <v>24</v>
      </c>
    </row>
    <row r="37" ht="13.5" customHeight="1">
      <c r="A37" s="21" t="s">
        <v>25</v>
      </c>
      <c r="B37" s="21" t="s">
        <v>26</v>
      </c>
      <c r="C37" s="22" t="s">
        <v>90</v>
      </c>
      <c r="D37" s="22" t="s">
        <v>33</v>
      </c>
      <c r="E37" s="22" t="s">
        <v>91</v>
      </c>
      <c r="F37" s="23" t="str">
        <f>HYPERLINK("https://www.sakigake.jp/news/article/20190612OR0020/?nv=oricon","URLを開く")</f>
        <v>URLを開く</v>
      </c>
      <c r="G37" s="24">
        <v>13382.0</v>
      </c>
      <c r="H37" s="25" t="s">
        <v>23</v>
      </c>
      <c r="I37" s="26" t="s">
        <v>24</v>
      </c>
      <c r="J37" s="26" t="s">
        <v>24</v>
      </c>
      <c r="K37" s="26" t="s">
        <v>24</v>
      </c>
      <c r="L37" s="26" t="s">
        <v>24</v>
      </c>
      <c r="M37" s="26" t="s">
        <v>24</v>
      </c>
    </row>
    <row r="38" ht="13.5" customHeight="1">
      <c r="A38" s="21" t="s">
        <v>25</v>
      </c>
      <c r="B38" s="21" t="s">
        <v>26</v>
      </c>
      <c r="C38" s="22" t="s">
        <v>90</v>
      </c>
      <c r="D38" s="22" t="s">
        <v>33</v>
      </c>
      <c r="E38" s="22" t="s">
        <v>92</v>
      </c>
      <c r="F38" s="23" t="str">
        <f>HYPERLINK("https://www.sakigake.jp/news/article/20190612OR0020/?nv=ent","URLを開く")</f>
        <v>URLを開く</v>
      </c>
      <c r="G38" s="24">
        <v>12699.0</v>
      </c>
      <c r="H38" s="25" t="s">
        <v>23</v>
      </c>
      <c r="I38" s="26" t="s">
        <v>24</v>
      </c>
      <c r="J38" s="26" t="s">
        <v>24</v>
      </c>
      <c r="K38" s="26" t="s">
        <v>24</v>
      </c>
      <c r="L38" s="26" t="s">
        <v>24</v>
      </c>
      <c r="M38" s="26" t="s">
        <v>24</v>
      </c>
    </row>
    <row r="39" ht="13.5" customHeight="1">
      <c r="A39" s="21" t="s">
        <v>25</v>
      </c>
      <c r="B39" s="21" t="s">
        <v>26</v>
      </c>
      <c r="C39" s="22" t="s">
        <v>93</v>
      </c>
      <c r="D39" s="22" t="s">
        <v>94</v>
      </c>
      <c r="E39" s="22" t="s">
        <v>95</v>
      </c>
      <c r="F39" s="23" t="str">
        <f>HYPERLINK("https://cont.t-com.ne.jp/entame/307308_1.html","URLを開く")</f>
        <v>URLを開く</v>
      </c>
      <c r="G39" s="24">
        <v>10280.0</v>
      </c>
      <c r="H39" s="25" t="s">
        <v>23</v>
      </c>
      <c r="I39" s="26" t="s">
        <v>24</v>
      </c>
      <c r="J39" s="26" t="s">
        <v>24</v>
      </c>
      <c r="K39" s="26" t="s">
        <v>24</v>
      </c>
      <c r="L39" s="26" t="s">
        <v>24</v>
      </c>
      <c r="M39" s="26" t="s">
        <v>24</v>
      </c>
    </row>
    <row r="40" ht="13.5" customHeight="1">
      <c r="A40" s="21" t="s">
        <v>25</v>
      </c>
      <c r="B40" s="21" t="s">
        <v>26</v>
      </c>
      <c r="C40" s="22" t="s">
        <v>96</v>
      </c>
      <c r="D40" s="22" t="s">
        <v>97</v>
      </c>
      <c r="E40" s="22" t="s">
        <v>98</v>
      </c>
      <c r="F40" s="23" t="str">
        <f>HYPERLINK("http://topics.smt.docomo.ne.jp/article/oricon/entertainment/oricon-2137322?fm=latestnews","URLを開く")</f>
        <v>URLを開く</v>
      </c>
      <c r="G40" s="24">
        <v>46433.0</v>
      </c>
      <c r="H40" s="25" t="s">
        <v>23</v>
      </c>
      <c r="I40" s="26" t="s">
        <v>24</v>
      </c>
      <c r="J40" s="26" t="s">
        <v>24</v>
      </c>
      <c r="K40" s="26" t="s">
        <v>24</v>
      </c>
      <c r="L40" s="26" t="s">
        <v>24</v>
      </c>
      <c r="M40" s="26" t="s">
        <v>24</v>
      </c>
    </row>
    <row r="41" ht="13.5" customHeight="1">
      <c r="A41" s="21" t="s">
        <v>25</v>
      </c>
      <c r="B41" s="21" t="s">
        <v>26</v>
      </c>
      <c r="C41" s="22" t="s">
        <v>99</v>
      </c>
      <c r="D41" s="22" t="s">
        <v>100</v>
      </c>
      <c r="E41" s="22" t="s">
        <v>101</v>
      </c>
      <c r="F41" s="23" t="str">
        <f>HYPERLINK("http://www.minyu-net.com/oricon/OR2137322.php","URLを開く")</f>
        <v>URLを開く</v>
      </c>
      <c r="G41" s="24">
        <v>12580.0</v>
      </c>
      <c r="H41" s="25" t="s">
        <v>23</v>
      </c>
      <c r="I41" s="26" t="s">
        <v>24</v>
      </c>
      <c r="J41" s="26" t="s">
        <v>24</v>
      </c>
      <c r="K41" s="26" t="s">
        <v>24</v>
      </c>
      <c r="L41" s="26" t="s">
        <v>24</v>
      </c>
      <c r="M41" s="26" t="s">
        <v>24</v>
      </c>
    </row>
    <row r="42" ht="13.5" customHeight="1">
      <c r="A42" s="21" t="s">
        <v>25</v>
      </c>
      <c r="B42" s="21" t="s">
        <v>26</v>
      </c>
      <c r="C42" s="22" t="s">
        <v>102</v>
      </c>
      <c r="D42" s="22" t="s">
        <v>103</v>
      </c>
      <c r="E42" s="22" t="s">
        <v>104</v>
      </c>
      <c r="F42" s="23" t="str">
        <f>HYPERLINK("https://www.jomo-news.co.jp/life/oricon/138116","URLを開く")</f>
        <v>URLを開く</v>
      </c>
      <c r="G42" s="24">
        <v>13451.0</v>
      </c>
      <c r="H42" s="25" t="s">
        <v>23</v>
      </c>
      <c r="I42" s="26" t="s">
        <v>24</v>
      </c>
      <c r="J42" s="26" t="s">
        <v>24</v>
      </c>
      <c r="K42" s="26" t="s">
        <v>24</v>
      </c>
      <c r="L42" s="26" t="s">
        <v>24</v>
      </c>
      <c r="M42" s="26" t="s">
        <v>24</v>
      </c>
    </row>
    <row r="43" ht="13.5" customHeight="1">
      <c r="A43" s="21" t="s">
        <v>25</v>
      </c>
      <c r="B43" s="21" t="s">
        <v>26</v>
      </c>
      <c r="C43" s="22" t="s">
        <v>105</v>
      </c>
      <c r="D43" s="22" t="s">
        <v>106</v>
      </c>
      <c r="E43" s="22" t="s">
        <v>107</v>
      </c>
      <c r="F43" s="23" t="str">
        <f>HYPERLINK("https://news.ameba.jp/entry/20190612-90/","URLを開く")</f>
        <v>URLを開く</v>
      </c>
      <c r="G43" s="24">
        <v>164280.0</v>
      </c>
      <c r="H43" s="25" t="s">
        <v>23</v>
      </c>
      <c r="I43" s="26" t="s">
        <v>24</v>
      </c>
      <c r="J43" s="26" t="s">
        <v>24</v>
      </c>
      <c r="K43" s="26" t="s">
        <v>24</v>
      </c>
      <c r="L43" s="26" t="s">
        <v>24</v>
      </c>
      <c r="M43" s="26" t="s">
        <v>24</v>
      </c>
    </row>
    <row r="44" ht="13.5" customHeight="1">
      <c r="A44" s="21" t="s">
        <v>25</v>
      </c>
      <c r="B44" s="21" t="s">
        <v>26</v>
      </c>
      <c r="C44" s="22" t="s">
        <v>108</v>
      </c>
      <c r="D44" s="22" t="s">
        <v>109</v>
      </c>
      <c r="E44" s="22" t="s">
        <v>110</v>
      </c>
      <c r="F44" s="23" t="str">
        <f>HYPERLINK("https://www.excite.co.jp/news/article/Oricon_2137322/","URLを開く")</f>
        <v>URLを開く</v>
      </c>
      <c r="G44" s="24">
        <v>175446.0</v>
      </c>
      <c r="H44" s="25" t="s">
        <v>23</v>
      </c>
      <c r="I44" s="26" t="s">
        <v>24</v>
      </c>
      <c r="J44" s="26" t="s">
        <v>24</v>
      </c>
      <c r="K44" s="26" t="s">
        <v>24</v>
      </c>
      <c r="L44" s="26" t="s">
        <v>24</v>
      </c>
      <c r="M44" s="26" t="s">
        <v>24</v>
      </c>
    </row>
    <row r="45" ht="13.5" customHeight="1">
      <c r="A45" s="21" t="s">
        <v>111</v>
      </c>
      <c r="B45" s="21" t="s">
        <v>25</v>
      </c>
      <c r="C45" s="22" t="s">
        <v>37</v>
      </c>
      <c r="D45" s="22" t="s">
        <v>112</v>
      </c>
      <c r="E45" s="22" t="s">
        <v>113</v>
      </c>
      <c r="F45" s="23" t="str">
        <f>HYPERLINK("https://news.nifty.com/article/domestic/society/12144-302836/","URLを開く")</f>
        <v>URLを開く</v>
      </c>
      <c r="G45" s="24">
        <v>138721.0</v>
      </c>
      <c r="H45" s="25" t="s">
        <v>23</v>
      </c>
      <c r="I45" s="26" t="s">
        <v>24</v>
      </c>
      <c r="J45" s="26" t="s">
        <v>24</v>
      </c>
      <c r="K45" s="26" t="s">
        <v>24</v>
      </c>
      <c r="L45" s="26" t="s">
        <v>24</v>
      </c>
      <c r="M45" s="26" t="s">
        <v>24</v>
      </c>
    </row>
    <row r="46" ht="13.5" customHeight="1">
      <c r="A46" s="21" t="s">
        <v>111</v>
      </c>
      <c r="B46" s="21" t="s">
        <v>25</v>
      </c>
      <c r="C46" s="22" t="s">
        <v>44</v>
      </c>
      <c r="D46" s="22" t="s">
        <v>112</v>
      </c>
      <c r="E46" s="22" t="s">
        <v>114</v>
      </c>
      <c r="F46" s="23" t="str">
        <f>HYPERLINK("https://news.biglobe.ne.jp/domestic/0611/jc_190611_2693106660.html","URLを開く")</f>
        <v>URLを開く</v>
      </c>
      <c r="G46" s="24">
        <v>189139.0</v>
      </c>
      <c r="H46" s="25" t="s">
        <v>23</v>
      </c>
      <c r="I46" s="26" t="s">
        <v>24</v>
      </c>
      <c r="J46" s="26" t="s">
        <v>24</v>
      </c>
      <c r="K46" s="26" t="s">
        <v>24</v>
      </c>
      <c r="L46" s="26" t="s">
        <v>24</v>
      </c>
      <c r="M46" s="26" t="s">
        <v>24</v>
      </c>
    </row>
    <row r="47" ht="13.5" customHeight="1">
      <c r="A47" s="21" t="s">
        <v>111</v>
      </c>
      <c r="B47" s="21" t="s">
        <v>25</v>
      </c>
      <c r="C47" s="22" t="s">
        <v>115</v>
      </c>
      <c r="D47" s="22" t="s">
        <v>112</v>
      </c>
      <c r="E47" s="22" t="s">
        <v>116</v>
      </c>
      <c r="F47" s="23" t="str">
        <f>HYPERLINK("https://feedclass.com/posts/Uq8eamWw","URLを開く")</f>
        <v>URLを開く</v>
      </c>
      <c r="G47" s="24">
        <v>9140.0</v>
      </c>
      <c r="H47" s="25" t="s">
        <v>23</v>
      </c>
      <c r="I47" s="26" t="s">
        <v>24</v>
      </c>
      <c r="J47" s="26" t="s">
        <v>24</v>
      </c>
      <c r="K47" s="26" t="s">
        <v>24</v>
      </c>
      <c r="L47" s="26" t="s">
        <v>24</v>
      </c>
      <c r="M47" s="26" t="s">
        <v>24</v>
      </c>
    </row>
    <row r="48" ht="13.5" customHeight="1">
      <c r="A48" s="21" t="s">
        <v>111</v>
      </c>
      <c r="B48" s="21" t="s">
        <v>25</v>
      </c>
      <c r="C48" s="22" t="s">
        <v>56</v>
      </c>
      <c r="D48" s="22" t="s">
        <v>112</v>
      </c>
      <c r="E48" s="22" t="s">
        <v>117</v>
      </c>
      <c r="F48" s="23" t="str">
        <f>HYPERLINK("https://news.infoseek.co.jp/article/20190611jcast20192359675","URLを開く")</f>
        <v>URLを開く</v>
      </c>
      <c r="G48" s="24">
        <v>161222.0</v>
      </c>
      <c r="H48" s="25" t="s">
        <v>23</v>
      </c>
      <c r="I48" s="26" t="s">
        <v>24</v>
      </c>
      <c r="J48" s="26" t="s">
        <v>24</v>
      </c>
      <c r="K48" s="26" t="s">
        <v>24</v>
      </c>
      <c r="L48" s="26" t="s">
        <v>24</v>
      </c>
      <c r="M48" s="26" t="s">
        <v>24</v>
      </c>
    </row>
    <row r="49" ht="13.5" customHeight="1">
      <c r="A49" s="21" t="s">
        <v>111</v>
      </c>
      <c r="B49" s="21" t="s">
        <v>25</v>
      </c>
      <c r="C49" s="22" t="s">
        <v>118</v>
      </c>
      <c r="D49" s="22" t="s">
        <v>112</v>
      </c>
      <c r="E49" s="22" t="s">
        <v>119</v>
      </c>
      <c r="F49" s="23" t="str">
        <f>HYPERLINK("https://www.j-cast.com/2019/06/11359675.html?p=all","URLを開く")</f>
        <v>URLを開く</v>
      </c>
      <c r="G49" s="24">
        <v>142019.0</v>
      </c>
      <c r="H49" s="25" t="s">
        <v>23</v>
      </c>
      <c r="I49" s="26" t="s">
        <v>24</v>
      </c>
      <c r="J49" s="26" t="s">
        <v>24</v>
      </c>
      <c r="K49" s="26" t="s">
        <v>24</v>
      </c>
      <c r="L49" s="26" t="s">
        <v>24</v>
      </c>
      <c r="M49" s="26" t="s">
        <v>24</v>
      </c>
    </row>
    <row r="50" ht="13.5" customHeight="1">
      <c r="A50" s="21" t="s">
        <v>111</v>
      </c>
      <c r="B50" s="21" t="s">
        <v>25</v>
      </c>
      <c r="C50" s="22" t="s">
        <v>58</v>
      </c>
      <c r="D50" s="22" t="s">
        <v>112</v>
      </c>
      <c r="E50" s="22" t="s">
        <v>120</v>
      </c>
      <c r="F50" s="23" t="str">
        <f>HYPERLINK("https://news.livedoor.com/article/detail/16599373/","URLを開く")</f>
        <v>URLを開く</v>
      </c>
      <c r="G50" s="24">
        <v>251894.0</v>
      </c>
      <c r="H50" s="25" t="s">
        <v>23</v>
      </c>
      <c r="I50" s="26" t="s">
        <v>24</v>
      </c>
      <c r="J50" s="26" t="s">
        <v>24</v>
      </c>
      <c r="K50" s="26" t="s">
        <v>24</v>
      </c>
      <c r="L50" s="26" t="s">
        <v>24</v>
      </c>
      <c r="M50" s="26" t="s">
        <v>24</v>
      </c>
    </row>
    <row r="51" ht="13.5" customHeight="1">
      <c r="A51" s="21" t="s">
        <v>111</v>
      </c>
      <c r="B51" s="21" t="s">
        <v>25</v>
      </c>
      <c r="C51" s="22" t="s">
        <v>121</v>
      </c>
      <c r="D51" s="22" t="s">
        <v>112</v>
      </c>
      <c r="E51" s="22" t="s">
        <v>122</v>
      </c>
      <c r="F51" s="23" t="str">
        <f>HYPERLINK("https://newscollect.jp/article/?id=510943075369534561","URLを開く")</f>
        <v>URLを開く</v>
      </c>
      <c r="G51" s="24">
        <v>9716.0</v>
      </c>
      <c r="H51" s="25" t="s">
        <v>23</v>
      </c>
      <c r="I51" s="26" t="s">
        <v>24</v>
      </c>
      <c r="J51" s="26" t="s">
        <v>24</v>
      </c>
      <c r="K51" s="26" t="s">
        <v>24</v>
      </c>
      <c r="L51" s="26" t="s">
        <v>24</v>
      </c>
      <c r="M51" s="26" t="s">
        <v>24</v>
      </c>
    </row>
    <row r="52" ht="13.5" customHeight="1">
      <c r="A52" s="21" t="s">
        <v>111</v>
      </c>
      <c r="B52" s="21" t="s">
        <v>25</v>
      </c>
      <c r="C52" s="22" t="s">
        <v>121</v>
      </c>
      <c r="D52" s="22" t="s">
        <v>112</v>
      </c>
      <c r="E52" s="22" t="s">
        <v>123</v>
      </c>
      <c r="F52" s="23" t="str">
        <f>HYPERLINK("https://newscollect.jp/article/?id=510943075369534561&amp;tid=1","URLを開く")</f>
        <v>URLを開く</v>
      </c>
      <c r="G52" s="24">
        <v>9716.0</v>
      </c>
      <c r="H52" s="25" t="s">
        <v>23</v>
      </c>
      <c r="I52" s="26" t="s">
        <v>24</v>
      </c>
      <c r="J52" s="26" t="s">
        <v>24</v>
      </c>
      <c r="K52" s="26" t="s">
        <v>24</v>
      </c>
      <c r="L52" s="26" t="s">
        <v>24</v>
      </c>
      <c r="M52" s="26" t="s">
        <v>24</v>
      </c>
    </row>
    <row r="53" ht="13.5" customHeight="1">
      <c r="A53" s="21" t="s">
        <v>111</v>
      </c>
      <c r="B53" s="21" t="s">
        <v>25</v>
      </c>
      <c r="C53" s="22" t="s">
        <v>72</v>
      </c>
      <c r="D53" s="22" t="s">
        <v>112</v>
      </c>
      <c r="E53" s="22" t="s">
        <v>124</v>
      </c>
      <c r="F53" s="23" t="str">
        <f>HYPERLINK("https://headlines.yahoo.co.jp/hl?a=20190611-00000000-jct-soci","URLを開く")</f>
        <v>URLを開く</v>
      </c>
      <c r="G53" s="24">
        <v>428281.0</v>
      </c>
      <c r="H53" s="25" t="s">
        <v>23</v>
      </c>
      <c r="I53" s="26" t="s">
        <v>24</v>
      </c>
      <c r="J53" s="26" t="s">
        <v>24</v>
      </c>
      <c r="K53" s="26" t="s">
        <v>24</v>
      </c>
      <c r="L53" s="26" t="s">
        <v>24</v>
      </c>
      <c r="M53" s="26" t="s">
        <v>24</v>
      </c>
    </row>
    <row r="54" ht="13.5" customHeight="1">
      <c r="A54" s="21" t="s">
        <v>111</v>
      </c>
      <c r="B54" s="21" t="s">
        <v>25</v>
      </c>
      <c r="C54" s="22" t="s">
        <v>125</v>
      </c>
      <c r="D54" s="22" t="s">
        <v>112</v>
      </c>
      <c r="E54" s="22" t="s">
        <v>126</v>
      </c>
      <c r="F54" s="23" t="str">
        <f>HYPERLINK("https://entameplus.jp/article/index.php?id=510943075369534561","URLを開く")</f>
        <v>URLを開く</v>
      </c>
      <c r="G54" s="24">
        <v>8721.0</v>
      </c>
      <c r="H54" s="25" t="s">
        <v>23</v>
      </c>
      <c r="I54" s="26" t="s">
        <v>24</v>
      </c>
      <c r="J54" s="26" t="s">
        <v>24</v>
      </c>
      <c r="K54" s="26" t="s">
        <v>24</v>
      </c>
      <c r="L54" s="26" t="s">
        <v>24</v>
      </c>
      <c r="M54" s="26" t="s">
        <v>24</v>
      </c>
    </row>
    <row r="55" ht="13.5" customHeight="1">
      <c r="A55" s="21" t="s">
        <v>111</v>
      </c>
      <c r="B55" s="21" t="s">
        <v>25</v>
      </c>
      <c r="C55" s="22" t="s">
        <v>127</v>
      </c>
      <c r="D55" s="22" t="s">
        <v>128</v>
      </c>
      <c r="E55" s="22" t="s">
        <v>129</v>
      </c>
      <c r="F55" s="23" t="str">
        <f>HYPERLINK("https://entamepost.jp/post/?id=510943075369534561","URLを開く")</f>
        <v>URLを開く</v>
      </c>
      <c r="G55" s="24">
        <v>9056.0</v>
      </c>
      <c r="H55" s="25" t="s">
        <v>23</v>
      </c>
      <c r="I55" s="26" t="s">
        <v>24</v>
      </c>
      <c r="J55" s="26" t="s">
        <v>24</v>
      </c>
      <c r="K55" s="26" t="s">
        <v>24</v>
      </c>
      <c r="L55" s="26" t="s">
        <v>24</v>
      </c>
      <c r="M55" s="26" t="s">
        <v>24</v>
      </c>
    </row>
    <row r="56" ht="13.5" customHeight="1">
      <c r="A56" s="21" t="s">
        <v>130</v>
      </c>
      <c r="B56" s="21" t="s">
        <v>111</v>
      </c>
      <c r="C56" s="22" t="s">
        <v>131</v>
      </c>
      <c r="D56" s="22" t="s">
        <v>132</v>
      </c>
      <c r="E56" s="22" t="s">
        <v>133</v>
      </c>
      <c r="F56" s="23" t="str">
        <f>HYPERLINK("https://news.line.me/issue/oa-tbsradio/fa3bd57eeab0","URLを開く")</f>
        <v>URLを開く</v>
      </c>
      <c r="G56" s="24">
        <v>257880.0</v>
      </c>
      <c r="H56" s="25" t="s">
        <v>23</v>
      </c>
      <c r="I56" s="26" t="s">
        <v>24</v>
      </c>
      <c r="J56" s="26" t="s">
        <v>24</v>
      </c>
      <c r="K56" s="26" t="s">
        <v>24</v>
      </c>
      <c r="L56" s="26" t="s">
        <v>24</v>
      </c>
      <c r="M56" s="26" t="s">
        <v>24</v>
      </c>
    </row>
    <row r="57" ht="13.5" customHeight="1">
      <c r="A57" s="21" t="s">
        <v>130</v>
      </c>
      <c r="B57" s="21" t="s">
        <v>111</v>
      </c>
      <c r="C57" s="22" t="s">
        <v>54</v>
      </c>
      <c r="D57" s="22" t="s">
        <v>134</v>
      </c>
      <c r="E57" s="22" t="s">
        <v>135</v>
      </c>
      <c r="F57" s="23" t="str">
        <f>HYPERLINK("http://jp.news.gree.net/news/entry/3245987?from_ggpnews=news_genre_list","URLを開く")</f>
        <v>URLを開く</v>
      </c>
      <c r="G57" s="24">
        <v>15763.0</v>
      </c>
      <c r="H57" s="25" t="s">
        <v>23</v>
      </c>
      <c r="I57" s="26" t="s">
        <v>24</v>
      </c>
      <c r="J57" s="26" t="s">
        <v>24</v>
      </c>
      <c r="K57" s="26" t="s">
        <v>24</v>
      </c>
      <c r="L57" s="26" t="s">
        <v>24</v>
      </c>
      <c r="M57" s="26" t="s">
        <v>24</v>
      </c>
    </row>
    <row r="58" ht="13.5" customHeight="1">
      <c r="A58" s="21" t="s">
        <v>130</v>
      </c>
      <c r="B58" s="21" t="s">
        <v>111</v>
      </c>
      <c r="C58" s="22" t="s">
        <v>56</v>
      </c>
      <c r="D58" s="22" t="s">
        <v>134</v>
      </c>
      <c r="E58" s="22" t="s">
        <v>136</v>
      </c>
      <c r="F58" s="23" t="str">
        <f>HYPERLINK("https://news.infoseek.co.jp/article/gree_165492","URLを開く")</f>
        <v>URLを開く</v>
      </c>
      <c r="G58" s="24">
        <v>161222.0</v>
      </c>
      <c r="H58" s="25" t="s">
        <v>23</v>
      </c>
      <c r="I58" s="26" t="s">
        <v>24</v>
      </c>
      <c r="J58" s="26" t="s">
        <v>24</v>
      </c>
      <c r="K58" s="26" t="s">
        <v>24</v>
      </c>
      <c r="L58" s="26" t="s">
        <v>24</v>
      </c>
      <c r="M58" s="26" t="s">
        <v>24</v>
      </c>
    </row>
    <row r="59" ht="13.5" customHeight="1">
      <c r="A59" s="21" t="s">
        <v>130</v>
      </c>
      <c r="B59" s="21" t="s">
        <v>111</v>
      </c>
      <c r="C59" s="22" t="s">
        <v>60</v>
      </c>
      <c r="D59" s="22" t="s">
        <v>134</v>
      </c>
      <c r="E59" s="22" t="s">
        <v>137</v>
      </c>
      <c r="F59" s="23" t="str">
        <f>HYPERLINK("https://news.mixi.jp/view_news.pl?id=5656696&amp;media_id=189","URLを開く")</f>
        <v>URLを開く</v>
      </c>
      <c r="G59" s="24">
        <v>90048.0</v>
      </c>
      <c r="H59" s="25" t="s">
        <v>23</v>
      </c>
      <c r="I59" s="26" t="s">
        <v>24</v>
      </c>
      <c r="J59" s="26" t="s">
        <v>24</v>
      </c>
      <c r="K59" s="26" t="s">
        <v>24</v>
      </c>
      <c r="L59" s="26" t="s">
        <v>24</v>
      </c>
      <c r="M59" s="26" t="s">
        <v>24</v>
      </c>
    </row>
    <row r="60" ht="13.5" customHeight="1">
      <c r="A60" s="21" t="s">
        <v>130</v>
      </c>
      <c r="B60" s="21" t="s">
        <v>111</v>
      </c>
      <c r="C60" s="22" t="s">
        <v>138</v>
      </c>
      <c r="D60" s="22" t="s">
        <v>134</v>
      </c>
      <c r="E60" s="22" t="s">
        <v>139</v>
      </c>
      <c r="F60" s="23" t="str">
        <f>HYPERLINK("https://news.nicovideo.jp/watch/nw5453834?news_ref=top_accessRank","URLを開く")</f>
        <v>URLを開く</v>
      </c>
      <c r="G60" s="24">
        <v>403763.0</v>
      </c>
      <c r="H60" s="25" t="s">
        <v>23</v>
      </c>
      <c r="I60" s="26" t="s">
        <v>24</v>
      </c>
      <c r="J60" s="26" t="s">
        <v>24</v>
      </c>
      <c r="K60" s="26" t="s">
        <v>24</v>
      </c>
      <c r="L60" s="26" t="s">
        <v>24</v>
      </c>
      <c r="M60" s="26" t="s">
        <v>24</v>
      </c>
    </row>
    <row r="61" ht="13.5" customHeight="1">
      <c r="A61" s="21" t="s">
        <v>130</v>
      </c>
      <c r="B61" s="21" t="s">
        <v>111</v>
      </c>
      <c r="C61" s="22" t="s">
        <v>138</v>
      </c>
      <c r="D61" s="22" t="s">
        <v>134</v>
      </c>
      <c r="E61" s="22" t="s">
        <v>140</v>
      </c>
      <c r="F61" s="23" t="str">
        <f>HYPERLINK("https://news.nicovideo.jp/watch/nw5453834?news_ref=top_large","URLを開く")</f>
        <v>URLを開く</v>
      </c>
      <c r="G61" s="24">
        <v>403763.0</v>
      </c>
      <c r="H61" s="25" t="s">
        <v>23</v>
      </c>
      <c r="I61" s="26" t="s">
        <v>24</v>
      </c>
      <c r="J61" s="26" t="s">
        <v>24</v>
      </c>
      <c r="K61" s="26" t="s">
        <v>24</v>
      </c>
      <c r="L61" s="26" t="s">
        <v>24</v>
      </c>
      <c r="M61" s="26" t="s">
        <v>24</v>
      </c>
    </row>
    <row r="62" ht="13.5" customHeight="1">
      <c r="A62" s="21" t="s">
        <v>130</v>
      </c>
      <c r="B62" s="21" t="s">
        <v>111</v>
      </c>
      <c r="C62" s="22" t="s">
        <v>138</v>
      </c>
      <c r="D62" s="22" t="s">
        <v>134</v>
      </c>
      <c r="E62" s="22" t="s">
        <v>141</v>
      </c>
      <c r="F62" s="23" t="str">
        <f>HYPERLINK("https://news.nicovideo.jp/watch/nw5453834?news_ref=top_topiclist","URLを開く")</f>
        <v>URLを開く</v>
      </c>
      <c r="G62" s="24">
        <v>403763.0</v>
      </c>
      <c r="H62" s="25" t="s">
        <v>23</v>
      </c>
      <c r="I62" s="26" t="s">
        <v>24</v>
      </c>
      <c r="J62" s="26" t="s">
        <v>24</v>
      </c>
      <c r="K62" s="26" t="s">
        <v>24</v>
      </c>
      <c r="L62" s="26" t="s">
        <v>24</v>
      </c>
      <c r="M62" s="26" t="s">
        <v>24</v>
      </c>
    </row>
    <row r="63" ht="13.5" customHeight="1">
      <c r="A63" s="21" t="s">
        <v>130</v>
      </c>
      <c r="B63" s="21" t="s">
        <v>111</v>
      </c>
      <c r="C63" s="22" t="s">
        <v>142</v>
      </c>
      <c r="D63" s="22" t="s">
        <v>134</v>
      </c>
      <c r="E63" s="22" t="s">
        <v>143</v>
      </c>
      <c r="F63" s="23" t="str">
        <f>HYPERLINK("https://netallica.yahoo.co.jp/news/20190610-88449937-scoopie","URLを開く")</f>
        <v>URLを開く</v>
      </c>
      <c r="G63" s="24">
        <v>214713.0</v>
      </c>
      <c r="H63" s="25" t="s">
        <v>23</v>
      </c>
      <c r="I63" s="26" t="s">
        <v>24</v>
      </c>
      <c r="J63" s="26" t="s">
        <v>24</v>
      </c>
      <c r="K63" s="26" t="s">
        <v>24</v>
      </c>
      <c r="L63" s="26" t="s">
        <v>24</v>
      </c>
      <c r="M63" s="26" t="s">
        <v>24</v>
      </c>
    </row>
    <row r="64" ht="13.5" customHeight="1">
      <c r="A64" s="21" t="s">
        <v>130</v>
      </c>
      <c r="B64" s="21" t="s">
        <v>111</v>
      </c>
      <c r="C64" s="22" t="s">
        <v>108</v>
      </c>
      <c r="D64" s="22" t="s">
        <v>144</v>
      </c>
      <c r="E64" s="22" t="s">
        <v>145</v>
      </c>
      <c r="F64" s="23" t="str">
        <f>HYPERLINK("https://www.excite.co.jp/news/article/TBSRadio_378325/","URLを開く")</f>
        <v>URLを開く</v>
      </c>
      <c r="G64" s="24">
        <v>175446.0</v>
      </c>
      <c r="H64" s="25" t="s">
        <v>23</v>
      </c>
      <c r="I64" s="26" t="s">
        <v>24</v>
      </c>
      <c r="J64" s="26" t="s">
        <v>24</v>
      </c>
      <c r="K64" s="26" t="s">
        <v>24</v>
      </c>
      <c r="L64" s="26" t="s">
        <v>24</v>
      </c>
      <c r="M64" s="26" t="s">
        <v>24</v>
      </c>
    </row>
    <row r="65" ht="13.5" customHeight="1">
      <c r="A65" s="21" t="s">
        <v>146</v>
      </c>
      <c r="B65" s="21" t="s">
        <v>147</v>
      </c>
      <c r="C65" s="22" t="s">
        <v>72</v>
      </c>
      <c r="D65" s="22" t="s">
        <v>148</v>
      </c>
      <c r="E65" s="22" t="s">
        <v>149</v>
      </c>
      <c r="F65" s="23" t="str">
        <f>HYPERLINK("https://headlines.yahoo.co.jp/hl?a=20190608-00000150-socialinv-env","URLを開く")</f>
        <v>URLを開く</v>
      </c>
      <c r="G65" s="24">
        <v>428281.0</v>
      </c>
      <c r="H65" s="25" t="s">
        <v>23</v>
      </c>
      <c r="I65" s="26" t="s">
        <v>24</v>
      </c>
      <c r="J65" s="26" t="s">
        <v>24</v>
      </c>
      <c r="K65" s="26" t="s">
        <v>24</v>
      </c>
      <c r="L65" s="26" t="s">
        <v>24</v>
      </c>
      <c r="M65" s="26" t="s">
        <v>24</v>
      </c>
    </row>
    <row r="66" ht="13.5" customHeight="1">
      <c r="A66" s="21" t="s">
        <v>146</v>
      </c>
      <c r="B66" s="21" t="s">
        <v>147</v>
      </c>
      <c r="C66" s="22" t="s">
        <v>150</v>
      </c>
      <c r="D66" s="22" t="s">
        <v>148</v>
      </c>
      <c r="E66" s="22" t="s">
        <v>151</v>
      </c>
      <c r="F66" s="23" t="str">
        <f>HYPERLINK("http://social-innovation-news.jp/?p=943","URLを開く")</f>
        <v>URLを開く</v>
      </c>
      <c r="G66" s="24">
        <v>6896.0</v>
      </c>
      <c r="H66" s="25" t="s">
        <v>23</v>
      </c>
      <c r="I66" s="26" t="s">
        <v>24</v>
      </c>
      <c r="J66" s="26" t="s">
        <v>24</v>
      </c>
      <c r="K66" s="26" t="s">
        <v>24</v>
      </c>
      <c r="L66" s="26" t="s">
        <v>24</v>
      </c>
      <c r="M66" s="26" t="s">
        <v>24</v>
      </c>
    </row>
    <row r="67" ht="13.5" customHeight="1">
      <c r="A67" s="21" t="s">
        <v>146</v>
      </c>
      <c r="B67" s="21" t="s">
        <v>147</v>
      </c>
      <c r="C67" s="22" t="s">
        <v>152</v>
      </c>
      <c r="D67" s="22" t="s">
        <v>153</v>
      </c>
      <c r="E67" s="22" t="s">
        <v>154</v>
      </c>
      <c r="F67" s="23" t="str">
        <f>HYPERLINK("https://news.headlines.auone.jp/stories/movie/news/12440288?articleid=12440288&amp;cpid=10130007&amp;genreid=8&amp;subgenreid=21","URLを開く")</f>
        <v>URLを開く</v>
      </c>
      <c r="G67" s="24">
        <v>178772.0</v>
      </c>
      <c r="H67" s="25" t="s">
        <v>23</v>
      </c>
      <c r="I67" s="26" t="s">
        <v>24</v>
      </c>
      <c r="J67" s="26" t="s">
        <v>24</v>
      </c>
      <c r="K67" s="26" t="s">
        <v>24</v>
      </c>
      <c r="L67" s="26" t="s">
        <v>24</v>
      </c>
      <c r="M67" s="26" t="s">
        <v>24</v>
      </c>
    </row>
    <row r="68" ht="13.5" customHeight="1">
      <c r="A68" s="21" t="s">
        <v>146</v>
      </c>
      <c r="B68" s="21" t="s">
        <v>147</v>
      </c>
      <c r="C68" s="22" t="s">
        <v>58</v>
      </c>
      <c r="D68" s="22" t="s">
        <v>155</v>
      </c>
      <c r="E68" s="22" t="s">
        <v>156</v>
      </c>
      <c r="F68" s="23" t="str">
        <f>HYPERLINK("http://news.livedoor.com/article/detail/16589085/","URLを開く")</f>
        <v>URLを開く</v>
      </c>
      <c r="G68" s="24">
        <v>251894.0</v>
      </c>
      <c r="H68" s="25" t="s">
        <v>23</v>
      </c>
      <c r="I68" s="26" t="s">
        <v>24</v>
      </c>
      <c r="J68" s="26" t="s">
        <v>24</v>
      </c>
      <c r="K68" s="26" t="s">
        <v>24</v>
      </c>
      <c r="L68" s="26" t="s">
        <v>24</v>
      </c>
      <c r="M68" s="26" t="s">
        <v>24</v>
      </c>
    </row>
    <row r="69" ht="13.5" customHeight="1">
      <c r="A69" s="21" t="s">
        <v>146</v>
      </c>
      <c r="B69" s="21" t="s">
        <v>147</v>
      </c>
      <c r="C69" s="22" t="s">
        <v>72</v>
      </c>
      <c r="D69" s="22" t="s">
        <v>155</v>
      </c>
      <c r="E69" s="22" t="s">
        <v>157</v>
      </c>
      <c r="F69" s="23" t="str">
        <f>HYPERLINK("https://headlines.yahoo.co.jp/videonews/ann?a=20190608-00000040-ann-soci","URLを開く")</f>
        <v>URLを開く</v>
      </c>
      <c r="G69" s="24">
        <v>428281.0</v>
      </c>
      <c r="H69" s="25" t="s">
        <v>23</v>
      </c>
      <c r="I69" s="26" t="s">
        <v>24</v>
      </c>
      <c r="J69" s="26" t="s">
        <v>24</v>
      </c>
      <c r="K69" s="26" t="s">
        <v>24</v>
      </c>
      <c r="L69" s="26" t="s">
        <v>24</v>
      </c>
      <c r="M69" s="26" t="s">
        <v>24</v>
      </c>
    </row>
    <row r="70" ht="13.5" customHeight="1">
      <c r="A70" s="21" t="s">
        <v>146</v>
      </c>
      <c r="B70" s="21" t="s">
        <v>147</v>
      </c>
      <c r="C70" s="22" t="s">
        <v>158</v>
      </c>
      <c r="D70" s="22" t="s">
        <v>155</v>
      </c>
      <c r="E70" s="22" t="s">
        <v>159</v>
      </c>
      <c r="F70" s="23" t="str">
        <f>HYPERLINK("https://news.tv-asahi.co.jp/news_society/articles/000156632.html","URLを開く")</f>
        <v>URLを開く</v>
      </c>
      <c r="G70" s="24">
        <v>108867.0</v>
      </c>
      <c r="H70" s="25" t="s">
        <v>23</v>
      </c>
      <c r="I70" s="26" t="s">
        <v>24</v>
      </c>
      <c r="J70" s="26" t="s">
        <v>24</v>
      </c>
      <c r="K70" s="26" t="s">
        <v>24</v>
      </c>
      <c r="L70" s="26" t="s">
        <v>24</v>
      </c>
      <c r="M70" s="26" t="s">
        <v>24</v>
      </c>
    </row>
    <row r="71" ht="13.5" customHeight="1">
      <c r="A71" s="21" t="s">
        <v>146</v>
      </c>
      <c r="B71" s="21" t="s">
        <v>147</v>
      </c>
      <c r="C71" s="22" t="s">
        <v>44</v>
      </c>
      <c r="D71" s="22" t="s">
        <v>160</v>
      </c>
      <c r="E71" s="22" t="s">
        <v>161</v>
      </c>
      <c r="F71" s="23" t="str">
        <f>HYPERLINK("https://news.biglobe.ne.jp/entertainment/0608/rbb_190608_8863598480.html","URLを開く")</f>
        <v>URLを開く</v>
      </c>
      <c r="G71" s="24">
        <v>189139.0</v>
      </c>
      <c r="H71" s="25" t="s">
        <v>23</v>
      </c>
      <c r="I71" s="26" t="s">
        <v>24</v>
      </c>
      <c r="J71" s="26" t="s">
        <v>24</v>
      </c>
      <c r="K71" s="26" t="s">
        <v>24</v>
      </c>
      <c r="L71" s="26" t="s">
        <v>24</v>
      </c>
      <c r="M71" s="26" t="s">
        <v>24</v>
      </c>
    </row>
    <row r="72" ht="13.5" customHeight="1">
      <c r="A72" s="21" t="s">
        <v>146</v>
      </c>
      <c r="B72" s="21" t="s">
        <v>147</v>
      </c>
      <c r="C72" s="22" t="s">
        <v>56</v>
      </c>
      <c r="D72" s="22" t="s">
        <v>160</v>
      </c>
      <c r="E72" s="22" t="s">
        <v>162</v>
      </c>
      <c r="F72" s="23" t="str">
        <f>HYPERLINK("https://news.infoseek.co.jp/article/rbbtoday_170448","URLを開く")</f>
        <v>URLを開く</v>
      </c>
      <c r="G72" s="24">
        <v>161222.0</v>
      </c>
      <c r="H72" s="25" t="s">
        <v>23</v>
      </c>
      <c r="I72" s="26" t="s">
        <v>24</v>
      </c>
      <c r="J72" s="26" t="s">
        <v>24</v>
      </c>
      <c r="K72" s="26" t="s">
        <v>24</v>
      </c>
      <c r="L72" s="26" t="s">
        <v>24</v>
      </c>
      <c r="M72" s="26" t="s">
        <v>24</v>
      </c>
    </row>
    <row r="73" ht="13.5" customHeight="1">
      <c r="A73" s="21" t="s">
        <v>146</v>
      </c>
      <c r="B73" s="21" t="s">
        <v>147</v>
      </c>
      <c r="C73" s="22" t="s">
        <v>58</v>
      </c>
      <c r="D73" s="22" t="s">
        <v>160</v>
      </c>
      <c r="E73" s="22" t="s">
        <v>163</v>
      </c>
      <c r="F73" s="23" t="str">
        <f>HYPERLINK("http://news.livedoor.com/article/detail/16588617/","URLを開く")</f>
        <v>URLを開く</v>
      </c>
      <c r="G73" s="24">
        <v>251894.0</v>
      </c>
      <c r="H73" s="25" t="s">
        <v>23</v>
      </c>
      <c r="I73" s="26" t="s">
        <v>24</v>
      </c>
      <c r="J73" s="26" t="s">
        <v>24</v>
      </c>
      <c r="K73" s="26" t="s">
        <v>24</v>
      </c>
      <c r="L73" s="26" t="s">
        <v>24</v>
      </c>
      <c r="M73" s="26" t="s">
        <v>24</v>
      </c>
    </row>
    <row r="74" ht="13.5" customHeight="1">
      <c r="A74" s="21" t="s">
        <v>146</v>
      </c>
      <c r="B74" s="21" t="s">
        <v>147</v>
      </c>
      <c r="C74" s="22" t="s">
        <v>60</v>
      </c>
      <c r="D74" s="22" t="s">
        <v>160</v>
      </c>
      <c r="E74" s="22" t="s">
        <v>164</v>
      </c>
      <c r="F74" s="23" t="str">
        <f>HYPERLINK("https://news.mixi.jp/view_news.pl?id=5654922&amp;media_id=17","URLを開く")</f>
        <v>URLを開く</v>
      </c>
      <c r="G74" s="24">
        <v>90048.0</v>
      </c>
      <c r="H74" s="25" t="s">
        <v>23</v>
      </c>
      <c r="I74" s="26" t="s">
        <v>24</v>
      </c>
      <c r="J74" s="26" t="s">
        <v>24</v>
      </c>
      <c r="K74" s="26" t="s">
        <v>24</v>
      </c>
      <c r="L74" s="26" t="s">
        <v>24</v>
      </c>
      <c r="M74" s="26" t="s">
        <v>24</v>
      </c>
    </row>
    <row r="75" ht="13.5" customHeight="1">
      <c r="A75" s="21" t="s">
        <v>146</v>
      </c>
      <c r="B75" s="21" t="s">
        <v>147</v>
      </c>
      <c r="C75" s="22" t="s">
        <v>165</v>
      </c>
      <c r="D75" s="22" t="s">
        <v>160</v>
      </c>
      <c r="E75" s="22" t="s">
        <v>166</v>
      </c>
      <c r="F75" s="23" t="str">
        <f>HYPERLINK("https://www.rbbtoday.com/article/2019/06/08/170448.html","URLを開く")</f>
        <v>URLを開く</v>
      </c>
      <c r="G75" s="24">
        <v>34056.0</v>
      </c>
      <c r="H75" s="25" t="s">
        <v>23</v>
      </c>
      <c r="I75" s="26" t="s">
        <v>24</v>
      </c>
      <c r="J75" s="26" t="s">
        <v>24</v>
      </c>
      <c r="K75" s="26" t="s">
        <v>24</v>
      </c>
      <c r="L75" s="26" t="s">
        <v>24</v>
      </c>
      <c r="M75" s="26" t="s">
        <v>24</v>
      </c>
    </row>
    <row r="76" ht="13.5" customHeight="1">
      <c r="A76" s="21" t="s">
        <v>146</v>
      </c>
      <c r="B76" s="21" t="s">
        <v>147</v>
      </c>
      <c r="C76" s="22" t="s">
        <v>84</v>
      </c>
      <c r="D76" s="22" t="s">
        <v>160</v>
      </c>
      <c r="E76" s="22" t="s">
        <v>167</v>
      </c>
      <c r="F76" s="23" t="str">
        <f>HYPERLINK("https://woman.infoseek.co.jp/news/entertainment/rbbtoday_170448","URLを開く")</f>
        <v>URLを開く</v>
      </c>
      <c r="G76" s="24">
        <v>152385.0</v>
      </c>
      <c r="H76" s="25" t="s">
        <v>23</v>
      </c>
      <c r="I76" s="26" t="s">
        <v>24</v>
      </c>
      <c r="J76" s="26" t="s">
        <v>24</v>
      </c>
      <c r="K76" s="26" t="s">
        <v>24</v>
      </c>
      <c r="L76" s="26" t="s">
        <v>24</v>
      </c>
      <c r="M76" s="26" t="s">
        <v>24</v>
      </c>
    </row>
    <row r="77" ht="13.5" customHeight="1">
      <c r="A77" s="21" t="s">
        <v>168</v>
      </c>
      <c r="B77" s="21" t="s">
        <v>146</v>
      </c>
      <c r="C77" s="22" t="s">
        <v>169</v>
      </c>
      <c r="D77" s="22" t="s">
        <v>170</v>
      </c>
      <c r="E77" s="22" t="s">
        <v>171</v>
      </c>
      <c r="F77" s="23" t="str">
        <f>HYPERLINK("https://adgang.jp/2019/06/174825.html","URLを開く")</f>
        <v>URLを開く</v>
      </c>
      <c r="G77" s="24">
        <v>13798.0</v>
      </c>
      <c r="H77" s="25" t="s">
        <v>23</v>
      </c>
      <c r="I77" s="26" t="s">
        <v>24</v>
      </c>
      <c r="J77" s="26" t="s">
        <v>24</v>
      </c>
      <c r="K77" s="26" t="s">
        <v>24</v>
      </c>
      <c r="L77" s="26" t="s">
        <v>24</v>
      </c>
      <c r="M77" s="26" t="s">
        <v>24</v>
      </c>
    </row>
    <row r="78" ht="13.5" customHeight="1">
      <c r="A78" s="21" t="s">
        <v>168</v>
      </c>
      <c r="B78" s="21" t="s">
        <v>146</v>
      </c>
      <c r="C78" s="22" t="s">
        <v>172</v>
      </c>
      <c r="D78" s="22" t="s">
        <v>173</v>
      </c>
      <c r="E78" s="22" t="s">
        <v>174</v>
      </c>
      <c r="F78" s="23" t="str">
        <f>HYPERLINK("https://netatopi.jp/article/1189094.html","URLを開く")</f>
        <v>URLを開く</v>
      </c>
      <c r="G78" s="24">
        <v>14896.0</v>
      </c>
      <c r="H78" s="25" t="s">
        <v>23</v>
      </c>
      <c r="I78" s="26" t="s">
        <v>24</v>
      </c>
      <c r="J78" s="26" t="s">
        <v>24</v>
      </c>
      <c r="K78" s="26" t="s">
        <v>24</v>
      </c>
      <c r="L78" s="26" t="s">
        <v>24</v>
      </c>
      <c r="M78" s="26" t="s">
        <v>24</v>
      </c>
    </row>
    <row r="79" ht="13.5" customHeight="1">
      <c r="A79" s="21" t="s">
        <v>168</v>
      </c>
      <c r="B79" s="21" t="s">
        <v>146</v>
      </c>
      <c r="C79" s="22" t="s">
        <v>175</v>
      </c>
      <c r="D79" s="22" t="s">
        <v>176</v>
      </c>
      <c r="E79" s="22" t="s">
        <v>177</v>
      </c>
      <c r="F79" s="23" t="str">
        <f>HYPERLINK("https://newscast.jp/news/356880","URLを開く")</f>
        <v>URLを開く</v>
      </c>
      <c r="G79" s="24"/>
      <c r="H79" s="25" t="s">
        <v>23</v>
      </c>
      <c r="I79" s="26" t="s">
        <v>24</v>
      </c>
      <c r="J79" s="26" t="s">
        <v>24</v>
      </c>
      <c r="K79" s="26" t="s">
        <v>24</v>
      </c>
      <c r="L79" s="26" t="s">
        <v>24</v>
      </c>
      <c r="M79" s="26" t="s">
        <v>24</v>
      </c>
    </row>
    <row r="80" ht="13.5" customHeight="1">
      <c r="A80" s="21" t="s">
        <v>178</v>
      </c>
      <c r="B80" s="21" t="s">
        <v>168</v>
      </c>
      <c r="C80" s="22" t="s">
        <v>27</v>
      </c>
      <c r="D80" s="22" t="s">
        <v>179</v>
      </c>
      <c r="E80" s="27" t="s">
        <v>180</v>
      </c>
      <c r="F80" s="28" t="str">
        <f>HYPERLINK(" "," ")</f>
        <v> </v>
      </c>
      <c r="G80" s="24">
        <v>305390.0</v>
      </c>
      <c r="H80" s="25" t="s">
        <v>23</v>
      </c>
      <c r="I80" s="26" t="s">
        <v>24</v>
      </c>
      <c r="J80" s="26" t="s">
        <v>24</v>
      </c>
      <c r="K80" s="26" t="s">
        <v>24</v>
      </c>
      <c r="L80" s="26" t="s">
        <v>24</v>
      </c>
      <c r="M80" s="26" t="s">
        <v>24</v>
      </c>
    </row>
    <row r="81" ht="13.5" customHeight="1">
      <c r="A81" s="21" t="s">
        <v>178</v>
      </c>
      <c r="B81" s="21" t="s">
        <v>168</v>
      </c>
      <c r="C81" s="22" t="s">
        <v>35</v>
      </c>
      <c r="D81" s="22" t="s">
        <v>181</v>
      </c>
      <c r="E81" s="22" t="s">
        <v>182</v>
      </c>
      <c r="F81" s="23" t="str">
        <f>HYPERLINK("https://www.47news.jp/culture/entertainment/oricon/3639039.html","URLを開く")</f>
        <v>URLを開く</v>
      </c>
      <c r="G81" s="24">
        <v>97532.0</v>
      </c>
      <c r="H81" s="25" t="s">
        <v>23</v>
      </c>
      <c r="I81" s="26" t="s">
        <v>24</v>
      </c>
      <c r="J81" s="26" t="s">
        <v>24</v>
      </c>
      <c r="K81" s="26" t="s">
        <v>24</v>
      </c>
      <c r="L81" s="26" t="s">
        <v>24</v>
      </c>
      <c r="M81" s="26" t="s">
        <v>24</v>
      </c>
    </row>
    <row r="82" ht="13.5" customHeight="1">
      <c r="A82" s="21" t="s">
        <v>178</v>
      </c>
      <c r="B82" s="21" t="s">
        <v>168</v>
      </c>
      <c r="C82" s="22" t="s">
        <v>152</v>
      </c>
      <c r="D82" s="22" t="s">
        <v>181</v>
      </c>
      <c r="E82" s="22" t="s">
        <v>183</v>
      </c>
      <c r="F82" s="23" t="str">
        <f>HYPERLINK("https://news.headlines.auone.jp/stories/showbiz/news/12431037","URLを開く")</f>
        <v>URLを開く</v>
      </c>
      <c r="G82" s="24">
        <v>178772.0</v>
      </c>
      <c r="H82" s="25" t="s">
        <v>23</v>
      </c>
      <c r="I82" s="26" t="s">
        <v>24</v>
      </c>
      <c r="J82" s="26" t="s">
        <v>24</v>
      </c>
      <c r="K82" s="26" t="s">
        <v>24</v>
      </c>
      <c r="L82" s="26" t="s">
        <v>24</v>
      </c>
      <c r="M82" s="26" t="s">
        <v>24</v>
      </c>
    </row>
    <row r="83" ht="13.5" customHeight="1">
      <c r="A83" s="21" t="s">
        <v>178</v>
      </c>
      <c r="B83" s="21" t="s">
        <v>168</v>
      </c>
      <c r="C83" s="22" t="s">
        <v>96</v>
      </c>
      <c r="D83" s="22" t="s">
        <v>181</v>
      </c>
      <c r="E83" s="22" t="s">
        <v>184</v>
      </c>
      <c r="F83" s="23" t="str">
        <f>HYPERLINK("http://topics.smt.docomo.ne.jp/article/oricon/entertainment/oricon-2136898","URLを開く")</f>
        <v>URLを開く</v>
      </c>
      <c r="G83" s="24">
        <v>46433.0</v>
      </c>
      <c r="H83" s="25" t="s">
        <v>23</v>
      </c>
      <c r="I83" s="26" t="s">
        <v>24</v>
      </c>
      <c r="J83" s="26" t="s">
        <v>24</v>
      </c>
      <c r="K83" s="26" t="s">
        <v>24</v>
      </c>
      <c r="L83" s="26" t="s">
        <v>24</v>
      </c>
      <c r="M83" s="26" t="s">
        <v>24</v>
      </c>
    </row>
    <row r="84" ht="13.5" customHeight="1">
      <c r="A84" s="21" t="s">
        <v>178</v>
      </c>
      <c r="B84" s="21" t="s">
        <v>168</v>
      </c>
      <c r="C84" s="22" t="s">
        <v>185</v>
      </c>
      <c r="D84" s="22" t="s">
        <v>181</v>
      </c>
      <c r="E84" s="22" t="s">
        <v>186</v>
      </c>
      <c r="F84" s="23" t="str">
        <f>HYPERLINK("http://jp.news.gree.net/news/entry/3240743","URLを開く")</f>
        <v>URLを開く</v>
      </c>
      <c r="G84" s="24">
        <v>15763.0</v>
      </c>
      <c r="H84" s="25" t="s">
        <v>23</v>
      </c>
      <c r="I84" s="26" t="s">
        <v>24</v>
      </c>
      <c r="J84" s="26" t="s">
        <v>24</v>
      </c>
      <c r="K84" s="26" t="s">
        <v>24</v>
      </c>
      <c r="L84" s="26" t="s">
        <v>24</v>
      </c>
      <c r="M84" s="26" t="s">
        <v>24</v>
      </c>
    </row>
    <row r="85" ht="13.5" customHeight="1">
      <c r="A85" s="21" t="s">
        <v>178</v>
      </c>
      <c r="B85" s="21" t="s">
        <v>168</v>
      </c>
      <c r="C85" s="22" t="s">
        <v>15</v>
      </c>
      <c r="D85" s="22" t="s">
        <v>181</v>
      </c>
      <c r="E85" s="22" t="s">
        <v>187</v>
      </c>
      <c r="F85" s="23" t="str">
        <f>HYPERLINK("https://news.line.me/articles/oa-oriconstyle/728df4defc61","URLを開く")</f>
        <v>URLを開く</v>
      </c>
      <c r="G85" s="24">
        <v>257880.0</v>
      </c>
      <c r="H85" s="25" t="s">
        <v>23</v>
      </c>
      <c r="I85" s="26" t="s">
        <v>24</v>
      </c>
      <c r="J85" s="26" t="s">
        <v>24</v>
      </c>
      <c r="K85" s="26" t="s">
        <v>24</v>
      </c>
      <c r="L85" s="26" t="s">
        <v>24</v>
      </c>
      <c r="M85" s="26" t="s">
        <v>24</v>
      </c>
    </row>
    <row r="86" ht="13.5" customHeight="1">
      <c r="A86" s="21" t="s">
        <v>178</v>
      </c>
      <c r="B86" s="21" t="s">
        <v>168</v>
      </c>
      <c r="C86" s="22" t="s">
        <v>188</v>
      </c>
      <c r="D86" s="22" t="s">
        <v>181</v>
      </c>
      <c r="E86" s="22" t="s">
        <v>189</v>
      </c>
      <c r="F86" s="23" t="str">
        <f>HYPERLINK("https://spstore.tbs.co.jp/news/detail.php?id=2136898","URLを開く")</f>
        <v>URLを開く</v>
      </c>
      <c r="G86" s="24">
        <v>247454.0</v>
      </c>
      <c r="H86" s="25" t="s">
        <v>23</v>
      </c>
      <c r="I86" s="26" t="s">
        <v>24</v>
      </c>
      <c r="J86" s="26" t="s">
        <v>24</v>
      </c>
      <c r="K86" s="26" t="s">
        <v>24</v>
      </c>
      <c r="L86" s="26" t="s">
        <v>24</v>
      </c>
      <c r="M86" s="26" t="s">
        <v>24</v>
      </c>
    </row>
    <row r="87" ht="13.5" customHeight="1">
      <c r="A87" s="21" t="s">
        <v>178</v>
      </c>
      <c r="B87" s="21" t="s">
        <v>168</v>
      </c>
      <c r="C87" s="22" t="s">
        <v>190</v>
      </c>
      <c r="D87" s="22" t="s">
        <v>181</v>
      </c>
      <c r="E87" s="22" t="s">
        <v>191</v>
      </c>
      <c r="F87" s="23" t="str">
        <f>HYPERLINK("https://www.hokkaido-np.co.jp/article/312309","URLを開く")</f>
        <v>URLを開く</v>
      </c>
      <c r="G87" s="24">
        <v>105145.0</v>
      </c>
      <c r="H87" s="25" t="s">
        <v>23</v>
      </c>
      <c r="I87" s="26" t="s">
        <v>24</v>
      </c>
      <c r="J87" s="26" t="s">
        <v>24</v>
      </c>
      <c r="K87" s="26" t="s">
        <v>24</v>
      </c>
      <c r="L87" s="26" t="s">
        <v>24</v>
      </c>
      <c r="M87" s="26" t="s">
        <v>24</v>
      </c>
    </row>
    <row r="88" ht="13.5" customHeight="1">
      <c r="A88" s="21" t="s">
        <v>178</v>
      </c>
      <c r="B88" s="21" t="s">
        <v>168</v>
      </c>
      <c r="C88" s="22" t="s">
        <v>192</v>
      </c>
      <c r="D88" s="22" t="s">
        <v>181</v>
      </c>
      <c r="E88" s="22" t="s">
        <v>193</v>
      </c>
      <c r="F88" s="23" t="str">
        <f>HYPERLINK("https://book.oricon.co.jp/php/news/NewsInfo.php?news=2136898","URLを開く")</f>
        <v>URLを開く</v>
      </c>
      <c r="G88" s="24">
        <v>201995.0</v>
      </c>
      <c r="H88" s="25" t="s">
        <v>23</v>
      </c>
      <c r="I88" s="26" t="s">
        <v>24</v>
      </c>
      <c r="J88" s="26" t="s">
        <v>24</v>
      </c>
      <c r="K88" s="26" t="s">
        <v>24</v>
      </c>
      <c r="L88" s="26" t="s">
        <v>24</v>
      </c>
      <c r="M88" s="26" t="s">
        <v>24</v>
      </c>
    </row>
    <row r="89" ht="13.5" customHeight="1">
      <c r="A89" s="21" t="s">
        <v>178</v>
      </c>
      <c r="B89" s="21" t="s">
        <v>168</v>
      </c>
      <c r="C89" s="22" t="s">
        <v>194</v>
      </c>
      <c r="D89" s="22" t="s">
        <v>181</v>
      </c>
      <c r="E89" s="22" t="s">
        <v>195</v>
      </c>
      <c r="F89" s="23" t="str">
        <f>HYPERLINK("https://news.prcm.jp/article/184126","URLを開く")</f>
        <v>URLを開く</v>
      </c>
      <c r="G89" s="24">
        <v>9580.0</v>
      </c>
      <c r="H89" s="25" t="s">
        <v>23</v>
      </c>
      <c r="I89" s="26" t="s">
        <v>24</v>
      </c>
      <c r="J89" s="26" t="s">
        <v>24</v>
      </c>
      <c r="K89" s="26" t="s">
        <v>24</v>
      </c>
      <c r="L89" s="26" t="s">
        <v>24</v>
      </c>
      <c r="M89" s="26" t="s">
        <v>24</v>
      </c>
    </row>
    <row r="90" ht="13.5" customHeight="1">
      <c r="A90" s="21" t="s">
        <v>178</v>
      </c>
      <c r="B90" s="21" t="s">
        <v>168</v>
      </c>
      <c r="C90" s="22" t="s">
        <v>196</v>
      </c>
      <c r="D90" s="22" t="s">
        <v>181</v>
      </c>
      <c r="E90" s="22" t="s">
        <v>197</v>
      </c>
      <c r="F90" s="23" t="str">
        <f>HYPERLINK("https://www.ehime-np.co.jp/article/201906050098","URLを開く")</f>
        <v>URLを開く</v>
      </c>
      <c r="G90" s="24">
        <v>13062.0</v>
      </c>
      <c r="H90" s="25" t="s">
        <v>23</v>
      </c>
      <c r="I90" s="26" t="s">
        <v>24</v>
      </c>
      <c r="J90" s="26" t="s">
        <v>24</v>
      </c>
      <c r="K90" s="26" t="s">
        <v>24</v>
      </c>
      <c r="L90" s="26" t="s">
        <v>24</v>
      </c>
      <c r="M90" s="26" t="s">
        <v>24</v>
      </c>
    </row>
    <row r="91" ht="13.5" customHeight="1">
      <c r="A91" s="21" t="s">
        <v>178</v>
      </c>
      <c r="B91" s="21" t="s">
        <v>168</v>
      </c>
      <c r="C91" s="22" t="s">
        <v>198</v>
      </c>
      <c r="D91" s="22" t="s">
        <v>181</v>
      </c>
      <c r="E91" s="22" t="s">
        <v>199</v>
      </c>
      <c r="F91" s="23" t="str">
        <f>HYPERLINK("https://www.fukuishimbun.co.jp/articles/-/868729","URLを開く")</f>
        <v>URLを開く</v>
      </c>
      <c r="G91" s="24">
        <v>3517.0</v>
      </c>
      <c r="H91" s="25" t="s">
        <v>23</v>
      </c>
      <c r="I91" s="26" t="s">
        <v>24</v>
      </c>
      <c r="J91" s="26" t="s">
        <v>24</v>
      </c>
      <c r="K91" s="26" t="s">
        <v>24</v>
      </c>
      <c r="L91" s="26" t="s">
        <v>24</v>
      </c>
      <c r="M91" s="26" t="s">
        <v>24</v>
      </c>
    </row>
    <row r="92" ht="13.5" customHeight="1">
      <c r="A92" s="21" t="s">
        <v>178</v>
      </c>
      <c r="B92" s="21" t="s">
        <v>168</v>
      </c>
      <c r="C92" s="22" t="s">
        <v>200</v>
      </c>
      <c r="D92" s="22" t="s">
        <v>181</v>
      </c>
      <c r="E92" s="22" t="s">
        <v>201</v>
      </c>
      <c r="F92" s="23" t="str">
        <f>HYPERLINK("https://www.sakigake.jp/news/article/20190605OR0058","URLを開く")</f>
        <v>URLを開く</v>
      </c>
      <c r="G92" s="24">
        <v>12699.0</v>
      </c>
      <c r="H92" s="25" t="s">
        <v>23</v>
      </c>
      <c r="I92" s="26" t="s">
        <v>24</v>
      </c>
      <c r="J92" s="26" t="s">
        <v>24</v>
      </c>
      <c r="K92" s="26" t="s">
        <v>24</v>
      </c>
      <c r="L92" s="26" t="s">
        <v>24</v>
      </c>
      <c r="M92" s="26" t="s">
        <v>24</v>
      </c>
    </row>
    <row r="93" ht="13.5" customHeight="1">
      <c r="A93" s="21" t="s">
        <v>178</v>
      </c>
      <c r="B93" s="21" t="s">
        <v>168</v>
      </c>
      <c r="C93" s="22" t="s">
        <v>202</v>
      </c>
      <c r="D93" s="22" t="s">
        <v>181</v>
      </c>
      <c r="E93" s="22" t="s">
        <v>203</v>
      </c>
      <c r="F93" s="23" t="str">
        <f>HYPERLINK("https://ibarakinews.jp/news/newsdetail.php?f_jun=2136898&amp;elem=oricon","URLを開く")</f>
        <v>URLを開く</v>
      </c>
      <c r="G93" s="24">
        <v>11400.0</v>
      </c>
      <c r="H93" s="25" t="s">
        <v>23</v>
      </c>
      <c r="I93" s="26" t="s">
        <v>24</v>
      </c>
      <c r="J93" s="26" t="s">
        <v>24</v>
      </c>
      <c r="K93" s="26" t="s">
        <v>24</v>
      </c>
      <c r="L93" s="26" t="s">
        <v>24</v>
      </c>
      <c r="M93" s="26" t="s">
        <v>24</v>
      </c>
    </row>
    <row r="94" ht="13.5" customHeight="1">
      <c r="A94" s="21" t="s">
        <v>178</v>
      </c>
      <c r="B94" s="21" t="s">
        <v>168</v>
      </c>
      <c r="C94" s="22" t="s">
        <v>204</v>
      </c>
      <c r="D94" s="22" t="s">
        <v>181</v>
      </c>
      <c r="E94" s="22" t="s">
        <v>205</v>
      </c>
      <c r="F94" s="23" t="str">
        <f>HYPERLINK("https://www.nishinippon.co.jp/nsp/item/o/516090/","URLを開く")</f>
        <v>URLを開く</v>
      </c>
      <c r="G94" s="24">
        <v>114960.0</v>
      </c>
      <c r="H94" s="25" t="s">
        <v>23</v>
      </c>
      <c r="I94" s="26" t="s">
        <v>24</v>
      </c>
      <c r="J94" s="26" t="s">
        <v>24</v>
      </c>
      <c r="K94" s="26" t="s">
        <v>24</v>
      </c>
      <c r="L94" s="26" t="s">
        <v>24</v>
      </c>
      <c r="M94" s="26" t="s">
        <v>24</v>
      </c>
    </row>
    <row r="95" ht="13.5" customHeight="1">
      <c r="A95" s="21" t="s">
        <v>178</v>
      </c>
      <c r="B95" s="21" t="s">
        <v>168</v>
      </c>
      <c r="C95" s="22" t="s">
        <v>206</v>
      </c>
      <c r="D95" s="22" t="s">
        <v>207</v>
      </c>
      <c r="E95" s="22" t="s">
        <v>208</v>
      </c>
      <c r="F95" s="23" t="str">
        <f>HYPERLINK("https://nice-time.jp/event/32717","URLを開く")</f>
        <v>URLを開く</v>
      </c>
      <c r="G95" s="24">
        <v>9140.0</v>
      </c>
      <c r="H95" s="25" t="s">
        <v>23</v>
      </c>
      <c r="I95" s="26" t="s">
        <v>24</v>
      </c>
      <c r="J95" s="26" t="s">
        <v>24</v>
      </c>
      <c r="K95" s="26" t="s">
        <v>24</v>
      </c>
      <c r="L95" s="26" t="s">
        <v>24</v>
      </c>
      <c r="M95" s="26" t="s">
        <v>24</v>
      </c>
    </row>
    <row r="96" ht="13.5" customHeight="1">
      <c r="A96" s="21" t="s">
        <v>178</v>
      </c>
      <c r="B96" s="21" t="s">
        <v>168</v>
      </c>
      <c r="C96" s="22" t="s">
        <v>209</v>
      </c>
      <c r="D96" s="22" t="s">
        <v>210</v>
      </c>
      <c r="E96" s="22" t="s">
        <v>211</v>
      </c>
      <c r="F96" s="23" t="str">
        <f>HYPERLINK("https://www.asahi.com/and_w/entertainment/ent_602689/","URLを開く")</f>
        <v>URLを開く</v>
      </c>
      <c r="G96" s="24">
        <v>285953.0</v>
      </c>
      <c r="H96" s="25" t="s">
        <v>23</v>
      </c>
      <c r="I96" s="26" t="s">
        <v>24</v>
      </c>
      <c r="J96" s="26" t="s">
        <v>24</v>
      </c>
      <c r="K96" s="26" t="s">
        <v>24</v>
      </c>
      <c r="L96" s="26" t="s">
        <v>24</v>
      </c>
      <c r="M96" s="26" t="s">
        <v>24</v>
      </c>
    </row>
    <row r="97" ht="13.5" customHeight="1">
      <c r="A97" s="21" t="s">
        <v>178</v>
      </c>
      <c r="B97" s="21" t="s">
        <v>168</v>
      </c>
      <c r="C97" s="22" t="s">
        <v>96</v>
      </c>
      <c r="D97" s="22" t="s">
        <v>212</v>
      </c>
      <c r="E97" s="22" t="s">
        <v>213</v>
      </c>
      <c r="F97" s="23" t="str">
        <f>HYPERLINK("http://topics.smt.docomo.ne.jp/article/minkei/region/minkei-roppongi4256","URLを開く")</f>
        <v>URLを開く</v>
      </c>
      <c r="G97" s="24">
        <v>46433.0</v>
      </c>
      <c r="H97" s="25" t="s">
        <v>23</v>
      </c>
      <c r="I97" s="26" t="s">
        <v>24</v>
      </c>
      <c r="J97" s="26" t="s">
        <v>24</v>
      </c>
      <c r="K97" s="26" t="s">
        <v>24</v>
      </c>
      <c r="L97" s="26" t="s">
        <v>24</v>
      </c>
      <c r="M97" s="26" t="s">
        <v>24</v>
      </c>
    </row>
    <row r="98" ht="13.5" customHeight="1">
      <c r="A98" s="21" t="s">
        <v>214</v>
      </c>
      <c r="B98" s="21" t="s">
        <v>168</v>
      </c>
      <c r="C98" s="22" t="s">
        <v>215</v>
      </c>
      <c r="D98" s="22" t="s">
        <v>176</v>
      </c>
      <c r="E98" s="22" t="s">
        <v>216</v>
      </c>
      <c r="F98" s="23" t="str">
        <f>HYPERLINK("http://news.animap.jp/2019/06/04/%e3%81%82%e3%81%ae%e6%9c%89%e5%90%8d%e5%a3%b0%e5%84%aa%e3%82%82%e5%8f%82%e5%8a%a0%ef%bc%81%e4%b8%96%e7%95%8c%e4%b8%80%e6%a5%bd%e3%81%97%e3%81%84%e3%81%94%e3%81%bf%e6%8b%be%e3%81%84/","URLを開く")</f>
        <v>URLを開く</v>
      </c>
      <c r="G98" s="24">
        <v>9140.0</v>
      </c>
      <c r="H98" s="25" t="s">
        <v>23</v>
      </c>
      <c r="I98" s="26" t="s">
        <v>24</v>
      </c>
      <c r="J98" s="26" t="s">
        <v>24</v>
      </c>
      <c r="K98" s="26" t="s">
        <v>24</v>
      </c>
      <c r="L98" s="26" t="s">
        <v>24</v>
      </c>
      <c r="M98" s="26" t="s">
        <v>24</v>
      </c>
    </row>
    <row r="99" ht="13.5" customHeight="1">
      <c r="A99" s="21" t="s">
        <v>214</v>
      </c>
      <c r="B99" s="21" t="s">
        <v>168</v>
      </c>
      <c r="C99" s="22" t="s">
        <v>217</v>
      </c>
      <c r="D99" s="22" t="s">
        <v>218</v>
      </c>
      <c r="E99" s="22" t="s">
        <v>219</v>
      </c>
      <c r="F99" s="23" t="str">
        <f>HYPERLINK("https://jcnews.tokyo/article/1443977/1","URLを開く")</f>
        <v>URLを開く</v>
      </c>
      <c r="G99" s="24">
        <v>8721.0</v>
      </c>
      <c r="H99" s="25" t="s">
        <v>23</v>
      </c>
      <c r="I99" s="26" t="s">
        <v>24</v>
      </c>
      <c r="J99" s="26" t="s">
        <v>24</v>
      </c>
      <c r="K99" s="26" t="s">
        <v>24</v>
      </c>
      <c r="L99" s="26" t="s">
        <v>24</v>
      </c>
      <c r="M99" s="26" t="s">
        <v>24</v>
      </c>
    </row>
    <row r="100" ht="13.5" customHeight="1">
      <c r="A100" s="21" t="s">
        <v>214</v>
      </c>
      <c r="B100" s="21" t="s">
        <v>168</v>
      </c>
      <c r="C100" s="22" t="s">
        <v>138</v>
      </c>
      <c r="D100" s="22" t="s">
        <v>218</v>
      </c>
      <c r="E100" s="22" t="s">
        <v>220</v>
      </c>
      <c r="F100" s="23" t="str">
        <f>HYPERLINK("https://news.nicovideo.jp/watch/nw5416990","URLを開く")</f>
        <v>URLを開く</v>
      </c>
      <c r="G100" s="24">
        <v>292748.0</v>
      </c>
      <c r="H100" s="25" t="s">
        <v>23</v>
      </c>
      <c r="I100" s="26" t="s">
        <v>24</v>
      </c>
      <c r="J100" s="26" t="s">
        <v>24</v>
      </c>
      <c r="K100" s="26" t="s">
        <v>24</v>
      </c>
      <c r="L100" s="26" t="s">
        <v>24</v>
      </c>
      <c r="M100" s="26" t="s">
        <v>24</v>
      </c>
    </row>
    <row r="101" ht="13.5" customHeight="1">
      <c r="A101" s="21" t="s">
        <v>18</v>
      </c>
      <c r="B101" s="21" t="s">
        <v>168</v>
      </c>
      <c r="C101" s="22" t="s">
        <v>221</v>
      </c>
      <c r="D101" s="22" t="s">
        <v>222</v>
      </c>
      <c r="E101" s="22" t="s">
        <v>223</v>
      </c>
      <c r="F101" s="23" t="str">
        <f>HYPERLINK("https://web.hackadoll.com/n/8pP5C","URLを開く")</f>
        <v>URLを開く</v>
      </c>
      <c r="G101" s="24">
        <v>10280.0</v>
      </c>
      <c r="H101" s="25" t="s">
        <v>23</v>
      </c>
      <c r="I101" s="26" t="s">
        <v>24</v>
      </c>
      <c r="J101" s="26" t="s">
        <v>24</v>
      </c>
      <c r="K101" s="26" t="s">
        <v>24</v>
      </c>
      <c r="L101" s="26" t="s">
        <v>24</v>
      </c>
      <c r="M101" s="26" t="s">
        <v>24</v>
      </c>
    </row>
    <row r="102" ht="13.5" customHeight="1">
      <c r="A102" s="21" t="s">
        <v>224</v>
      </c>
      <c r="B102" s="21" t="s">
        <v>168</v>
      </c>
      <c r="C102" s="22" t="s">
        <v>225</v>
      </c>
      <c r="D102" s="22" t="s">
        <v>226</v>
      </c>
      <c r="E102" s="22" t="s">
        <v>227</v>
      </c>
      <c r="F102" s="23" t="str">
        <f>HYPERLINK("https://naovic.com/cos/umigomi/20190531/","URLを開く")</f>
        <v>URLを開く</v>
      </c>
      <c r="G102" s="24">
        <v>6896.0</v>
      </c>
      <c r="H102" s="25" t="s">
        <v>23</v>
      </c>
      <c r="I102" s="26" t="s">
        <v>24</v>
      </c>
      <c r="J102" s="26" t="s">
        <v>24</v>
      </c>
      <c r="K102" s="26" t="s">
        <v>24</v>
      </c>
      <c r="L102" s="26" t="s">
        <v>24</v>
      </c>
      <c r="M102" s="26" t="s">
        <v>24</v>
      </c>
    </row>
    <row r="103" ht="13.5" customHeight="1">
      <c r="A103" s="21" t="s">
        <v>224</v>
      </c>
      <c r="B103" s="21" t="s">
        <v>168</v>
      </c>
      <c r="C103" s="22" t="s">
        <v>217</v>
      </c>
      <c r="D103" s="22" t="s">
        <v>228</v>
      </c>
      <c r="E103" s="22" t="s">
        <v>229</v>
      </c>
      <c r="F103" s="23" t="str">
        <f>HYPERLINK("https://jcnews.tokyo/article/1440374/1","URLを開く")</f>
        <v>URLを開く</v>
      </c>
      <c r="G103" s="24">
        <v>8721.0</v>
      </c>
      <c r="H103" s="25" t="s">
        <v>23</v>
      </c>
      <c r="I103" s="26" t="s">
        <v>24</v>
      </c>
      <c r="J103" s="26" t="s">
        <v>24</v>
      </c>
      <c r="K103" s="26" t="s">
        <v>24</v>
      </c>
      <c r="L103" s="26" t="s">
        <v>24</v>
      </c>
      <c r="M103" s="26" t="s">
        <v>24</v>
      </c>
    </row>
    <row r="104" ht="13.5" customHeight="1">
      <c r="A104" s="21" t="s">
        <v>224</v>
      </c>
      <c r="B104" s="21" t="s">
        <v>168</v>
      </c>
      <c r="C104" s="22" t="s">
        <v>230</v>
      </c>
      <c r="D104" s="22" t="s">
        <v>228</v>
      </c>
      <c r="E104" s="22" t="s">
        <v>231</v>
      </c>
      <c r="F104" s="23" t="str">
        <f>HYPERLINK("https://okkake.me/entries/892392","URLを開く")</f>
        <v>URLを開く</v>
      </c>
      <c r="G104" s="24">
        <v>9580.0</v>
      </c>
      <c r="H104" s="25" t="s">
        <v>23</v>
      </c>
      <c r="I104" s="26" t="s">
        <v>24</v>
      </c>
      <c r="J104" s="26" t="s">
        <v>24</v>
      </c>
      <c r="K104" s="26" t="s">
        <v>24</v>
      </c>
      <c r="L104" s="26" t="s">
        <v>24</v>
      </c>
      <c r="M104" s="26" t="s">
        <v>24</v>
      </c>
    </row>
    <row r="105" ht="13.5" customHeight="1">
      <c r="A105" s="21" t="s">
        <v>224</v>
      </c>
      <c r="B105" s="21" t="s">
        <v>168</v>
      </c>
      <c r="C105" s="22" t="s">
        <v>221</v>
      </c>
      <c r="D105" s="22" t="s">
        <v>228</v>
      </c>
      <c r="E105" s="22" t="s">
        <v>232</v>
      </c>
      <c r="F105" s="23" t="str">
        <f>HYPERLINK("https://web.hackadoll.com/n/8pORZ","URLを開く")</f>
        <v>URLを開く</v>
      </c>
      <c r="G105" s="24">
        <v>10280.0</v>
      </c>
      <c r="H105" s="25" t="s">
        <v>23</v>
      </c>
      <c r="I105" s="26" t="s">
        <v>24</v>
      </c>
      <c r="J105" s="26" t="s">
        <v>24</v>
      </c>
      <c r="K105" s="26" t="s">
        <v>24</v>
      </c>
      <c r="L105" s="26" t="s">
        <v>24</v>
      </c>
      <c r="M105" s="26" t="s">
        <v>24</v>
      </c>
    </row>
    <row r="106" ht="13.5" customHeight="1">
      <c r="A106" s="21" t="s">
        <v>224</v>
      </c>
      <c r="B106" s="21" t="s">
        <v>168</v>
      </c>
      <c r="C106" s="22" t="s">
        <v>15</v>
      </c>
      <c r="D106" s="22" t="s">
        <v>176</v>
      </c>
      <c r="E106" s="22" t="s">
        <v>233</v>
      </c>
      <c r="F106" s="23" t="str">
        <f>HYPERLINK("https://news.line.me/articles/oa-rp20153/a449db7a9724","URLを開く")</f>
        <v>URLを開く</v>
      </c>
      <c r="G106" s="24">
        <v>2590.0</v>
      </c>
      <c r="H106" s="25" t="s">
        <v>23</v>
      </c>
      <c r="I106" s="26" t="s">
        <v>24</v>
      </c>
      <c r="J106" s="26" t="s">
        <v>24</v>
      </c>
      <c r="K106" s="26" t="s">
        <v>24</v>
      </c>
      <c r="L106" s="26" t="s">
        <v>24</v>
      </c>
      <c r="M106" s="26" t="s">
        <v>24</v>
      </c>
    </row>
    <row r="107" ht="13.5" customHeight="1">
      <c r="A107" s="21" t="s">
        <v>178</v>
      </c>
      <c r="B107" s="21" t="s">
        <v>234</v>
      </c>
      <c r="C107" s="22" t="s">
        <v>27</v>
      </c>
      <c r="D107" s="22" t="s">
        <v>179</v>
      </c>
      <c r="E107" s="22" t="s">
        <v>235</v>
      </c>
      <c r="F107" s="28" t="str">
        <f>HYPERLINK(" "," ")</f>
        <v> </v>
      </c>
      <c r="G107" s="24">
        <v>305390.0</v>
      </c>
      <c r="H107" s="25" t="s">
        <v>23</v>
      </c>
      <c r="I107" s="26" t="s">
        <v>24</v>
      </c>
      <c r="J107" s="26" t="s">
        <v>24</v>
      </c>
      <c r="K107" s="26" t="s">
        <v>24</v>
      </c>
      <c r="L107" s="26" t="s">
        <v>24</v>
      </c>
      <c r="M107" s="26" t="s">
        <v>24</v>
      </c>
    </row>
    <row r="108" ht="13.5" customHeight="1">
      <c r="A108" s="21" t="s">
        <v>178</v>
      </c>
      <c r="B108" s="21" t="s">
        <v>234</v>
      </c>
      <c r="C108" s="22" t="s">
        <v>30</v>
      </c>
      <c r="D108" s="22" t="s">
        <v>179</v>
      </c>
      <c r="E108" s="22" t="s">
        <v>236</v>
      </c>
      <c r="F108" s="23" t="str">
        <f>HYPERLINK("https://gunosy.com/articles/Rq6oX","URLを開く")</f>
        <v>URLを開く</v>
      </c>
      <c r="G108" s="24">
        <v>130505.0</v>
      </c>
      <c r="H108" s="25" t="s">
        <v>23</v>
      </c>
      <c r="I108" s="26" t="s">
        <v>24</v>
      </c>
      <c r="J108" s="26" t="s">
        <v>24</v>
      </c>
      <c r="K108" s="26" t="s">
        <v>24</v>
      </c>
      <c r="L108" s="26" t="s">
        <v>24</v>
      </c>
      <c r="M108" s="26" t="s">
        <v>24</v>
      </c>
    </row>
    <row r="109" ht="13.5" customHeight="1">
      <c r="A109" s="21" t="s">
        <v>178</v>
      </c>
      <c r="B109" s="21" t="s">
        <v>234</v>
      </c>
      <c r="C109" s="22" t="s">
        <v>99</v>
      </c>
      <c r="D109" s="22" t="s">
        <v>237</v>
      </c>
      <c r="E109" s="22" t="s">
        <v>238</v>
      </c>
      <c r="F109" s="23" t="str">
        <f>HYPERLINK("http://www.minyu-net.com/oricon/OR2136898.php","URLを開く")</f>
        <v>URLを開く</v>
      </c>
      <c r="G109" s="24">
        <v>12580.0</v>
      </c>
      <c r="H109" s="25" t="s">
        <v>23</v>
      </c>
      <c r="I109" s="26" t="s">
        <v>24</v>
      </c>
      <c r="J109" s="26" t="s">
        <v>24</v>
      </c>
      <c r="K109" s="26" t="s">
        <v>24</v>
      </c>
      <c r="L109" s="26" t="s">
        <v>24</v>
      </c>
      <c r="M109" s="26" t="s">
        <v>24</v>
      </c>
    </row>
    <row r="110" ht="13.5" customHeight="1">
      <c r="A110" s="21" t="s">
        <v>178</v>
      </c>
      <c r="B110" s="21" t="s">
        <v>234</v>
      </c>
      <c r="C110" s="22" t="s">
        <v>32</v>
      </c>
      <c r="D110" s="22" t="s">
        <v>181</v>
      </c>
      <c r="E110" s="22" t="s">
        <v>239</v>
      </c>
      <c r="F110" s="23" t="str">
        <f>HYPERLINK("https://373news.com/_news/oricon/kiji.php?id=2136898","URLを開く")</f>
        <v>URLを開く</v>
      </c>
      <c r="G110" s="24">
        <v>14350.0</v>
      </c>
      <c r="H110" s="25" t="s">
        <v>23</v>
      </c>
      <c r="I110" s="26" t="s">
        <v>24</v>
      </c>
      <c r="J110" s="26" t="s">
        <v>24</v>
      </c>
      <c r="K110" s="26" t="s">
        <v>24</v>
      </c>
      <c r="L110" s="26" t="s">
        <v>24</v>
      </c>
      <c r="M110" s="26" t="s">
        <v>24</v>
      </c>
    </row>
    <row r="111" ht="13.5" customHeight="1">
      <c r="A111" s="21" t="s">
        <v>178</v>
      </c>
      <c r="B111" s="21" t="s">
        <v>234</v>
      </c>
      <c r="C111" s="22" t="s">
        <v>37</v>
      </c>
      <c r="D111" s="22" t="s">
        <v>181</v>
      </c>
      <c r="E111" s="22" t="s">
        <v>240</v>
      </c>
      <c r="F111" s="23" t="str">
        <f>HYPERLINK("https://news.nifty.com/article/entame/showbizd/12173-296791/","URLを開く")</f>
        <v>URLを開く</v>
      </c>
      <c r="G111" s="24">
        <v>138721.0</v>
      </c>
      <c r="H111" s="25" t="s">
        <v>23</v>
      </c>
      <c r="I111" s="26" t="s">
        <v>24</v>
      </c>
      <c r="J111" s="26" t="s">
        <v>24</v>
      </c>
      <c r="K111" s="26" t="s">
        <v>24</v>
      </c>
      <c r="L111" s="26" t="s">
        <v>24</v>
      </c>
      <c r="M111" s="26" t="s">
        <v>24</v>
      </c>
    </row>
    <row r="112" ht="13.5" customHeight="1">
      <c r="A112" s="21" t="s">
        <v>178</v>
      </c>
      <c r="B112" s="21" t="s">
        <v>234</v>
      </c>
      <c r="C112" s="22" t="s">
        <v>39</v>
      </c>
      <c r="D112" s="22" t="s">
        <v>181</v>
      </c>
      <c r="E112" s="22" t="s">
        <v>241</v>
      </c>
      <c r="F112" s="23" t="str">
        <f>HYPERLINK("https://www.agara.co.jp/article/9866","URLを開く")</f>
        <v>URLを開く</v>
      </c>
      <c r="G112" s="24">
        <v>11947.0</v>
      </c>
      <c r="H112" s="25" t="s">
        <v>23</v>
      </c>
      <c r="I112" s="26" t="s">
        <v>24</v>
      </c>
      <c r="J112" s="26" t="s">
        <v>24</v>
      </c>
      <c r="K112" s="26" t="s">
        <v>24</v>
      </c>
      <c r="L112" s="26" t="s">
        <v>24</v>
      </c>
      <c r="M112" s="26" t="s">
        <v>24</v>
      </c>
    </row>
    <row r="113" ht="13.5" customHeight="1">
      <c r="A113" s="21" t="s">
        <v>178</v>
      </c>
      <c r="B113" s="21" t="s">
        <v>234</v>
      </c>
      <c r="C113" s="22" t="s">
        <v>39</v>
      </c>
      <c r="D113" s="22" t="s">
        <v>181</v>
      </c>
      <c r="E113" s="22" t="s">
        <v>242</v>
      </c>
      <c r="F113" s="23" t="str">
        <f>HYPERLINK("https://www.agara.co.jp/article/9866?rct=oricon","URLを開く")</f>
        <v>URLを開く</v>
      </c>
      <c r="G113" s="24">
        <v>11947.0</v>
      </c>
      <c r="H113" s="25" t="s">
        <v>23</v>
      </c>
      <c r="I113" s="26" t="s">
        <v>24</v>
      </c>
      <c r="J113" s="26" t="s">
        <v>24</v>
      </c>
      <c r="K113" s="26" t="s">
        <v>24</v>
      </c>
      <c r="L113" s="26" t="s">
        <v>24</v>
      </c>
      <c r="M113" s="26" t="s">
        <v>24</v>
      </c>
    </row>
    <row r="114" ht="13.5" customHeight="1">
      <c r="A114" s="21" t="s">
        <v>178</v>
      </c>
      <c r="B114" s="21" t="s">
        <v>234</v>
      </c>
      <c r="C114" s="22" t="s">
        <v>42</v>
      </c>
      <c r="D114" s="22" t="s">
        <v>181</v>
      </c>
      <c r="E114" s="22" t="s">
        <v>243</v>
      </c>
      <c r="F114" s="23" t="str">
        <f>HYPERLINK("https://article.auone.jp/detail/1/5/9/20_9_r_20190605_1559723473292624","URLを開く")</f>
        <v>URLを開く</v>
      </c>
      <c r="G114" s="24">
        <v>190030.0</v>
      </c>
      <c r="H114" s="25" t="s">
        <v>23</v>
      </c>
      <c r="I114" s="26" t="s">
        <v>24</v>
      </c>
      <c r="J114" s="26" t="s">
        <v>24</v>
      </c>
      <c r="K114" s="26" t="s">
        <v>24</v>
      </c>
      <c r="L114" s="26" t="s">
        <v>24</v>
      </c>
      <c r="M114" s="26" t="s">
        <v>24</v>
      </c>
    </row>
    <row r="115" ht="13.5" customHeight="1">
      <c r="A115" s="21" t="s">
        <v>178</v>
      </c>
      <c r="B115" s="21" t="s">
        <v>234</v>
      </c>
      <c r="C115" s="22" t="s">
        <v>44</v>
      </c>
      <c r="D115" s="22" t="s">
        <v>181</v>
      </c>
      <c r="E115" s="22" t="s">
        <v>244</v>
      </c>
      <c r="F115" s="23" t="str">
        <f>HYPERLINK("https://news.biglobe.ne.jp/entertainment/0605/ori_190605_7592596730.html","URLを開く")</f>
        <v>URLを開く</v>
      </c>
      <c r="G115" s="24">
        <v>189139.0</v>
      </c>
      <c r="H115" s="25" t="s">
        <v>23</v>
      </c>
      <c r="I115" s="26" t="s">
        <v>24</v>
      </c>
      <c r="J115" s="26" t="s">
        <v>24</v>
      </c>
      <c r="K115" s="26" t="s">
        <v>24</v>
      </c>
      <c r="L115" s="26" t="s">
        <v>24</v>
      </c>
      <c r="M115" s="26" t="s">
        <v>24</v>
      </c>
    </row>
    <row r="116" ht="13.5" customHeight="1">
      <c r="A116" s="21" t="s">
        <v>178</v>
      </c>
      <c r="B116" s="21" t="s">
        <v>234</v>
      </c>
      <c r="C116" s="22" t="s">
        <v>46</v>
      </c>
      <c r="D116" s="22" t="s">
        <v>181</v>
      </c>
      <c r="E116" s="22" t="s">
        <v>245</v>
      </c>
      <c r="F116" s="23" t="str">
        <f>HYPERLINK("https://club.panasonic.jp/oriconnews/detail/?id=2136898","URLを開く")</f>
        <v>URLを開く</v>
      </c>
      <c r="G116" s="24">
        <v>50059.0</v>
      </c>
      <c r="H116" s="25" t="s">
        <v>23</v>
      </c>
      <c r="I116" s="26" t="s">
        <v>24</v>
      </c>
      <c r="J116" s="26" t="s">
        <v>24</v>
      </c>
      <c r="K116" s="26" t="s">
        <v>24</v>
      </c>
      <c r="L116" s="26" t="s">
        <v>24</v>
      </c>
      <c r="M116" s="26" t="s">
        <v>24</v>
      </c>
    </row>
    <row r="117" ht="13.5" customHeight="1">
      <c r="A117" s="21" t="s">
        <v>178</v>
      </c>
      <c r="B117" s="21" t="s">
        <v>234</v>
      </c>
      <c r="C117" s="22" t="s">
        <v>108</v>
      </c>
      <c r="D117" s="22" t="s">
        <v>181</v>
      </c>
      <c r="E117" s="22" t="s">
        <v>246</v>
      </c>
      <c r="F117" s="23" t="str">
        <f>HYPERLINK("https://www.excite.co.jp/news/article/Oricon_2136898/","URLを開く")</f>
        <v>URLを開く</v>
      </c>
      <c r="G117" s="24">
        <v>175446.0</v>
      </c>
      <c r="H117" s="25" t="s">
        <v>23</v>
      </c>
      <c r="I117" s="26" t="s">
        <v>24</v>
      </c>
      <c r="J117" s="26" t="s">
        <v>24</v>
      </c>
      <c r="K117" s="26" t="s">
        <v>24</v>
      </c>
      <c r="L117" s="26" t="s">
        <v>24</v>
      </c>
      <c r="M117" s="26" t="s">
        <v>24</v>
      </c>
    </row>
    <row r="118" ht="13.5" customHeight="1">
      <c r="A118" s="21" t="s">
        <v>178</v>
      </c>
      <c r="B118" s="21" t="s">
        <v>234</v>
      </c>
      <c r="C118" s="22" t="s">
        <v>48</v>
      </c>
      <c r="D118" s="22" t="s">
        <v>181</v>
      </c>
      <c r="E118" s="22" t="s">
        <v>247</v>
      </c>
      <c r="F118" s="23" t="str">
        <f>HYPERLINK("https://mall.373news.com/felia/?oricon_news=2136898-2","URLを開く")</f>
        <v>URLを開く</v>
      </c>
      <c r="G118" s="24">
        <v>11081.0</v>
      </c>
      <c r="H118" s="25" t="s">
        <v>23</v>
      </c>
      <c r="I118" s="26" t="s">
        <v>24</v>
      </c>
      <c r="J118" s="26" t="s">
        <v>24</v>
      </c>
      <c r="K118" s="26" t="s">
        <v>24</v>
      </c>
      <c r="L118" s="26" t="s">
        <v>24</v>
      </c>
      <c r="M118" s="26" t="s">
        <v>24</v>
      </c>
    </row>
    <row r="119" ht="13.5" customHeight="1">
      <c r="A119" s="21" t="s">
        <v>178</v>
      </c>
      <c r="B119" s="21" t="s">
        <v>234</v>
      </c>
      <c r="C119" s="22" t="s">
        <v>50</v>
      </c>
      <c r="D119" s="22" t="s">
        <v>181</v>
      </c>
      <c r="E119" s="22" t="s">
        <v>248</v>
      </c>
      <c r="F119" s="23" t="str">
        <f>HYPERLINK("https://www.nack5.co.jp/oricon_2136898.shtml","URLを開く")</f>
        <v>URLを開く</v>
      </c>
      <c r="G119" s="24">
        <v>14899.0</v>
      </c>
      <c r="H119" s="25" t="s">
        <v>23</v>
      </c>
      <c r="I119" s="26" t="s">
        <v>24</v>
      </c>
      <c r="J119" s="26" t="s">
        <v>24</v>
      </c>
      <c r="K119" s="26" t="s">
        <v>24</v>
      </c>
      <c r="L119" s="26" t="s">
        <v>24</v>
      </c>
      <c r="M119" s="26" t="s">
        <v>24</v>
      </c>
    </row>
    <row r="120" ht="13.5" customHeight="1">
      <c r="A120" s="21" t="s">
        <v>178</v>
      </c>
      <c r="B120" s="21" t="s">
        <v>234</v>
      </c>
      <c r="C120" s="22" t="s">
        <v>52</v>
      </c>
      <c r="D120" s="22" t="s">
        <v>181</v>
      </c>
      <c r="E120" s="22" t="s">
        <v>249</v>
      </c>
      <c r="F120" s="23" t="str">
        <f>HYPERLINK("https://news.goo.ne.jp/article/oricon/entertainment/oricon-2136898.html","URLを開く")</f>
        <v>URLを開く</v>
      </c>
      <c r="G120" s="24">
        <v>133606.0</v>
      </c>
      <c r="H120" s="25" t="s">
        <v>23</v>
      </c>
      <c r="I120" s="26" t="s">
        <v>24</v>
      </c>
      <c r="J120" s="26" t="s">
        <v>24</v>
      </c>
      <c r="K120" s="26" t="s">
        <v>24</v>
      </c>
      <c r="L120" s="26" t="s">
        <v>24</v>
      </c>
      <c r="M120" s="26" t="s">
        <v>24</v>
      </c>
    </row>
    <row r="121" ht="13.5" customHeight="1">
      <c r="A121" s="21" t="s">
        <v>178</v>
      </c>
      <c r="B121" s="21" t="s">
        <v>234</v>
      </c>
      <c r="C121" s="22" t="s">
        <v>56</v>
      </c>
      <c r="D121" s="22" t="s">
        <v>181</v>
      </c>
      <c r="E121" s="22" t="s">
        <v>250</v>
      </c>
      <c r="F121" s="23" t="str">
        <f>HYPERLINK("https://news.infoseek.co.jp/article/oricon_2136898","URLを開く")</f>
        <v>URLを開く</v>
      </c>
      <c r="G121" s="24">
        <v>161222.0</v>
      </c>
      <c r="H121" s="25" t="s">
        <v>23</v>
      </c>
      <c r="I121" s="26" t="s">
        <v>24</v>
      </c>
      <c r="J121" s="26" t="s">
        <v>24</v>
      </c>
      <c r="K121" s="26" t="s">
        <v>24</v>
      </c>
      <c r="L121" s="26" t="s">
        <v>24</v>
      </c>
      <c r="M121" s="26" t="s">
        <v>24</v>
      </c>
    </row>
    <row r="122" ht="13.5" customHeight="1">
      <c r="A122" s="21" t="s">
        <v>178</v>
      </c>
      <c r="B122" s="21" t="s">
        <v>234</v>
      </c>
      <c r="C122" s="22" t="s">
        <v>58</v>
      </c>
      <c r="D122" s="22" t="s">
        <v>181</v>
      </c>
      <c r="E122" s="22" t="s">
        <v>251</v>
      </c>
      <c r="F122" s="23" t="str">
        <f>HYPERLINK("http://news.livedoor.com/article/detail/16572243/","URLを開く")</f>
        <v>URLを開く</v>
      </c>
      <c r="G122" s="24">
        <v>251894.0</v>
      </c>
      <c r="H122" s="25" t="s">
        <v>23</v>
      </c>
      <c r="I122" s="26" t="s">
        <v>24</v>
      </c>
      <c r="J122" s="26" t="s">
        <v>24</v>
      </c>
      <c r="K122" s="26" t="s">
        <v>24</v>
      </c>
      <c r="L122" s="26" t="s">
        <v>24</v>
      </c>
      <c r="M122" s="26" t="s">
        <v>24</v>
      </c>
    </row>
    <row r="123" ht="13.5" customHeight="1">
      <c r="A123" s="21" t="s">
        <v>178</v>
      </c>
      <c r="B123" s="21" t="s">
        <v>234</v>
      </c>
      <c r="C123" s="22" t="s">
        <v>60</v>
      </c>
      <c r="D123" s="22" t="s">
        <v>181</v>
      </c>
      <c r="E123" s="22" t="s">
        <v>252</v>
      </c>
      <c r="F123" s="23" t="str">
        <f>HYPERLINK("https://news.mixi.jp/view_news.pl?id=5650269&amp;media_id=54","URLを開く")</f>
        <v>URLを開く</v>
      </c>
      <c r="G123" s="24">
        <v>90048.0</v>
      </c>
      <c r="H123" s="25" t="s">
        <v>23</v>
      </c>
      <c r="I123" s="26" t="s">
        <v>24</v>
      </c>
      <c r="J123" s="26" t="s">
        <v>24</v>
      </c>
      <c r="K123" s="26" t="s">
        <v>24</v>
      </c>
      <c r="L123" s="26" t="s">
        <v>24</v>
      </c>
      <c r="M123" s="26" t="s">
        <v>24</v>
      </c>
    </row>
    <row r="124" ht="13.5" customHeight="1">
      <c r="A124" s="21" t="s">
        <v>178</v>
      </c>
      <c r="B124" s="21" t="s">
        <v>234</v>
      </c>
      <c r="C124" s="22" t="s">
        <v>62</v>
      </c>
      <c r="D124" s="22" t="s">
        <v>181</v>
      </c>
      <c r="E124" s="22" t="s">
        <v>253</v>
      </c>
      <c r="F124" s="23" t="str">
        <f>HYPERLINK("http://www.the-miyanichi.co.jp/special/oricon/index.php?oriconid=entertainment/201906052136898","URLを開く")</f>
        <v>URLを開く</v>
      </c>
      <c r="G124" s="24">
        <v>14760.0</v>
      </c>
      <c r="H124" s="25" t="s">
        <v>23</v>
      </c>
      <c r="I124" s="26" t="s">
        <v>24</v>
      </c>
      <c r="J124" s="26" t="s">
        <v>24</v>
      </c>
      <c r="K124" s="26" t="s">
        <v>24</v>
      </c>
      <c r="L124" s="26" t="s">
        <v>24</v>
      </c>
      <c r="M124" s="26" t="s">
        <v>24</v>
      </c>
    </row>
    <row r="125" ht="13.5" customHeight="1">
      <c r="A125" s="21" t="s">
        <v>178</v>
      </c>
      <c r="B125" s="21" t="s">
        <v>234</v>
      </c>
      <c r="C125" s="22" t="s">
        <v>64</v>
      </c>
      <c r="D125" s="22" t="s">
        <v>181</v>
      </c>
      <c r="E125" s="22" t="s">
        <v>254</v>
      </c>
      <c r="F125" s="23" t="str">
        <f>HYPERLINK("https://www.oricon.co.jp/news/2136898/full/","URLを開く")</f>
        <v>URLを開く</v>
      </c>
      <c r="G125" s="24">
        <v>150254.0</v>
      </c>
      <c r="H125" s="25" t="s">
        <v>23</v>
      </c>
      <c r="I125" s="26" t="s">
        <v>24</v>
      </c>
      <c r="J125" s="26" t="s">
        <v>24</v>
      </c>
      <c r="K125" s="26" t="s">
        <v>24</v>
      </c>
      <c r="L125" s="26" t="s">
        <v>24</v>
      </c>
      <c r="M125" s="26" t="s">
        <v>24</v>
      </c>
    </row>
    <row r="126" ht="13.5" customHeight="1">
      <c r="A126" s="21" t="s">
        <v>178</v>
      </c>
      <c r="B126" s="21" t="s">
        <v>234</v>
      </c>
      <c r="C126" s="22" t="s">
        <v>66</v>
      </c>
      <c r="D126" s="22" t="s">
        <v>181</v>
      </c>
      <c r="E126" s="22" t="s">
        <v>255</v>
      </c>
      <c r="F126" s="23" t="str">
        <f>HYPERLINK("https://news.tnc.ne.jp/entame/306213_1.html","URLを開く")</f>
        <v>URLを開く</v>
      </c>
      <c r="G126" s="24">
        <v>12116.0</v>
      </c>
      <c r="H126" s="25" t="s">
        <v>23</v>
      </c>
      <c r="I126" s="26" t="s">
        <v>24</v>
      </c>
      <c r="J126" s="26" t="s">
        <v>24</v>
      </c>
      <c r="K126" s="26" t="s">
        <v>24</v>
      </c>
      <c r="L126" s="26" t="s">
        <v>24</v>
      </c>
      <c r="M126" s="26" t="s">
        <v>24</v>
      </c>
    </row>
    <row r="127" ht="13.5" customHeight="1">
      <c r="A127" s="21" t="s">
        <v>178</v>
      </c>
      <c r="B127" s="21" t="s">
        <v>234</v>
      </c>
      <c r="C127" s="22" t="s">
        <v>68</v>
      </c>
      <c r="D127" s="22" t="s">
        <v>181</v>
      </c>
      <c r="E127" s="22" t="s">
        <v>256</v>
      </c>
      <c r="F127" s="23" t="str">
        <f>HYPERLINK("https://www.toonippo.co.jp/articles/-/201247","URLを開く")</f>
        <v>URLを開く</v>
      </c>
      <c r="G127" s="24">
        <v>12289.0</v>
      </c>
      <c r="H127" s="25" t="s">
        <v>23</v>
      </c>
      <c r="I127" s="26" t="s">
        <v>24</v>
      </c>
      <c r="J127" s="26" t="s">
        <v>24</v>
      </c>
      <c r="K127" s="26" t="s">
        <v>24</v>
      </c>
      <c r="L127" s="26" t="s">
        <v>24</v>
      </c>
      <c r="M127" s="26" t="s">
        <v>24</v>
      </c>
    </row>
    <row r="128" ht="13.5" customHeight="1">
      <c r="A128" s="21" t="s">
        <v>178</v>
      </c>
      <c r="B128" s="21" t="s">
        <v>234</v>
      </c>
      <c r="C128" s="22" t="s">
        <v>70</v>
      </c>
      <c r="D128" s="22" t="s">
        <v>181</v>
      </c>
      <c r="E128" s="22" t="s">
        <v>257</v>
      </c>
      <c r="F128" s="23" t="str">
        <f>HYPERLINK("https://woman.excite.co.jp/article/lifestyle/rid_OriconStyle_2136898/","URLを開く")</f>
        <v>URLを開く</v>
      </c>
      <c r="G128" s="24">
        <v>134867.0</v>
      </c>
      <c r="H128" s="25" t="s">
        <v>23</v>
      </c>
      <c r="I128" s="26" t="s">
        <v>24</v>
      </c>
      <c r="J128" s="26" t="s">
        <v>24</v>
      </c>
      <c r="K128" s="26" t="s">
        <v>24</v>
      </c>
      <c r="L128" s="26" t="s">
        <v>24</v>
      </c>
      <c r="M128" s="26" t="s">
        <v>24</v>
      </c>
    </row>
    <row r="129" ht="13.5" customHeight="1">
      <c r="A129" s="21" t="s">
        <v>178</v>
      </c>
      <c r="B129" s="21" t="s">
        <v>234</v>
      </c>
      <c r="C129" s="22" t="s">
        <v>72</v>
      </c>
      <c r="D129" s="22" t="s">
        <v>181</v>
      </c>
      <c r="E129" s="22" t="s">
        <v>258</v>
      </c>
      <c r="F129" s="23" t="str">
        <f>HYPERLINK("https://headlines.yahoo.co.jp/hl?a=20190605-00000371-oric-ent","URLを開く")</f>
        <v>URLを開く</v>
      </c>
      <c r="G129" s="24">
        <v>428281.0</v>
      </c>
      <c r="H129" s="25" t="s">
        <v>23</v>
      </c>
      <c r="I129" s="26" t="s">
        <v>24</v>
      </c>
      <c r="J129" s="26" t="s">
        <v>24</v>
      </c>
      <c r="K129" s="26" t="s">
        <v>24</v>
      </c>
      <c r="L129" s="26" t="s">
        <v>24</v>
      </c>
      <c r="M129" s="26" t="s">
        <v>24</v>
      </c>
    </row>
    <row r="130" ht="13.5" customHeight="1">
      <c r="A130" s="21" t="s">
        <v>178</v>
      </c>
      <c r="B130" s="21" t="s">
        <v>234</v>
      </c>
      <c r="C130" s="22" t="s">
        <v>74</v>
      </c>
      <c r="D130" s="22" t="s">
        <v>181</v>
      </c>
      <c r="E130" s="22" t="s">
        <v>259</v>
      </c>
      <c r="F130" s="23" t="str">
        <f>HYPERLINK("https://music.oricon.co.jp/php/news/NewsInfo.php?news=2136898","URLを開く")</f>
        <v>URLを開く</v>
      </c>
      <c r="G130" s="24">
        <v>68251.0</v>
      </c>
      <c r="H130" s="25" t="s">
        <v>23</v>
      </c>
      <c r="I130" s="26" t="s">
        <v>24</v>
      </c>
      <c r="J130" s="26" t="s">
        <v>24</v>
      </c>
      <c r="K130" s="26" t="s">
        <v>24</v>
      </c>
      <c r="L130" s="26" t="s">
        <v>24</v>
      </c>
      <c r="M130" s="26" t="s">
        <v>24</v>
      </c>
    </row>
    <row r="131" ht="13.5" customHeight="1">
      <c r="A131" s="21" t="s">
        <v>178</v>
      </c>
      <c r="B131" s="21" t="s">
        <v>234</v>
      </c>
      <c r="C131" s="22" t="s">
        <v>78</v>
      </c>
      <c r="D131" s="22" t="s">
        <v>181</v>
      </c>
      <c r="E131" s="22" t="s">
        <v>260</v>
      </c>
      <c r="F131" s="23" t="str">
        <f>HYPERLINK("https://www.oita-press.co.jp/1009000000/2019/06/05/ORI2136898","URLを開く")</f>
        <v>URLを開く</v>
      </c>
      <c r="G131" s="24">
        <v>13246.0</v>
      </c>
      <c r="H131" s="25" t="s">
        <v>23</v>
      </c>
      <c r="I131" s="26" t="s">
        <v>24</v>
      </c>
      <c r="J131" s="26" t="s">
        <v>24</v>
      </c>
      <c r="K131" s="26" t="s">
        <v>24</v>
      </c>
      <c r="L131" s="26" t="s">
        <v>24</v>
      </c>
      <c r="M131" s="26" t="s">
        <v>24</v>
      </c>
    </row>
    <row r="132" ht="13.5" customHeight="1">
      <c r="A132" s="21" t="s">
        <v>178</v>
      </c>
      <c r="B132" s="21" t="s">
        <v>234</v>
      </c>
      <c r="C132" s="22" t="s">
        <v>261</v>
      </c>
      <c r="D132" s="22" t="s">
        <v>181</v>
      </c>
      <c r="E132" s="22" t="s">
        <v>262</v>
      </c>
      <c r="F132" s="23" t="str">
        <f>HYPERLINK("https://www.sanyonews.jp/article/905713","URLを開く")</f>
        <v>URLを開く</v>
      </c>
      <c r="G132" s="24">
        <v>15040.0</v>
      </c>
      <c r="H132" s="25" t="s">
        <v>23</v>
      </c>
      <c r="I132" s="26" t="s">
        <v>24</v>
      </c>
      <c r="J132" s="26" t="s">
        <v>24</v>
      </c>
      <c r="K132" s="26" t="s">
        <v>24</v>
      </c>
      <c r="L132" s="26" t="s">
        <v>24</v>
      </c>
      <c r="M132" s="26" t="s">
        <v>24</v>
      </c>
    </row>
    <row r="133" ht="13.5" customHeight="1">
      <c r="A133" s="21" t="s">
        <v>178</v>
      </c>
      <c r="B133" s="21" t="s">
        <v>234</v>
      </c>
      <c r="C133" s="22" t="s">
        <v>80</v>
      </c>
      <c r="D133" s="22" t="s">
        <v>181</v>
      </c>
      <c r="E133" s="22" t="s">
        <v>263</v>
      </c>
      <c r="F133" s="23" t="str">
        <f>HYPERLINK("https://www.iwate-np.co.jp/article/oricon/2136898","URLを開く")</f>
        <v>URLを開く</v>
      </c>
      <c r="G133" s="24">
        <v>12940.0</v>
      </c>
      <c r="H133" s="25" t="s">
        <v>23</v>
      </c>
      <c r="I133" s="26" t="s">
        <v>24</v>
      </c>
      <c r="J133" s="26" t="s">
        <v>24</v>
      </c>
      <c r="K133" s="26" t="s">
        <v>24</v>
      </c>
      <c r="L133" s="26" t="s">
        <v>24</v>
      </c>
      <c r="M133" s="26" t="s">
        <v>24</v>
      </c>
    </row>
    <row r="134" ht="13.5" customHeight="1">
      <c r="A134" s="21" t="s">
        <v>178</v>
      </c>
      <c r="B134" s="21" t="s">
        <v>234</v>
      </c>
      <c r="C134" s="22" t="s">
        <v>82</v>
      </c>
      <c r="D134" s="22" t="s">
        <v>181</v>
      </c>
      <c r="E134" s="22" t="s">
        <v>264</v>
      </c>
      <c r="F134" s="23" t="str">
        <f>HYPERLINK("https://www.topics.or.jp/articles/-/211932","URLを開く")</f>
        <v>URLを開く</v>
      </c>
      <c r="G134" s="24">
        <v>12819.0</v>
      </c>
      <c r="H134" s="25" t="s">
        <v>23</v>
      </c>
      <c r="I134" s="26" t="s">
        <v>24</v>
      </c>
      <c r="J134" s="26" t="s">
        <v>24</v>
      </c>
      <c r="K134" s="26" t="s">
        <v>24</v>
      </c>
      <c r="L134" s="26" t="s">
        <v>24</v>
      </c>
      <c r="M134" s="26" t="s">
        <v>24</v>
      </c>
    </row>
    <row r="135" ht="13.5" customHeight="1">
      <c r="A135" s="21" t="s">
        <v>178</v>
      </c>
      <c r="B135" s="21" t="s">
        <v>234</v>
      </c>
      <c r="C135" s="22" t="s">
        <v>84</v>
      </c>
      <c r="D135" s="22" t="s">
        <v>181</v>
      </c>
      <c r="E135" s="22" t="s">
        <v>265</v>
      </c>
      <c r="F135" s="23" t="str">
        <f>HYPERLINK("https://woman.infoseek.co.jp/news/entertainment/oricon_2136898","URLを開く")</f>
        <v>URLを開く</v>
      </c>
      <c r="G135" s="24">
        <v>152385.0</v>
      </c>
      <c r="H135" s="25" t="s">
        <v>23</v>
      </c>
      <c r="I135" s="26" t="s">
        <v>24</v>
      </c>
      <c r="J135" s="26" t="s">
        <v>24</v>
      </c>
      <c r="K135" s="26" t="s">
        <v>24</v>
      </c>
      <c r="L135" s="26" t="s">
        <v>24</v>
      </c>
      <c r="M135" s="26" t="s">
        <v>24</v>
      </c>
    </row>
    <row r="136" ht="13.5" customHeight="1">
      <c r="A136" s="21" t="s">
        <v>178</v>
      </c>
      <c r="B136" s="21" t="s">
        <v>234</v>
      </c>
      <c r="C136" s="22" t="s">
        <v>86</v>
      </c>
      <c r="D136" s="22" t="s">
        <v>181</v>
      </c>
      <c r="E136" s="22" t="s">
        <v>266</v>
      </c>
      <c r="F136" s="23" t="str">
        <f>HYPERLINK("https://mainichi.jp/articles/20190605/orc/00m/200/058000c","URLを開く")</f>
        <v>URLを開く</v>
      </c>
      <c r="G136" s="24">
        <v>295512.0</v>
      </c>
      <c r="H136" s="25" t="s">
        <v>23</v>
      </c>
      <c r="I136" s="26" t="s">
        <v>24</v>
      </c>
      <c r="J136" s="26" t="s">
        <v>24</v>
      </c>
      <c r="K136" s="26" t="s">
        <v>24</v>
      </c>
      <c r="L136" s="26" t="s">
        <v>24</v>
      </c>
      <c r="M136" s="26" t="s">
        <v>24</v>
      </c>
    </row>
    <row r="137" ht="13.5" customHeight="1">
      <c r="A137" s="21" t="s">
        <v>178</v>
      </c>
      <c r="B137" s="21" t="s">
        <v>234</v>
      </c>
      <c r="C137" s="22" t="s">
        <v>88</v>
      </c>
      <c r="D137" s="22" t="s">
        <v>181</v>
      </c>
      <c r="E137" s="22" t="s">
        <v>267</v>
      </c>
      <c r="F137" s="23" t="str">
        <f>HYPERLINK("https://www.okinawatimes.co.jp/articles/-/429056","URLを開く")</f>
        <v>URLを開く</v>
      </c>
      <c r="G137" s="24">
        <v>50769.0</v>
      </c>
      <c r="H137" s="25" t="s">
        <v>23</v>
      </c>
      <c r="I137" s="26" t="s">
        <v>24</v>
      </c>
      <c r="J137" s="26" t="s">
        <v>24</v>
      </c>
      <c r="K137" s="26" t="s">
        <v>24</v>
      </c>
      <c r="L137" s="26" t="s">
        <v>24</v>
      </c>
      <c r="M137" s="26" t="s">
        <v>24</v>
      </c>
    </row>
    <row r="138" ht="13.5" customHeight="1">
      <c r="A138" s="21" t="s">
        <v>178</v>
      </c>
      <c r="B138" s="21" t="s">
        <v>234</v>
      </c>
      <c r="C138" s="22" t="s">
        <v>90</v>
      </c>
      <c r="D138" s="22" t="s">
        <v>181</v>
      </c>
      <c r="E138" s="22" t="s">
        <v>268</v>
      </c>
      <c r="F138" s="23" t="str">
        <f>HYPERLINK("https://www.sakigake.jp/news/article/20190605OR0058/?nv=ent","URLを開く")</f>
        <v>URLを開く</v>
      </c>
      <c r="G138" s="24">
        <v>12699.0</v>
      </c>
      <c r="H138" s="25" t="s">
        <v>23</v>
      </c>
      <c r="I138" s="26" t="s">
        <v>24</v>
      </c>
      <c r="J138" s="26" t="s">
        <v>24</v>
      </c>
      <c r="K138" s="26" t="s">
        <v>24</v>
      </c>
      <c r="L138" s="26" t="s">
        <v>24</v>
      </c>
      <c r="M138" s="26" t="s">
        <v>24</v>
      </c>
    </row>
    <row r="139" ht="13.5" customHeight="1">
      <c r="A139" s="21" t="s">
        <v>178</v>
      </c>
      <c r="B139" s="21" t="s">
        <v>234</v>
      </c>
      <c r="C139" s="22" t="s">
        <v>90</v>
      </c>
      <c r="D139" s="22" t="s">
        <v>181</v>
      </c>
      <c r="E139" s="22" t="s">
        <v>269</v>
      </c>
      <c r="F139" s="23" t="str">
        <f>HYPERLINK("https://www.sakigake.jp/news/article/20190605OR0058/?nv=oricon","URLを開く")</f>
        <v>URLを開く</v>
      </c>
      <c r="G139" s="24">
        <v>12699.0</v>
      </c>
      <c r="H139" s="25" t="s">
        <v>23</v>
      </c>
      <c r="I139" s="26" t="s">
        <v>24</v>
      </c>
      <c r="J139" s="26" t="s">
        <v>24</v>
      </c>
      <c r="K139" s="26" t="s">
        <v>24</v>
      </c>
      <c r="L139" s="26" t="s">
        <v>24</v>
      </c>
      <c r="M139" s="26" t="s">
        <v>24</v>
      </c>
    </row>
    <row r="140" ht="13.5" customHeight="1">
      <c r="A140" s="21" t="s">
        <v>178</v>
      </c>
      <c r="B140" s="21" t="s">
        <v>234</v>
      </c>
      <c r="C140" s="22" t="s">
        <v>93</v>
      </c>
      <c r="D140" s="22" t="s">
        <v>270</v>
      </c>
      <c r="E140" s="22" t="s">
        <v>271</v>
      </c>
      <c r="F140" s="23" t="str">
        <f>HYPERLINK("https://cont.t-com.ne.jp/entame/306213_1.html","URLを開く")</f>
        <v>URLを開く</v>
      </c>
      <c r="G140" s="24">
        <v>10280.0</v>
      </c>
      <c r="H140" s="25" t="s">
        <v>23</v>
      </c>
      <c r="I140" s="26" t="s">
        <v>24</v>
      </c>
      <c r="J140" s="26" t="s">
        <v>24</v>
      </c>
      <c r="K140" s="26" t="s">
        <v>24</v>
      </c>
      <c r="L140" s="26" t="s">
        <v>24</v>
      </c>
      <c r="M140" s="26" t="s">
        <v>24</v>
      </c>
    </row>
    <row r="141" ht="13.5" customHeight="1">
      <c r="A141" s="21" t="s">
        <v>178</v>
      </c>
      <c r="B141" s="21" t="s">
        <v>234</v>
      </c>
      <c r="C141" s="22" t="s">
        <v>96</v>
      </c>
      <c r="D141" s="22" t="s">
        <v>272</v>
      </c>
      <c r="E141" s="22" t="s">
        <v>273</v>
      </c>
      <c r="F141" s="23" t="str">
        <f>HYPERLINK("http://topics.smt.docomo.ne.jp/article/oricon/entertainment/oricon-2136898?fm=latestnews","URLを開く")</f>
        <v>URLを開く</v>
      </c>
      <c r="G141" s="24">
        <v>46433.0</v>
      </c>
      <c r="H141" s="25" t="s">
        <v>23</v>
      </c>
      <c r="I141" s="26" t="s">
        <v>24</v>
      </c>
      <c r="J141" s="26" t="s">
        <v>24</v>
      </c>
      <c r="K141" s="26" t="s">
        <v>24</v>
      </c>
      <c r="L141" s="26" t="s">
        <v>24</v>
      </c>
      <c r="M141" s="26" t="s">
        <v>24</v>
      </c>
    </row>
    <row r="142" ht="13.5" customHeight="1">
      <c r="A142" s="21" t="s">
        <v>178</v>
      </c>
      <c r="B142" s="21" t="s">
        <v>234</v>
      </c>
      <c r="C142" s="22" t="s">
        <v>190</v>
      </c>
      <c r="D142" s="22" t="s">
        <v>274</v>
      </c>
      <c r="E142" s="22" t="s">
        <v>275</v>
      </c>
      <c r="F142" s="23" t="str">
        <f>HYPERLINK("https://www.hokkaido-np.co.jp/article/312309?rct=oricon_news","URLを開く")</f>
        <v>URLを開く</v>
      </c>
      <c r="G142" s="24">
        <v>105145.0</v>
      </c>
      <c r="H142" s="25" t="s">
        <v>23</v>
      </c>
      <c r="I142" s="26" t="s">
        <v>24</v>
      </c>
      <c r="J142" s="26" t="s">
        <v>24</v>
      </c>
      <c r="K142" s="26" t="s">
        <v>24</v>
      </c>
      <c r="L142" s="26" t="s">
        <v>24</v>
      </c>
      <c r="M142" s="26" t="s">
        <v>24</v>
      </c>
    </row>
    <row r="143" ht="13.5" customHeight="1">
      <c r="A143" s="21" t="s">
        <v>178</v>
      </c>
      <c r="B143" s="21" t="s">
        <v>234</v>
      </c>
      <c r="C143" s="22" t="s">
        <v>102</v>
      </c>
      <c r="D143" s="22" t="s">
        <v>276</v>
      </c>
      <c r="E143" s="22" t="s">
        <v>277</v>
      </c>
      <c r="F143" s="23" t="str">
        <f>HYPERLINK("https://www.jomo-news.co.jp/life/oricon/136651","URLを開く")</f>
        <v>URLを開く</v>
      </c>
      <c r="G143" s="24">
        <v>12760.0</v>
      </c>
      <c r="H143" s="25" t="s">
        <v>23</v>
      </c>
      <c r="I143" s="26" t="s">
        <v>24</v>
      </c>
      <c r="J143" s="26" t="s">
        <v>24</v>
      </c>
      <c r="K143" s="26" t="s">
        <v>24</v>
      </c>
      <c r="L143" s="26" t="s">
        <v>24</v>
      </c>
      <c r="M143" s="26" t="s">
        <v>24</v>
      </c>
    </row>
    <row r="144" ht="13.5" customHeight="1">
      <c r="A144" s="21" t="s">
        <v>178</v>
      </c>
      <c r="B144" s="21" t="s">
        <v>234</v>
      </c>
      <c r="C144" s="22" t="s">
        <v>105</v>
      </c>
      <c r="D144" s="22" t="s">
        <v>278</v>
      </c>
      <c r="E144" s="22" t="s">
        <v>279</v>
      </c>
      <c r="F144" s="23" t="str">
        <f>HYPERLINK("https://news.ameba.jp/entry/20190605-667/","URLを開く")</f>
        <v>URLを開く</v>
      </c>
      <c r="G144" s="24">
        <v>164280.0</v>
      </c>
      <c r="H144" s="25" t="s">
        <v>23</v>
      </c>
      <c r="I144" s="26" t="s">
        <v>24</v>
      </c>
      <c r="J144" s="26" t="s">
        <v>24</v>
      </c>
      <c r="K144" s="26" t="s">
        <v>24</v>
      </c>
      <c r="L144" s="26" t="s">
        <v>24</v>
      </c>
      <c r="M144" s="26" t="s">
        <v>24</v>
      </c>
    </row>
    <row r="145" ht="13.5" customHeight="1">
      <c r="A145" s="21" t="s">
        <v>178</v>
      </c>
      <c r="B145" s="21" t="s">
        <v>234</v>
      </c>
      <c r="C145" s="22" t="s">
        <v>52</v>
      </c>
      <c r="D145" s="22" t="s">
        <v>212</v>
      </c>
      <c r="E145" s="22" t="s">
        <v>280</v>
      </c>
      <c r="F145" s="23" t="str">
        <f>HYPERLINK("https://news.goo.ne.jp/article/minkei/region/minkei-roppongi4256.html","URLを開く")</f>
        <v>URLを開く</v>
      </c>
      <c r="G145" s="24">
        <v>133606.0</v>
      </c>
      <c r="H145" s="25" t="s">
        <v>23</v>
      </c>
      <c r="I145" s="26" t="s">
        <v>24</v>
      </c>
      <c r="J145" s="26" t="s">
        <v>24</v>
      </c>
      <c r="K145" s="26" t="s">
        <v>24</v>
      </c>
      <c r="L145" s="26" t="s">
        <v>24</v>
      </c>
      <c r="M145" s="26" t="s">
        <v>24</v>
      </c>
    </row>
    <row r="146" ht="13.5" customHeight="1">
      <c r="A146" s="21" t="s">
        <v>178</v>
      </c>
      <c r="B146" s="21" t="s">
        <v>234</v>
      </c>
      <c r="C146" s="22" t="s">
        <v>281</v>
      </c>
      <c r="D146" s="22" t="s">
        <v>212</v>
      </c>
      <c r="E146" s="22" t="s">
        <v>282</v>
      </c>
      <c r="F146" s="23" t="str">
        <f>HYPERLINK("https://roppongi.keizai.biz/headline/4256/","URLを開く")</f>
        <v>URLを開く</v>
      </c>
      <c r="G146" s="24">
        <v>35630.0</v>
      </c>
      <c r="H146" s="25" t="s">
        <v>23</v>
      </c>
      <c r="I146" s="26" t="s">
        <v>24</v>
      </c>
      <c r="J146" s="26" t="s">
        <v>24</v>
      </c>
      <c r="K146" s="26" t="s">
        <v>24</v>
      </c>
      <c r="L146" s="26" t="s">
        <v>24</v>
      </c>
      <c r="M146" s="26" t="s">
        <v>24</v>
      </c>
    </row>
    <row r="147" ht="13.5" customHeight="1">
      <c r="A147" s="21" t="s">
        <v>178</v>
      </c>
      <c r="B147" s="21" t="s">
        <v>234</v>
      </c>
      <c r="C147" s="22" t="s">
        <v>283</v>
      </c>
      <c r="D147" s="22" t="s">
        <v>212</v>
      </c>
      <c r="E147" s="22" t="s">
        <v>284</v>
      </c>
      <c r="F147" s="23" t="str">
        <f>HYPERLINK("https://www.goo.ne.jp/green/column/minkei_roppongi4256.html","URLを開く")</f>
        <v>URLを開く</v>
      </c>
      <c r="G147" s="24">
        <v>255144.0</v>
      </c>
      <c r="H147" s="25" t="s">
        <v>23</v>
      </c>
      <c r="I147" s="26" t="s">
        <v>24</v>
      </c>
      <c r="J147" s="26" t="s">
        <v>24</v>
      </c>
      <c r="K147" s="26" t="s">
        <v>24</v>
      </c>
      <c r="L147" s="26" t="s">
        <v>24</v>
      </c>
      <c r="M147" s="26" t="s">
        <v>24</v>
      </c>
    </row>
    <row r="148" ht="13.5" customHeight="1">
      <c r="A148" s="21" t="s">
        <v>178</v>
      </c>
      <c r="B148" s="21" t="s">
        <v>234</v>
      </c>
      <c r="C148" s="22" t="s">
        <v>72</v>
      </c>
      <c r="D148" s="22" t="s">
        <v>285</v>
      </c>
      <c r="E148" s="22" t="s">
        <v>286</v>
      </c>
      <c r="F148" s="23" t="str">
        <f>HYPERLINK("https://headlines.yahoo.co.jp/hl?a=20190605-00000035-minkei-l13","URLを開く")</f>
        <v>URLを開く</v>
      </c>
      <c r="G148" s="24">
        <v>428281.0</v>
      </c>
      <c r="H148" s="25" t="s">
        <v>23</v>
      </c>
      <c r="I148" s="26" t="s">
        <v>24</v>
      </c>
      <c r="J148" s="26" t="s">
        <v>24</v>
      </c>
      <c r="K148" s="26" t="s">
        <v>24</v>
      </c>
      <c r="L148" s="26" t="s">
        <v>24</v>
      </c>
      <c r="M148" s="26" t="s">
        <v>24</v>
      </c>
    </row>
    <row r="149" ht="13.5" customHeight="1">
      <c r="A149" s="21" t="s">
        <v>178</v>
      </c>
      <c r="B149" s="21" t="s">
        <v>234</v>
      </c>
      <c r="C149" s="22" t="s">
        <v>96</v>
      </c>
      <c r="D149" s="22" t="s">
        <v>287</v>
      </c>
      <c r="E149" s="22" t="s">
        <v>288</v>
      </c>
      <c r="F149" s="23" t="str">
        <f>HYPERLINK("http://topics.smt.docomo.ne.jp/article/minkei/region/minkei-roppongi4256?fm=latestnews","URLを開く")</f>
        <v>URLを開く</v>
      </c>
      <c r="G149" s="24">
        <v>46433.0</v>
      </c>
      <c r="H149" s="25" t="s">
        <v>23</v>
      </c>
      <c r="I149" s="26" t="s">
        <v>24</v>
      </c>
      <c r="J149" s="26" t="s">
        <v>24</v>
      </c>
      <c r="K149" s="26" t="s">
        <v>24</v>
      </c>
      <c r="L149" s="26" t="s">
        <v>24</v>
      </c>
      <c r="M149" s="26" t="s">
        <v>24</v>
      </c>
    </row>
    <row r="150" ht="13.5" customHeight="1">
      <c r="A150" s="21" t="s">
        <v>178</v>
      </c>
      <c r="B150" s="21" t="s">
        <v>234</v>
      </c>
      <c r="C150" s="22" t="s">
        <v>281</v>
      </c>
      <c r="D150" s="22" t="s">
        <v>289</v>
      </c>
      <c r="E150" s="22" t="s">
        <v>290</v>
      </c>
      <c r="F150" s="23" t="str">
        <f>HYPERLINK("https://roppongi.keizai.biz/photoflash/2238/","URLを開く")</f>
        <v>URLを開く</v>
      </c>
      <c r="G150" s="24">
        <v>35630.0</v>
      </c>
      <c r="H150" s="25" t="s">
        <v>23</v>
      </c>
      <c r="I150" s="26" t="s">
        <v>24</v>
      </c>
      <c r="J150" s="26" t="s">
        <v>24</v>
      </c>
      <c r="K150" s="26" t="s">
        <v>24</v>
      </c>
      <c r="L150" s="26" t="s">
        <v>24</v>
      </c>
      <c r="M150" s="26" t="s">
        <v>24</v>
      </c>
    </row>
    <row r="151" ht="13.5" customHeight="1">
      <c r="A151" s="21" t="s">
        <v>214</v>
      </c>
      <c r="B151" s="21" t="s">
        <v>178</v>
      </c>
      <c r="C151" s="22" t="s">
        <v>291</v>
      </c>
      <c r="D151" s="22" t="s">
        <v>292</v>
      </c>
      <c r="E151" s="22" t="s">
        <v>293</v>
      </c>
      <c r="F151" s="23" t="str">
        <f>HYPERLINK("https://news.utamap.com/anime/222054/","URLを開く")</f>
        <v>URLを開く</v>
      </c>
      <c r="G151" s="24">
        <v>30283.0</v>
      </c>
      <c r="H151" s="25" t="s">
        <v>23</v>
      </c>
      <c r="I151" s="26" t="s">
        <v>24</v>
      </c>
      <c r="J151" s="26" t="s">
        <v>24</v>
      </c>
      <c r="K151" s="26" t="s">
        <v>24</v>
      </c>
      <c r="L151" s="26" t="s">
        <v>24</v>
      </c>
      <c r="M151" s="26" t="s">
        <v>24</v>
      </c>
    </row>
    <row r="152" ht="13.5" customHeight="1">
      <c r="A152" s="21" t="s">
        <v>214</v>
      </c>
      <c r="B152" s="21" t="s">
        <v>178</v>
      </c>
      <c r="C152" s="22" t="s">
        <v>294</v>
      </c>
      <c r="D152" s="22" t="s">
        <v>295</v>
      </c>
      <c r="E152" s="22" t="s">
        <v>296</v>
      </c>
      <c r="F152" s="23" t="str">
        <f>HYPERLINK("https://www.mapion.co.jp/news/release/ap185239-all/","URLを開く")</f>
        <v>URLを開く</v>
      </c>
      <c r="G152" s="24">
        <v>10233.0</v>
      </c>
      <c r="H152" s="25" t="s">
        <v>23</v>
      </c>
      <c r="I152" s="26" t="s">
        <v>24</v>
      </c>
      <c r="J152" s="26" t="s">
        <v>24</v>
      </c>
      <c r="K152" s="26" t="s">
        <v>24</v>
      </c>
      <c r="L152" s="26" t="s">
        <v>24</v>
      </c>
      <c r="M152" s="26" t="s">
        <v>24</v>
      </c>
    </row>
    <row r="153" ht="13.5" customHeight="1">
      <c r="A153" s="21" t="s">
        <v>214</v>
      </c>
      <c r="B153" s="21" t="s">
        <v>178</v>
      </c>
      <c r="C153" s="22" t="s">
        <v>44</v>
      </c>
      <c r="D153" s="22" t="s">
        <v>218</v>
      </c>
      <c r="E153" s="22" t="s">
        <v>297</v>
      </c>
      <c r="F153" s="23" t="str">
        <f>HYPERLINK("https://news.biglobe.ne.jp/trend/0604/kpa_190604_7244547456.html","URLを開く")</f>
        <v>URLを開く</v>
      </c>
      <c r="G153" s="24">
        <v>189139.0</v>
      </c>
      <c r="H153" s="25" t="s">
        <v>23</v>
      </c>
      <c r="I153" s="26" t="s">
        <v>24</v>
      </c>
      <c r="J153" s="26" t="s">
        <v>24</v>
      </c>
      <c r="K153" s="26" t="s">
        <v>24</v>
      </c>
      <c r="L153" s="26" t="s">
        <v>24</v>
      </c>
      <c r="M153" s="26" t="s">
        <v>24</v>
      </c>
    </row>
    <row r="154" ht="13.5" customHeight="1">
      <c r="A154" s="21" t="s">
        <v>214</v>
      </c>
      <c r="B154" s="21" t="s">
        <v>178</v>
      </c>
      <c r="C154" s="22" t="s">
        <v>108</v>
      </c>
      <c r="D154" s="22" t="s">
        <v>218</v>
      </c>
      <c r="E154" s="22" t="s">
        <v>298</v>
      </c>
      <c r="F154" s="23" t="str">
        <f>HYPERLINK("https://www.excite.co.jp/news/article/Karapaia_52275074/","URLを開く")</f>
        <v>URLを開く</v>
      </c>
      <c r="G154" s="24">
        <v>175446.0</v>
      </c>
      <c r="H154" s="25" t="s">
        <v>23</v>
      </c>
      <c r="I154" s="26" t="s">
        <v>24</v>
      </c>
      <c r="J154" s="26" t="s">
        <v>24</v>
      </c>
      <c r="K154" s="26" t="s">
        <v>24</v>
      </c>
      <c r="L154" s="26" t="s">
        <v>24</v>
      </c>
      <c r="M154" s="26" t="s">
        <v>24</v>
      </c>
    </row>
    <row r="155" ht="13.5" customHeight="1">
      <c r="A155" s="21" t="s">
        <v>214</v>
      </c>
      <c r="B155" s="21" t="s">
        <v>178</v>
      </c>
      <c r="C155" s="22" t="s">
        <v>299</v>
      </c>
      <c r="D155" s="22" t="s">
        <v>218</v>
      </c>
      <c r="E155" s="22" t="s">
        <v>300</v>
      </c>
      <c r="F155" s="23" t="str">
        <f>HYPERLINK("https://jcnews.tokyo/article/1443977/2","URLを開く")</f>
        <v>URLを開く</v>
      </c>
      <c r="G155" s="24">
        <v>8721.0</v>
      </c>
      <c r="H155" s="25" t="s">
        <v>23</v>
      </c>
      <c r="I155" s="26" t="s">
        <v>24</v>
      </c>
      <c r="J155" s="26" t="s">
        <v>24</v>
      </c>
      <c r="K155" s="26" t="s">
        <v>24</v>
      </c>
      <c r="L155" s="26" t="s">
        <v>24</v>
      </c>
      <c r="M155" s="26" t="s">
        <v>24</v>
      </c>
    </row>
    <row r="156" ht="13.5" customHeight="1">
      <c r="A156" s="21" t="s">
        <v>214</v>
      </c>
      <c r="B156" s="21" t="s">
        <v>178</v>
      </c>
      <c r="C156" s="22" t="s">
        <v>299</v>
      </c>
      <c r="D156" s="22" t="s">
        <v>218</v>
      </c>
      <c r="E156" s="22" t="s">
        <v>301</v>
      </c>
      <c r="F156" s="23" t="str">
        <f>HYPERLINK("https://jcnews.tokyo/article/1443977/52","URLを開く")</f>
        <v>URLを開く</v>
      </c>
      <c r="G156" s="24">
        <v>8721.0</v>
      </c>
      <c r="H156" s="25" t="s">
        <v>23</v>
      </c>
      <c r="I156" s="26" t="s">
        <v>24</v>
      </c>
      <c r="J156" s="26" t="s">
        <v>24</v>
      </c>
      <c r="K156" s="26" t="s">
        <v>24</v>
      </c>
      <c r="L156" s="26" t="s">
        <v>24</v>
      </c>
      <c r="M156" s="26" t="s">
        <v>24</v>
      </c>
    </row>
    <row r="157" ht="13.5" customHeight="1">
      <c r="A157" s="21" t="s">
        <v>214</v>
      </c>
      <c r="B157" s="21" t="s">
        <v>178</v>
      </c>
      <c r="C157" s="22" t="s">
        <v>302</v>
      </c>
      <c r="D157" s="22" t="s">
        <v>303</v>
      </c>
      <c r="E157" s="22" t="s">
        <v>304</v>
      </c>
      <c r="F157" s="23" t="str">
        <f>HYPERLINK("http://karapaia.com/archives/52275074.html","URLを開く")</f>
        <v>URLを開く</v>
      </c>
      <c r="G157" s="24">
        <v>213433.0</v>
      </c>
      <c r="H157" s="25" t="s">
        <v>23</v>
      </c>
      <c r="I157" s="26" t="s">
        <v>24</v>
      </c>
      <c r="J157" s="26" t="s">
        <v>24</v>
      </c>
      <c r="K157" s="26" t="s">
        <v>24</v>
      </c>
      <c r="L157" s="26" t="s">
        <v>24</v>
      </c>
      <c r="M157" s="26" t="s">
        <v>24</v>
      </c>
    </row>
    <row r="158" ht="13.5" customHeight="1">
      <c r="A158" s="21" t="s">
        <v>214</v>
      </c>
      <c r="B158" s="21" t="s">
        <v>178</v>
      </c>
      <c r="C158" s="22" t="s">
        <v>305</v>
      </c>
      <c r="D158" s="22" t="s">
        <v>306</v>
      </c>
      <c r="E158" s="22" t="s">
        <v>307</v>
      </c>
      <c r="F158" s="23" t="str">
        <f>HYPERLINK("http://dailynewsonline.jp/article/1858584/","URLを開く")</f>
        <v>URLを開く</v>
      </c>
      <c r="G158" s="24">
        <v>12760.0</v>
      </c>
      <c r="H158" s="25" t="s">
        <v>23</v>
      </c>
      <c r="I158" s="26" t="s">
        <v>24</v>
      </c>
      <c r="J158" s="26" t="s">
        <v>24</v>
      </c>
      <c r="K158" s="26" t="s">
        <v>24</v>
      </c>
      <c r="L158" s="26" t="s">
        <v>24</v>
      </c>
      <c r="M158" s="26" t="s">
        <v>24</v>
      </c>
    </row>
    <row r="159" ht="13.5" customHeight="1">
      <c r="A159" s="21" t="s">
        <v>18</v>
      </c>
      <c r="B159" s="21" t="s">
        <v>214</v>
      </c>
      <c r="C159" s="22" t="s">
        <v>308</v>
      </c>
      <c r="D159" s="22" t="s">
        <v>222</v>
      </c>
      <c r="E159" s="22" t="s">
        <v>309</v>
      </c>
      <c r="F159" s="23" t="str">
        <f>HYPERLINK("https://numan.tokyo/news/Ivca7","URLを開く")</f>
        <v>URLを開く</v>
      </c>
      <c r="G159" s="24">
        <v>11240.0</v>
      </c>
      <c r="H159" s="25" t="s">
        <v>23</v>
      </c>
      <c r="I159" s="26" t="s">
        <v>24</v>
      </c>
      <c r="J159" s="26" t="s">
        <v>24</v>
      </c>
      <c r="K159" s="26" t="s">
        <v>24</v>
      </c>
      <c r="L159" s="26" t="s">
        <v>24</v>
      </c>
      <c r="M159" s="26" t="s">
        <v>24</v>
      </c>
    </row>
    <row r="160" ht="13.5" customHeight="1">
      <c r="A160" s="21" t="s">
        <v>18</v>
      </c>
      <c r="B160" s="21" t="s">
        <v>214</v>
      </c>
      <c r="C160" s="22" t="s">
        <v>138</v>
      </c>
      <c r="D160" s="22" t="s">
        <v>310</v>
      </c>
      <c r="E160" s="22" t="s">
        <v>311</v>
      </c>
      <c r="F160" s="23" t="str">
        <f>HYPERLINK("https://news.nicovideo.jp/watch/nw5409345","URLを開く")</f>
        <v>URLを開く</v>
      </c>
      <c r="G160" s="24">
        <v>292748.0</v>
      </c>
      <c r="H160" s="25" t="s">
        <v>23</v>
      </c>
      <c r="I160" s="26" t="s">
        <v>24</v>
      </c>
      <c r="J160" s="26" t="s">
        <v>24</v>
      </c>
      <c r="K160" s="26" t="s">
        <v>24</v>
      </c>
      <c r="L160" s="26" t="s">
        <v>24</v>
      </c>
      <c r="M160" s="26" t="s">
        <v>24</v>
      </c>
    </row>
    <row r="161" ht="13.5" customHeight="1">
      <c r="A161" s="21" t="s">
        <v>18</v>
      </c>
      <c r="B161" s="21" t="s">
        <v>214</v>
      </c>
      <c r="C161" s="22" t="s">
        <v>221</v>
      </c>
      <c r="D161" s="22" t="s">
        <v>312</v>
      </c>
      <c r="E161" s="22" t="s">
        <v>313</v>
      </c>
      <c r="F161" s="23" t="str">
        <f>HYPERLINK("https://web.hackadoll.com/n/8pP47","URLを開く")</f>
        <v>URLを開く</v>
      </c>
      <c r="G161" s="24">
        <v>10280.0</v>
      </c>
      <c r="H161" s="25" t="s">
        <v>23</v>
      </c>
      <c r="I161" s="26" t="s">
        <v>24</v>
      </c>
      <c r="J161" s="26" t="s">
        <v>24</v>
      </c>
      <c r="K161" s="26" t="s">
        <v>24</v>
      </c>
      <c r="L161" s="26" t="s">
        <v>24</v>
      </c>
      <c r="M161" s="26" t="s">
        <v>24</v>
      </c>
    </row>
    <row r="162" ht="13.5" customHeight="1">
      <c r="A162" s="21" t="s">
        <v>18</v>
      </c>
      <c r="B162" s="21" t="s">
        <v>214</v>
      </c>
      <c r="C162" s="22" t="s">
        <v>314</v>
      </c>
      <c r="D162" s="22" t="s">
        <v>315</v>
      </c>
      <c r="E162" s="22" t="s">
        <v>316</v>
      </c>
      <c r="F162" s="23" t="str">
        <f>HYPERLINK("https://seigura.com/news/17519/","URLを開く")</f>
        <v>URLを開く</v>
      </c>
      <c r="G162" s="24">
        <v>11292.0</v>
      </c>
      <c r="H162" s="25" t="s">
        <v>23</v>
      </c>
      <c r="I162" s="26" t="s">
        <v>24</v>
      </c>
      <c r="J162" s="26" t="s">
        <v>24</v>
      </c>
      <c r="K162" s="26" t="s">
        <v>24</v>
      </c>
      <c r="L162" s="26" t="s">
        <v>24</v>
      </c>
      <c r="M162" s="26" t="s">
        <v>24</v>
      </c>
    </row>
    <row r="163" ht="13.5" customHeight="1">
      <c r="A163" s="21" t="s">
        <v>317</v>
      </c>
      <c r="B163" s="21" t="s">
        <v>18</v>
      </c>
      <c r="C163" s="22" t="s">
        <v>318</v>
      </c>
      <c r="D163" s="22" t="s">
        <v>319</v>
      </c>
      <c r="E163" s="22" t="s">
        <v>320</v>
      </c>
      <c r="F163" s="23" t="str">
        <f>HYPERLINK("http://www.biz-hacks.com/pressrelease/?id=111853","URLを開く")</f>
        <v>URLを開く</v>
      </c>
      <c r="G163" s="24">
        <v>1866.0</v>
      </c>
      <c r="H163" s="25" t="s">
        <v>23</v>
      </c>
      <c r="I163" s="26" t="s">
        <v>24</v>
      </c>
      <c r="J163" s="26" t="s">
        <v>24</v>
      </c>
      <c r="K163" s="26" t="s">
        <v>24</v>
      </c>
      <c r="L163" s="26" t="s">
        <v>24</v>
      </c>
      <c r="M163" s="26" t="s">
        <v>24</v>
      </c>
    </row>
    <row r="164" ht="13.5" customHeight="1">
      <c r="A164" s="21" t="s">
        <v>317</v>
      </c>
      <c r="B164" s="21" t="s">
        <v>18</v>
      </c>
      <c r="C164" s="22" t="s">
        <v>321</v>
      </c>
      <c r="D164" s="22" t="s">
        <v>322</v>
      </c>
      <c r="E164" s="22" t="s">
        <v>323</v>
      </c>
      <c r="F164" s="23" t="str">
        <f>HYPERLINK("https://jp.reuters.com/prcenter/article?id=185239-20190601","URLを開く")</f>
        <v>URLを開く</v>
      </c>
      <c r="G164" s="24">
        <v>17969.0</v>
      </c>
      <c r="H164" s="25" t="s">
        <v>23</v>
      </c>
      <c r="I164" s="26" t="s">
        <v>24</v>
      </c>
      <c r="J164" s="26" t="s">
        <v>24</v>
      </c>
      <c r="K164" s="26" t="s">
        <v>24</v>
      </c>
      <c r="L164" s="26" t="s">
        <v>24</v>
      </c>
      <c r="M164" s="26" t="s">
        <v>24</v>
      </c>
    </row>
    <row r="165" ht="13.5" customHeight="1">
      <c r="A165" s="21" t="s">
        <v>224</v>
      </c>
      <c r="B165" s="21" t="s">
        <v>18</v>
      </c>
      <c r="C165" s="22" t="s">
        <v>324</v>
      </c>
      <c r="D165" s="22" t="s">
        <v>325</v>
      </c>
      <c r="E165" s="22" t="s">
        <v>326</v>
      </c>
      <c r="F165" s="23" t="str">
        <f>HYPERLINK("http://repotama.com/2019/05/113802/","URLを開く")</f>
        <v>URLを開く</v>
      </c>
      <c r="G165" s="24">
        <v>9955.0</v>
      </c>
      <c r="H165" s="25" t="s">
        <v>23</v>
      </c>
      <c r="I165" s="26" t="s">
        <v>24</v>
      </c>
      <c r="J165" s="26" t="s">
        <v>24</v>
      </c>
      <c r="K165" s="26" t="s">
        <v>24</v>
      </c>
      <c r="L165" s="26" t="s">
        <v>24</v>
      </c>
      <c r="M165" s="26" t="s">
        <v>24</v>
      </c>
    </row>
    <row r="166" ht="13.5" customHeight="1">
      <c r="A166" s="21" t="s">
        <v>224</v>
      </c>
      <c r="B166" s="21" t="s">
        <v>18</v>
      </c>
      <c r="C166" s="22" t="s">
        <v>327</v>
      </c>
      <c r="D166" s="22" t="s">
        <v>176</v>
      </c>
      <c r="E166" s="22" t="s">
        <v>328</v>
      </c>
      <c r="F166" s="23" t="str">
        <f>HYPERLINK("https://yab.yomiuri.co.jp/adv/life/release/detail/00069803.html","URLを開く")</f>
        <v>URLを開く</v>
      </c>
      <c r="G166" s="24">
        <v>16443.0</v>
      </c>
      <c r="H166" s="25" t="s">
        <v>23</v>
      </c>
      <c r="I166" s="26" t="s">
        <v>24</v>
      </c>
      <c r="J166" s="26" t="s">
        <v>24</v>
      </c>
      <c r="K166" s="26" t="s">
        <v>24</v>
      </c>
      <c r="L166" s="26" t="s">
        <v>24</v>
      </c>
      <c r="M166" s="26" t="s">
        <v>24</v>
      </c>
    </row>
    <row r="167" ht="13.5" customHeight="1">
      <c r="A167" s="21" t="s">
        <v>224</v>
      </c>
      <c r="B167" s="21" t="s">
        <v>18</v>
      </c>
      <c r="C167" s="22" t="s">
        <v>329</v>
      </c>
      <c r="D167" s="22" t="s">
        <v>330</v>
      </c>
      <c r="E167" s="22" t="s">
        <v>331</v>
      </c>
      <c r="F167" s="23" t="str">
        <f>HYPERLINK("https://pressrelease.enuchi.jp/press-release/217430","URLを開く")</f>
        <v>URLを開く</v>
      </c>
      <c r="G167" s="24">
        <v>2362.0</v>
      </c>
      <c r="H167" s="25" t="s">
        <v>23</v>
      </c>
      <c r="I167" s="26" t="s">
        <v>24</v>
      </c>
      <c r="J167" s="26" t="s">
        <v>24</v>
      </c>
      <c r="K167" s="26" t="s">
        <v>24</v>
      </c>
      <c r="L167" s="26" t="s">
        <v>24</v>
      </c>
      <c r="M167" s="26" t="s">
        <v>24</v>
      </c>
    </row>
    <row r="168" ht="13.5" customHeight="1">
      <c r="A168" s="21" t="s">
        <v>224</v>
      </c>
      <c r="B168" s="21" t="s">
        <v>18</v>
      </c>
      <c r="C168" s="22" t="s">
        <v>332</v>
      </c>
      <c r="D168" s="22" t="s">
        <v>333</v>
      </c>
      <c r="E168" s="22" t="s">
        <v>334</v>
      </c>
      <c r="F168" s="23" t="str">
        <f>HYPERLINK("http://www.seotools.jp/news/id_at_185239.html","URLを開く")</f>
        <v>URLを開く</v>
      </c>
      <c r="G168" s="24">
        <v>2242.0</v>
      </c>
      <c r="H168" s="25" t="s">
        <v>23</v>
      </c>
      <c r="I168" s="26" t="s">
        <v>24</v>
      </c>
      <c r="J168" s="26" t="s">
        <v>24</v>
      </c>
      <c r="K168" s="26" t="s">
        <v>24</v>
      </c>
      <c r="L168" s="26" t="s">
        <v>24</v>
      </c>
      <c r="M168" s="26" t="s">
        <v>24</v>
      </c>
    </row>
    <row r="169" ht="13.5" customHeight="1">
      <c r="A169" s="21" t="s">
        <v>224</v>
      </c>
      <c r="B169" s="21" t="s">
        <v>18</v>
      </c>
      <c r="C169" s="22" t="s">
        <v>335</v>
      </c>
      <c r="D169" s="22" t="s">
        <v>336</v>
      </c>
      <c r="E169" s="22" t="s">
        <v>337</v>
      </c>
      <c r="F169" s="23" t="str">
        <f>HYPERLINK("http://www.livehouse.com/live/newspin/key/185239/","URLを開く")</f>
        <v>URLを開く</v>
      </c>
      <c r="G169" s="24">
        <v>8587.0</v>
      </c>
      <c r="H169" s="25" t="s">
        <v>23</v>
      </c>
      <c r="I169" s="26" t="s">
        <v>24</v>
      </c>
      <c r="J169" s="26" t="s">
        <v>24</v>
      </c>
      <c r="K169" s="26" t="s">
        <v>24</v>
      </c>
      <c r="L169" s="26" t="s">
        <v>24</v>
      </c>
      <c r="M169" s="26" t="s">
        <v>24</v>
      </c>
    </row>
    <row r="170" ht="13.5" customHeight="1">
      <c r="A170" s="21" t="s">
        <v>224</v>
      </c>
      <c r="B170" s="21" t="s">
        <v>18</v>
      </c>
      <c r="C170" s="22" t="s">
        <v>338</v>
      </c>
      <c r="D170" s="22" t="s">
        <v>339</v>
      </c>
      <c r="E170" s="22" t="s">
        <v>340</v>
      </c>
      <c r="F170" s="23" t="str">
        <f>HYPERLINK("https://business.nifty.com/cs/catalog/business_release/catalog_atp185239_1.htm","URLを開く")</f>
        <v>URLを開く</v>
      </c>
      <c r="G170" s="24">
        <v>11925.0</v>
      </c>
      <c r="H170" s="25" t="s">
        <v>23</v>
      </c>
      <c r="I170" s="26" t="s">
        <v>24</v>
      </c>
      <c r="J170" s="26" t="s">
        <v>24</v>
      </c>
      <c r="K170" s="26" t="s">
        <v>24</v>
      </c>
      <c r="L170" s="26" t="s">
        <v>24</v>
      </c>
      <c r="M170" s="26" t="s">
        <v>24</v>
      </c>
    </row>
    <row r="171" ht="13.5" customHeight="1">
      <c r="A171" s="21" t="s">
        <v>224</v>
      </c>
      <c r="B171" s="21" t="s">
        <v>18</v>
      </c>
      <c r="C171" s="22" t="s">
        <v>341</v>
      </c>
      <c r="D171" s="22" t="s">
        <v>339</v>
      </c>
      <c r="E171" s="22" t="s">
        <v>342</v>
      </c>
      <c r="F171" s="23" t="str">
        <f>HYPERLINK("https://www.atpress.ne.jp/news/185239","URLを開く")</f>
        <v>URLを開く</v>
      </c>
      <c r="G171" s="24"/>
      <c r="H171" s="25" t="s">
        <v>23</v>
      </c>
      <c r="I171" s="26" t="s">
        <v>24</v>
      </c>
      <c r="J171" s="26" t="s">
        <v>24</v>
      </c>
      <c r="K171" s="26" t="s">
        <v>24</v>
      </c>
      <c r="L171" s="26" t="s">
        <v>24</v>
      </c>
      <c r="M171" s="26" t="s">
        <v>24</v>
      </c>
    </row>
    <row r="172" ht="13.5" customHeight="1">
      <c r="A172" s="21" t="s">
        <v>224</v>
      </c>
      <c r="B172" s="21" t="s">
        <v>18</v>
      </c>
      <c r="C172" s="22" t="s">
        <v>343</v>
      </c>
      <c r="D172" s="22" t="s">
        <v>339</v>
      </c>
      <c r="E172" s="22" t="s">
        <v>344</v>
      </c>
      <c r="F172" s="23" t="str">
        <f>HYPERLINK("https://news.ba-ter.com/user/","URLを開く")</f>
        <v>URLを開く</v>
      </c>
      <c r="G172" s="24">
        <v>6896.0</v>
      </c>
      <c r="H172" s="25" t="s">
        <v>23</v>
      </c>
      <c r="I172" s="26" t="s">
        <v>24</v>
      </c>
      <c r="J172" s="26" t="s">
        <v>24</v>
      </c>
      <c r="K172" s="26" t="s">
        <v>24</v>
      </c>
      <c r="L172" s="26" t="s">
        <v>24</v>
      </c>
      <c r="M172" s="26" t="s">
        <v>24</v>
      </c>
    </row>
    <row r="173" ht="13.5" customHeight="1">
      <c r="A173" s="21" t="s">
        <v>224</v>
      </c>
      <c r="B173" s="21" t="s">
        <v>18</v>
      </c>
      <c r="C173" s="22" t="s">
        <v>345</v>
      </c>
      <c r="D173" s="22" t="s">
        <v>339</v>
      </c>
      <c r="E173" s="22" t="s">
        <v>346</v>
      </c>
      <c r="F173" s="23" t="str">
        <f>HYPERLINK("https://barclay-global.biz/oversea/?p=152454","URLを開く")</f>
        <v>URLを開く</v>
      </c>
      <c r="G173" s="24">
        <v>1788.0</v>
      </c>
      <c r="H173" s="25" t="s">
        <v>23</v>
      </c>
      <c r="I173" s="26" t="s">
        <v>24</v>
      </c>
      <c r="J173" s="26" t="s">
        <v>24</v>
      </c>
      <c r="K173" s="26" t="s">
        <v>24</v>
      </c>
      <c r="L173" s="26" t="s">
        <v>24</v>
      </c>
      <c r="M173" s="26" t="s">
        <v>24</v>
      </c>
    </row>
    <row r="174" ht="13.5" customHeight="1">
      <c r="A174" s="21" t="s">
        <v>224</v>
      </c>
      <c r="B174" s="21" t="s">
        <v>18</v>
      </c>
      <c r="C174" s="22" t="s">
        <v>347</v>
      </c>
      <c r="D174" s="22" t="s">
        <v>339</v>
      </c>
      <c r="E174" s="22" t="s">
        <v>348</v>
      </c>
      <c r="F174" s="23" t="str">
        <f>HYPERLINK("http://www.bizocean.jp/news/pr/","URLを開く")</f>
        <v>URLを開く</v>
      </c>
      <c r="G174" s="24">
        <v>3288.0</v>
      </c>
      <c r="H174" s="25" t="s">
        <v>349</v>
      </c>
      <c r="I174" s="26" t="s">
        <v>24</v>
      </c>
      <c r="J174" s="26" t="s">
        <v>24</v>
      </c>
      <c r="K174" s="26" t="s">
        <v>24</v>
      </c>
      <c r="L174" s="26" t="s">
        <v>24</v>
      </c>
      <c r="M174" s="26" t="s">
        <v>24</v>
      </c>
    </row>
    <row r="175" ht="13.5" customHeight="1">
      <c r="A175" s="21" t="s">
        <v>224</v>
      </c>
      <c r="B175" s="21" t="s">
        <v>18</v>
      </c>
      <c r="C175" s="22" t="s">
        <v>350</v>
      </c>
      <c r="D175" s="22" t="s">
        <v>339</v>
      </c>
      <c r="E175" s="22" t="s">
        <v>351</v>
      </c>
      <c r="F175" s="23" t="str">
        <f>HYPERLINK("http://www.blogpeople.net/press_detail.html?pr_id=185239&amp;charset=UTF-8","URLを開く")</f>
        <v>URLを開く</v>
      </c>
      <c r="G175" s="24">
        <v>1954.0</v>
      </c>
      <c r="H175" s="25" t="s">
        <v>23</v>
      </c>
      <c r="I175" s="26" t="s">
        <v>24</v>
      </c>
      <c r="J175" s="26" t="s">
        <v>24</v>
      </c>
      <c r="K175" s="26" t="s">
        <v>24</v>
      </c>
      <c r="L175" s="26" t="s">
        <v>24</v>
      </c>
      <c r="M175" s="26" t="s">
        <v>24</v>
      </c>
    </row>
    <row r="176" ht="13.5" customHeight="1">
      <c r="A176" s="21" t="s">
        <v>224</v>
      </c>
      <c r="B176" s="21" t="s">
        <v>18</v>
      </c>
      <c r="C176" s="22" t="s">
        <v>108</v>
      </c>
      <c r="D176" s="22" t="s">
        <v>339</v>
      </c>
      <c r="E176" s="22" t="s">
        <v>352</v>
      </c>
      <c r="F176" s="23" t="str">
        <f>HYPERLINK("https://www.excite.co.jp/news/article/Atpress_185239/","URLを開く")</f>
        <v>URLを開く</v>
      </c>
      <c r="G176" s="24">
        <v>14197.0</v>
      </c>
      <c r="H176" s="25" t="s">
        <v>23</v>
      </c>
      <c r="I176" s="26" t="s">
        <v>24</v>
      </c>
      <c r="J176" s="26" t="s">
        <v>24</v>
      </c>
      <c r="K176" s="26" t="s">
        <v>24</v>
      </c>
      <c r="L176" s="26" t="s">
        <v>24</v>
      </c>
      <c r="M176" s="26" t="s">
        <v>24</v>
      </c>
    </row>
    <row r="177" ht="13.5" customHeight="1">
      <c r="A177" s="21" t="s">
        <v>224</v>
      </c>
      <c r="B177" s="21" t="s">
        <v>18</v>
      </c>
      <c r="C177" s="22" t="s">
        <v>56</v>
      </c>
      <c r="D177" s="22" t="s">
        <v>339</v>
      </c>
      <c r="E177" s="22" t="s">
        <v>353</v>
      </c>
      <c r="F177" s="23" t="str">
        <f>HYPERLINK("https://news.infoseek.co.jp/article/atpress_185239/","URLを開く")</f>
        <v>URLを開く</v>
      </c>
      <c r="G177" s="24">
        <v>13436.0</v>
      </c>
      <c r="H177" s="25" t="s">
        <v>23</v>
      </c>
      <c r="I177" s="26" t="s">
        <v>24</v>
      </c>
      <c r="J177" s="26" t="s">
        <v>24</v>
      </c>
      <c r="K177" s="26" t="s">
        <v>24</v>
      </c>
      <c r="L177" s="26" t="s">
        <v>24</v>
      </c>
      <c r="M177" s="26" t="s">
        <v>24</v>
      </c>
    </row>
    <row r="178" ht="13.5" customHeight="1">
      <c r="A178" s="21" t="s">
        <v>224</v>
      </c>
      <c r="B178" s="21" t="s">
        <v>18</v>
      </c>
      <c r="C178" s="22" t="s">
        <v>354</v>
      </c>
      <c r="D178" s="22" t="s">
        <v>339</v>
      </c>
      <c r="E178" s="22" t="s">
        <v>355</v>
      </c>
      <c r="F178" s="23" t="str">
        <f>HYPERLINK("https://news.nplus-inc.co.jp/index.php?action=ViewDetail&amp;number=484316","URLを開く")</f>
        <v>URLを開く</v>
      </c>
      <c r="G178" s="24">
        <v>1884.0</v>
      </c>
      <c r="H178" s="25" t="s">
        <v>23</v>
      </c>
      <c r="I178" s="26" t="s">
        <v>24</v>
      </c>
      <c r="J178" s="26" t="s">
        <v>24</v>
      </c>
      <c r="K178" s="26" t="s">
        <v>24</v>
      </c>
      <c r="L178" s="26" t="s">
        <v>24</v>
      </c>
      <c r="M178" s="26" t="s">
        <v>24</v>
      </c>
    </row>
    <row r="179" ht="13.5" customHeight="1">
      <c r="A179" s="21" t="s">
        <v>224</v>
      </c>
      <c r="B179" s="21" t="s">
        <v>18</v>
      </c>
      <c r="C179" s="22" t="s">
        <v>356</v>
      </c>
      <c r="D179" s="22" t="s">
        <v>339</v>
      </c>
      <c r="E179" s="22" t="s">
        <v>357</v>
      </c>
      <c r="F179" s="23" t="str">
        <f>HYPERLINK("https://www.rbbtoday.com/ad/atpress/release.html?pr_id=185239&amp;charset=UTF-8","URLを開く")</f>
        <v>URLを開く</v>
      </c>
      <c r="G179" s="24">
        <v>4879.0</v>
      </c>
      <c r="H179" s="25" t="s">
        <v>23</v>
      </c>
      <c r="I179" s="26" t="s">
        <v>24</v>
      </c>
      <c r="J179" s="26" t="s">
        <v>24</v>
      </c>
      <c r="K179" s="26" t="s">
        <v>24</v>
      </c>
      <c r="L179" s="26" t="s">
        <v>24</v>
      </c>
      <c r="M179" s="26" t="s">
        <v>24</v>
      </c>
    </row>
    <row r="180" ht="13.5" customHeight="1">
      <c r="A180" s="21" t="s">
        <v>224</v>
      </c>
      <c r="B180" s="21" t="s">
        <v>18</v>
      </c>
      <c r="C180" s="22" t="s">
        <v>358</v>
      </c>
      <c r="D180" s="22" t="s">
        <v>339</v>
      </c>
      <c r="E180" s="22" t="s">
        <v>359</v>
      </c>
      <c r="F180" s="23" t="str">
        <f>HYPERLINK("http://rentaloffice.bz/","URLを開く")</f>
        <v>URLを開く</v>
      </c>
      <c r="G180" s="24">
        <v>1936.0</v>
      </c>
      <c r="H180" s="25" t="s">
        <v>349</v>
      </c>
      <c r="I180" s="26" t="s">
        <v>24</v>
      </c>
      <c r="J180" s="26" t="s">
        <v>24</v>
      </c>
      <c r="K180" s="26" t="s">
        <v>24</v>
      </c>
      <c r="L180" s="26" t="s">
        <v>24</v>
      </c>
      <c r="M180" s="26" t="s">
        <v>24</v>
      </c>
    </row>
    <row r="181" ht="13.5" customHeight="1">
      <c r="A181" s="21" t="s">
        <v>224</v>
      </c>
      <c r="B181" s="21" t="s">
        <v>18</v>
      </c>
      <c r="C181" s="22" t="s">
        <v>360</v>
      </c>
      <c r="D181" s="22" t="s">
        <v>339</v>
      </c>
      <c r="E181" s="22" t="s">
        <v>361</v>
      </c>
      <c r="F181" s="23" t="str">
        <f>HYPERLINK("https://resemom.jp/feature/newsrelease/atpress/press_detail.html?pr_id=185239&amp;charset=UTF-8","URLを開く")</f>
        <v>URLを開く</v>
      </c>
      <c r="G181" s="24">
        <v>6101.0</v>
      </c>
      <c r="H181" s="25" t="s">
        <v>23</v>
      </c>
      <c r="I181" s="26" t="s">
        <v>24</v>
      </c>
      <c r="J181" s="26" t="s">
        <v>24</v>
      </c>
      <c r="K181" s="26" t="s">
        <v>24</v>
      </c>
      <c r="L181" s="26" t="s">
        <v>24</v>
      </c>
      <c r="M181" s="26" t="s">
        <v>24</v>
      </c>
    </row>
    <row r="182" ht="13.5" customHeight="1">
      <c r="A182" s="21" t="s">
        <v>224</v>
      </c>
      <c r="B182" s="21" t="s">
        <v>18</v>
      </c>
      <c r="C182" s="22" t="s">
        <v>362</v>
      </c>
      <c r="D182" s="22" t="s">
        <v>339</v>
      </c>
      <c r="E182" s="22" t="s">
        <v>363</v>
      </c>
      <c r="F182" s="23" t="str">
        <f>HYPERLINK("https://response.jp/feature/newsrelease/atpress/press_detail.html?pr_id=185239&amp;charset=UTF-8","URLを開く")</f>
        <v>URLを開く</v>
      </c>
      <c r="G182" s="24">
        <v>12834.0</v>
      </c>
      <c r="H182" s="25" t="s">
        <v>23</v>
      </c>
      <c r="I182" s="26" t="s">
        <v>24</v>
      </c>
      <c r="J182" s="26" t="s">
        <v>24</v>
      </c>
      <c r="K182" s="26" t="s">
        <v>24</v>
      </c>
      <c r="L182" s="26" t="s">
        <v>24</v>
      </c>
      <c r="M182" s="26" t="s">
        <v>24</v>
      </c>
    </row>
    <row r="183" ht="13.5" customHeight="1">
      <c r="A183" s="21" t="s">
        <v>224</v>
      </c>
      <c r="B183" s="21" t="s">
        <v>18</v>
      </c>
      <c r="C183" s="22" t="s">
        <v>364</v>
      </c>
      <c r="D183" s="22" t="s">
        <v>339</v>
      </c>
      <c r="E183" s="22" t="s">
        <v>365</v>
      </c>
      <c r="F183" s="23" t="str">
        <f>HYPERLINK("http://home.kingsoft.jp/news/pr/atpress/185239.html","URLを開く")</f>
        <v>URLを開く</v>
      </c>
      <c r="G183" s="24">
        <v>8916.0</v>
      </c>
      <c r="H183" s="25" t="s">
        <v>23</v>
      </c>
      <c r="I183" s="26" t="s">
        <v>24</v>
      </c>
      <c r="J183" s="26" t="s">
        <v>24</v>
      </c>
      <c r="K183" s="26" t="s">
        <v>24</v>
      </c>
      <c r="L183" s="26" t="s">
        <v>24</v>
      </c>
      <c r="M183" s="26" t="s">
        <v>24</v>
      </c>
    </row>
    <row r="184" ht="13.5" customHeight="1">
      <c r="A184" s="21" t="s">
        <v>224</v>
      </c>
      <c r="B184" s="21" t="s">
        <v>18</v>
      </c>
      <c r="C184" s="22" t="s">
        <v>366</v>
      </c>
      <c r="D184" s="22" t="s">
        <v>339</v>
      </c>
      <c r="E184" s="22" t="s">
        <v>367</v>
      </c>
      <c r="F184" s="23" t="str">
        <f>HYPERLINK("https://trend-times.jp/display/328896","URLを開く")</f>
        <v>URLを開く</v>
      </c>
      <c r="G184" s="24">
        <v>8721.0</v>
      </c>
      <c r="H184" s="25" t="s">
        <v>23</v>
      </c>
      <c r="I184" s="26" t="s">
        <v>24</v>
      </c>
      <c r="J184" s="26" t="s">
        <v>24</v>
      </c>
      <c r="K184" s="26" t="s">
        <v>24</v>
      </c>
      <c r="L184" s="26" t="s">
        <v>24</v>
      </c>
      <c r="M184" s="26" t="s">
        <v>24</v>
      </c>
    </row>
    <row r="185" ht="13.5" customHeight="1">
      <c r="A185" s="21" t="s">
        <v>224</v>
      </c>
      <c r="B185" s="21" t="s">
        <v>18</v>
      </c>
      <c r="C185" s="22" t="s">
        <v>368</v>
      </c>
      <c r="D185" s="22" t="s">
        <v>339</v>
      </c>
      <c r="E185" s="22" t="s">
        <v>369</v>
      </c>
      <c r="F185" s="23" t="str">
        <f>HYPERLINK("https://www.zakzak.co.jp/eco/news/190531/prl1905310185-n1.html","URLを開く")</f>
        <v>URLを開く</v>
      </c>
      <c r="G185" s="24">
        <v>10264.0</v>
      </c>
      <c r="H185" s="25" t="s">
        <v>23</v>
      </c>
      <c r="I185" s="26" t="s">
        <v>24</v>
      </c>
      <c r="J185" s="26" t="s">
        <v>24</v>
      </c>
      <c r="K185" s="26" t="s">
        <v>24</v>
      </c>
      <c r="L185" s="26" t="s">
        <v>24</v>
      </c>
      <c r="M185" s="26" t="s">
        <v>24</v>
      </c>
    </row>
    <row r="186" ht="13.5" customHeight="1">
      <c r="A186" s="21" t="s">
        <v>224</v>
      </c>
      <c r="B186" s="21" t="s">
        <v>18</v>
      </c>
      <c r="C186" s="22" t="s">
        <v>370</v>
      </c>
      <c r="D186" s="22" t="s">
        <v>339</v>
      </c>
      <c r="E186" s="22" t="s">
        <v>371</v>
      </c>
      <c r="F186" s="23" t="str">
        <f>HYPERLINK("https://news.toremaga.com/politics/foreign/1328867.html","URLを開く")</f>
        <v>URLを開く</v>
      </c>
      <c r="G186" s="24">
        <v>2778.0</v>
      </c>
      <c r="H186" s="25" t="s">
        <v>23</v>
      </c>
      <c r="I186" s="26" t="s">
        <v>24</v>
      </c>
      <c r="J186" s="26" t="s">
        <v>24</v>
      </c>
      <c r="K186" s="26" t="s">
        <v>24</v>
      </c>
      <c r="L186" s="26" t="s">
        <v>24</v>
      </c>
      <c r="M186" s="26" t="s">
        <v>24</v>
      </c>
    </row>
    <row r="187" ht="13.5" customHeight="1">
      <c r="A187" s="21" t="s">
        <v>224</v>
      </c>
      <c r="B187" s="21" t="s">
        <v>18</v>
      </c>
      <c r="C187" s="22" t="s">
        <v>372</v>
      </c>
      <c r="D187" s="22" t="s">
        <v>339</v>
      </c>
      <c r="E187" s="22" t="s">
        <v>373</v>
      </c>
      <c r="F187" s="23" t="str">
        <f>HYPERLINK("http://www.quickorder.jp/q_news/banneta/index.php","URLを開く")</f>
        <v>URLを開く</v>
      </c>
      <c r="G187" s="24">
        <v>1878.0</v>
      </c>
      <c r="H187" s="25" t="s">
        <v>349</v>
      </c>
      <c r="I187" s="26" t="s">
        <v>24</v>
      </c>
      <c r="J187" s="26" t="s">
        <v>24</v>
      </c>
      <c r="K187" s="26" t="s">
        <v>24</v>
      </c>
      <c r="L187" s="26" t="s">
        <v>24</v>
      </c>
      <c r="M187" s="26" t="s">
        <v>24</v>
      </c>
    </row>
    <row r="188" ht="13.5" customHeight="1">
      <c r="A188" s="21" t="s">
        <v>224</v>
      </c>
      <c r="B188" s="21" t="s">
        <v>18</v>
      </c>
      <c r="C188" s="22" t="s">
        <v>82</v>
      </c>
      <c r="D188" s="22" t="s">
        <v>339</v>
      </c>
      <c r="E188" s="22" t="s">
        <v>374</v>
      </c>
      <c r="F188" s="23" t="str">
        <f>HYPERLINK("https://www.topics.or.jp/ud/pressrelease/5cf0d23a7765618941010000","URLを開く")</f>
        <v>URLを開く</v>
      </c>
      <c r="G188" s="24">
        <v>2582.0</v>
      </c>
      <c r="H188" s="25" t="s">
        <v>23</v>
      </c>
      <c r="I188" s="26" t="s">
        <v>24</v>
      </c>
      <c r="J188" s="26" t="s">
        <v>24</v>
      </c>
      <c r="K188" s="26" t="s">
        <v>24</v>
      </c>
      <c r="L188" s="26" t="s">
        <v>24</v>
      </c>
      <c r="M188" s="26" t="s">
        <v>24</v>
      </c>
    </row>
    <row r="189" ht="13.5" customHeight="1">
      <c r="A189" s="21" t="s">
        <v>224</v>
      </c>
      <c r="B189" s="21" t="s">
        <v>18</v>
      </c>
      <c r="C189" s="22" t="s">
        <v>375</v>
      </c>
      <c r="D189" s="22" t="s">
        <v>339</v>
      </c>
      <c r="E189" s="22" t="s">
        <v>376</v>
      </c>
      <c r="F189" s="23" t="str">
        <f>HYPERLINK("https://www.asahi.com/and_M/pressrelease/pre_2766538/","URLを開く")</f>
        <v>URLを開く</v>
      </c>
      <c r="G189" s="24">
        <v>19517.0</v>
      </c>
      <c r="H189" s="25" t="s">
        <v>23</v>
      </c>
      <c r="I189" s="26" t="s">
        <v>24</v>
      </c>
      <c r="J189" s="26" t="s">
        <v>24</v>
      </c>
      <c r="K189" s="26" t="s">
        <v>24</v>
      </c>
      <c r="L189" s="26" t="s">
        <v>24</v>
      </c>
      <c r="M189" s="26" t="s">
        <v>24</v>
      </c>
    </row>
    <row r="190" ht="13.5" customHeight="1">
      <c r="A190" s="21" t="s">
        <v>224</v>
      </c>
      <c r="B190" s="21" t="s">
        <v>18</v>
      </c>
      <c r="C190" s="22" t="s">
        <v>377</v>
      </c>
      <c r="D190" s="22" t="s">
        <v>339</v>
      </c>
      <c r="E190" s="22" t="s">
        <v>378</v>
      </c>
      <c r="F190" s="23" t="str">
        <f>HYPERLINK("https://tokyo-beauty.jp/headline/%E3%81%82%E3%81%AE%E6%9C%89%E5%90%8D%E5%A3%B0%E5%84%AA%E3%82%82%E5%8F%82%E5%8A%A0%EF%BC%81%E4%B8%96%E7%95%8C%E4%B8%80%E6%A5%BD%E3%81%97%E3%81%84%E3%81%94%E3%81%BF%E6%8B%BE%E3%81%84/","URLを開く")</f>
        <v>URLを開く</v>
      </c>
      <c r="G190" s="24">
        <v>1844.0</v>
      </c>
      <c r="H190" s="25" t="s">
        <v>23</v>
      </c>
      <c r="I190" s="26" t="s">
        <v>24</v>
      </c>
      <c r="J190" s="26" t="s">
        <v>24</v>
      </c>
      <c r="K190" s="26" t="s">
        <v>24</v>
      </c>
      <c r="L190" s="26" t="s">
        <v>24</v>
      </c>
      <c r="M190" s="26" t="s">
        <v>24</v>
      </c>
    </row>
    <row r="191" ht="13.5" customHeight="1">
      <c r="A191" s="21" t="s">
        <v>224</v>
      </c>
      <c r="B191" s="21" t="s">
        <v>18</v>
      </c>
      <c r="C191" s="22" t="s">
        <v>379</v>
      </c>
      <c r="D191" s="22" t="s">
        <v>339</v>
      </c>
      <c r="E191" s="22" t="s">
        <v>380</v>
      </c>
      <c r="F191" s="23" t="str">
        <f>HYPERLINK("https://www.zaikei.co.jp/releases/811587/","URLを開く")</f>
        <v>URLを開く</v>
      </c>
      <c r="G191" s="24">
        <v>3727.0</v>
      </c>
      <c r="H191" s="25" t="s">
        <v>23</v>
      </c>
      <c r="I191" s="26" t="s">
        <v>24</v>
      </c>
      <c r="J191" s="26" t="s">
        <v>24</v>
      </c>
      <c r="K191" s="26" t="s">
        <v>24</v>
      </c>
      <c r="L191" s="26" t="s">
        <v>24</v>
      </c>
      <c r="M191" s="26" t="s">
        <v>24</v>
      </c>
    </row>
    <row r="192" ht="13.5" customHeight="1">
      <c r="A192" s="21" t="s">
        <v>224</v>
      </c>
      <c r="B192" s="21" t="s">
        <v>18</v>
      </c>
      <c r="C192" s="22" t="s">
        <v>381</v>
      </c>
      <c r="D192" s="22" t="s">
        <v>382</v>
      </c>
      <c r="E192" s="22" t="s">
        <v>383</v>
      </c>
      <c r="F192" s="23" t="str">
        <f>HYPERLINK("https://www.sanspo.com/geino/news/20190531/prl19053116220185-n1.html","URLを開く")</f>
        <v>URLを開く</v>
      </c>
      <c r="G192" s="24">
        <v>14284.0</v>
      </c>
      <c r="H192" s="25" t="s">
        <v>23</v>
      </c>
      <c r="I192" s="26" t="s">
        <v>24</v>
      </c>
      <c r="J192" s="26" t="s">
        <v>24</v>
      </c>
      <c r="K192" s="26" t="s">
        <v>24</v>
      </c>
      <c r="L192" s="26" t="s">
        <v>24</v>
      </c>
      <c r="M192" s="26" t="s">
        <v>24</v>
      </c>
    </row>
    <row r="193" ht="13.5" customHeight="1">
      <c r="A193" s="21" t="s">
        <v>224</v>
      </c>
      <c r="B193" s="21" t="s">
        <v>18</v>
      </c>
      <c r="C193" s="22" t="s">
        <v>86</v>
      </c>
      <c r="D193" s="22" t="s">
        <v>384</v>
      </c>
      <c r="E193" s="22" t="s">
        <v>385</v>
      </c>
      <c r="F193" s="23" t="str">
        <f>HYPERLINK("https://mainichi.jp/articles/20190531/pls/00m/020/102000c","URLを開く")</f>
        <v>URLを開く</v>
      </c>
      <c r="G193" s="24">
        <v>19940.0</v>
      </c>
      <c r="H193" s="25" t="s">
        <v>23</v>
      </c>
      <c r="I193" s="26" t="s">
        <v>24</v>
      </c>
      <c r="J193" s="26" t="s">
        <v>24</v>
      </c>
      <c r="K193" s="26" t="s">
        <v>24</v>
      </c>
      <c r="L193" s="26" t="s">
        <v>24</v>
      </c>
      <c r="M193" s="26" t="s">
        <v>24</v>
      </c>
    </row>
    <row r="194" ht="13.5" customHeight="1">
      <c r="A194" s="21" t="s">
        <v>224</v>
      </c>
      <c r="B194" s="21" t="s">
        <v>18</v>
      </c>
      <c r="C194" s="22" t="s">
        <v>386</v>
      </c>
      <c r="D194" s="22" t="s">
        <v>322</v>
      </c>
      <c r="E194" s="22" t="s">
        <v>387</v>
      </c>
      <c r="F194" s="23" t="str">
        <f>HYPERLINK("http://www.sankeibiz.jp/business/news/190531/prl1905311622136-n1.htm","URLを開く")</f>
        <v>URLを開く</v>
      </c>
      <c r="G194" s="24">
        <v>11565.0</v>
      </c>
      <c r="H194" s="25" t="s">
        <v>23</v>
      </c>
      <c r="I194" s="26" t="s">
        <v>24</v>
      </c>
      <c r="J194" s="26" t="s">
        <v>24</v>
      </c>
      <c r="K194" s="26" t="s">
        <v>24</v>
      </c>
      <c r="L194" s="26" t="s">
        <v>24</v>
      </c>
      <c r="M194" s="26" t="s">
        <v>24</v>
      </c>
    </row>
    <row r="195" ht="13.5" customHeight="1">
      <c r="A195" s="21" t="s">
        <v>224</v>
      </c>
      <c r="B195" s="21" t="s">
        <v>18</v>
      </c>
      <c r="C195" s="22" t="s">
        <v>138</v>
      </c>
      <c r="D195" s="22" t="s">
        <v>322</v>
      </c>
      <c r="E195" s="22" t="s">
        <v>388</v>
      </c>
      <c r="F195" s="23" t="str">
        <f>HYPERLINK("https://news.nicovideo.jp/watch/nw5394796","URLを開く")</f>
        <v>URLを開く</v>
      </c>
      <c r="G195" s="24">
        <v>19818.0</v>
      </c>
      <c r="H195" s="25" t="s">
        <v>23</v>
      </c>
      <c r="I195" s="26" t="s">
        <v>24</v>
      </c>
      <c r="J195" s="26" t="s">
        <v>24</v>
      </c>
      <c r="K195" s="26" t="s">
        <v>24</v>
      </c>
      <c r="L195" s="26" t="s">
        <v>24</v>
      </c>
      <c r="M195" s="26" t="s">
        <v>24</v>
      </c>
    </row>
    <row r="196" ht="13.5" customHeight="1">
      <c r="A196" s="29"/>
      <c r="B196" s="29"/>
      <c r="C196" s="30"/>
      <c r="D196" s="30"/>
      <c r="E196" s="29"/>
      <c r="G196" s="30"/>
    </row>
    <row r="197" ht="13.5" customHeight="1">
      <c r="A197" s="30"/>
      <c r="B197" s="30"/>
      <c r="C197" s="30"/>
      <c r="D197" s="30"/>
      <c r="E197" s="30"/>
    </row>
    <row r="198" ht="13.5" customHeight="1">
      <c r="A198" s="30"/>
      <c r="B198" s="30"/>
      <c r="C198" s="30"/>
      <c r="D198" s="30"/>
      <c r="E198" s="30"/>
    </row>
    <row r="199" ht="13.5" customHeight="1">
      <c r="A199" s="30"/>
      <c r="B199" s="30"/>
      <c r="C199" s="30"/>
      <c r="D199" s="30"/>
      <c r="E199" s="30"/>
    </row>
    <row r="200" ht="13.5" customHeight="1">
      <c r="A200" s="30"/>
      <c r="B200" s="30"/>
      <c r="C200" s="30"/>
      <c r="D200" s="30"/>
      <c r="E200" s="30"/>
    </row>
    <row r="201" ht="13.5" customHeight="1">
      <c r="A201" s="30"/>
      <c r="B201" s="30"/>
      <c r="C201" s="30"/>
      <c r="D201" s="30"/>
      <c r="E201" s="30"/>
    </row>
    <row r="202" ht="13.5" customHeight="1">
      <c r="A202" s="30"/>
      <c r="B202" s="30"/>
      <c r="C202" s="30"/>
      <c r="D202" s="30"/>
      <c r="E202" s="30"/>
    </row>
    <row r="203" ht="13.5" customHeight="1">
      <c r="A203" s="30"/>
      <c r="B203" s="30"/>
      <c r="C203" s="30"/>
      <c r="D203" s="30"/>
      <c r="E203" s="30"/>
    </row>
    <row r="204" ht="13.5" customHeight="1">
      <c r="A204" s="30"/>
      <c r="B204" s="30"/>
      <c r="C204" s="30"/>
      <c r="D204" s="30"/>
      <c r="E204" s="30"/>
    </row>
    <row r="205" ht="13.5" customHeight="1">
      <c r="A205" s="30"/>
      <c r="B205" s="30"/>
      <c r="C205" s="30"/>
      <c r="D205" s="30"/>
      <c r="E205" s="30"/>
    </row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">
    <mergeCell ref="E4:F4"/>
    <mergeCell ref="B1:D1"/>
    <mergeCell ref="B2:D2"/>
    <mergeCell ref="I3:M3"/>
  </mergeCells>
  <hyperlinks>
    <hyperlink r:id="rId1" ref="E6"/>
    <hyperlink r:id="rId2" location="page=2" ref="E80"/>
  </hyperlinks>
  <printOptions/>
  <pageMargins bottom="0.7480314960629921" footer="0.0" header="0.0" left="0.2362204724409449" right="0.2362204724409449" top="0.7480314960629921"/>
  <pageSetup fitToHeight="0"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26" width="9.63"/>
  </cols>
  <sheetData>
    <row r="1" ht="13.5" customHeight="1"/>
    <row r="2" ht="13.5" customHeight="1"/>
    <row r="3" ht="13.5" customHeight="1">
      <c r="B3" s="1" t="s">
        <v>0</v>
      </c>
    </row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2009-10-15T13:12:29Z</dcterms:created>
  <dc:creator>skrol29</dc:creator>
</cp:coreProperties>
</file>